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26.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terature" sheetId="1" r:id="rId4"/>
    <sheet state="visible" name="Meeting with Seyong" sheetId="2" r:id="rId5"/>
    <sheet state="visible" name="Idea and Questions" sheetId="3" r:id="rId6"/>
    <sheet state="visible" name="Results MCHPC" sheetId="4" r:id="rId7"/>
    <sheet state="visible" name="Results IPDPS" sheetId="5" r:id="rId8"/>
    <sheet state="visible" name="Results ICS21" sheetId="6" r:id="rId9"/>
    <sheet state="visible" name="XSbench" sheetId="7" r:id="rId10"/>
    <sheet state="visible" name="top500 nov20" sheetId="8" r:id="rId11"/>
    <sheet state="visible" name="Lulesh" sheetId="9" r:id="rId12"/>
    <sheet state="visible" name="Numa" sheetId="10" r:id="rId13"/>
  </sheets>
  <definedNames/>
  <calcPr/>
  <pivotCaches>
    <pivotCache cacheId="0" r:id="rId14"/>
    <pivotCache cacheId="1" r:id="rId15"/>
  </pivotCaches>
</workbook>
</file>

<file path=xl/sharedStrings.xml><?xml version="1.0" encoding="utf-8"?>
<sst xmlns="http://schemas.openxmlformats.org/spreadsheetml/2006/main" count="7567" uniqueCount="917">
  <si>
    <t>Core Paper</t>
  </si>
  <si>
    <t>Paper Title</t>
  </si>
  <si>
    <t>Conference</t>
  </si>
  <si>
    <t>Link</t>
  </si>
  <si>
    <t>Area</t>
  </si>
  <si>
    <t>Summary</t>
  </si>
  <si>
    <t>Tuyere: Enabling Scalable Memory Workloads for System
Exploration</t>
  </si>
  <si>
    <t>HPDC18</t>
  </si>
  <si>
    <t>https://dl.acm.org/doi/10.1145/3208040.3208057</t>
  </si>
  <si>
    <t>Memory access pattern</t>
  </si>
  <si>
    <t>This paper will be useful for identifying total 5 types of memory access pattern.</t>
  </si>
  <si>
    <t>Quantitatively Modeling Application Resilience with the Data Vulnerability Factor (main paper)</t>
  </si>
  <si>
    <t>SC14</t>
  </si>
  <si>
    <t>https://ieeexplore.ieee.org/stamp/stamp.jsp?tp=&amp;arnumber=7013044</t>
  </si>
  <si>
    <t>Analytical Cache Model</t>
  </si>
  <si>
    <t>This is the main paper. coarse grained, pseudocode-based memory access accounting (CGPMAC)</t>
  </si>
  <si>
    <t>Footprints in the cache</t>
  </si>
  <si>
    <t>TOCS87</t>
  </si>
  <si>
    <t>https://dl.acm.org/doi/10.1145/29868.32979</t>
  </si>
  <si>
    <t>Analytical model for cache</t>
  </si>
  <si>
    <t>These two works are from ages ago. These works can lead us to recent work.</t>
  </si>
  <si>
    <t>Need to read these</t>
  </si>
  <si>
    <t>An Analytical Cache Model</t>
  </si>
  <si>
    <t>TOCS89</t>
  </si>
  <si>
    <t>https://dl.acm.org/doi/abs/10.1145/63404.63407</t>
  </si>
  <si>
    <t>These two works are from ages ago. These work can lead us to recent work.</t>
  </si>
  <si>
    <t>Performance Analysis with Cache-Aware Roofline Model in Intel Advisor</t>
  </si>
  <si>
    <t>https://ieeexplore.ieee.org/stamp/stamp.jsp?tp=&amp;arnumber=8035181</t>
  </si>
  <si>
    <t>analysis with roofline model</t>
  </si>
  <si>
    <t>Understanding Memory Access Patterns for Prefetching</t>
  </si>
  <si>
    <t>ASPLOS '20</t>
  </si>
  <si>
    <t>https://eecs.oregonstate.edu/aidarc/paper/MAP.pdf</t>
  </si>
  <si>
    <t>machine learning</t>
  </si>
  <si>
    <t>Uses machine learning and models to understand prefetching</t>
  </si>
  <si>
    <t>Learning Memory Access Patterns</t>
  </si>
  <si>
    <t>ICML</t>
  </si>
  <si>
    <t>https://icml.cc/Conferences/2018/ScheduleMultitrack?event=2836</t>
  </si>
  <si>
    <t>machine learning to improve prefetching for memory access pattern</t>
  </si>
  <si>
    <t>Classifying Memory Access Patterns for Prefetching</t>
  </si>
  <si>
    <t>ASPLOS</t>
  </si>
  <si>
    <t>https://dl.acm.org/doi/10.1145/3373376.3378498</t>
  </si>
  <si>
    <t>memory access intruction</t>
  </si>
  <si>
    <t>Machine learning based prefetching</t>
  </si>
  <si>
    <t>Some supporting papers</t>
  </si>
  <si>
    <t>Aspen: A domain specific language for performance modeling</t>
  </si>
  <si>
    <t>SC 12</t>
  </si>
  <si>
    <t>https://ieeexplore.ieee.org/document/6468530</t>
  </si>
  <si>
    <t>Model introduction</t>
  </si>
  <si>
    <t>COMPASS: A Framework for Automated Performance Modeling and Prediction</t>
  </si>
  <si>
    <t>ICS15</t>
  </si>
  <si>
    <t>https://dl.acm.org/doi/10.1145/2751205.2751220</t>
  </si>
  <si>
    <t>COMPASS</t>
  </si>
  <si>
    <t>Aspen-based performance and energy modeling frameworks</t>
  </si>
  <si>
    <t>JPDC 18</t>
  </si>
  <si>
    <t>https://www.sciencedirect.com/science/article/pii/S0743731517303039</t>
  </si>
  <si>
    <t>ASPEN model</t>
  </si>
  <si>
    <t>Hardware information</t>
  </si>
  <si>
    <t>Issu</t>
  </si>
  <si>
    <t>Cache line of L2 cache</t>
  </si>
  <si>
    <t>https://arxiv.org/pdf/1804.06826.pdf</t>
  </si>
  <si>
    <t>V100</t>
  </si>
  <si>
    <t>The L2 cache on the V100 GPU is an 16-way set-associative cache having a size of 6,144 KiB, a cache line of 64B and an average latency of 193 clock cycles.</t>
  </si>
  <si>
    <t>Important counter information</t>
  </si>
  <si>
    <t>https://stackoverflow.com/questions/37732735/nvprof-option-for-bandwidth</t>
  </si>
  <si>
    <t>Counters nvprof</t>
  </si>
  <si>
    <t>Counters explained</t>
  </si>
  <si>
    <t>https://stackoverflow.com/questions/36756640/what-exactly-are-the-transaction-metrics-reported-by-nvprof</t>
  </si>
  <si>
    <t>Kepler GPU cacheline</t>
  </si>
  <si>
    <t>https://stackoverflow.com/questions/33432821/does-anyone-knows-about-details-of-l2-cache-structure-of-nvidia-kepler-gpusmapp</t>
  </si>
  <si>
    <t>32B L2 cache line</t>
  </si>
  <si>
    <t>Cache line of Xeon processor</t>
  </si>
  <si>
    <t>https://stackoverflow.com/questions/39182060/why-isnt-there-a-data-bus-which-is-as-wide-as-the-cache-line-size</t>
  </si>
  <si>
    <t>64B after L3</t>
  </si>
  <si>
    <t>https://software.intel.com/en-us/forums/intel-threading-building-blocks/topic/296674</t>
  </si>
  <si>
    <t>Papi cache miss</t>
  </si>
  <si>
    <t>https://sites.utexas.edu/jdm4372/2013/07/14/notes-on-the-mystery-of-hardware-cache-performance-counters/</t>
  </si>
  <si>
    <t>Papi cache miss counters are not representative for DRAM access</t>
  </si>
  <si>
    <t>https://groups.google.com/a/icl.utk.edu/forum/?utm_medium=email&amp;utm_source=footer#!searchin/ptools-perfapi/cache%7Csort:date/ptools-perfapi/7BFT-jwZe0s/whX9Mg7ECQAJ</t>
  </si>
  <si>
    <t>need to look at uncore event (memory controller) to get memory access data. L3 counters are not representative for memory access.</t>
  </si>
  <si>
    <t>Intel cache related documents</t>
  </si>
  <si>
    <t>https://software.intel.com/content/www/us/en/develop/download/intel-64-and-ia-32-architectures-sdm-combined-volumes-3a-3b-3c-and-3d-system-programming-guide.html</t>
  </si>
  <si>
    <t>Vol. 3A 11-7</t>
  </si>
  <si>
    <t>disabling hardware prefetch intel</t>
  </si>
  <si>
    <t>https://github.com/deater/uarch-configure/blob/master/intel-prefetch/intel-prefetch-disable.c</t>
  </si>
  <si>
    <t>hardware prefetcher intel doc</t>
  </si>
  <si>
    <t>https://software.intel.com/content/www/us/en/develop/articles/disclosure-of-hw-prefetcher-control-on-some-intel-processors.html</t>
  </si>
  <si>
    <t>0011100112156</t>
  </si>
  <si>
    <t>Md abdus subhan mollah</t>
  </si>
  <si>
    <t>of Uttara bank limited</t>
  </si>
  <si>
    <t>https://www.ncbi.nlm.nih.gov/pmc/articles/PMC7295341/</t>
  </si>
  <si>
    <t>XSBench</t>
  </si>
  <si>
    <r>
      <rPr/>
      <t xml:space="preserve">is used by </t>
    </r>
    <r>
      <rPr>
        <color rgb="FF1155CC"/>
        <u/>
      </rPr>
      <t>https://ieeexplore.ieee.org/abstract/document/8514369</t>
    </r>
  </si>
  <si>
    <t>Survey paper:</t>
  </si>
  <si>
    <t>Survey on Improving HPC Runtimes using Performance Models</t>
  </si>
  <si>
    <t>1. Runtimes</t>
  </si>
  <si>
    <t>1.1 heterogeneous runtimes</t>
  </si>
  <si>
    <t>OpenMP, OpenCL</t>
  </si>
  <si>
    <t>1.2 Task based runtimes</t>
  </si>
  <si>
    <t>HPX, Charm</t>
  </si>
  <si>
    <t>70-80</t>
  </si>
  <si>
    <t>1.3 Runtimes for accelerators</t>
  </si>
  <si>
    <t>CUDA</t>
  </si>
  <si>
    <t>2. Energy and performance improvement</t>
  </si>
  <si>
    <t>2.1. Energy consumption reduction strategies</t>
  </si>
  <si>
    <t>RAPL, Power cap, DVFS</t>
  </si>
  <si>
    <t>2.2. Dynamic adaptation</t>
  </si>
  <si>
    <t>Runtime improvements</t>
  </si>
  <si>
    <t>2.3. Performance improvement by algorithmic approaches</t>
  </si>
  <si>
    <t>Scheduling</t>
  </si>
  <si>
    <t>2.4. Approaches specific to heterogeneous systems</t>
  </si>
  <si>
    <t>Memory contention</t>
  </si>
  <si>
    <t>3. Performance models</t>
  </si>
  <si>
    <t>3.1 Different kind performance models for HPC</t>
  </si>
  <si>
    <t xml:space="preserve">Roofline, ASPEN, </t>
  </si>
  <si>
    <t>3.2 Hardware exploration for modeling</t>
  </si>
  <si>
    <t>Intel, AMD, IBM, NVIDIA</t>
  </si>
  <si>
    <t>Total 14-15 pages</t>
  </si>
  <si>
    <t>p3hpc</t>
  </si>
  <si>
    <t>keynote</t>
  </si>
  <si>
    <t>aassep</t>
  </si>
  <si>
    <t>AMD</t>
  </si>
  <si>
    <t>Tuning guide</t>
  </si>
  <si>
    <t>https://developer.amd.com/wordpress/media/2012/10/51803A_OpteronLinuxTuningGuide_SCREEN.pdf</t>
  </si>
  <si>
    <t>Meeting last week</t>
  </si>
  <si>
    <t>aspen pragra to specify.</t>
  </si>
  <si>
    <t>jacobi.c.......</t>
  </si>
  <si>
    <t>aspen model region</t>
  </si>
  <si>
    <t>test/</t>
  </si>
  <si>
    <t>cetus_output directory: jacobi.aspen</t>
  </si>
  <si>
    <t>ASPEN CHeck gen</t>
  </si>
  <si>
    <t>says which processor will perform better.</t>
  </si>
  <si>
    <t>---------------------------------------------------------</t>
  </si>
  <si>
    <t>laplace2d.c</t>
  </si>
  <si>
    <t>-------------------------------------------------------</t>
  </si>
  <si>
    <t>while count: line 99</t>
  </si>
  <si>
    <t>--------------------------------------------------------</t>
  </si>
  <si>
    <t>applicaiton model:</t>
  </si>
  <si>
    <t>Three common cases:</t>
  </si>
  <si>
    <t>while loop can not be done. from jacobi.</t>
  </si>
  <si>
    <t>maloc also can not : luluesh: 331 and 419</t>
  </si>
  <si>
    <t>if else statement. 517 of lulues</t>
  </si>
  <si>
    <t>Meeting May 07</t>
  </si>
  <si>
    <t>Questions for Seyong:</t>
  </si>
  <si>
    <t>1 to N</t>
  </si>
  <si>
    <t>1. What is the configuration file.</t>
  </si>
  <si>
    <t>a[i] = a[i] * b[i]</t>
  </si>
  <si>
    <t>2. how OpenArc is handling the malloc in the vec multiplicaiton</t>
  </si>
  <si>
    <t>3. how to get the stride.</t>
  </si>
  <si>
    <t>4. Where is the cacheline info in the machine model?</t>
  </si>
  <si>
    <t>5. What will happen for roofline like kernel access.</t>
  </si>
  <si>
    <t>6. How to deduce the traffic for openacc program</t>
  </si>
  <si>
    <t>Big test for memory read write.</t>
  </si>
  <si>
    <t>163 big test</t>
  </si>
  <si>
    <t>#ifdef Finegrained_RSC_Print</t>
  </si>
  <si>
    <t>ExprPtr flops_integer(k-&gt;GetResourceRequirementExpression(app,"flops_integer"));</t>
  </si>
  <si>
    <t>#endif</t>
  </si>
  <si>
    <t>flops_simd sequential</t>
  </si>
  <si>
    <t>I can change the kernel granularity</t>
  </si>
  <si>
    <t>loads_random for irregular access.</t>
  </si>
  <si>
    <t>Meeting May 20</t>
  </si>
  <si>
    <t>1. why there are series of values in the memory prediction tools?</t>
  </si>
  <si>
    <t>2. How to add values in the model for streaming access</t>
  </si>
  <si>
    <t>3. why these small snipets of code</t>
  </si>
  <si>
    <t>4. what does aspen tag in the code means</t>
  </si>
  <si>
    <t>Expression*</t>
  </si>
  <si>
    <t>ASTExecutionBlock::GetTimeExpression(ASTAppModel *app,</t>
  </si>
  <si>
    <t>ASTMachModel *mach,</t>
  </si>
  <si>
    <t>string sockettype) const</t>
  </si>
  <si>
    <t xml:space="preserve">ASTExecutionBlock.cpp" 443L, 15549C written </t>
  </si>
  <si>
    <t>Meeting 29</t>
  </si>
  <si>
    <t>1. about the runtime file: what is visit. and what are these params</t>
  </si>
  <si>
    <t>2. what are these constraint?</t>
  </si>
  <si>
    <t>Meeting june 24</t>
  </si>
  <si>
    <t>1. ask about stride</t>
  </si>
  <si>
    <t>2. One is the iteration what is the another.</t>
  </si>
  <si>
    <t xml:space="preserve">Idea: </t>
  </si>
  <si>
    <r>
      <rPr>
        <rFont val="Arial"/>
        <b/>
        <color theme="1"/>
      </rPr>
      <t>Idea 1:</t>
    </r>
    <r>
      <rPr>
        <rFont val="Arial"/>
        <color theme="1"/>
      </rPr>
      <t xml:space="preserve"> We can use the extra memory access pattern from Tuyere paper and build analytical model like the SC14 paper.</t>
    </r>
  </si>
  <si>
    <r>
      <rPr>
        <rFont val="Arial"/>
        <b/>
        <color theme="1"/>
      </rPr>
      <t>Idea 2:</t>
    </r>
    <r>
      <rPr>
        <rFont val="Arial"/>
        <color theme="1"/>
      </rPr>
      <t xml:space="preserve"> In figure 3. the ASPEN compiler needs to go. this will be a new COMPASS flow. Can we start with a very simple stram example. Where we will use the analytical model from this sc14 paper. but we will not use aspen rather use compass. With static analysis, we will determine the necessary parameter and we will manually define the cache line (for now) then implement it so that, it can predict the memory traffic. </t>
    </r>
  </si>
  <si>
    <t>For example: we can take stream benchmark and in compile time (using COMPASS) we can generate the data required predicting memory traffic only for stream access (sequential and stride explained in IIIA)</t>
  </si>
  <si>
    <t>Once we can implement this one, we can slowly build towards the other access pattern.</t>
  </si>
  <si>
    <t>Some questions and concerns</t>
  </si>
  <si>
    <t>Tuyere: Enabling Scalable Memory Workloads for System Exploration</t>
  </si>
  <si>
    <t>Integrating roofline</t>
  </si>
  <si>
    <t>1. cache system simulator.</t>
  </si>
  <si>
    <t>2. how compass and runtime analysis come together?</t>
  </si>
  <si>
    <t>3. Should I use the application suite to get a better understanding?</t>
  </si>
  <si>
    <t>4. Why do we need to remove aspen?</t>
  </si>
  <si>
    <t>5. Which processing units? why it is not relevent and not reported in the paper?</t>
  </si>
  <si>
    <t>6. how memory patterns are identified?</t>
  </si>
  <si>
    <t>Quantitatively Modeling Application Resilience with the Data Vulnerability Factor</t>
  </si>
  <si>
    <t>1. is LRU is commonly used by CPU and GPU?? need to find out.</t>
  </si>
  <si>
    <t>2. Cache simulator is interesting.</t>
  </si>
  <si>
    <t>3. How multiple level cache are managed and used? Got it.</t>
  </si>
  <si>
    <t>4. We could use the access pattern definition from Tuyere paper</t>
  </si>
  <si>
    <t>5. Where was these experiments performed? CPU and GPU will have different effect?</t>
  </si>
  <si>
    <t>6. in equation 3 why there is (e-1) ???</t>
  </si>
  <si>
    <t xml:space="preserve">7. Understood eq. 1, 2, 4, </t>
  </si>
  <si>
    <t>deadline video 9th, camera ready 18th</t>
  </si>
  <si>
    <t>1. not submit the video tomorrow.</t>
  </si>
  <si>
    <t>2. Dr. vetter left?</t>
  </si>
  <si>
    <t>For 100K vecmul on K80</t>
  </si>
  <si>
    <t>Invocations                               Metric Name                        Metric Description         Min         Max         Avg</t>
  </si>
  <si>
    <t>Cache trashing</t>
  </si>
  <si>
    <t>Device "Tesla K80 (0)"</t>
  </si>
  <si>
    <t>Kernel: vecAdd(double*, double*, double*, int)</t>
  </si>
  <si>
    <t>dram_read_transactions</t>
  </si>
  <si>
    <t>Device Memory Read</t>
  </si>
  <si>
    <t>Transactions</t>
  </si>
  <si>
    <t>dram_write_transactions</t>
  </si>
  <si>
    <t>Device Memory Write</t>
  </si>
  <si>
    <t>total transaction</t>
  </si>
  <si>
    <t>IMC0</t>
  </si>
  <si>
    <t>load</t>
  </si>
  <si>
    <t>misses</t>
  </si>
  <si>
    <t>IMC1</t>
  </si>
  <si>
    <t>IMC4</t>
  </si>
  <si>
    <t>IMC5</t>
  </si>
  <si>
    <t>store</t>
  </si>
  <si>
    <t>For Serial Code</t>
  </si>
  <si>
    <t>--------------------------------------------------------------------------</t>
  </si>
  <si>
    <t>All available PAPI counters for L3</t>
  </si>
  <si>
    <t>Counter</t>
  </si>
  <si>
    <t>Code</t>
  </si>
  <si>
    <t>Available</t>
  </si>
  <si>
    <t>Description</t>
  </si>
  <si>
    <t>Trial1</t>
  </si>
  <si>
    <t>Trial2</t>
  </si>
  <si>
    <t>Trial3</t>
  </si>
  <si>
    <t>Trial4</t>
  </si>
  <si>
    <t>Trial5</t>
  </si>
  <si>
    <t>Average</t>
  </si>
  <si>
    <t>Std deviation</t>
  </si>
  <si>
    <t>percentage</t>
  </si>
  <si>
    <t>PAPI_L3_DCA</t>
  </si>
  <si>
    <t>0x80000042</t>
  </si>
  <si>
    <t>Yes</t>
  </si>
  <si>
    <t>data cache accesses</t>
  </si>
  <si>
    <t>PAPI_L3_DCR</t>
  </si>
  <si>
    <t>0x80000045</t>
  </si>
  <si>
    <t>data cache reads</t>
  </si>
  <si>
    <t>PAPI_L3_DCW</t>
  </si>
  <si>
    <t>0x80000048</t>
  </si>
  <si>
    <t>data cache writes</t>
  </si>
  <si>
    <t>PAPI_L3_ICA</t>
  </si>
  <si>
    <t>0x8000004e</t>
  </si>
  <si>
    <t>instruction cache accesses</t>
  </si>
  <si>
    <t>PAPI_L3_ICR</t>
  </si>
  <si>
    <t>0x80000051</t>
  </si>
  <si>
    <t>instruction cache reads</t>
  </si>
  <si>
    <t>PAPI_L3_LDM</t>
  </si>
  <si>
    <t>0x8000000e</t>
  </si>
  <si>
    <t>load misses</t>
  </si>
  <si>
    <t>PAPI_L3_TCA</t>
  </si>
  <si>
    <t>0x8000005a</t>
  </si>
  <si>
    <t>total cache accesses</t>
  </si>
  <si>
    <t>PAPI_L3_TCM</t>
  </si>
  <si>
    <t>0x80000008</t>
  </si>
  <si>
    <t>cache misses</t>
  </si>
  <si>
    <t>PAPI_L3_TCR</t>
  </si>
  <si>
    <t>0x8000005d</t>
  </si>
  <si>
    <t>total cache reads</t>
  </si>
  <si>
    <t>PAPI_L3_TCW</t>
  </si>
  <si>
    <t>0x80000060</t>
  </si>
  <si>
    <t>total cache writes</t>
  </si>
  <si>
    <t>Probably because cache size 15 MB</t>
  </si>
  <si>
    <t>74048B</t>
  </si>
  <si>
    <t>from PAPI</t>
  </si>
  <si>
    <t>For Openmp Code</t>
  </si>
  <si>
    <t>69184B</t>
  </si>
  <si>
    <t>For Cuda Code</t>
  </si>
  <si>
    <t>From Leconte</t>
  </si>
  <si>
    <t>Invocations                               Metric Name                          Metric Description         Min         Max         Avg</t>
  </si>
  <si>
    <t>Device "Tesla V100-SXM2-16GB (0)"</t>
  </si>
  <si>
    <t>Kernel: vecMul(float*, float*, float*, int)</t>
  </si>
  <si>
    <t>dram_read_bytes</t>
  </si>
  <si>
    <t>Total bytes read</t>
  </si>
  <si>
    <t>from</t>
  </si>
  <si>
    <t>DRAM to L2 cache</t>
  </si>
  <si>
    <t>dram_write_bytes</t>
  </si>
  <si>
    <t>Total bytes written</t>
  </si>
  <si>
    <t>L2 cache to DRAM</t>
  </si>
  <si>
    <t>For size</t>
  </si>
  <si>
    <t>64bytes</t>
  </si>
  <si>
    <t>Total</t>
  </si>
  <si>
    <t>bytes</t>
  </si>
  <si>
    <t>in Oswald01</t>
  </si>
  <si>
    <t>for 50 m</t>
  </si>
  <si>
    <t>trial1</t>
  </si>
  <si>
    <t>for 50000000</t>
  </si>
  <si>
    <t>LDM</t>
  </si>
  <si>
    <t>Intel Uncore to count llc to dram</t>
  </si>
  <si>
    <t>bdx_unc_imc0::UNC_M_CAS_COUNT:RD</t>
  </si>
  <si>
    <t>data read channel 0</t>
  </si>
  <si>
    <t>bdx_unc_imc1::UNC_M_CAS_COUNT:RD</t>
  </si>
  <si>
    <t>data read channel 1</t>
  </si>
  <si>
    <t>bdx_unc_imc4::UNC_M_CAS_COUNT:RD</t>
  </si>
  <si>
    <t>data read channel 4</t>
  </si>
  <si>
    <t>bdx_unc_imc5::UNC_M_CAS_COUNT:RD</t>
  </si>
  <si>
    <t>data read channel 5</t>
  </si>
  <si>
    <t>bdx_unc_imc0::UNC_M_CAS_COUNT:WR</t>
  </si>
  <si>
    <t>data write channel 0</t>
  </si>
  <si>
    <t>bdx_unc_imc1::UNC_M_CAS_COUNT:WR</t>
  </si>
  <si>
    <t>data write channel 1</t>
  </si>
  <si>
    <t>bdx_unc_imc4::UNC_M_CAS_COUNT:WR</t>
  </si>
  <si>
    <t>data write channel 4</t>
  </si>
  <si>
    <t>bdx_unc_imc5::UNC_M_CAS_COUNT:WR</t>
  </si>
  <si>
    <t>data write channel 5</t>
  </si>
  <si>
    <t>From mode:</t>
  </si>
  <si>
    <t>Stride 8</t>
  </si>
  <si>
    <t>32 byte</t>
  </si>
  <si>
    <t>Stride 20</t>
  </si>
  <si>
    <t>80byte</t>
  </si>
  <si>
    <t>Stride 40</t>
  </si>
  <si>
    <t>160byte</t>
  </si>
  <si>
    <t>Stride 60</t>
  </si>
  <si>
    <t>240byte</t>
  </si>
  <si>
    <t>Stride 100</t>
  </si>
  <si>
    <t>400byte</t>
  </si>
  <si>
    <t>Stride 200</t>
  </si>
  <si>
    <t>800byte</t>
  </si>
  <si>
    <t>stride 1</t>
  </si>
  <si>
    <t>200 stride</t>
  </si>
  <si>
    <t>read</t>
  </si>
  <si>
    <t>write</t>
  </si>
  <si>
    <t>Stride</t>
  </si>
  <si>
    <t>Read Count</t>
  </si>
  <si>
    <t>Write Count</t>
  </si>
  <si>
    <t>Actual</t>
  </si>
  <si>
    <t>ASPEN tool</t>
  </si>
  <si>
    <t>CPU counters</t>
  </si>
  <si>
    <t>GPU Counters</t>
  </si>
  <si>
    <t>100M - stride-5k</t>
  </si>
  <si>
    <t>IMC0 load misses 20</t>
  </si>
  <si>
    <t>IMC0 load misses 438</t>
  </si>
  <si>
    <t>IMC0 load misses 1554</t>
  </si>
  <si>
    <t>IMC0 load misses 13257</t>
  </si>
  <si>
    <t>IMC1 load misses 24</t>
  </si>
  <si>
    <t>IMC1 load misses 499</t>
  </si>
  <si>
    <t>IMC1 load misses 1309</t>
  </si>
  <si>
    <t>IMC1 load misses 11926</t>
  </si>
  <si>
    <t>IMC4 load misses 11</t>
  </si>
  <si>
    <t>IMC4 load misses 434</t>
  </si>
  <si>
    <t>IMC4 load misses 1524</t>
  </si>
  <si>
    <t>IMC4 load misses 13100</t>
  </si>
  <si>
    <t>IMC5 load misses 22</t>
  </si>
  <si>
    <t>IMC5 load misses 504</t>
  </si>
  <si>
    <t>IMC5 load misses 1340</t>
  </si>
  <si>
    <t>IMC5 load misses 12081</t>
  </si>
  <si>
    <t>IMC0 store misses 41</t>
  </si>
  <si>
    <t>IMC0 store misses 8213</t>
  </si>
  <si>
    <t>IMC0 store misses 24746</t>
  </si>
  <si>
    <t>IMC0 store misses 161892</t>
  </si>
  <si>
    <t>IMC1 store misses 30</t>
  </si>
  <si>
    <t>IMC1 store misses 8204</t>
  </si>
  <si>
    <t>IMC1 store misses 24943</t>
  </si>
  <si>
    <t>IMC1 store misses 160597</t>
  </si>
  <si>
    <t>IMC4 store misses 27</t>
  </si>
  <si>
    <t>IMC4 store misses 8127</t>
  </si>
  <si>
    <t>IMC4 store misses 25021</t>
  </si>
  <si>
    <t>IMC4 store misses 161899</t>
  </si>
  <si>
    <t>IMC5 store misses 28</t>
  </si>
  <si>
    <t>IMC5 store misses 8158</t>
  </si>
  <si>
    <t>IMC5 store misses 24701</t>
  </si>
  <si>
    <t>IMC5 store misses 160763</t>
  </si>
  <si>
    <t>10M - stride 500</t>
  </si>
  <si>
    <t>1M - stride 50</t>
  </si>
  <si>
    <t>data access</t>
  </si>
  <si>
    <t>IMC0 load misses 322196</t>
  </si>
  <si>
    <t>IMC0 load misses 219010</t>
  </si>
  <si>
    <t>IMC0 load misses 212678</t>
  </si>
  <si>
    <t>IMC1 load misses 216101</t>
  </si>
  <si>
    <t>IMC1 load misses 137519</t>
  </si>
  <si>
    <t>IMC1 load misses 130069</t>
  </si>
  <si>
    <t>IMC4 load misses 243145</t>
  </si>
  <si>
    <t>IMC4 load misses 144187</t>
  </si>
  <si>
    <t>IMC4 load misses 146564</t>
  </si>
  <si>
    <t>IMC5 load misses 192695</t>
  </si>
  <si>
    <t>IMC5 load misses 118596</t>
  </si>
  <si>
    <t>IMC5 load misses 133118</t>
  </si>
  <si>
    <t>IMC0 store misses 1783919</t>
  </si>
  <si>
    <t>IMC0 store misses 347942</t>
  </si>
  <si>
    <t>IMC0 store misses 212831</t>
  </si>
  <si>
    <t>IMC1 store misses 1682350</t>
  </si>
  <si>
    <t>IMC1 store misses 270798</t>
  </si>
  <si>
    <t>IMC1 store misses 135308</t>
  </si>
  <si>
    <t>IMC4 store misses 1709604</t>
  </si>
  <si>
    <t>IMC4 store misses 277113</t>
  </si>
  <si>
    <t>IMC4 store misses 151381</t>
  </si>
  <si>
    <t>IMC5 store misses 1664589</t>
  </si>
  <si>
    <t>IMC5 store misses 256586</t>
  </si>
  <si>
    <t>IMC5 store misses 140531</t>
  </si>
  <si>
    <t>with variying flops</t>
  </si>
  <si>
    <t>With random</t>
  </si>
  <si>
    <t>Without anything else</t>
  </si>
  <si>
    <t>1. hardware prefetching</t>
  </si>
  <si>
    <t>2. multple of cacheline</t>
  </si>
  <si>
    <t>IMC0 load misses 331645</t>
  </si>
  <si>
    <t>IMC0 load misses 322862</t>
  </si>
  <si>
    <t>IMC0 load misses 318473</t>
  </si>
  <si>
    <t>3. What type of caches</t>
  </si>
  <si>
    <t>IMC1 load misses 194775</t>
  </si>
  <si>
    <t>IMC1 load misses 185410</t>
  </si>
  <si>
    <t>IMC1 load misses 182395</t>
  </si>
  <si>
    <t>4. memory aligned. (mem aligned) for the data structure</t>
  </si>
  <si>
    <t>IMC4 load misses 224146</t>
  </si>
  <si>
    <t>IMC4 load misses 237454</t>
  </si>
  <si>
    <t>IMC4 load misses 229576</t>
  </si>
  <si>
    <t>IMC5 load misses 216414</t>
  </si>
  <si>
    <t>IMC5 load misses 208766</t>
  </si>
  <si>
    <t>IMC5 load misses 209232</t>
  </si>
  <si>
    <t>IMC0 store misses 1800753</t>
  </si>
  <si>
    <t>IMC0 store misses 1792475</t>
  </si>
  <si>
    <t>IMC0 store misses 1796142</t>
  </si>
  <si>
    <t>IMC1 store misses 1671638</t>
  </si>
  <si>
    <t>IMC1 store misses 1661317</t>
  </si>
  <si>
    <t>IMC1 store misses 1668691</t>
  </si>
  <si>
    <t>IMC4 store misses 1695263</t>
  </si>
  <si>
    <t>IMC4 store misses 1704479</t>
  </si>
  <si>
    <t>IMC4 store misses 1706093</t>
  </si>
  <si>
    <t>IMC5 store misses 1690608</t>
  </si>
  <si>
    <t>IMC5 store misses 1683809</t>
  </si>
  <si>
    <t>IMC5 store misses 1692885</t>
  </si>
  <si>
    <t>Read_prefetch</t>
  </si>
  <si>
    <t>Write_prefetch</t>
  </si>
  <si>
    <t>Read_no_prefetch</t>
  </si>
  <si>
    <t>Write_no_prefetch</t>
  </si>
  <si>
    <t>stride:1</t>
  </si>
  <si>
    <t>stride:16</t>
  </si>
  <si>
    <t>stride:32</t>
  </si>
  <si>
    <t>stride:64</t>
  </si>
  <si>
    <t>stride:128</t>
  </si>
  <si>
    <t>stride:256</t>
  </si>
  <si>
    <t>stride:512</t>
  </si>
  <si>
    <t>stride:1024</t>
  </si>
  <si>
    <t>Read_non-aligned</t>
  </si>
  <si>
    <t>Write_non-aligned</t>
  </si>
  <si>
    <t>Read_aligned</t>
  </si>
  <si>
    <t>Write_aligned</t>
  </si>
  <si>
    <t>IMC0 load misses 103500</t>
  </si>
  <si>
    <t>IMC1 load misses 91625</t>
  </si>
  <si>
    <t>IMC4 load misses 102796</t>
  </si>
  <si>
    <t>IMC5 load misses 92228</t>
  </si>
  <si>
    <t>IMC0 store misses 1584252</t>
  </si>
  <si>
    <t>IMC1 store misses 1573162</t>
  </si>
  <si>
    <t>IMC4 store misses 1584174</t>
  </si>
  <si>
    <t>IMC5 store misses 1573353</t>
  </si>
  <si>
    <t>100M</t>
  </si>
  <si>
    <t xml:space="preserve">Stride </t>
  </si>
  <si>
    <t>Read</t>
  </si>
  <si>
    <t>Write</t>
  </si>
  <si>
    <t>difference</t>
  </si>
  <si>
    <t>ratio with difference</t>
  </si>
  <si>
    <t>ratio with write</t>
  </si>
  <si>
    <t>stride:4096</t>
  </si>
  <si>
    <t>10M</t>
  </si>
  <si>
    <t>1M</t>
  </si>
  <si>
    <t>500M</t>
  </si>
  <si>
    <t>Broadwell</t>
  </si>
  <si>
    <t>oswald</t>
  </si>
  <si>
    <t>Data size</t>
  </si>
  <si>
    <t>Data access</t>
  </si>
  <si>
    <t>Read Ratio</t>
  </si>
  <si>
    <t>Write Ratio</t>
  </si>
  <si>
    <t>stride:</t>
  </si>
  <si>
    <t>Ideal</t>
  </si>
  <si>
    <t>1Mwrite</t>
  </si>
  <si>
    <t>5M_write</t>
  </si>
  <si>
    <t>10M_write</t>
  </si>
  <si>
    <t>50M_write</t>
  </si>
  <si>
    <t>100M_write</t>
  </si>
  <si>
    <t>500M_write</t>
  </si>
  <si>
    <t>stride:2</t>
  </si>
  <si>
    <t>stride:4</t>
  </si>
  <si>
    <t>stride:8</t>
  </si>
  <si>
    <t>stride:2048</t>
  </si>
  <si>
    <t>stride:8192</t>
  </si>
  <si>
    <t>skylake</t>
  </si>
  <si>
    <t>stride</t>
  </si>
  <si>
    <t>for 100M</t>
  </si>
  <si>
    <t>actual</t>
  </si>
  <si>
    <t>broadwell</t>
  </si>
  <si>
    <t>cascadelake</t>
  </si>
  <si>
    <t>total</t>
  </si>
  <si>
    <t>Disable</t>
  </si>
  <si>
    <t>----------------------Array size = 10000000 -------------------</t>
  </si>
  <si>
    <t>Enable</t>
  </si>
  <si>
    <t xml:space="preserve">Read </t>
  </si>
  <si>
    <t>versionec</t>
  </si>
  <si>
    <t>baily hill</t>
  </si>
  <si>
    <t xml:space="preserve">bank </t>
  </si>
  <si>
    <t>prefetech disable</t>
  </si>
  <si>
    <t xml:space="preserve">for 100M </t>
  </si>
  <si>
    <t>Read ratio</t>
  </si>
  <si>
    <t>Write ratio</t>
  </si>
  <si>
    <t>Went to Paper</t>
  </si>
  <si>
    <t>For 100M with initialization</t>
  </si>
  <si>
    <t>Access</t>
  </si>
  <si>
    <t>Predict R</t>
  </si>
  <si>
    <t>Accuracy</t>
  </si>
  <si>
    <t>Predict W</t>
  </si>
  <si>
    <t>prefetch disable</t>
  </si>
  <si>
    <t>----------------------Array size = 100000000 -------------------</t>
  </si>
  <si>
    <t>with 200000</t>
  </si>
  <si>
    <t>stride: 1 29349 33582</t>
  </si>
  <si>
    <t>1 element</t>
  </si>
  <si>
    <t>stride: 1 27181 34548</t>
  </si>
  <si>
    <t xml:space="preserve">read </t>
  </si>
  <si>
    <t>with 100000</t>
  </si>
  <si>
    <t>4KB</t>
  </si>
  <si>
    <t>stride: 1 15332 17908</t>
  </si>
  <si>
    <t>stride: 1 13624 15102</t>
  </si>
  <si>
    <t xml:space="preserve">Cut off threshold for page size </t>
  </si>
  <si>
    <t>Intialization trade-off</t>
  </si>
  <si>
    <t>Secondary... .add only if we have space</t>
  </si>
  <si>
    <t>Prediction</t>
  </si>
  <si>
    <t>access</t>
  </si>
  <si>
    <t>Predict-R</t>
  </si>
  <si>
    <t>accuracy</t>
  </si>
  <si>
    <t>Predict-W</t>
  </si>
  <si>
    <t>read = [12.5, 13.17, 13.21, 13.33]</t>
  </si>
  <si>
    <t>#time = [52.3626,71.0796,107.572,122.252 ]</t>
  </si>
  <si>
    <t>write = [6.25, 6.83, 6.64, 6.73]</t>
  </si>
  <si>
    <t>total = [18.75, 20.00, 19.86, 20.06]</t>
  </si>
  <si>
    <t>"===================================================================================================================================================================================================="</t>
  </si>
  <si>
    <t>with initialization prefetch disabled</t>
  </si>
  <si>
    <t>Predicted</t>
  </si>
  <si>
    <t>predict</t>
  </si>
  <si>
    <t>predit-r</t>
  </si>
  <si>
    <t>preditct-W</t>
  </si>
  <si>
    <t>Total predict</t>
  </si>
  <si>
    <t>Oswald</t>
  </si>
  <si>
    <t>quad00</t>
  </si>
  <si>
    <t>apache pass</t>
  </si>
  <si>
    <t>Error</t>
  </si>
  <si>
    <t>bwell</t>
  </si>
  <si>
    <t>slake</t>
  </si>
  <si>
    <t>clake</t>
  </si>
  <si>
    <t>50M</t>
  </si>
  <si>
    <t>5M</t>
  </si>
  <si>
    <t>pred</t>
  </si>
  <si>
    <t>with initialization prefetch enabled</t>
  </si>
  <si>
    <t>without initialization prefetch disabled</t>
  </si>
  <si>
    <t>Ratio</t>
  </si>
  <si>
    <t>without initialization prefetch enabled</t>
  </si>
  <si>
    <t>Intel to gcc comparison</t>
  </si>
  <si>
    <t>With initialization</t>
  </si>
  <si>
    <t>GCC</t>
  </si>
  <si>
    <t xml:space="preserve">Total time:        0.871625 </t>
  </si>
  <si>
    <t>Intel</t>
  </si>
  <si>
    <t xml:space="preserve">Total time:        0.144678 </t>
  </si>
  <si>
    <t>Without initialization</t>
  </si>
  <si>
    <t>time:</t>
  </si>
  <si>
    <t/>
  </si>
  <si>
    <t>List of Benchmarks</t>
  </si>
  <si>
    <t>Name</t>
  </si>
  <si>
    <t>pattern</t>
  </si>
  <si>
    <t>Source</t>
  </si>
  <si>
    <t>Jacobi</t>
  </si>
  <si>
    <t>Stencil</t>
  </si>
  <si>
    <t>From Compass</t>
  </si>
  <si>
    <t>Stream triad</t>
  </si>
  <si>
    <t>streaming</t>
  </si>
  <si>
    <t>Stream benchmark</t>
  </si>
  <si>
    <t>laplace2D</t>
  </si>
  <si>
    <t>stencil</t>
  </si>
  <si>
    <t>Matrixmult</t>
  </si>
  <si>
    <t>Streaming + strided</t>
  </si>
  <si>
    <t>Vecmul</t>
  </si>
  <si>
    <t>Strided with three zone</t>
  </si>
  <si>
    <t>inhouse developped</t>
  </si>
  <si>
    <t>Barnes-Hut simulation (NB)</t>
  </si>
  <si>
    <t>Random</t>
  </si>
  <si>
    <t>. https://github.com/ danesh-d/cg/blob/master</t>
  </si>
  <si>
    <t>Monte Carlo simulation (MC)</t>
  </si>
  <si>
    <t>https://github.com/ANL-CESAR/XSBench/tree/master/openmp-threading</t>
  </si>
  <si>
    <t>Can look at NAS parallel benchmark</t>
  </si>
  <si>
    <t>Are all these fortran</t>
  </si>
  <si>
    <t>Can I send an email to Ivy peng</t>
  </si>
  <si>
    <t>Execution time comparison</t>
  </si>
  <si>
    <t>Execution time comparison after excluding time for flop operations</t>
  </si>
  <si>
    <t>Execution time flops</t>
  </si>
  <si>
    <t>pref-disable</t>
  </si>
  <si>
    <t>pref-enable</t>
  </si>
  <si>
    <t>Read + write</t>
  </si>
  <si>
    <t>flop</t>
  </si>
  <si>
    <t>Read-pref</t>
  </si>
  <si>
    <t>Write-pref</t>
  </si>
  <si>
    <t>Read-no-pref</t>
  </si>
  <si>
    <t>Write-no-pref</t>
  </si>
  <si>
    <t xml:space="preserve">sequential </t>
  </si>
  <si>
    <t>1 iterations</t>
  </si>
  <si>
    <t>prefetching off</t>
  </si>
  <si>
    <t>prefetching on</t>
  </si>
  <si>
    <t>15 iterations</t>
  </si>
  <si>
    <t xml:space="preserve">                a_CPU[i][j] = (b_CPU[i - 1][j] + b_CPU[i + 1][j] + b_CPU[i][j - 1] + b_CPU[i][j + 1]) / 4.0f;</t>
  </si>
  <si>
    <t>Openmp</t>
  </si>
  <si>
    <t>8 threads</t>
  </si>
  <si>
    <t>Laplace</t>
  </si>
  <si>
    <t>Size</t>
  </si>
  <si>
    <t>10 iterations</t>
  </si>
  <si>
    <t>Matmul</t>
  </si>
  <si>
    <t>cascade lake</t>
  </si>
  <si>
    <t>pref</t>
  </si>
  <si>
    <t>no</t>
  </si>
  <si>
    <t>Trying to open /dev/cpu/80/msr</t>
  </si>
  <si>
    <t>stride: 1 18991055 6457127</t>
  </si>
  <si>
    <t>stride: 2 18796659 6310615</t>
  </si>
  <si>
    <t>stride: 4 18777213 6292108</t>
  </si>
  <si>
    <t>stride: 8 18758845 6270694</t>
  </si>
  <si>
    <t>stride: 16 18771653 6285061</t>
  </si>
  <si>
    <t>stride: 32 9380075 3135377</t>
  </si>
  <si>
    <t>stride: 64 4691923 1569369</t>
  </si>
  <si>
    <t>stride: 128 2344434 784944</t>
  </si>
  <si>
    <t>stride: 256 1171968 392344</t>
  </si>
  <si>
    <t>stride: 512 585360 196796</t>
  </si>
  <si>
    <t>stride: 1024 292143 98694</t>
  </si>
  <si>
    <t>stride: 2048 147041 50431</t>
  </si>
  <si>
    <t>stride: 4096 73729 25653</t>
  </si>
  <si>
    <t>stride: 8192 37453 14579</t>
  </si>
  <si>
    <t>stride: 1 18759022 6261357</t>
  </si>
  <si>
    <t>stride: 2 18763016 6265761</t>
  </si>
  <si>
    <t>stride: 4 18760198 6265724</t>
  </si>
  <si>
    <t>stride: 8 18755502 6268714</t>
  </si>
  <si>
    <t>stride: 16 18756750 6269745</t>
  </si>
  <si>
    <t>stride: 32 9378303 3131223</t>
  </si>
  <si>
    <t>stride: 64 4691297 1566338</t>
  </si>
  <si>
    <t>stride: 128 2345794 784803</t>
  </si>
  <si>
    <t>stride: 256 1175489 393227</t>
  </si>
  <si>
    <t>stride: 512 588305 196404</t>
  </si>
  <si>
    <t>stride: 1024 294708 98336</t>
  </si>
  <si>
    <t>stride: 2048 147808 50550</t>
  </si>
  <si>
    <t>stride: 4096 73974 25180</t>
  </si>
  <si>
    <t>stride: 8192 37546 12595</t>
  </si>
  <si>
    <t>-----------------------------------------Intel gcc comparison</t>
  </si>
  <si>
    <t>Intel without initialization</t>
  </si>
  <si>
    <t>pref on</t>
  </si>
  <si>
    <t>gcc</t>
  </si>
  <si>
    <t>Intel with initialization</t>
  </si>
  <si>
    <t>--------------------------------comparison done</t>
  </si>
  <si>
    <t>Comparison with open mp</t>
  </si>
  <si>
    <t>Gcc</t>
  </si>
  <si>
    <t>Stream</t>
  </si>
  <si>
    <t>broad</t>
  </si>
  <si>
    <t>no pref</t>
  </si>
  <si>
    <t>sk</t>
  </si>
  <si>
    <t>MapInt</t>
  </si>
  <si>
    <t>double</t>
  </si>
  <si>
    <t>ck</t>
  </si>
  <si>
    <t xml:space="preserve">write </t>
  </si>
  <si>
    <t>Mapint</t>
  </si>
  <si>
    <t>literature</t>
  </si>
  <si>
    <t>not done</t>
  </si>
  <si>
    <t>Laplace2D</t>
  </si>
  <si>
    <t>stride 50</t>
  </si>
  <si>
    <t>stride 200</t>
  </si>
  <si>
    <t>grid:</t>
  </si>
  <si>
    <t>XSbench</t>
  </si>
  <si>
    <t>cache</t>
  </si>
  <si>
    <t>bw</t>
  </si>
  <si>
    <t>sl</t>
  </si>
  <si>
    <t>cl</t>
  </si>
  <si>
    <t>Matrix multiplication</t>
  </si>
  <si>
    <t>-----------------------------------------------------------------------------------openmp-------------------------------------------------------------------------------------------------------</t>
  </si>
  <si>
    <t>export OMP_PLACES='{2},{3},{4},{5},{6},{7},{8},{9}'</t>
  </si>
  <si>
    <t>non init</t>
  </si>
  <si>
    <t>Ja</t>
  </si>
  <si>
    <t>-----------------------------------------------------------------------------------Intel-------------------------------------------------------------------------------------------------------</t>
  </si>
  <si>
    <t>ICC</t>
  </si>
  <si>
    <t>-------------OMP comparison</t>
  </si>
  <si>
    <t>Vecmul-50</t>
  </si>
  <si>
    <t>Vecmul-200</t>
  </si>
  <si>
    <t>BW</t>
  </si>
  <si>
    <t>gcc-pref</t>
  </si>
  <si>
    <t>omp</t>
  </si>
  <si>
    <t>omp-pref</t>
  </si>
  <si>
    <t>-------------compiler comparison</t>
  </si>
  <si>
    <t>intel</t>
  </si>
  <si>
    <t>intel-pref</t>
  </si>
  <si>
    <t>Cooper Lake Motivation graph</t>
  </si>
  <si>
    <t>mapmc</t>
  </si>
  <si>
    <t>No pref</t>
  </si>
  <si>
    <t>Pref</t>
  </si>
  <si>
    <t>cp</t>
  </si>
  <si>
    <t>10% drop for sk, ck, cp</t>
  </si>
  <si>
    <t>Mapint-no pref</t>
  </si>
  <si>
    <t>Mapint-pref BW</t>
  </si>
  <si>
    <t>Mapint-pref SK,CS,CL</t>
  </si>
  <si>
    <t>Small data size</t>
  </si>
  <si>
    <t>Big data size</t>
  </si>
  <si>
    <t>sk1</t>
  </si>
  <si>
    <t>A</t>
  </si>
  <si>
    <t>CL</t>
  </si>
  <si>
    <t>LLC</t>
  </si>
  <si>
    <t>LLC/CL</t>
  </si>
  <si>
    <t>Experiments done in cooper lake</t>
  </si>
  <si>
    <t>Different data sizes</t>
  </si>
  <si>
    <t>No prefetch</t>
  </si>
  <si>
    <t>Prefetch enabled</t>
  </si>
  <si>
    <t>MAPredict data</t>
  </si>
  <si>
    <t>App name</t>
  </si>
  <si>
    <t>no Prefetch</t>
  </si>
  <si>
    <t>Prefetch</t>
  </si>
  <si>
    <t>Vecmul_50_50</t>
  </si>
  <si>
    <t>Triad_50</t>
  </si>
  <si>
    <t>Vecmul_50_100</t>
  </si>
  <si>
    <t>Triad_100</t>
  </si>
  <si>
    <t>Vecmul_50_200</t>
  </si>
  <si>
    <t>Triad_150</t>
  </si>
  <si>
    <t>Vecmul_200_50</t>
  </si>
  <si>
    <t>jacobi_4096</t>
  </si>
  <si>
    <t>Vecmul_200_100</t>
  </si>
  <si>
    <t>jacobi_8192</t>
  </si>
  <si>
    <t>Vecmul_200_200</t>
  </si>
  <si>
    <t>jacobi_16384</t>
  </si>
  <si>
    <t>laplace_4096</t>
  </si>
  <si>
    <t>laplace_8000</t>
  </si>
  <si>
    <t>laplace_10000</t>
  </si>
  <si>
    <t>xsbench_small</t>
  </si>
  <si>
    <t>xsbench_big</t>
  </si>
  <si>
    <t>Vecmul_R7_50</t>
  </si>
  <si>
    <t>Vecmul_R7_100</t>
  </si>
  <si>
    <t>Vecmul_R7_200</t>
  </si>
  <si>
    <t>Vecmul_R8_50</t>
  </si>
  <si>
    <t>lulesh_250</t>
  </si>
  <si>
    <t>Vecmul_R8_100</t>
  </si>
  <si>
    <t>lulesh_300</t>
  </si>
  <si>
    <t>Vecmul_R8_200</t>
  </si>
  <si>
    <t>lulesh_400</t>
  </si>
  <si>
    <t>laplace_2048</t>
  </si>
  <si>
    <t>DAta</t>
  </si>
  <si>
    <t>Lulesh</t>
  </si>
  <si>
    <t>-------------Same microarchitecture but different cache sizes</t>
  </si>
  <si>
    <t>Triad</t>
  </si>
  <si>
    <t>Triad_pref</t>
  </si>
  <si>
    <t>Jacobi_pref</t>
  </si>
  <si>
    <t>Laplace_pref</t>
  </si>
  <si>
    <t>XSBench_pref</t>
  </si>
  <si>
    <t>Vecmul-50_pref</t>
  </si>
  <si>
    <t>Vecmul-200_pref</t>
  </si>
  <si>
    <t>Lulesh_pref</t>
  </si>
  <si>
    <t>pegasus</t>
  </si>
  <si>
    <t>-------------Numa OMP comparison</t>
  </si>
  <si>
    <t>This is non numa</t>
  </si>
  <si>
    <t>This is numa</t>
  </si>
  <si>
    <t>quad00-pref</t>
  </si>
  <si>
    <t>pegasus-pref</t>
  </si>
  <si>
    <t>Small data set</t>
  </si>
  <si>
    <t>SK</t>
  </si>
  <si>
    <t>CS</t>
  </si>
  <si>
    <t>CP</t>
  </si>
  <si>
    <t>SK1</t>
  </si>
  <si>
    <t>Readings</t>
  </si>
  <si>
    <t>Read no prefetch</t>
  </si>
  <si>
    <t>Read prefetch</t>
  </si>
  <si>
    <t>Sk</t>
  </si>
  <si>
    <t>Big data set</t>
  </si>
  <si>
    <t>Correction Ratio</t>
  </si>
  <si>
    <t>Big</t>
  </si>
  <si>
    <t>Corrected</t>
  </si>
  <si>
    <t>Correction ratio</t>
  </si>
  <si>
    <t>Crrected</t>
  </si>
  <si>
    <t>SL</t>
  </si>
  <si>
    <t>Processor Generation</t>
  </si>
  <si>
    <t>Count</t>
  </si>
  <si>
    <t>System Share (%)</t>
  </si>
  <si>
    <t>Rmax (GFlops)</t>
  </si>
  <si>
    <t>Rpeak (GFlops)</t>
  </si>
  <si>
    <t>Cores</t>
  </si>
  <si>
    <t>Manufacturer</t>
  </si>
  <si>
    <t>Xeon Gold</t>
  </si>
  <si>
    <t>Intel Xeon E5 (Broadwell)</t>
  </si>
  <si>
    <t>Xeon Gold 62xx (Cascade Lake)</t>
  </si>
  <si>
    <t>Xeon Platinum</t>
  </si>
  <si>
    <t>Intel Xeon E5 (Haswell)</t>
  </si>
  <si>
    <t>Xeon Platinum 82xx (Cascade Lake)</t>
  </si>
  <si>
    <t>AMD Rome</t>
  </si>
  <si>
    <t>Intel Xeon Phi</t>
  </si>
  <si>
    <t>IBM POWER9</t>
  </si>
  <si>
    <t>IBM</t>
  </si>
  <si>
    <t>Intel Xeon E5 (IvyBridge)</t>
  </si>
  <si>
    <t>Xeon Silver</t>
  </si>
  <si>
    <t>Xeon Platinum 92xx (Cascade Lake)</t>
  </si>
  <si>
    <t>Intel Xeon E5 (SandyBridge)</t>
  </si>
  <si>
    <t>Fujitsu A64FX</t>
  </si>
  <si>
    <t>ARM</t>
  </si>
  <si>
    <t>Vector Engine</t>
  </si>
  <si>
    <t>Others</t>
  </si>
  <si>
    <t>Intel Xeon E7 (Haswell-Ex)</t>
  </si>
  <si>
    <t>AMD Naples</t>
  </si>
  <si>
    <t>Marvell ThunderX2</t>
  </si>
  <si>
    <t>SPARC64 XIfx</t>
  </si>
  <si>
    <t>POWER7</t>
  </si>
  <si>
    <t>Power BQC</t>
  </si>
  <si>
    <t>Hygon Dhyana</t>
  </si>
  <si>
    <t>Xeon 5600-series (Westmere-EP)</t>
  </si>
  <si>
    <t>Sunway</t>
  </si>
  <si>
    <t>SUM of System Share (%)</t>
  </si>
  <si>
    <t>SUM of Count</t>
  </si>
  <si>
    <t>Grand Total</t>
  </si>
  <si>
    <t>Sl</t>
  </si>
  <si>
    <t>Accelerator/CP Family</t>
  </si>
  <si>
    <t>NVIDIA Volta</t>
  </si>
  <si>
    <t>NVIDIA</t>
  </si>
  <si>
    <t>NVIDIA Pascal</t>
  </si>
  <si>
    <t>NVIDIA Kepler</t>
  </si>
  <si>
    <t>NVIDIA Ampere</t>
  </si>
  <si>
    <t>Matrix-2000</t>
  </si>
  <si>
    <t>China</t>
  </si>
  <si>
    <t>MN-Core</t>
  </si>
  <si>
    <t>TSMC</t>
  </si>
  <si>
    <t>AMD Vega</t>
  </si>
  <si>
    <t>NVIDIA Fermi</t>
  </si>
  <si>
    <t>Hybrid</t>
  </si>
  <si>
    <t>others</t>
  </si>
  <si>
    <t xml:space="preserve">Total </t>
  </si>
  <si>
    <t>The functions of lagrange</t>
  </si>
  <si>
    <t>dependency</t>
  </si>
  <si>
    <t>script created</t>
  </si>
  <si>
    <t>CalcForceForNodes(domain);</t>
  </si>
  <si>
    <t>lots</t>
  </si>
  <si>
    <t>Detail is below</t>
  </si>
  <si>
    <t>CalcAccelerationForNodes(domain, domain.numNode());</t>
  </si>
  <si>
    <t>stream</t>
  </si>
  <si>
    <t>uninitialized data structures</t>
  </si>
  <si>
    <t>2_seq_....</t>
  </si>
  <si>
    <t>ApplyAccelerationBoundaryConditionsForNodes(domain);</t>
  </si>
  <si>
    <t>mostly stream</t>
  </si>
  <si>
    <t>Initialized</t>
  </si>
  <si>
    <t>3_seq_....</t>
  </si>
  <si>
    <t>CalcVelocityForNodes( domain, delt, u_cut, domain.numNode()) ;</t>
  </si>
  <si>
    <t>4_seq_....</t>
  </si>
  <si>
    <t>CalcPositionForNodes( domain, delt, domain.numNode() );</t>
  </si>
  <si>
    <t>Initialized data structures.</t>
  </si>
  <si>
    <t>5_seq_....</t>
  </si>
  <si>
    <t>From experiments</t>
  </si>
  <si>
    <t>deduced size Size</t>
  </si>
  <si>
    <t>Manual calculations</t>
  </si>
  <si>
    <t>input</t>
  </si>
  <si>
    <t>Data sizes</t>
  </si>
  <si>
    <t>Cacheline</t>
  </si>
  <si>
    <t>total read and write</t>
  </si>
  <si>
    <t>Own initialization</t>
  </si>
  <si>
    <t>stride: 1 10382521 9945692</t>
  </si>
  <si>
    <t>CalcVolumeForceForElems</t>
  </si>
  <si>
    <t>three dependency given below</t>
  </si>
  <si>
    <t>-----&gt;&gt;&gt;</t>
  </si>
  <si>
    <t>InitStressTermsForElems</t>
  </si>
  <si>
    <t>no dep</t>
  </si>
  <si>
    <t>IntegrateStressForElems</t>
  </si>
  <si>
    <t>some deps</t>
  </si>
  <si>
    <t>CalcHourglassControlForElems</t>
  </si>
  <si>
    <t>CalcFBHourglassForceForElems</t>
  </si>
  <si>
    <t>Randomness</t>
  </si>
  <si>
    <t>Type</t>
  </si>
  <si>
    <t>algorithmic randomness</t>
  </si>
  <si>
    <t>depends on algorithm such as BFS or any search</t>
  </si>
  <si>
    <t>Cache thrashing</t>
  </si>
  <si>
    <t>access is normal but cache excludes some previous access. depends on cache size</t>
  </si>
  <si>
    <t>Data structure access randomness</t>
  </si>
  <si>
    <t>One array is access based on the value of other array's value. in lulesh. not entirely depnds on cache. but depends both on cache and value of the array</t>
  </si>
  <si>
    <t>Result of 4 functions</t>
  </si>
  <si>
    <t>Mapmc</t>
  </si>
  <si>
    <t>OpenMP</t>
  </si>
  <si>
    <t>icc</t>
  </si>
  <si>
    <t>numa 8 threads</t>
  </si>
  <si>
    <t>numa 16 threads</t>
  </si>
  <si>
    <t>stride = ['1'</t>
  </si>
  <si>
    <t>2'</t>
  </si>
  <si>
    <t>4'</t>
  </si>
  <si>
    <t>8'</t>
  </si>
  <si>
    <t>16'</t>
  </si>
  <si>
    <t>32'</t>
  </si>
  <si>
    <t>64'</t>
  </si>
  <si>
    <t>128'</t>
  </si>
  <si>
    <t>256'</t>
  </si>
  <si>
    <t>512'</t>
  </si>
  <si>
    <t>1024'</t>
  </si>
  <si>
    <t>2048'</t>
  </si>
  <si>
    <t>4096'</t>
  </si>
  <si>
    <t>8192']</t>
  </si>
  <si>
    <t>read=[19083795</t>
  </si>
  <si>
    <t>37848]</t>
  </si>
  <si>
    <t>read1=[18861923</t>
  </si>
  <si>
    <t>37868]</t>
  </si>
  <si>
    <t>readc=[18706394</t>
  </si>
  <si>
    <t>37785]</t>
  </si>
  <si>
    <t>reads=[18765642</t>
  </si>
  <si>
    <t>37756]</t>
  </si>
  <si>
    <t>2 thread</t>
  </si>
  <si>
    <t>Non prefetch</t>
  </si>
  <si>
    <t>Read_OMP_pref</t>
  </si>
  <si>
    <t>Write_OMP_pref</t>
  </si>
  <si>
    <t>Read_Numa_pref</t>
  </si>
  <si>
    <t>Write_Numa_pref</t>
  </si>
  <si>
    <t>stride: 1</t>
  </si>
  <si>
    <t>stride: 2</t>
  </si>
  <si>
    <t>stride: 4</t>
  </si>
  <si>
    <t>stride: 8</t>
  </si>
  <si>
    <t>stride: 16</t>
  </si>
  <si>
    <t>stride: 32</t>
  </si>
  <si>
    <t>stride: 64</t>
  </si>
  <si>
    <t>stride: 128</t>
  </si>
  <si>
    <t>stride: 256</t>
  </si>
  <si>
    <t>stride: 512</t>
  </si>
  <si>
    <t>stride: 1024</t>
  </si>
  <si>
    <t>stride: 2048</t>
  </si>
  <si>
    <t>stride: 4096</t>
  </si>
  <si>
    <t>stride: 8192</t>
  </si>
  <si>
    <t>prefetch</t>
  </si>
  <si>
    <t>Read_OMP_nopref</t>
  </si>
  <si>
    <t>Write_OMP_nopref</t>
  </si>
  <si>
    <t>Read_Numa_nopref</t>
  </si>
  <si>
    <t>Write_Numa_nopref</t>
  </si>
  <si>
    <t>4 thread</t>
  </si>
  <si>
    <t>8 thread</t>
  </si>
  <si>
    <t>16 thread</t>
  </si>
  <si>
    <t>Non Initialized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</si>
</sst>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24">
    <font>
      <sz val="10.0"/>
      <color rgb="FF000000"/>
      <name val="Arial"/>
    </font>
    <font>
      <b/>
      <color rgb="FF000000"/>
      <name val="Arial"/>
    </font>
    <font>
      <b/>
      <color theme="1"/>
      <name val="Arial"/>
    </font>
    <font>
      <color theme="1"/>
      <name val="Arial"/>
    </font>
    <font/>
    <font>
      <color rgb="FF000000"/>
      <name val="Arial"/>
    </font>
    <font>
      <u/>
      <color rgb="FF0000FF"/>
    </font>
    <font>
      <color rgb="FF333333"/>
      <name val="Arial"/>
    </font>
    <font>
      <u/>
      <color rgb="FF0000FF"/>
    </font>
    <font>
      <u/>
      <sz val="11.0"/>
      <color rgb="FF0000FF"/>
      <name val="Arial"/>
    </font>
    <font>
      <sz val="14.0"/>
      <color rgb="FF757575"/>
      <name val="Arial"/>
    </font>
    <font>
      <u/>
      <color rgb="FF1155CC"/>
    </font>
    <font>
      <sz val="11.0"/>
      <color rgb="FF333333"/>
      <name val="Sans-serif"/>
    </font>
    <font>
      <u/>
      <color rgb="FF0000FF"/>
    </font>
    <font>
      <b/>
      <sz val="14.0"/>
      <color theme="1"/>
      <name val="Arial"/>
    </font>
    <font>
      <b/>
      <sz val="18.0"/>
      <color rgb="FFFF0000"/>
      <name val="Arial"/>
    </font>
    <font>
      <b/>
      <color rgb="FFFF0000"/>
      <name val="Arial"/>
    </font>
    <font>
      <color rgb="FF000000"/>
      <name val="Roboto"/>
    </font>
    <font>
      <sz val="11.0"/>
      <color rgb="FF008000"/>
      <name val="Inconsolata"/>
    </font>
    <font>
      <sz val="11.0"/>
      <color rgb="FF1155CC"/>
      <name val="Inconsolata"/>
    </font>
    <font>
      <b/>
      <sz val="12.0"/>
      <color rgb="FF222222"/>
      <name val="Roboto"/>
    </font>
    <font>
      <color rgb="FF666666"/>
      <name val="Arial"/>
    </font>
    <font>
      <b/>
      <color rgb="FF3D3C3F"/>
      <name val="Arial"/>
    </font>
    <font>
      <color rgb="FF3D3C3F"/>
      <name val="Arial"/>
    </font>
  </fonts>
  <fills count="9">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A4C2F4"/>
        <bgColor rgb="FFA4C2F4"/>
      </patternFill>
    </fill>
    <fill>
      <patternFill patternType="solid">
        <fgColor rgb="FFCFE2F3"/>
        <bgColor rgb="FFCFE2F3"/>
      </patternFill>
    </fill>
    <fill>
      <patternFill patternType="solid">
        <fgColor rgb="FFE6B8AF"/>
        <bgColor rgb="FFE6B8AF"/>
      </patternFill>
    </fill>
    <fill>
      <patternFill patternType="solid">
        <fgColor rgb="FFB6D7A8"/>
        <bgColor rgb="FFB6D7A8"/>
      </patternFill>
    </fill>
    <fill>
      <patternFill patternType="solid">
        <fgColor rgb="FFFFE599"/>
        <bgColor rgb="FFFFE59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border>
    <border>
      <left style="thin">
        <color rgb="FFEEEEEE"/>
      </left>
      <right style="thin">
        <color rgb="FFEEEEEE"/>
      </right>
      <top style="thin">
        <color rgb="FFEEEEEE"/>
      </top>
      <bottom style="thin">
        <color rgb="FFEEEEEE"/>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1" fillId="2" fontId="1" numFmtId="0" xfId="0" applyAlignment="1" applyBorder="1" applyFill="1" applyFont="1">
      <alignment horizontal="center" readingOrder="0"/>
    </xf>
    <xf borderId="2" fillId="0" fontId="4" numFmtId="0" xfId="0" applyBorder="1" applyFont="1"/>
    <xf borderId="3" fillId="0" fontId="4" numFmtId="0" xfId="0" applyBorder="1" applyFont="1"/>
    <xf borderId="4" fillId="2" fontId="2" numFmtId="0" xfId="0" applyAlignment="1" applyBorder="1" applyFont="1">
      <alignment readingOrder="0"/>
    </xf>
    <xf borderId="0" fillId="0" fontId="5" numFmtId="0" xfId="0" applyAlignment="1" applyFont="1">
      <alignment readingOrder="0" shrinkToFit="0" wrapText="1"/>
    </xf>
    <xf borderId="0" fillId="0" fontId="3" numFmtId="0" xfId="0" applyAlignment="1" applyFont="1">
      <alignment readingOrder="0" shrinkToFit="0" wrapText="1"/>
    </xf>
    <xf borderId="0" fillId="0" fontId="6" numFmtId="0" xfId="0" applyAlignment="1" applyFont="1">
      <alignment readingOrder="0" shrinkToFit="0" wrapText="0"/>
    </xf>
    <xf borderId="0" fillId="3" fontId="5" numFmtId="0" xfId="0" applyAlignment="1" applyFill="1" applyFont="1">
      <alignment horizontal="left" readingOrder="0" shrinkToFit="0" wrapText="1"/>
    </xf>
    <xf borderId="0" fillId="0" fontId="2" numFmtId="0" xfId="0" applyAlignment="1" applyFont="1">
      <alignment readingOrder="0" shrinkToFit="0" wrapText="1"/>
    </xf>
    <xf borderId="0" fillId="3" fontId="7" numFmtId="0" xfId="0" applyAlignment="1" applyFont="1">
      <alignment readingOrder="0"/>
    </xf>
    <xf borderId="0" fillId="0" fontId="8" numFmtId="0" xfId="0" applyAlignment="1" applyFont="1">
      <alignment readingOrder="0"/>
    </xf>
    <xf borderId="0" fillId="0" fontId="3" numFmtId="0" xfId="0" applyAlignment="1" applyFont="1">
      <alignment readingOrder="0" shrinkToFit="0" vertical="center" wrapText="1"/>
    </xf>
    <xf borderId="0" fillId="0" fontId="1" numFmtId="0" xfId="0" applyAlignment="1" applyFont="1">
      <alignment readingOrder="0"/>
    </xf>
    <xf borderId="0" fillId="3" fontId="9" numFmtId="0" xfId="0" applyAlignment="1" applyFont="1">
      <alignment readingOrder="0"/>
    </xf>
    <xf borderId="0" fillId="3" fontId="10" numFmtId="0" xfId="0" applyFont="1"/>
    <xf borderId="0" fillId="0" fontId="3" numFmtId="0" xfId="0" applyAlignment="1" applyFont="1">
      <alignment shrinkToFit="0" wrapText="0"/>
    </xf>
    <xf borderId="0" fillId="0" fontId="11" numFmtId="0" xfId="0" applyAlignment="1" applyFont="1">
      <alignment readingOrder="0"/>
    </xf>
    <xf borderId="0" fillId="0" fontId="3" numFmtId="0" xfId="0" applyAlignment="1" applyFont="1">
      <alignment shrinkToFit="0" wrapText="1"/>
    </xf>
    <xf borderId="0" fillId="0" fontId="3" numFmtId="0" xfId="0" applyAlignment="1" applyFont="1">
      <alignment readingOrder="0"/>
    </xf>
    <xf borderId="0" fillId="0" fontId="3" numFmtId="49" xfId="0" applyAlignment="1" applyFont="1" applyNumberFormat="1">
      <alignment readingOrder="0"/>
    </xf>
    <xf borderId="0" fillId="0" fontId="2" numFmtId="0" xfId="0" applyFont="1"/>
    <xf borderId="0" fillId="3" fontId="12"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0" fillId="3" fontId="5" numFmtId="0" xfId="0" applyAlignment="1" applyFont="1">
      <alignment horizontal="left" readingOrder="0"/>
    </xf>
    <xf borderId="0" fillId="3" fontId="1" numFmtId="0" xfId="0" applyAlignment="1" applyFont="1">
      <alignment horizontal="left" readingOrder="0"/>
    </xf>
    <xf borderId="0" fillId="0" fontId="3" numFmtId="0" xfId="0" applyFont="1"/>
    <xf borderId="0" fillId="0" fontId="3" numFmtId="4" xfId="0" applyFont="1" applyNumberFormat="1"/>
    <xf borderId="0" fillId="0" fontId="15" numFmtId="0" xfId="0" applyAlignment="1" applyFont="1">
      <alignment readingOrder="0"/>
    </xf>
    <xf borderId="4" fillId="2" fontId="2" numFmtId="0" xfId="0" applyAlignment="1" applyBorder="1" applyFont="1">
      <alignment horizontal="center" readingOrder="0"/>
    </xf>
    <xf borderId="4" fillId="2" fontId="2" numFmtId="0" xfId="0" applyAlignment="1" applyBorder="1" applyFont="1">
      <alignment horizontal="left" readingOrder="0"/>
    </xf>
    <xf borderId="4" fillId="0" fontId="3" numFmtId="0" xfId="0" applyAlignment="1" applyBorder="1" applyFont="1">
      <alignment horizontal="center" readingOrder="0"/>
    </xf>
    <xf borderId="4" fillId="0" fontId="3" numFmtId="0" xfId="0" applyAlignment="1" applyBorder="1" applyFont="1">
      <alignment horizontal="left" readingOrder="0"/>
    </xf>
    <xf borderId="4" fillId="0" fontId="3" numFmtId="0" xfId="0" applyAlignment="1" applyBorder="1" applyFont="1">
      <alignment readingOrder="0"/>
    </xf>
    <xf borderId="0" fillId="0" fontId="3" numFmtId="164" xfId="0" applyFont="1" applyNumberFormat="1"/>
    <xf borderId="4" fillId="0" fontId="3" numFmtId="0" xfId="0" applyBorder="1" applyFont="1"/>
    <xf borderId="4" fillId="0" fontId="3" numFmtId="164" xfId="0" applyBorder="1" applyFont="1" applyNumberFormat="1"/>
    <xf borderId="4" fillId="4" fontId="3" numFmtId="0" xfId="0" applyAlignment="1" applyBorder="1" applyFill="1" applyFont="1">
      <alignment horizontal="center" readingOrder="0"/>
    </xf>
    <xf borderId="4" fillId="4" fontId="3" numFmtId="0" xfId="0" applyAlignment="1" applyBorder="1" applyFont="1">
      <alignment horizontal="left" readingOrder="0"/>
    </xf>
    <xf borderId="4" fillId="4" fontId="3" numFmtId="0" xfId="0" applyAlignment="1" applyBorder="1" applyFont="1">
      <alignment readingOrder="0"/>
    </xf>
    <xf borderId="4" fillId="4" fontId="2" numFmtId="0" xfId="0" applyBorder="1" applyFont="1"/>
    <xf borderId="4" fillId="4" fontId="3" numFmtId="164" xfId="0" applyBorder="1" applyFont="1" applyNumberFormat="1"/>
    <xf borderId="0" fillId="0" fontId="16" numFmtId="0" xfId="0" applyAlignment="1" applyFont="1">
      <alignment readingOrder="0"/>
    </xf>
    <xf borderId="0" fillId="0" fontId="16" numFmtId="0" xfId="0" applyAlignment="1" applyFont="1">
      <alignment horizontal="right" readingOrder="0"/>
    </xf>
    <xf borderId="4" fillId="0" fontId="3" numFmtId="4" xfId="0" applyAlignment="1" applyBorder="1" applyFont="1" applyNumberFormat="1">
      <alignment readingOrder="0"/>
    </xf>
    <xf borderId="4" fillId="0" fontId="3" numFmtId="4" xfId="0" applyBorder="1" applyFont="1" applyNumberFormat="1"/>
    <xf borderId="4" fillId="2" fontId="3" numFmtId="0" xfId="0" applyAlignment="1" applyBorder="1" applyFont="1">
      <alignment horizontal="center" readingOrder="0"/>
    </xf>
    <xf borderId="4" fillId="2" fontId="3" numFmtId="0" xfId="0" applyAlignment="1" applyBorder="1" applyFont="1">
      <alignment horizontal="left" readingOrder="0"/>
    </xf>
    <xf borderId="4" fillId="0" fontId="2" numFmtId="4" xfId="0" applyBorder="1" applyFont="1" applyNumberFormat="1"/>
    <xf borderId="4" fillId="0" fontId="2" numFmtId="164" xfId="0" applyBorder="1" applyFont="1" applyNumberFormat="1"/>
    <xf borderId="4" fillId="4" fontId="2" numFmtId="4" xfId="0" applyBorder="1" applyFont="1" applyNumberFormat="1"/>
    <xf borderId="0" fillId="0" fontId="3" numFmtId="4" xfId="0" applyAlignment="1" applyFont="1" applyNumberFormat="1">
      <alignment readingOrder="0"/>
    </xf>
    <xf borderId="0" fillId="0" fontId="2" numFmtId="4" xfId="0" applyAlignment="1" applyFont="1" applyNumberFormat="1">
      <alignment readingOrder="0"/>
    </xf>
    <xf borderId="4" fillId="0" fontId="3" numFmtId="0" xfId="0" applyAlignment="1" applyBorder="1" applyFont="1">
      <alignment horizontal="left" readingOrder="0" shrinkToFit="0" wrapText="0"/>
    </xf>
    <xf borderId="4" fillId="3" fontId="3" numFmtId="0" xfId="0" applyAlignment="1" applyBorder="1" applyFont="1">
      <alignment horizontal="left" readingOrder="0"/>
    </xf>
    <xf borderId="4" fillId="3" fontId="3" numFmtId="0" xfId="0" applyAlignment="1" applyBorder="1" applyFont="1">
      <alignment horizontal="center" readingOrder="0"/>
    </xf>
    <xf borderId="4" fillId="3" fontId="3" numFmtId="0" xfId="0" applyAlignment="1" applyBorder="1" applyFont="1">
      <alignment readingOrder="0"/>
    </xf>
    <xf borderId="4" fillId="3" fontId="3" numFmtId="0" xfId="0" applyBorder="1" applyFont="1"/>
    <xf borderId="4" fillId="3" fontId="3" numFmtId="164" xfId="0" applyBorder="1" applyFont="1" applyNumberFormat="1"/>
    <xf borderId="4" fillId="0" fontId="2" numFmtId="0" xfId="0" applyAlignment="1" applyBorder="1" applyFont="1">
      <alignment horizontal="center" readingOrder="0"/>
    </xf>
    <xf borderId="4" fillId="0" fontId="3" numFmtId="4" xfId="0" applyAlignment="1" applyBorder="1" applyFont="1" applyNumberFormat="1">
      <alignment horizontal="center"/>
    </xf>
    <xf borderId="0" fillId="0" fontId="3" numFmtId="1" xfId="0" applyFont="1" applyNumberFormat="1"/>
    <xf borderId="0" fillId="0" fontId="3" numFmtId="0" xfId="0" applyFont="1"/>
    <xf borderId="0" fillId="2" fontId="3" numFmtId="0" xfId="0" applyAlignment="1" applyFont="1">
      <alignment readingOrder="0"/>
    </xf>
    <xf borderId="0" fillId="5" fontId="3" numFmtId="0" xfId="0" applyAlignment="1" applyFill="1" applyFont="1">
      <alignment readingOrder="0"/>
    </xf>
    <xf borderId="0" fillId="2" fontId="3" numFmtId="0" xfId="0" applyFont="1"/>
    <xf borderId="0" fillId="5" fontId="3" numFmtId="0" xfId="0" applyFont="1"/>
    <xf borderId="0" fillId="3" fontId="17" numFmtId="0" xfId="0" applyAlignment="1" applyFont="1">
      <alignment readingOrder="0"/>
    </xf>
    <xf borderId="0" fillId="0" fontId="3" numFmtId="1" xfId="0" applyAlignment="1" applyFont="1" applyNumberFormat="1">
      <alignment readingOrder="0"/>
    </xf>
    <xf borderId="0" fillId="0" fontId="3" numFmtId="0" xfId="0" applyAlignment="1" applyFont="1">
      <alignment readingOrder="0"/>
    </xf>
    <xf borderId="0" fillId="6" fontId="3" numFmtId="0" xfId="0" applyFill="1" applyFont="1"/>
    <xf borderId="0" fillId="7" fontId="3" numFmtId="0" xfId="0" applyAlignment="1" applyFill="1" applyFont="1">
      <alignment readingOrder="0"/>
    </xf>
    <xf borderId="0" fillId="6" fontId="3" numFmtId="0" xfId="0" applyAlignment="1" applyFont="1">
      <alignment readingOrder="0"/>
    </xf>
    <xf borderId="0" fillId="0" fontId="3" numFmtId="2" xfId="0" applyFont="1" applyNumberFormat="1"/>
    <xf borderId="0" fillId="0" fontId="2" numFmtId="2" xfId="0" applyFont="1" applyNumberFormat="1"/>
    <xf borderId="0" fillId="0" fontId="3" numFmtId="0" xfId="0" applyAlignment="1" applyFont="1">
      <alignment horizontal="center" readingOrder="0"/>
    </xf>
    <xf borderId="0" fillId="0" fontId="3" numFmtId="165" xfId="0" applyFont="1" applyNumberFormat="1"/>
    <xf borderId="0" fillId="0" fontId="3" numFmtId="2" xfId="0" applyAlignment="1" applyFont="1" applyNumberFormat="1">
      <alignment readingOrder="0"/>
    </xf>
    <xf borderId="0" fillId="3" fontId="18" numFmtId="0" xfId="0" applyFont="1"/>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horizontal="right" readingOrder="0" vertical="bottom"/>
    </xf>
    <xf borderId="0" fillId="0" fontId="3" numFmtId="2" xfId="0" applyAlignment="1" applyFont="1" applyNumberFormat="1">
      <alignment horizontal="right" readingOrder="0" vertical="bottom"/>
    </xf>
    <xf borderId="0" fillId="0" fontId="3" numFmtId="2" xfId="0" applyAlignment="1" applyFont="1" applyNumberFormat="1">
      <alignment horizontal="right" vertical="bottom"/>
    </xf>
    <xf borderId="0" fillId="0" fontId="3" numFmtId="0" xfId="0" applyAlignment="1" applyFont="1">
      <alignment horizontal="right" vertical="bottom"/>
    </xf>
    <xf borderId="0" fillId="0" fontId="3" numFmtId="0" xfId="0" applyAlignment="1" applyFont="1">
      <alignment horizontal="right" vertical="bottom"/>
    </xf>
    <xf borderId="5" fillId="0" fontId="3" numFmtId="0" xfId="0" applyAlignment="1" applyBorder="1" applyFont="1">
      <alignment shrinkToFit="0" vertical="bottom" wrapText="0"/>
    </xf>
    <xf borderId="5" fillId="0" fontId="3" numFmtId="0" xfId="0" applyAlignment="1" applyBorder="1" applyFont="1">
      <alignment vertical="bottom"/>
    </xf>
    <xf borderId="5" fillId="3" fontId="18" numFmtId="0" xfId="0" applyAlignment="1" applyBorder="1" applyFont="1">
      <alignment shrinkToFit="0" vertical="bottom" wrapText="0"/>
    </xf>
    <xf borderId="0" fillId="0" fontId="3" numFmtId="0" xfId="0" applyAlignment="1" applyFont="1">
      <alignment horizontal="center"/>
    </xf>
    <xf borderId="1" fillId="0" fontId="3" numFmtId="0" xfId="0" applyAlignment="1" applyBorder="1" applyFont="1">
      <alignment horizontal="center" readingOrder="0"/>
    </xf>
    <xf borderId="0" fillId="8" fontId="3" numFmtId="0" xfId="0" applyAlignment="1" applyFill="1" applyFont="1">
      <alignment readingOrder="0"/>
    </xf>
    <xf borderId="0" fillId="3" fontId="19" numFmtId="0" xfId="0" applyFont="1"/>
    <xf borderId="0" fillId="0" fontId="3" numFmtId="3" xfId="0" applyAlignment="1" applyFont="1" applyNumberFormat="1">
      <alignment readingOrder="0"/>
    </xf>
    <xf borderId="0" fillId="3" fontId="20" numFmtId="0" xfId="0" applyAlignment="1" applyFont="1">
      <alignment horizontal="left" readingOrder="0"/>
    </xf>
    <xf borderId="0" fillId="0" fontId="4" numFmtId="0" xfId="0" applyAlignment="1" applyFont="1">
      <alignment readingOrder="0"/>
    </xf>
    <xf borderId="0" fillId="0" fontId="3" numFmtId="3" xfId="0" applyFont="1" applyNumberFormat="1"/>
    <xf borderId="6" fillId="0" fontId="2" numFmtId="0" xfId="0" applyAlignment="1" applyBorder="1" applyFont="1">
      <alignment readingOrder="0" shrinkToFit="0" vertical="bottom" wrapText="0"/>
    </xf>
    <xf borderId="6" fillId="0" fontId="21" numFmtId="0" xfId="0" applyAlignment="1" applyBorder="1" applyFont="1">
      <alignment horizontal="right" readingOrder="0" vertical="bottom"/>
    </xf>
    <xf borderId="6" fillId="0" fontId="3" numFmtId="0" xfId="0" applyAlignment="1" applyBorder="1" applyFont="1">
      <alignment readingOrder="0" vertical="bottom"/>
    </xf>
    <xf borderId="6" fillId="0" fontId="3" numFmtId="0" xfId="0" applyAlignment="1" applyBorder="1" applyFont="1">
      <alignment horizontal="right" readingOrder="0" shrinkToFit="0" vertical="bottom" wrapText="0"/>
    </xf>
    <xf borderId="6" fillId="0" fontId="3" numFmtId="3" xfId="0" applyAlignment="1" applyBorder="1" applyFont="1" applyNumberFormat="1">
      <alignment horizontal="right" readingOrder="0" shrinkToFit="0" vertical="bottom" wrapText="0"/>
    </xf>
    <xf borderId="6" fillId="0" fontId="22" numFmtId="0" xfId="0" applyAlignment="1" applyBorder="1" applyFont="1">
      <alignment readingOrder="0" shrinkToFit="0" vertical="bottom" wrapText="0"/>
    </xf>
    <xf borderId="6" fillId="0" fontId="23" numFmtId="0" xfId="0" applyAlignment="1" applyBorder="1" applyFont="1">
      <alignment horizontal="left" readingOrder="0" vertical="bottom"/>
    </xf>
    <xf borderId="6" fillId="0" fontId="23" numFmtId="0" xfId="0" applyAlignment="1" applyBorder="1" applyFont="1">
      <alignment horizontal="right" readingOrder="0" shrinkToFit="0" vertical="bottom" wrapText="0"/>
    </xf>
    <xf borderId="6" fillId="0" fontId="23" numFmtId="3" xfId="0" applyAlignment="1" applyBorder="1" applyFont="1" applyNumberFormat="1">
      <alignment horizontal="right" readingOrder="0" shrinkToFit="0" vertical="bottom" wrapText="0"/>
    </xf>
    <xf borderId="0" fillId="0" fontId="1" numFmtId="0" xfId="0" applyFont="1"/>
    <xf quotePrefix="1"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pivotCacheDefinition" Target="pivotCache/pivotCacheDefinition2.xml"/><Relationship Id="rId14"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757575"/>
                </a:solidFill>
                <a:latin typeface="+mn-lt"/>
              </a:defRPr>
            </a:pPr>
            <a:r>
              <a:rPr b="1" sz="2000">
                <a:solidFill>
                  <a:srgbClr val="757575"/>
                </a:solidFill>
                <a:latin typeface="+mn-lt"/>
              </a:rPr>
              <a:t>Intel Haswell: Strided access for Read and Write count : prefetch enable</a:t>
            </a:r>
          </a:p>
        </c:rich>
      </c:tx>
      <c:overlay val="0"/>
    </c:title>
    <c:plotArea>
      <c:layout/>
      <c:lineChart>
        <c:ser>
          <c:idx val="0"/>
          <c:order val="0"/>
          <c:tx>
            <c:strRef>
              <c:f>'Results MCHPC'!$C$278</c:f>
            </c:strRef>
          </c:tx>
          <c:spPr>
            <a:ln cmpd="sng">
              <a:solidFill>
                <a:srgbClr val="4285F4"/>
              </a:solidFill>
            </a:ln>
          </c:spPr>
          <c:marker>
            <c:symbol val="none"/>
          </c:marker>
          <c:cat>
            <c:strRef>
              <c:f>'Results MCHPC'!$B$279:$B$285</c:f>
            </c:strRef>
          </c:cat>
          <c:val>
            <c:numRef>
              <c:f>'Results MCHPC'!$C$279:$C$285</c:f>
              <c:numCache/>
            </c:numRef>
          </c:val>
          <c:smooth val="0"/>
        </c:ser>
        <c:ser>
          <c:idx val="1"/>
          <c:order val="1"/>
          <c:tx>
            <c:strRef>
              <c:f>'Results MCHPC'!$D$278</c:f>
            </c:strRef>
          </c:tx>
          <c:spPr>
            <a:ln cmpd="sng">
              <a:solidFill>
                <a:srgbClr val="EA4335"/>
              </a:solidFill>
            </a:ln>
          </c:spPr>
          <c:marker>
            <c:symbol val="none"/>
          </c:marker>
          <c:cat>
            <c:strRef>
              <c:f>'Results MCHPC'!$B$279:$B$285</c:f>
            </c:strRef>
          </c:cat>
          <c:val>
            <c:numRef>
              <c:f>'Results MCHPC'!$D$279:$D$285</c:f>
              <c:numCache/>
            </c:numRef>
          </c:val>
          <c:smooth val="0"/>
        </c:ser>
        <c:axId val="1004527295"/>
        <c:axId val="1212515146"/>
      </c:lineChart>
      <c:catAx>
        <c:axId val="1004527295"/>
        <c:scaling>
          <c:orientation val="minMax"/>
        </c:scaling>
        <c:delete val="0"/>
        <c:axPos val="b"/>
        <c:title>
          <c:tx>
            <c:rich>
              <a:bodyPr/>
              <a:lstStyle/>
              <a:p>
                <a:pPr lvl="0">
                  <a:defRPr b="1" sz="1600">
                    <a:solidFill>
                      <a:srgbClr val="000000"/>
                    </a:solidFill>
                    <a:latin typeface="+mn-lt"/>
                  </a:defRPr>
                </a:pPr>
                <a:r>
                  <a:rPr b="1" sz="1600">
                    <a:solidFill>
                      <a:srgbClr val="000000"/>
                    </a:solidFill>
                    <a:latin typeface="+mn-lt"/>
                  </a:rPr>
                  <a:t>Stride</a:t>
                </a:r>
              </a:p>
            </c:rich>
          </c:tx>
          <c:overlay val="0"/>
        </c:title>
        <c:numFmt formatCode="General" sourceLinked="1"/>
        <c:majorTickMark val="none"/>
        <c:minorTickMark val="none"/>
        <c:spPr/>
        <c:txPr>
          <a:bodyPr/>
          <a:lstStyle/>
          <a:p>
            <a:pPr lvl="0">
              <a:defRPr b="1" sz="1600">
                <a:solidFill>
                  <a:srgbClr val="000000"/>
                </a:solidFill>
                <a:latin typeface="+mn-lt"/>
              </a:defRPr>
            </a:pPr>
          </a:p>
        </c:txPr>
        <c:crossAx val="1212515146"/>
      </c:catAx>
      <c:valAx>
        <c:axId val="12125151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600">
                    <a:solidFill>
                      <a:srgbClr val="000000"/>
                    </a:solidFill>
                    <a:latin typeface="+mn-lt"/>
                  </a:defRPr>
                </a:pPr>
                <a:r>
                  <a:rPr b="1" sz="1600">
                    <a:solidFill>
                      <a:srgbClr val="000000"/>
                    </a:solidFill>
                    <a:latin typeface="+mn-lt"/>
                  </a:rPr>
                  <a:t>R/W count LLC to DRAM</a:t>
                </a:r>
              </a:p>
            </c:rich>
          </c:tx>
          <c:overlay val="0"/>
        </c:title>
        <c:numFmt formatCode="General" sourceLinked="0"/>
        <c:majorTickMark val="none"/>
        <c:minorTickMark val="none"/>
        <c:tickLblPos val="nextTo"/>
        <c:spPr>
          <a:ln/>
        </c:spPr>
        <c:txPr>
          <a:bodyPr/>
          <a:lstStyle/>
          <a:p>
            <a:pPr lvl="0">
              <a:defRPr b="0">
                <a:solidFill>
                  <a:srgbClr val="000000"/>
                </a:solidFill>
                <a:latin typeface="+mn-lt"/>
              </a:defRPr>
            </a:pPr>
          </a:p>
        </c:txPr>
        <c:crossAx val="1004527295"/>
      </c:valAx>
    </c:plotArea>
    <c:legend>
      <c:legendPos val="r"/>
      <c:overlay val="0"/>
      <c:txPr>
        <a:bodyPr/>
        <a:lstStyle/>
        <a:p>
          <a:pPr lvl="0">
            <a:defRPr b="1" sz="160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correlation between data access and stride</a:t>
            </a:r>
          </a:p>
        </c:rich>
      </c:tx>
      <c:overlay val="0"/>
    </c:title>
    <c:plotArea>
      <c:layout/>
      <c:barChart>
        <c:barDir val="col"/>
        <c:ser>
          <c:idx val="0"/>
          <c:order val="0"/>
          <c:tx>
            <c:strRef>
              <c:f>'Results MCHPC'!$D$520</c:f>
            </c:strRef>
          </c:tx>
          <c:spPr>
            <a:solidFill>
              <a:schemeClr val="accent1"/>
            </a:solidFill>
            <a:ln cmpd="sng">
              <a:solidFill>
                <a:srgbClr val="000000"/>
              </a:solidFill>
            </a:ln>
          </c:spPr>
          <c:cat>
            <c:strRef>
              <c:f>'Results MCHPC'!$E$519:$M$519</c:f>
            </c:strRef>
          </c:cat>
          <c:val>
            <c:numRef>
              <c:f>'Results MCHPC'!$E$520:$M$520</c:f>
              <c:numCache/>
            </c:numRef>
          </c:val>
        </c:ser>
        <c:ser>
          <c:idx val="1"/>
          <c:order val="1"/>
          <c:tx>
            <c:strRef>
              <c:f>'Results MCHPC'!$D$521</c:f>
            </c:strRef>
          </c:tx>
          <c:spPr>
            <a:solidFill>
              <a:schemeClr val="accent2"/>
            </a:solidFill>
            <a:ln cmpd="sng">
              <a:solidFill>
                <a:srgbClr val="000000"/>
              </a:solidFill>
            </a:ln>
          </c:spPr>
          <c:cat>
            <c:strRef>
              <c:f>'Results MCHPC'!$E$519:$M$519</c:f>
            </c:strRef>
          </c:cat>
          <c:val>
            <c:numRef>
              <c:f>'Results MCHPC'!$E$521:$M$521</c:f>
              <c:numCache/>
            </c:numRef>
          </c:val>
        </c:ser>
        <c:ser>
          <c:idx val="2"/>
          <c:order val="2"/>
          <c:tx>
            <c:strRef>
              <c:f>'Results MCHPC'!$D$522</c:f>
            </c:strRef>
          </c:tx>
          <c:spPr>
            <a:solidFill>
              <a:schemeClr val="accent3"/>
            </a:solidFill>
            <a:ln cmpd="sng">
              <a:solidFill>
                <a:srgbClr val="000000"/>
              </a:solidFill>
            </a:ln>
          </c:spPr>
          <c:cat>
            <c:strRef>
              <c:f>'Results MCHPC'!$E$519:$M$519</c:f>
            </c:strRef>
          </c:cat>
          <c:val>
            <c:numRef>
              <c:f>'Results MCHPC'!$E$522:$M$522</c:f>
              <c:numCache/>
            </c:numRef>
          </c:val>
        </c:ser>
        <c:axId val="416206580"/>
        <c:axId val="535516642"/>
      </c:barChart>
      <c:catAx>
        <c:axId val="4162065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35516642"/>
      </c:catAx>
      <c:valAx>
        <c:axId val="5355166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6206580"/>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Broadwell</a:t>
            </a:r>
          </a:p>
        </c:rich>
      </c:tx>
      <c:overlay val="0"/>
    </c:title>
    <c:plotArea>
      <c:layout/>
      <c:lineChart>
        <c:ser>
          <c:idx val="0"/>
          <c:order val="0"/>
          <c:tx>
            <c:strRef>
              <c:f>'Results MCHPC'!$K$557</c:f>
            </c:strRef>
          </c:tx>
          <c:spPr>
            <a:ln cmpd="sng">
              <a:solidFill>
                <a:srgbClr val="4285F4"/>
              </a:solidFill>
            </a:ln>
          </c:spPr>
          <c:marker>
            <c:symbol val="none"/>
          </c:marker>
          <c:cat>
            <c:strRef>
              <c:f>'Results MCHPC'!$J$558:$J$571</c:f>
            </c:strRef>
          </c:cat>
          <c:val>
            <c:numRef>
              <c:f>'Results MCHPC'!$K$558:$K$571</c:f>
              <c:numCache/>
            </c:numRef>
          </c:val>
          <c:smooth val="0"/>
        </c:ser>
        <c:ser>
          <c:idx val="1"/>
          <c:order val="1"/>
          <c:tx>
            <c:strRef>
              <c:f>'Results MCHPC'!$L$557</c:f>
            </c:strRef>
          </c:tx>
          <c:spPr>
            <a:ln cmpd="sng">
              <a:solidFill>
                <a:srgbClr val="EA4335"/>
              </a:solidFill>
            </a:ln>
          </c:spPr>
          <c:marker>
            <c:symbol val="none"/>
          </c:marker>
          <c:cat>
            <c:strRef>
              <c:f>'Results MCHPC'!$J$558:$J$571</c:f>
            </c:strRef>
          </c:cat>
          <c:val>
            <c:numRef>
              <c:f>'Results MCHPC'!$L$558:$L$571</c:f>
              <c:numCache/>
            </c:numRef>
          </c:val>
          <c:smooth val="0"/>
        </c:ser>
        <c:ser>
          <c:idx val="2"/>
          <c:order val="2"/>
          <c:tx>
            <c:strRef>
              <c:f>'Results MCHPC'!$M$557</c:f>
            </c:strRef>
          </c:tx>
          <c:spPr>
            <a:ln cmpd="sng">
              <a:solidFill>
                <a:srgbClr val="FBBC04"/>
              </a:solidFill>
            </a:ln>
          </c:spPr>
          <c:marker>
            <c:symbol val="none"/>
          </c:marker>
          <c:cat>
            <c:strRef>
              <c:f>'Results MCHPC'!$J$558:$J$571</c:f>
            </c:strRef>
          </c:cat>
          <c:val>
            <c:numRef>
              <c:f>'Results MCHPC'!$M$558:$M$571</c:f>
              <c:numCache/>
            </c:numRef>
          </c:val>
          <c:smooth val="0"/>
        </c:ser>
        <c:ser>
          <c:idx val="3"/>
          <c:order val="3"/>
          <c:tx>
            <c:strRef>
              <c:f>'Results MCHPC'!$N$557</c:f>
            </c:strRef>
          </c:tx>
          <c:spPr>
            <a:ln cmpd="sng">
              <a:solidFill>
                <a:srgbClr val="34A853"/>
              </a:solidFill>
            </a:ln>
          </c:spPr>
          <c:marker>
            <c:symbol val="none"/>
          </c:marker>
          <c:cat>
            <c:strRef>
              <c:f>'Results MCHPC'!$J$558:$J$571</c:f>
            </c:strRef>
          </c:cat>
          <c:val>
            <c:numRef>
              <c:f>'Results MCHPC'!$N$558:$N$571</c:f>
              <c:numCache/>
            </c:numRef>
          </c:val>
          <c:smooth val="0"/>
        </c:ser>
        <c:ser>
          <c:idx val="4"/>
          <c:order val="4"/>
          <c:tx>
            <c:strRef>
              <c:f>'Results MCHPC'!$O$557</c:f>
            </c:strRef>
          </c:tx>
          <c:spPr>
            <a:ln cmpd="sng">
              <a:solidFill>
                <a:srgbClr val="FF6D01"/>
              </a:solidFill>
            </a:ln>
          </c:spPr>
          <c:marker>
            <c:symbol val="none"/>
          </c:marker>
          <c:cat>
            <c:strRef>
              <c:f>'Results MCHPC'!$J$558:$J$571</c:f>
            </c:strRef>
          </c:cat>
          <c:val>
            <c:numRef>
              <c:f>'Results MCHPC'!$O$558:$O$571</c:f>
              <c:numCache/>
            </c:numRef>
          </c:val>
          <c:smooth val="0"/>
        </c:ser>
        <c:ser>
          <c:idx val="5"/>
          <c:order val="5"/>
          <c:tx>
            <c:strRef>
              <c:f>'Results MCHPC'!$P$557</c:f>
            </c:strRef>
          </c:tx>
          <c:spPr>
            <a:ln cmpd="sng">
              <a:solidFill>
                <a:srgbClr val="46BDC6"/>
              </a:solidFill>
            </a:ln>
          </c:spPr>
          <c:marker>
            <c:symbol val="none"/>
          </c:marker>
          <c:cat>
            <c:strRef>
              <c:f>'Results MCHPC'!$J$558:$J$571</c:f>
            </c:strRef>
          </c:cat>
          <c:val>
            <c:numRef>
              <c:f>'Results MCHPC'!$P$558:$P$571</c:f>
              <c:numCache/>
            </c:numRef>
          </c:val>
          <c:smooth val="0"/>
        </c:ser>
        <c:ser>
          <c:idx val="6"/>
          <c:order val="6"/>
          <c:tx>
            <c:strRef>
              <c:f>'Results MCHPC'!$Q$557</c:f>
            </c:strRef>
          </c:tx>
          <c:spPr>
            <a:ln cmpd="sng">
              <a:solidFill>
                <a:srgbClr val="7BAAF7"/>
              </a:solidFill>
            </a:ln>
          </c:spPr>
          <c:marker>
            <c:symbol val="none"/>
          </c:marker>
          <c:cat>
            <c:strRef>
              <c:f>'Results MCHPC'!$J$558:$J$571</c:f>
            </c:strRef>
          </c:cat>
          <c:val>
            <c:numRef>
              <c:f>'Results MCHPC'!$Q$558:$Q$571</c:f>
              <c:numCache/>
            </c:numRef>
          </c:val>
          <c:smooth val="0"/>
        </c:ser>
        <c:axId val="1693935467"/>
        <c:axId val="1927243221"/>
      </c:lineChart>
      <c:catAx>
        <c:axId val="16939354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1927243221"/>
      </c:catAx>
      <c:valAx>
        <c:axId val="19272432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93935467"/>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Skylake</a:t>
            </a:r>
          </a:p>
        </c:rich>
      </c:tx>
      <c:overlay val="0"/>
    </c:title>
    <c:plotArea>
      <c:layout/>
      <c:lineChart>
        <c:ser>
          <c:idx val="0"/>
          <c:order val="0"/>
          <c:tx>
            <c:strRef>
              <c:f>'Results MCHPC'!$K$654</c:f>
            </c:strRef>
          </c:tx>
          <c:spPr>
            <a:ln cmpd="sng">
              <a:solidFill>
                <a:srgbClr val="4285F4"/>
              </a:solidFill>
            </a:ln>
          </c:spPr>
          <c:marker>
            <c:symbol val="none"/>
          </c:marker>
          <c:cat>
            <c:strRef>
              <c:f>'Results MCHPC'!$J$655:$J$668</c:f>
            </c:strRef>
          </c:cat>
          <c:val>
            <c:numRef>
              <c:f>'Results MCHPC'!$K$655:$K$668</c:f>
              <c:numCache/>
            </c:numRef>
          </c:val>
          <c:smooth val="0"/>
        </c:ser>
        <c:ser>
          <c:idx val="1"/>
          <c:order val="1"/>
          <c:tx>
            <c:strRef>
              <c:f>'Results MCHPC'!$L$654</c:f>
            </c:strRef>
          </c:tx>
          <c:spPr>
            <a:ln cmpd="sng">
              <a:solidFill>
                <a:srgbClr val="EA4335"/>
              </a:solidFill>
            </a:ln>
          </c:spPr>
          <c:marker>
            <c:symbol val="none"/>
          </c:marker>
          <c:cat>
            <c:strRef>
              <c:f>'Results MCHPC'!$J$655:$J$668</c:f>
            </c:strRef>
          </c:cat>
          <c:val>
            <c:numRef>
              <c:f>'Results MCHPC'!$L$655:$L$668</c:f>
              <c:numCache/>
            </c:numRef>
          </c:val>
          <c:smooth val="0"/>
        </c:ser>
        <c:ser>
          <c:idx val="2"/>
          <c:order val="2"/>
          <c:tx>
            <c:strRef>
              <c:f>'Results MCHPC'!$M$654</c:f>
            </c:strRef>
          </c:tx>
          <c:spPr>
            <a:ln cmpd="sng">
              <a:solidFill>
                <a:srgbClr val="FBBC04"/>
              </a:solidFill>
            </a:ln>
          </c:spPr>
          <c:marker>
            <c:symbol val="none"/>
          </c:marker>
          <c:cat>
            <c:strRef>
              <c:f>'Results MCHPC'!$J$655:$J$668</c:f>
            </c:strRef>
          </c:cat>
          <c:val>
            <c:numRef>
              <c:f>'Results MCHPC'!$M$655:$M$668</c:f>
              <c:numCache/>
            </c:numRef>
          </c:val>
          <c:smooth val="0"/>
        </c:ser>
        <c:ser>
          <c:idx val="3"/>
          <c:order val="3"/>
          <c:tx>
            <c:strRef>
              <c:f>'Results MCHPC'!$N$654</c:f>
            </c:strRef>
          </c:tx>
          <c:spPr>
            <a:ln cmpd="sng">
              <a:solidFill>
                <a:srgbClr val="34A853"/>
              </a:solidFill>
            </a:ln>
          </c:spPr>
          <c:marker>
            <c:symbol val="none"/>
          </c:marker>
          <c:cat>
            <c:strRef>
              <c:f>'Results MCHPC'!$J$655:$J$668</c:f>
            </c:strRef>
          </c:cat>
          <c:val>
            <c:numRef>
              <c:f>'Results MCHPC'!$N$655:$N$668</c:f>
              <c:numCache/>
            </c:numRef>
          </c:val>
          <c:smooth val="0"/>
        </c:ser>
        <c:ser>
          <c:idx val="4"/>
          <c:order val="4"/>
          <c:tx>
            <c:strRef>
              <c:f>'Results MCHPC'!$O$654</c:f>
            </c:strRef>
          </c:tx>
          <c:spPr>
            <a:ln cmpd="sng">
              <a:solidFill>
                <a:srgbClr val="FF6D01"/>
              </a:solidFill>
            </a:ln>
          </c:spPr>
          <c:marker>
            <c:symbol val="none"/>
          </c:marker>
          <c:cat>
            <c:strRef>
              <c:f>'Results MCHPC'!$J$655:$J$668</c:f>
            </c:strRef>
          </c:cat>
          <c:val>
            <c:numRef>
              <c:f>'Results MCHPC'!$O$655:$O$668</c:f>
              <c:numCache/>
            </c:numRef>
          </c:val>
          <c:smooth val="0"/>
        </c:ser>
        <c:ser>
          <c:idx val="5"/>
          <c:order val="5"/>
          <c:tx>
            <c:strRef>
              <c:f>'Results MCHPC'!$P$654</c:f>
            </c:strRef>
          </c:tx>
          <c:spPr>
            <a:ln cmpd="sng">
              <a:solidFill>
                <a:srgbClr val="46BDC6"/>
              </a:solidFill>
            </a:ln>
          </c:spPr>
          <c:marker>
            <c:symbol val="none"/>
          </c:marker>
          <c:cat>
            <c:strRef>
              <c:f>'Results MCHPC'!$J$655:$J$668</c:f>
            </c:strRef>
          </c:cat>
          <c:val>
            <c:numRef>
              <c:f>'Results MCHPC'!$P$655:$P$668</c:f>
              <c:numCache/>
            </c:numRef>
          </c:val>
          <c:smooth val="0"/>
        </c:ser>
        <c:ser>
          <c:idx val="6"/>
          <c:order val="6"/>
          <c:tx>
            <c:strRef>
              <c:f>'Results MCHPC'!$Q$654</c:f>
            </c:strRef>
          </c:tx>
          <c:spPr>
            <a:ln cmpd="sng">
              <a:solidFill>
                <a:srgbClr val="7BAAF7"/>
              </a:solidFill>
            </a:ln>
          </c:spPr>
          <c:marker>
            <c:symbol val="none"/>
          </c:marker>
          <c:cat>
            <c:strRef>
              <c:f>'Results MCHPC'!$J$655:$J$668</c:f>
            </c:strRef>
          </c:cat>
          <c:val>
            <c:numRef>
              <c:f>'Results MCHPC'!$Q$655:$Q$668</c:f>
              <c:numCache/>
            </c:numRef>
          </c:val>
          <c:smooth val="0"/>
        </c:ser>
        <c:axId val="1688365558"/>
        <c:axId val="1360572566"/>
      </c:lineChart>
      <c:catAx>
        <c:axId val="16883655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1360572566"/>
      </c:catAx>
      <c:valAx>
        <c:axId val="13605725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8365558"/>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skylake</a:t>
            </a:r>
          </a:p>
        </c:rich>
      </c:tx>
      <c:overlay val="0"/>
    </c:title>
    <c:plotArea>
      <c:layout/>
      <c:lineChart>
        <c:ser>
          <c:idx val="0"/>
          <c:order val="0"/>
          <c:tx>
            <c:strRef>
              <c:f>'Results MCHPC'!$K$654</c:f>
            </c:strRef>
          </c:tx>
          <c:spPr>
            <a:ln cmpd="sng">
              <a:solidFill>
                <a:srgbClr val="4285F4"/>
              </a:solidFill>
            </a:ln>
          </c:spPr>
          <c:marker>
            <c:symbol val="none"/>
          </c:marker>
          <c:cat>
            <c:strRef>
              <c:f>'Results MCHPC'!$J$655:$J$668</c:f>
            </c:strRef>
          </c:cat>
          <c:val>
            <c:numRef>
              <c:f>'Results MCHPC'!$K$655:$K$668</c:f>
              <c:numCache/>
            </c:numRef>
          </c:val>
          <c:smooth val="0"/>
        </c:ser>
        <c:ser>
          <c:idx val="1"/>
          <c:order val="1"/>
          <c:tx>
            <c:strRef>
              <c:f>'Results MCHPC'!$L$654</c:f>
            </c:strRef>
          </c:tx>
          <c:spPr>
            <a:ln cmpd="sng">
              <a:solidFill>
                <a:srgbClr val="EA4335"/>
              </a:solidFill>
            </a:ln>
          </c:spPr>
          <c:marker>
            <c:symbol val="none"/>
          </c:marker>
          <c:cat>
            <c:strRef>
              <c:f>'Results MCHPC'!$J$655:$J$668</c:f>
            </c:strRef>
          </c:cat>
          <c:val>
            <c:numRef>
              <c:f>'Results MCHPC'!$L$655:$L$668</c:f>
              <c:numCache/>
            </c:numRef>
          </c:val>
          <c:smooth val="0"/>
        </c:ser>
        <c:ser>
          <c:idx val="2"/>
          <c:order val="2"/>
          <c:tx>
            <c:strRef>
              <c:f>'Results MCHPC'!$M$654</c:f>
            </c:strRef>
          </c:tx>
          <c:spPr>
            <a:ln cmpd="sng">
              <a:solidFill>
                <a:srgbClr val="FBBC04"/>
              </a:solidFill>
            </a:ln>
          </c:spPr>
          <c:marker>
            <c:symbol val="none"/>
          </c:marker>
          <c:cat>
            <c:strRef>
              <c:f>'Results MCHPC'!$J$655:$J$668</c:f>
            </c:strRef>
          </c:cat>
          <c:val>
            <c:numRef>
              <c:f>'Results MCHPC'!$M$655:$M$668</c:f>
              <c:numCache/>
            </c:numRef>
          </c:val>
          <c:smooth val="0"/>
        </c:ser>
        <c:ser>
          <c:idx val="3"/>
          <c:order val="3"/>
          <c:tx>
            <c:strRef>
              <c:f>'Results MCHPC'!$N$654</c:f>
            </c:strRef>
          </c:tx>
          <c:spPr>
            <a:ln cmpd="sng">
              <a:solidFill>
                <a:srgbClr val="34A853"/>
              </a:solidFill>
            </a:ln>
          </c:spPr>
          <c:marker>
            <c:symbol val="none"/>
          </c:marker>
          <c:cat>
            <c:strRef>
              <c:f>'Results MCHPC'!$J$655:$J$668</c:f>
            </c:strRef>
          </c:cat>
          <c:val>
            <c:numRef>
              <c:f>'Results MCHPC'!$N$655:$N$668</c:f>
              <c:numCache/>
            </c:numRef>
          </c:val>
          <c:smooth val="0"/>
        </c:ser>
        <c:ser>
          <c:idx val="4"/>
          <c:order val="4"/>
          <c:tx>
            <c:strRef>
              <c:f>'Results MCHPC'!$O$654</c:f>
            </c:strRef>
          </c:tx>
          <c:spPr>
            <a:ln cmpd="sng">
              <a:solidFill>
                <a:srgbClr val="FF6D01"/>
              </a:solidFill>
            </a:ln>
          </c:spPr>
          <c:marker>
            <c:symbol val="none"/>
          </c:marker>
          <c:cat>
            <c:strRef>
              <c:f>'Results MCHPC'!$J$655:$J$668</c:f>
            </c:strRef>
          </c:cat>
          <c:val>
            <c:numRef>
              <c:f>'Results MCHPC'!$O$655:$O$668</c:f>
              <c:numCache/>
            </c:numRef>
          </c:val>
          <c:smooth val="0"/>
        </c:ser>
        <c:ser>
          <c:idx val="5"/>
          <c:order val="5"/>
          <c:tx>
            <c:strRef>
              <c:f>'Results MCHPC'!$P$654</c:f>
            </c:strRef>
          </c:tx>
          <c:spPr>
            <a:ln cmpd="sng">
              <a:solidFill>
                <a:srgbClr val="46BDC6"/>
              </a:solidFill>
            </a:ln>
          </c:spPr>
          <c:marker>
            <c:symbol val="none"/>
          </c:marker>
          <c:cat>
            <c:strRef>
              <c:f>'Results MCHPC'!$J$655:$J$668</c:f>
            </c:strRef>
          </c:cat>
          <c:val>
            <c:numRef>
              <c:f>'Results MCHPC'!$P$655:$P$668</c:f>
              <c:numCache/>
            </c:numRef>
          </c:val>
          <c:smooth val="0"/>
        </c:ser>
        <c:ser>
          <c:idx val="6"/>
          <c:order val="6"/>
          <c:tx>
            <c:strRef>
              <c:f>'Results MCHPC'!$Q$654</c:f>
            </c:strRef>
          </c:tx>
          <c:spPr>
            <a:ln cmpd="sng">
              <a:solidFill>
                <a:srgbClr val="7BAAF7"/>
              </a:solidFill>
            </a:ln>
          </c:spPr>
          <c:marker>
            <c:symbol val="none"/>
          </c:marker>
          <c:cat>
            <c:strRef>
              <c:f>'Results MCHPC'!$J$655:$J$668</c:f>
            </c:strRef>
          </c:cat>
          <c:val>
            <c:numRef>
              <c:f>'Results MCHPC'!$Q$655:$Q$668</c:f>
              <c:numCache/>
            </c:numRef>
          </c:val>
          <c:smooth val="0"/>
        </c:ser>
        <c:axId val="1257831298"/>
        <c:axId val="257574049"/>
      </c:lineChart>
      <c:catAx>
        <c:axId val="12578312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257574049"/>
      </c:catAx>
      <c:valAx>
        <c:axId val="2575740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7831298"/>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Cascade lake</a:t>
            </a:r>
          </a:p>
        </c:rich>
      </c:tx>
      <c:overlay val="0"/>
    </c:title>
    <c:plotArea>
      <c:layout/>
      <c:lineChart>
        <c:ser>
          <c:idx val="0"/>
          <c:order val="0"/>
          <c:tx>
            <c:strRef>
              <c:f>'Results MCHPC'!$K$757</c:f>
            </c:strRef>
          </c:tx>
          <c:spPr>
            <a:ln cmpd="sng">
              <a:solidFill>
                <a:srgbClr val="4285F4"/>
              </a:solidFill>
            </a:ln>
          </c:spPr>
          <c:marker>
            <c:symbol val="none"/>
          </c:marker>
          <c:cat>
            <c:strRef>
              <c:f>'Results MCHPC'!$J$758:$J$771</c:f>
            </c:strRef>
          </c:cat>
          <c:val>
            <c:numRef>
              <c:f>'Results MCHPC'!$K$758:$K$771</c:f>
              <c:numCache/>
            </c:numRef>
          </c:val>
          <c:smooth val="0"/>
        </c:ser>
        <c:ser>
          <c:idx val="1"/>
          <c:order val="1"/>
          <c:tx>
            <c:strRef>
              <c:f>'Results MCHPC'!$L$757</c:f>
            </c:strRef>
          </c:tx>
          <c:spPr>
            <a:ln cmpd="sng">
              <a:solidFill>
                <a:srgbClr val="EA4335"/>
              </a:solidFill>
            </a:ln>
          </c:spPr>
          <c:marker>
            <c:symbol val="none"/>
          </c:marker>
          <c:cat>
            <c:strRef>
              <c:f>'Results MCHPC'!$J$758:$J$771</c:f>
            </c:strRef>
          </c:cat>
          <c:val>
            <c:numRef>
              <c:f>'Results MCHPC'!$L$758:$L$771</c:f>
              <c:numCache/>
            </c:numRef>
          </c:val>
          <c:smooth val="0"/>
        </c:ser>
        <c:ser>
          <c:idx val="2"/>
          <c:order val="2"/>
          <c:tx>
            <c:strRef>
              <c:f>'Results MCHPC'!$M$757</c:f>
            </c:strRef>
          </c:tx>
          <c:spPr>
            <a:ln cmpd="sng">
              <a:solidFill>
                <a:srgbClr val="FBBC04"/>
              </a:solidFill>
            </a:ln>
          </c:spPr>
          <c:marker>
            <c:symbol val="none"/>
          </c:marker>
          <c:cat>
            <c:strRef>
              <c:f>'Results MCHPC'!$J$758:$J$771</c:f>
            </c:strRef>
          </c:cat>
          <c:val>
            <c:numRef>
              <c:f>'Results MCHPC'!$M$758:$M$771</c:f>
              <c:numCache/>
            </c:numRef>
          </c:val>
          <c:smooth val="0"/>
        </c:ser>
        <c:ser>
          <c:idx val="3"/>
          <c:order val="3"/>
          <c:tx>
            <c:strRef>
              <c:f>'Results MCHPC'!$N$757</c:f>
            </c:strRef>
          </c:tx>
          <c:spPr>
            <a:ln cmpd="sng">
              <a:solidFill>
                <a:srgbClr val="34A853"/>
              </a:solidFill>
            </a:ln>
          </c:spPr>
          <c:marker>
            <c:symbol val="none"/>
          </c:marker>
          <c:cat>
            <c:strRef>
              <c:f>'Results MCHPC'!$J$758:$J$771</c:f>
            </c:strRef>
          </c:cat>
          <c:val>
            <c:numRef>
              <c:f>'Results MCHPC'!$N$758:$N$771</c:f>
              <c:numCache/>
            </c:numRef>
          </c:val>
          <c:smooth val="0"/>
        </c:ser>
        <c:ser>
          <c:idx val="4"/>
          <c:order val="4"/>
          <c:tx>
            <c:strRef>
              <c:f>'Results MCHPC'!$O$757</c:f>
            </c:strRef>
          </c:tx>
          <c:spPr>
            <a:ln cmpd="sng">
              <a:solidFill>
                <a:srgbClr val="FF6D01"/>
              </a:solidFill>
            </a:ln>
          </c:spPr>
          <c:marker>
            <c:symbol val="none"/>
          </c:marker>
          <c:cat>
            <c:strRef>
              <c:f>'Results MCHPC'!$J$758:$J$771</c:f>
            </c:strRef>
          </c:cat>
          <c:val>
            <c:numRef>
              <c:f>'Results MCHPC'!$O$758:$O$771</c:f>
              <c:numCache/>
            </c:numRef>
          </c:val>
          <c:smooth val="0"/>
        </c:ser>
        <c:ser>
          <c:idx val="5"/>
          <c:order val="5"/>
          <c:tx>
            <c:strRef>
              <c:f>'Results MCHPC'!$P$757</c:f>
            </c:strRef>
          </c:tx>
          <c:spPr>
            <a:ln cmpd="sng">
              <a:solidFill>
                <a:srgbClr val="46BDC6"/>
              </a:solidFill>
            </a:ln>
          </c:spPr>
          <c:marker>
            <c:symbol val="none"/>
          </c:marker>
          <c:cat>
            <c:strRef>
              <c:f>'Results MCHPC'!$J$758:$J$771</c:f>
            </c:strRef>
          </c:cat>
          <c:val>
            <c:numRef>
              <c:f>'Results MCHPC'!$P$758:$P$771</c:f>
              <c:numCache/>
            </c:numRef>
          </c:val>
          <c:smooth val="0"/>
        </c:ser>
        <c:ser>
          <c:idx val="6"/>
          <c:order val="6"/>
          <c:tx>
            <c:strRef>
              <c:f>'Results MCHPC'!$Q$757</c:f>
            </c:strRef>
          </c:tx>
          <c:spPr>
            <a:ln cmpd="sng">
              <a:solidFill>
                <a:srgbClr val="7BAAF7"/>
              </a:solidFill>
            </a:ln>
          </c:spPr>
          <c:marker>
            <c:symbol val="none"/>
          </c:marker>
          <c:cat>
            <c:strRef>
              <c:f>'Results MCHPC'!$J$758:$J$771</c:f>
            </c:strRef>
          </c:cat>
          <c:val>
            <c:numRef>
              <c:f>'Results MCHPC'!$Q$758:$Q$771</c:f>
              <c:numCache/>
            </c:numRef>
          </c:val>
          <c:smooth val="0"/>
        </c:ser>
        <c:axId val="1166335407"/>
        <c:axId val="1466400246"/>
      </c:lineChart>
      <c:catAx>
        <c:axId val="11663354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1466400246"/>
      </c:catAx>
      <c:valAx>
        <c:axId val="14664002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6335407"/>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Ideal, 1Mwrite, 5M_write, 10M_write, 50M_write…</a:t>
            </a:r>
          </a:p>
        </c:rich>
      </c:tx>
      <c:overlay val="0"/>
    </c:title>
    <c:plotArea>
      <c:layout/>
      <c:lineChart>
        <c:ser>
          <c:idx val="0"/>
          <c:order val="0"/>
          <c:tx>
            <c:strRef>
              <c:f>'Results MCHPC'!$K$757</c:f>
            </c:strRef>
          </c:tx>
          <c:spPr>
            <a:ln cmpd="sng">
              <a:solidFill>
                <a:srgbClr val="4285F4"/>
              </a:solidFill>
            </a:ln>
          </c:spPr>
          <c:marker>
            <c:symbol val="none"/>
          </c:marker>
          <c:cat>
            <c:strRef>
              <c:f>'Results MCHPC'!$J$758:$J$771</c:f>
            </c:strRef>
          </c:cat>
          <c:val>
            <c:numRef>
              <c:f>'Results MCHPC'!$K$758:$K$771</c:f>
              <c:numCache/>
            </c:numRef>
          </c:val>
          <c:smooth val="0"/>
        </c:ser>
        <c:ser>
          <c:idx val="1"/>
          <c:order val="1"/>
          <c:tx>
            <c:strRef>
              <c:f>'Results MCHPC'!$L$757</c:f>
            </c:strRef>
          </c:tx>
          <c:spPr>
            <a:ln cmpd="sng">
              <a:solidFill>
                <a:srgbClr val="EA4335"/>
              </a:solidFill>
            </a:ln>
          </c:spPr>
          <c:marker>
            <c:symbol val="none"/>
          </c:marker>
          <c:cat>
            <c:strRef>
              <c:f>'Results MCHPC'!$J$758:$J$771</c:f>
            </c:strRef>
          </c:cat>
          <c:val>
            <c:numRef>
              <c:f>'Results MCHPC'!$L$758:$L$771</c:f>
              <c:numCache/>
            </c:numRef>
          </c:val>
          <c:smooth val="0"/>
        </c:ser>
        <c:ser>
          <c:idx val="2"/>
          <c:order val="2"/>
          <c:tx>
            <c:strRef>
              <c:f>'Results MCHPC'!$M$757</c:f>
            </c:strRef>
          </c:tx>
          <c:spPr>
            <a:ln cmpd="sng">
              <a:solidFill>
                <a:srgbClr val="FBBC04"/>
              </a:solidFill>
            </a:ln>
          </c:spPr>
          <c:marker>
            <c:symbol val="none"/>
          </c:marker>
          <c:cat>
            <c:strRef>
              <c:f>'Results MCHPC'!$J$758:$J$771</c:f>
            </c:strRef>
          </c:cat>
          <c:val>
            <c:numRef>
              <c:f>'Results MCHPC'!$M$758:$M$771</c:f>
              <c:numCache/>
            </c:numRef>
          </c:val>
          <c:smooth val="0"/>
        </c:ser>
        <c:ser>
          <c:idx val="3"/>
          <c:order val="3"/>
          <c:tx>
            <c:strRef>
              <c:f>'Results MCHPC'!$N$757</c:f>
            </c:strRef>
          </c:tx>
          <c:spPr>
            <a:ln cmpd="sng">
              <a:solidFill>
                <a:srgbClr val="34A853"/>
              </a:solidFill>
            </a:ln>
          </c:spPr>
          <c:marker>
            <c:symbol val="none"/>
          </c:marker>
          <c:cat>
            <c:strRef>
              <c:f>'Results MCHPC'!$J$758:$J$771</c:f>
            </c:strRef>
          </c:cat>
          <c:val>
            <c:numRef>
              <c:f>'Results MCHPC'!$N$758:$N$771</c:f>
              <c:numCache/>
            </c:numRef>
          </c:val>
          <c:smooth val="0"/>
        </c:ser>
        <c:ser>
          <c:idx val="4"/>
          <c:order val="4"/>
          <c:tx>
            <c:strRef>
              <c:f>'Results MCHPC'!$O$757</c:f>
            </c:strRef>
          </c:tx>
          <c:spPr>
            <a:ln cmpd="sng">
              <a:solidFill>
                <a:srgbClr val="FF6D01"/>
              </a:solidFill>
            </a:ln>
          </c:spPr>
          <c:marker>
            <c:symbol val="none"/>
          </c:marker>
          <c:cat>
            <c:strRef>
              <c:f>'Results MCHPC'!$J$758:$J$771</c:f>
            </c:strRef>
          </c:cat>
          <c:val>
            <c:numRef>
              <c:f>'Results MCHPC'!$O$758:$O$771</c:f>
              <c:numCache/>
            </c:numRef>
          </c:val>
          <c:smooth val="0"/>
        </c:ser>
        <c:ser>
          <c:idx val="5"/>
          <c:order val="5"/>
          <c:tx>
            <c:strRef>
              <c:f>'Results MCHPC'!$P$757</c:f>
            </c:strRef>
          </c:tx>
          <c:spPr>
            <a:ln cmpd="sng">
              <a:solidFill>
                <a:srgbClr val="46BDC6"/>
              </a:solidFill>
            </a:ln>
          </c:spPr>
          <c:marker>
            <c:symbol val="none"/>
          </c:marker>
          <c:cat>
            <c:strRef>
              <c:f>'Results MCHPC'!$J$758:$J$771</c:f>
            </c:strRef>
          </c:cat>
          <c:val>
            <c:numRef>
              <c:f>'Results MCHPC'!$P$758:$P$771</c:f>
              <c:numCache/>
            </c:numRef>
          </c:val>
          <c:smooth val="0"/>
        </c:ser>
        <c:ser>
          <c:idx val="6"/>
          <c:order val="6"/>
          <c:tx>
            <c:strRef>
              <c:f>'Results MCHPC'!$Q$757</c:f>
            </c:strRef>
          </c:tx>
          <c:spPr>
            <a:ln cmpd="sng">
              <a:solidFill>
                <a:srgbClr val="7BAAF7"/>
              </a:solidFill>
            </a:ln>
          </c:spPr>
          <c:marker>
            <c:symbol val="none"/>
          </c:marker>
          <c:cat>
            <c:strRef>
              <c:f>'Results MCHPC'!$J$758:$J$771</c:f>
            </c:strRef>
          </c:cat>
          <c:val>
            <c:numRef>
              <c:f>'Results MCHPC'!$Q$758:$Q$771</c:f>
              <c:numCache/>
            </c:numRef>
          </c:val>
          <c:smooth val="0"/>
        </c:ser>
        <c:axId val="651329725"/>
        <c:axId val="1556069029"/>
      </c:lineChart>
      <c:catAx>
        <c:axId val="6513297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1556069029"/>
      </c:catAx>
      <c:valAx>
        <c:axId val="15560690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1329725"/>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Broadwell</a:t>
            </a:r>
          </a:p>
        </c:rich>
      </c:tx>
      <c:overlay val="0"/>
    </c:title>
    <c:plotArea>
      <c:layout/>
      <c:lineChart>
        <c:ser>
          <c:idx val="0"/>
          <c:order val="0"/>
          <c:tx>
            <c:strRef>
              <c:f>'Results MCHPC'!$K$557</c:f>
            </c:strRef>
          </c:tx>
          <c:spPr>
            <a:ln cmpd="sng">
              <a:solidFill>
                <a:srgbClr val="4285F4"/>
              </a:solidFill>
            </a:ln>
          </c:spPr>
          <c:marker>
            <c:symbol val="none"/>
          </c:marker>
          <c:cat>
            <c:strRef>
              <c:f>'Results MCHPC'!$J$558:$J$571</c:f>
            </c:strRef>
          </c:cat>
          <c:val>
            <c:numRef>
              <c:f>'Results MCHPC'!$K$558:$K$571</c:f>
              <c:numCache/>
            </c:numRef>
          </c:val>
          <c:smooth val="0"/>
        </c:ser>
        <c:ser>
          <c:idx val="1"/>
          <c:order val="1"/>
          <c:tx>
            <c:strRef>
              <c:f>'Results MCHPC'!$L$557</c:f>
            </c:strRef>
          </c:tx>
          <c:spPr>
            <a:ln cmpd="sng">
              <a:solidFill>
                <a:srgbClr val="EA4335"/>
              </a:solidFill>
            </a:ln>
          </c:spPr>
          <c:marker>
            <c:symbol val="none"/>
          </c:marker>
          <c:cat>
            <c:strRef>
              <c:f>'Results MCHPC'!$J$558:$J$571</c:f>
            </c:strRef>
          </c:cat>
          <c:val>
            <c:numRef>
              <c:f>'Results MCHPC'!$L$558:$L$571</c:f>
              <c:numCache/>
            </c:numRef>
          </c:val>
          <c:smooth val="0"/>
        </c:ser>
        <c:ser>
          <c:idx val="2"/>
          <c:order val="2"/>
          <c:tx>
            <c:strRef>
              <c:f>'Results MCHPC'!$M$557</c:f>
            </c:strRef>
          </c:tx>
          <c:spPr>
            <a:ln cmpd="sng">
              <a:solidFill>
                <a:srgbClr val="FBBC04"/>
              </a:solidFill>
            </a:ln>
          </c:spPr>
          <c:marker>
            <c:symbol val="none"/>
          </c:marker>
          <c:cat>
            <c:strRef>
              <c:f>'Results MCHPC'!$J$558:$J$571</c:f>
            </c:strRef>
          </c:cat>
          <c:val>
            <c:numRef>
              <c:f>'Results MCHPC'!$M$558:$M$571</c:f>
              <c:numCache/>
            </c:numRef>
          </c:val>
          <c:smooth val="0"/>
        </c:ser>
        <c:ser>
          <c:idx val="3"/>
          <c:order val="3"/>
          <c:tx>
            <c:strRef>
              <c:f>'Results MCHPC'!$N$557</c:f>
            </c:strRef>
          </c:tx>
          <c:spPr>
            <a:ln cmpd="sng">
              <a:solidFill>
                <a:srgbClr val="34A853"/>
              </a:solidFill>
            </a:ln>
          </c:spPr>
          <c:marker>
            <c:symbol val="none"/>
          </c:marker>
          <c:cat>
            <c:strRef>
              <c:f>'Results MCHPC'!$J$558:$J$571</c:f>
            </c:strRef>
          </c:cat>
          <c:val>
            <c:numRef>
              <c:f>'Results MCHPC'!$N$558:$N$571</c:f>
              <c:numCache/>
            </c:numRef>
          </c:val>
          <c:smooth val="0"/>
        </c:ser>
        <c:ser>
          <c:idx val="4"/>
          <c:order val="4"/>
          <c:tx>
            <c:strRef>
              <c:f>'Results MCHPC'!$O$557</c:f>
            </c:strRef>
          </c:tx>
          <c:spPr>
            <a:ln cmpd="sng">
              <a:solidFill>
                <a:srgbClr val="FF6D01"/>
              </a:solidFill>
            </a:ln>
          </c:spPr>
          <c:marker>
            <c:symbol val="none"/>
          </c:marker>
          <c:cat>
            <c:strRef>
              <c:f>'Results MCHPC'!$J$558:$J$571</c:f>
            </c:strRef>
          </c:cat>
          <c:val>
            <c:numRef>
              <c:f>'Results MCHPC'!$O$558:$O$571</c:f>
              <c:numCache/>
            </c:numRef>
          </c:val>
          <c:smooth val="0"/>
        </c:ser>
        <c:ser>
          <c:idx val="5"/>
          <c:order val="5"/>
          <c:tx>
            <c:strRef>
              <c:f>'Results MCHPC'!$P$557</c:f>
            </c:strRef>
          </c:tx>
          <c:spPr>
            <a:ln cmpd="sng">
              <a:solidFill>
                <a:srgbClr val="46BDC6"/>
              </a:solidFill>
            </a:ln>
          </c:spPr>
          <c:marker>
            <c:symbol val="none"/>
          </c:marker>
          <c:cat>
            <c:strRef>
              <c:f>'Results MCHPC'!$J$558:$J$571</c:f>
            </c:strRef>
          </c:cat>
          <c:val>
            <c:numRef>
              <c:f>'Results MCHPC'!$P$558:$P$571</c:f>
              <c:numCache/>
            </c:numRef>
          </c:val>
          <c:smooth val="0"/>
        </c:ser>
        <c:ser>
          <c:idx val="6"/>
          <c:order val="6"/>
          <c:tx>
            <c:strRef>
              <c:f>'Results MCHPC'!$Q$557</c:f>
            </c:strRef>
          </c:tx>
          <c:spPr>
            <a:ln cmpd="sng">
              <a:solidFill>
                <a:srgbClr val="7BAAF7"/>
              </a:solidFill>
            </a:ln>
          </c:spPr>
          <c:marker>
            <c:symbol val="none"/>
          </c:marker>
          <c:cat>
            <c:strRef>
              <c:f>'Results MCHPC'!$J$558:$J$571</c:f>
            </c:strRef>
          </c:cat>
          <c:val>
            <c:numRef>
              <c:f>'Results MCHPC'!$Q$558:$Q$571</c:f>
              <c:numCache/>
            </c:numRef>
          </c:val>
          <c:smooth val="0"/>
        </c:ser>
        <c:axId val="1609852376"/>
        <c:axId val="348593035"/>
      </c:lineChart>
      <c:catAx>
        <c:axId val="16098523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348593035"/>
      </c:catAx>
      <c:valAx>
        <c:axId val="3485930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9852376"/>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Write vs. Stride</a:t>
            </a:r>
          </a:p>
        </c:rich>
      </c:tx>
      <c:overlay val="0"/>
    </c:title>
    <c:plotArea>
      <c:layout/>
      <c:lineChart>
        <c:varyColors val="0"/>
        <c:ser>
          <c:idx val="0"/>
          <c:order val="0"/>
          <c:tx>
            <c:strRef>
              <c:f>'Results MCHPC'!$H$993</c:f>
            </c:strRef>
          </c:tx>
          <c:spPr>
            <a:ln cmpd="sng">
              <a:solidFill>
                <a:srgbClr val="4285F4"/>
              </a:solidFill>
            </a:ln>
          </c:spPr>
          <c:marker>
            <c:symbol val="none"/>
          </c:marker>
          <c:cat>
            <c:strRef>
              <c:f>'Results MCHPC'!$G$994:$G$1009</c:f>
            </c:strRef>
          </c:cat>
          <c:val>
            <c:numRef>
              <c:f>'Results MCHPC'!$H$994:$H$1009</c:f>
              <c:numCache/>
            </c:numRef>
          </c:val>
          <c:smooth val="0"/>
        </c:ser>
        <c:axId val="1598614876"/>
        <c:axId val="530449839"/>
      </c:lineChart>
      <c:catAx>
        <c:axId val="15986148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530449839"/>
      </c:catAx>
      <c:valAx>
        <c:axId val="5304498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Write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8614876"/>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Read  and Write</a:t>
            </a:r>
          </a:p>
        </c:rich>
      </c:tx>
      <c:overlay val="0"/>
    </c:title>
    <c:plotArea>
      <c:layout/>
      <c:lineChart>
        <c:ser>
          <c:idx val="0"/>
          <c:order val="0"/>
          <c:tx>
            <c:strRef>
              <c:f>'Results MCHPC'!$J$1016</c:f>
            </c:strRef>
          </c:tx>
          <c:spPr>
            <a:ln cmpd="sng">
              <a:solidFill>
                <a:srgbClr val="4285F4"/>
              </a:solidFill>
            </a:ln>
          </c:spPr>
          <c:marker>
            <c:symbol val="none"/>
          </c:marker>
          <c:cat>
            <c:strRef>
              <c:f>'Results MCHPC'!$I$1017:$I$1030</c:f>
            </c:strRef>
          </c:cat>
          <c:val>
            <c:numRef>
              <c:f>'Results MCHPC'!$J$1017:$J$1030</c:f>
              <c:numCache/>
            </c:numRef>
          </c:val>
          <c:smooth val="0"/>
        </c:ser>
        <c:ser>
          <c:idx val="1"/>
          <c:order val="1"/>
          <c:tx>
            <c:strRef>
              <c:f>'Results MCHPC'!$K$1016</c:f>
            </c:strRef>
          </c:tx>
          <c:spPr>
            <a:ln cmpd="sng">
              <a:solidFill>
                <a:srgbClr val="EA4335"/>
              </a:solidFill>
            </a:ln>
          </c:spPr>
          <c:marker>
            <c:symbol val="none"/>
          </c:marker>
          <c:cat>
            <c:strRef>
              <c:f>'Results MCHPC'!$I$1017:$I$1030</c:f>
            </c:strRef>
          </c:cat>
          <c:val>
            <c:numRef>
              <c:f>'Results MCHPC'!$K$1017:$K$1030</c:f>
              <c:numCache/>
            </c:numRef>
          </c:val>
          <c:smooth val="0"/>
        </c:ser>
        <c:axId val="2137479830"/>
        <c:axId val="2090490875"/>
      </c:lineChart>
      <c:catAx>
        <c:axId val="21374798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2090490875"/>
      </c:catAx>
      <c:valAx>
        <c:axId val="20904908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7479830"/>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Read  and Write</a:t>
            </a:r>
          </a:p>
        </c:rich>
      </c:tx>
      <c:overlay val="0"/>
    </c:title>
    <c:plotArea>
      <c:layout/>
      <c:lineChart>
        <c:ser>
          <c:idx val="0"/>
          <c:order val="0"/>
          <c:tx>
            <c:strRef>
              <c:f>'Results MCHPC'!$J$1032</c:f>
            </c:strRef>
          </c:tx>
          <c:spPr>
            <a:ln cmpd="sng">
              <a:solidFill>
                <a:srgbClr val="4285F4"/>
              </a:solidFill>
            </a:ln>
          </c:spPr>
          <c:marker>
            <c:symbol val="none"/>
          </c:marker>
          <c:cat>
            <c:strRef>
              <c:f>'Results MCHPC'!$I$1033:$I$1046</c:f>
            </c:strRef>
          </c:cat>
          <c:val>
            <c:numRef>
              <c:f>'Results MCHPC'!$J$1033:$J$1046</c:f>
              <c:numCache/>
            </c:numRef>
          </c:val>
          <c:smooth val="0"/>
        </c:ser>
        <c:ser>
          <c:idx val="1"/>
          <c:order val="1"/>
          <c:tx>
            <c:strRef>
              <c:f>'Results MCHPC'!$K$1032</c:f>
            </c:strRef>
          </c:tx>
          <c:spPr>
            <a:ln cmpd="sng">
              <a:solidFill>
                <a:srgbClr val="EA4335"/>
              </a:solidFill>
            </a:ln>
          </c:spPr>
          <c:marker>
            <c:symbol val="none"/>
          </c:marker>
          <c:cat>
            <c:strRef>
              <c:f>'Results MCHPC'!$I$1033:$I$1046</c:f>
            </c:strRef>
          </c:cat>
          <c:val>
            <c:numRef>
              <c:f>'Results MCHPC'!$K$1033:$K$1046</c:f>
              <c:numCache/>
            </c:numRef>
          </c:val>
          <c:smooth val="0"/>
        </c:ser>
        <c:axId val="533403969"/>
        <c:axId val="1423705369"/>
      </c:lineChart>
      <c:catAx>
        <c:axId val="5334039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1423705369"/>
      </c:catAx>
      <c:valAx>
        <c:axId val="14237053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340396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Streaming access CPU and GPU</a:t>
            </a:r>
          </a:p>
        </c:rich>
      </c:tx>
      <c:overlay val="0"/>
    </c:title>
    <c:plotArea>
      <c:layout/>
      <c:barChart>
        <c:barDir val="col"/>
        <c:ser>
          <c:idx val="0"/>
          <c:order val="0"/>
          <c:spPr>
            <a:solidFill>
              <a:schemeClr val="accent1"/>
            </a:solidFill>
            <a:ln cmpd="sng">
              <a:solidFill>
                <a:srgbClr val="000000"/>
              </a:solidFill>
            </a:ln>
          </c:spPr>
          <c:cat>
            <c:strRef>
              <c:f>'Results MCHPC'!$D$294:$F$294</c:f>
            </c:strRef>
          </c:cat>
          <c:val>
            <c:numRef>
              <c:f>'Results MCHPC'!$D$295:$F$295</c:f>
              <c:numCache/>
            </c:numRef>
          </c:val>
        </c:ser>
        <c:axId val="1661767947"/>
        <c:axId val="909729846"/>
      </c:barChart>
      <c:catAx>
        <c:axId val="16617679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600">
                <a:solidFill>
                  <a:srgbClr val="000000"/>
                </a:solidFill>
                <a:latin typeface="+mn-lt"/>
              </a:defRPr>
            </a:pPr>
          </a:p>
        </c:txPr>
        <c:crossAx val="909729846"/>
      </c:catAx>
      <c:valAx>
        <c:axId val="9097298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Byte transferred LLC to DRAM</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1767947"/>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Read-pref, Write-pref, Read-no-pref and Write-no-pref</a:t>
            </a:r>
          </a:p>
        </c:rich>
      </c:tx>
      <c:overlay val="0"/>
    </c:title>
    <c:plotArea>
      <c:layout/>
      <c:lineChart>
        <c:ser>
          <c:idx val="0"/>
          <c:order val="0"/>
          <c:tx>
            <c:strRef>
              <c:f>'Results IPDPS'!$E$98</c:f>
            </c:strRef>
          </c:tx>
          <c:spPr>
            <a:ln cmpd="sng">
              <a:solidFill>
                <a:srgbClr val="4285F4"/>
              </a:solidFill>
            </a:ln>
          </c:spPr>
          <c:marker>
            <c:symbol val="none"/>
          </c:marker>
          <c:cat>
            <c:strRef>
              <c:f>'Results IPDPS'!$D$99:$D$110</c:f>
            </c:strRef>
          </c:cat>
          <c:val>
            <c:numRef>
              <c:f>'Results IPDPS'!$E$99:$E$110</c:f>
              <c:numCache/>
            </c:numRef>
          </c:val>
          <c:smooth val="0"/>
        </c:ser>
        <c:ser>
          <c:idx val="1"/>
          <c:order val="1"/>
          <c:tx>
            <c:strRef>
              <c:f>'Results IPDPS'!$F$98</c:f>
            </c:strRef>
          </c:tx>
          <c:spPr>
            <a:ln cmpd="sng">
              <a:solidFill>
                <a:srgbClr val="EA4335"/>
              </a:solidFill>
            </a:ln>
          </c:spPr>
          <c:marker>
            <c:symbol val="none"/>
          </c:marker>
          <c:cat>
            <c:strRef>
              <c:f>'Results IPDPS'!$D$99:$D$110</c:f>
            </c:strRef>
          </c:cat>
          <c:val>
            <c:numRef>
              <c:f>'Results IPDPS'!$F$99:$F$110</c:f>
              <c:numCache/>
            </c:numRef>
          </c:val>
          <c:smooth val="0"/>
        </c:ser>
        <c:ser>
          <c:idx val="2"/>
          <c:order val="2"/>
          <c:tx>
            <c:strRef>
              <c:f>'Results IPDPS'!$G$98</c:f>
            </c:strRef>
          </c:tx>
          <c:spPr>
            <a:ln cmpd="sng">
              <a:solidFill>
                <a:srgbClr val="FBBC04"/>
              </a:solidFill>
            </a:ln>
          </c:spPr>
          <c:marker>
            <c:symbol val="none"/>
          </c:marker>
          <c:cat>
            <c:strRef>
              <c:f>'Results IPDPS'!$D$99:$D$110</c:f>
            </c:strRef>
          </c:cat>
          <c:val>
            <c:numRef>
              <c:f>'Results IPDPS'!$G$99:$G$110</c:f>
              <c:numCache/>
            </c:numRef>
          </c:val>
          <c:smooth val="0"/>
        </c:ser>
        <c:ser>
          <c:idx val="3"/>
          <c:order val="3"/>
          <c:tx>
            <c:strRef>
              <c:f>'Results IPDPS'!$H$98</c:f>
            </c:strRef>
          </c:tx>
          <c:spPr>
            <a:ln cmpd="sng">
              <a:solidFill>
                <a:srgbClr val="34A853"/>
              </a:solidFill>
            </a:ln>
          </c:spPr>
          <c:marker>
            <c:symbol val="none"/>
          </c:marker>
          <c:cat>
            <c:strRef>
              <c:f>'Results IPDPS'!$D$99:$D$110</c:f>
            </c:strRef>
          </c:cat>
          <c:val>
            <c:numRef>
              <c:f>'Results IPDPS'!$H$99:$H$110</c:f>
              <c:numCache/>
            </c:numRef>
          </c:val>
          <c:smooth val="0"/>
        </c:ser>
        <c:axId val="427572808"/>
        <c:axId val="987984898"/>
      </c:lineChart>
      <c:catAx>
        <c:axId val="4275728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987984898"/>
      </c:catAx>
      <c:valAx>
        <c:axId val="9879848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7572808"/>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Read-pref, Write-pref, Read-no-pref and Write-no-pref</a:t>
            </a:r>
          </a:p>
        </c:rich>
      </c:tx>
      <c:overlay val="0"/>
    </c:title>
    <c:plotArea>
      <c:layout/>
      <c:lineChart>
        <c:ser>
          <c:idx val="0"/>
          <c:order val="0"/>
          <c:tx>
            <c:strRef>
              <c:f>'Results IPDPS'!$E$118</c:f>
            </c:strRef>
          </c:tx>
          <c:spPr>
            <a:ln cmpd="sng">
              <a:solidFill>
                <a:srgbClr val="4285F4"/>
              </a:solidFill>
            </a:ln>
          </c:spPr>
          <c:marker>
            <c:symbol val="none"/>
          </c:marker>
          <c:cat>
            <c:strRef>
              <c:f>'Results IPDPS'!$D$119:$D$130</c:f>
            </c:strRef>
          </c:cat>
          <c:val>
            <c:numRef>
              <c:f>'Results IPDPS'!$E$119:$E$130</c:f>
              <c:numCache/>
            </c:numRef>
          </c:val>
          <c:smooth val="0"/>
        </c:ser>
        <c:ser>
          <c:idx val="1"/>
          <c:order val="1"/>
          <c:tx>
            <c:strRef>
              <c:f>'Results IPDPS'!$F$118</c:f>
            </c:strRef>
          </c:tx>
          <c:spPr>
            <a:ln cmpd="sng">
              <a:solidFill>
                <a:srgbClr val="EA4335"/>
              </a:solidFill>
            </a:ln>
          </c:spPr>
          <c:marker>
            <c:symbol val="none"/>
          </c:marker>
          <c:cat>
            <c:strRef>
              <c:f>'Results IPDPS'!$D$119:$D$130</c:f>
            </c:strRef>
          </c:cat>
          <c:val>
            <c:numRef>
              <c:f>'Results IPDPS'!$F$119:$F$130</c:f>
              <c:numCache/>
            </c:numRef>
          </c:val>
          <c:smooth val="0"/>
        </c:ser>
        <c:ser>
          <c:idx val="2"/>
          <c:order val="2"/>
          <c:tx>
            <c:strRef>
              <c:f>'Results IPDPS'!$G$118</c:f>
            </c:strRef>
          </c:tx>
          <c:spPr>
            <a:ln cmpd="sng">
              <a:solidFill>
                <a:srgbClr val="FBBC04"/>
              </a:solidFill>
            </a:ln>
          </c:spPr>
          <c:marker>
            <c:symbol val="none"/>
          </c:marker>
          <c:cat>
            <c:strRef>
              <c:f>'Results IPDPS'!$D$119:$D$130</c:f>
            </c:strRef>
          </c:cat>
          <c:val>
            <c:numRef>
              <c:f>'Results IPDPS'!$G$119:$G$130</c:f>
              <c:numCache/>
            </c:numRef>
          </c:val>
          <c:smooth val="0"/>
        </c:ser>
        <c:ser>
          <c:idx val="3"/>
          <c:order val="3"/>
          <c:tx>
            <c:strRef>
              <c:f>'Results IPDPS'!$H$118</c:f>
            </c:strRef>
          </c:tx>
          <c:spPr>
            <a:ln cmpd="sng">
              <a:solidFill>
                <a:srgbClr val="34A853"/>
              </a:solidFill>
            </a:ln>
          </c:spPr>
          <c:marker>
            <c:symbol val="none"/>
          </c:marker>
          <c:cat>
            <c:strRef>
              <c:f>'Results IPDPS'!$D$119:$D$130</c:f>
            </c:strRef>
          </c:cat>
          <c:val>
            <c:numRef>
              <c:f>'Results IPDPS'!$H$119:$H$130</c:f>
              <c:numCache/>
            </c:numRef>
          </c:val>
          <c:smooth val="0"/>
        </c:ser>
        <c:axId val="1501469945"/>
        <c:axId val="1229481124"/>
      </c:lineChart>
      <c:catAx>
        <c:axId val="15014699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1229481124"/>
      </c:catAx>
      <c:valAx>
        <c:axId val="12294811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1469945"/>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Read-pref, Write-pref, Read-no-pref and Write-no-pref</a:t>
            </a:r>
          </a:p>
        </c:rich>
      </c:tx>
      <c:overlay val="0"/>
    </c:title>
    <c:plotArea>
      <c:layout/>
      <c:lineChart>
        <c:ser>
          <c:idx val="0"/>
          <c:order val="0"/>
          <c:tx>
            <c:strRef>
              <c:f>'Results IPDPS'!$E$137</c:f>
            </c:strRef>
          </c:tx>
          <c:spPr>
            <a:ln cmpd="sng">
              <a:solidFill>
                <a:srgbClr val="4285F4"/>
              </a:solidFill>
            </a:ln>
          </c:spPr>
          <c:marker>
            <c:symbol val="none"/>
          </c:marker>
          <c:cat>
            <c:strRef>
              <c:f>'Results IPDPS'!$D$138:$D$149</c:f>
            </c:strRef>
          </c:cat>
          <c:val>
            <c:numRef>
              <c:f>'Results IPDPS'!$E$138:$E$149</c:f>
              <c:numCache/>
            </c:numRef>
          </c:val>
          <c:smooth val="0"/>
        </c:ser>
        <c:ser>
          <c:idx val="1"/>
          <c:order val="1"/>
          <c:tx>
            <c:strRef>
              <c:f>'Results IPDPS'!$F$137</c:f>
            </c:strRef>
          </c:tx>
          <c:spPr>
            <a:ln cmpd="sng">
              <a:solidFill>
                <a:srgbClr val="EA4335"/>
              </a:solidFill>
            </a:ln>
          </c:spPr>
          <c:marker>
            <c:symbol val="none"/>
          </c:marker>
          <c:cat>
            <c:strRef>
              <c:f>'Results IPDPS'!$D$138:$D$149</c:f>
            </c:strRef>
          </c:cat>
          <c:val>
            <c:numRef>
              <c:f>'Results IPDPS'!$F$138:$F$149</c:f>
              <c:numCache/>
            </c:numRef>
          </c:val>
          <c:smooth val="0"/>
        </c:ser>
        <c:ser>
          <c:idx val="2"/>
          <c:order val="2"/>
          <c:tx>
            <c:strRef>
              <c:f>'Results IPDPS'!$G$137</c:f>
            </c:strRef>
          </c:tx>
          <c:spPr>
            <a:ln cmpd="sng">
              <a:solidFill>
                <a:srgbClr val="FBBC04"/>
              </a:solidFill>
            </a:ln>
          </c:spPr>
          <c:marker>
            <c:symbol val="none"/>
          </c:marker>
          <c:cat>
            <c:strRef>
              <c:f>'Results IPDPS'!$D$138:$D$149</c:f>
            </c:strRef>
          </c:cat>
          <c:val>
            <c:numRef>
              <c:f>'Results IPDPS'!$G$138:$G$149</c:f>
              <c:numCache/>
            </c:numRef>
          </c:val>
          <c:smooth val="0"/>
        </c:ser>
        <c:ser>
          <c:idx val="3"/>
          <c:order val="3"/>
          <c:tx>
            <c:strRef>
              <c:f>'Results IPDPS'!$H$137</c:f>
            </c:strRef>
          </c:tx>
          <c:spPr>
            <a:ln cmpd="sng">
              <a:solidFill>
                <a:srgbClr val="34A853"/>
              </a:solidFill>
            </a:ln>
          </c:spPr>
          <c:marker>
            <c:symbol val="none"/>
          </c:marker>
          <c:cat>
            <c:strRef>
              <c:f>'Results IPDPS'!$D$138:$D$149</c:f>
            </c:strRef>
          </c:cat>
          <c:val>
            <c:numRef>
              <c:f>'Results IPDPS'!$H$138:$H$149</c:f>
              <c:numCache/>
            </c:numRef>
          </c:val>
          <c:smooth val="0"/>
        </c:ser>
        <c:axId val="593660331"/>
        <c:axId val="1616610712"/>
      </c:lineChart>
      <c:catAx>
        <c:axId val="5936603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1616610712"/>
      </c:catAx>
      <c:valAx>
        <c:axId val="16166107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3660331"/>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Read-pref, Write-pref, Read-no-pref and Write-no-pref</a:t>
            </a:r>
          </a:p>
        </c:rich>
      </c:tx>
      <c:overlay val="0"/>
    </c:title>
    <c:plotArea>
      <c:layout/>
      <c:lineChart>
        <c:ser>
          <c:idx val="0"/>
          <c:order val="0"/>
          <c:tx>
            <c:strRef>
              <c:f>'Results ICS21'!$E$98</c:f>
            </c:strRef>
          </c:tx>
          <c:spPr>
            <a:ln cmpd="sng">
              <a:solidFill>
                <a:srgbClr val="4285F4"/>
              </a:solidFill>
            </a:ln>
          </c:spPr>
          <c:marker>
            <c:symbol val="none"/>
          </c:marker>
          <c:cat>
            <c:strRef>
              <c:f>'Results ICS21'!$D$99:$D$110</c:f>
            </c:strRef>
          </c:cat>
          <c:val>
            <c:numRef>
              <c:f>'Results ICS21'!$E$99:$E$110</c:f>
              <c:numCache/>
            </c:numRef>
          </c:val>
          <c:smooth val="0"/>
        </c:ser>
        <c:ser>
          <c:idx val="1"/>
          <c:order val="1"/>
          <c:tx>
            <c:strRef>
              <c:f>'Results ICS21'!$F$98</c:f>
            </c:strRef>
          </c:tx>
          <c:spPr>
            <a:ln cmpd="sng">
              <a:solidFill>
                <a:srgbClr val="EA4335"/>
              </a:solidFill>
            </a:ln>
          </c:spPr>
          <c:marker>
            <c:symbol val="none"/>
          </c:marker>
          <c:cat>
            <c:strRef>
              <c:f>'Results ICS21'!$D$99:$D$110</c:f>
            </c:strRef>
          </c:cat>
          <c:val>
            <c:numRef>
              <c:f>'Results ICS21'!$F$99:$F$110</c:f>
              <c:numCache/>
            </c:numRef>
          </c:val>
          <c:smooth val="0"/>
        </c:ser>
        <c:ser>
          <c:idx val="2"/>
          <c:order val="2"/>
          <c:tx>
            <c:strRef>
              <c:f>'Results ICS21'!$G$98</c:f>
            </c:strRef>
          </c:tx>
          <c:spPr>
            <a:ln cmpd="sng">
              <a:solidFill>
                <a:srgbClr val="FBBC04"/>
              </a:solidFill>
            </a:ln>
          </c:spPr>
          <c:marker>
            <c:symbol val="none"/>
          </c:marker>
          <c:cat>
            <c:strRef>
              <c:f>'Results ICS21'!$D$99:$D$110</c:f>
            </c:strRef>
          </c:cat>
          <c:val>
            <c:numRef>
              <c:f>'Results ICS21'!$G$99:$G$110</c:f>
              <c:numCache/>
            </c:numRef>
          </c:val>
          <c:smooth val="0"/>
        </c:ser>
        <c:ser>
          <c:idx val="3"/>
          <c:order val="3"/>
          <c:tx>
            <c:strRef>
              <c:f>'Results ICS21'!$H$98</c:f>
            </c:strRef>
          </c:tx>
          <c:spPr>
            <a:ln cmpd="sng">
              <a:solidFill>
                <a:srgbClr val="34A853"/>
              </a:solidFill>
            </a:ln>
          </c:spPr>
          <c:marker>
            <c:symbol val="none"/>
          </c:marker>
          <c:cat>
            <c:strRef>
              <c:f>'Results ICS21'!$D$99:$D$110</c:f>
            </c:strRef>
          </c:cat>
          <c:val>
            <c:numRef>
              <c:f>'Results ICS21'!$H$99:$H$110</c:f>
              <c:numCache/>
            </c:numRef>
          </c:val>
          <c:smooth val="0"/>
        </c:ser>
        <c:axId val="1865524612"/>
        <c:axId val="1766627455"/>
      </c:lineChart>
      <c:catAx>
        <c:axId val="18655246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1766627455"/>
      </c:catAx>
      <c:valAx>
        <c:axId val="17666274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5524612"/>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Read-pref, Write-pref, Read-no-pref and Write-no-pref</a:t>
            </a:r>
          </a:p>
        </c:rich>
      </c:tx>
      <c:overlay val="0"/>
    </c:title>
    <c:plotArea>
      <c:layout/>
      <c:lineChart>
        <c:ser>
          <c:idx val="0"/>
          <c:order val="0"/>
          <c:tx>
            <c:strRef>
              <c:f>'Results ICS21'!$E$118</c:f>
            </c:strRef>
          </c:tx>
          <c:spPr>
            <a:ln cmpd="sng">
              <a:solidFill>
                <a:srgbClr val="4285F4"/>
              </a:solidFill>
            </a:ln>
          </c:spPr>
          <c:marker>
            <c:symbol val="none"/>
          </c:marker>
          <c:cat>
            <c:strRef>
              <c:f>'Results ICS21'!$D$119:$D$130</c:f>
            </c:strRef>
          </c:cat>
          <c:val>
            <c:numRef>
              <c:f>'Results ICS21'!$E$119:$E$130</c:f>
              <c:numCache/>
            </c:numRef>
          </c:val>
          <c:smooth val="0"/>
        </c:ser>
        <c:ser>
          <c:idx val="1"/>
          <c:order val="1"/>
          <c:tx>
            <c:strRef>
              <c:f>'Results ICS21'!$F$118</c:f>
            </c:strRef>
          </c:tx>
          <c:spPr>
            <a:ln cmpd="sng">
              <a:solidFill>
                <a:srgbClr val="EA4335"/>
              </a:solidFill>
            </a:ln>
          </c:spPr>
          <c:marker>
            <c:symbol val="none"/>
          </c:marker>
          <c:cat>
            <c:strRef>
              <c:f>'Results ICS21'!$D$119:$D$130</c:f>
            </c:strRef>
          </c:cat>
          <c:val>
            <c:numRef>
              <c:f>'Results ICS21'!$F$119:$F$130</c:f>
              <c:numCache/>
            </c:numRef>
          </c:val>
          <c:smooth val="0"/>
        </c:ser>
        <c:ser>
          <c:idx val="2"/>
          <c:order val="2"/>
          <c:tx>
            <c:strRef>
              <c:f>'Results ICS21'!$G$118</c:f>
            </c:strRef>
          </c:tx>
          <c:spPr>
            <a:ln cmpd="sng">
              <a:solidFill>
                <a:srgbClr val="FBBC04"/>
              </a:solidFill>
            </a:ln>
          </c:spPr>
          <c:marker>
            <c:symbol val="none"/>
          </c:marker>
          <c:cat>
            <c:strRef>
              <c:f>'Results ICS21'!$D$119:$D$130</c:f>
            </c:strRef>
          </c:cat>
          <c:val>
            <c:numRef>
              <c:f>'Results ICS21'!$G$119:$G$130</c:f>
              <c:numCache/>
            </c:numRef>
          </c:val>
          <c:smooth val="0"/>
        </c:ser>
        <c:ser>
          <c:idx val="3"/>
          <c:order val="3"/>
          <c:tx>
            <c:strRef>
              <c:f>'Results ICS21'!$H$118</c:f>
            </c:strRef>
          </c:tx>
          <c:spPr>
            <a:ln cmpd="sng">
              <a:solidFill>
                <a:srgbClr val="34A853"/>
              </a:solidFill>
            </a:ln>
          </c:spPr>
          <c:marker>
            <c:symbol val="none"/>
          </c:marker>
          <c:cat>
            <c:strRef>
              <c:f>'Results ICS21'!$D$119:$D$130</c:f>
            </c:strRef>
          </c:cat>
          <c:val>
            <c:numRef>
              <c:f>'Results ICS21'!$H$119:$H$130</c:f>
              <c:numCache/>
            </c:numRef>
          </c:val>
          <c:smooth val="0"/>
        </c:ser>
        <c:axId val="796060625"/>
        <c:axId val="46419680"/>
      </c:lineChart>
      <c:catAx>
        <c:axId val="7960606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46419680"/>
      </c:catAx>
      <c:valAx>
        <c:axId val="464196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96060625"/>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Read-pref, Write-pref, Read-no-pref and Write-no-pref</a:t>
            </a:r>
          </a:p>
        </c:rich>
      </c:tx>
      <c:overlay val="0"/>
    </c:title>
    <c:plotArea>
      <c:layout/>
      <c:lineChart>
        <c:ser>
          <c:idx val="0"/>
          <c:order val="0"/>
          <c:tx>
            <c:strRef>
              <c:f>'Results ICS21'!$E$137</c:f>
            </c:strRef>
          </c:tx>
          <c:spPr>
            <a:ln cmpd="sng">
              <a:solidFill>
                <a:srgbClr val="4285F4"/>
              </a:solidFill>
            </a:ln>
          </c:spPr>
          <c:marker>
            <c:symbol val="none"/>
          </c:marker>
          <c:cat>
            <c:strRef>
              <c:f>'Results ICS21'!$D$138:$D$149</c:f>
            </c:strRef>
          </c:cat>
          <c:val>
            <c:numRef>
              <c:f>'Results ICS21'!$E$138:$E$149</c:f>
              <c:numCache/>
            </c:numRef>
          </c:val>
          <c:smooth val="0"/>
        </c:ser>
        <c:ser>
          <c:idx val="1"/>
          <c:order val="1"/>
          <c:tx>
            <c:strRef>
              <c:f>'Results ICS21'!$F$137</c:f>
            </c:strRef>
          </c:tx>
          <c:spPr>
            <a:ln cmpd="sng">
              <a:solidFill>
                <a:srgbClr val="EA4335"/>
              </a:solidFill>
            </a:ln>
          </c:spPr>
          <c:marker>
            <c:symbol val="none"/>
          </c:marker>
          <c:cat>
            <c:strRef>
              <c:f>'Results ICS21'!$D$138:$D$149</c:f>
            </c:strRef>
          </c:cat>
          <c:val>
            <c:numRef>
              <c:f>'Results ICS21'!$F$138:$F$149</c:f>
              <c:numCache/>
            </c:numRef>
          </c:val>
          <c:smooth val="0"/>
        </c:ser>
        <c:ser>
          <c:idx val="2"/>
          <c:order val="2"/>
          <c:tx>
            <c:strRef>
              <c:f>'Results ICS21'!$G$137</c:f>
            </c:strRef>
          </c:tx>
          <c:spPr>
            <a:ln cmpd="sng">
              <a:solidFill>
                <a:srgbClr val="FBBC04"/>
              </a:solidFill>
            </a:ln>
          </c:spPr>
          <c:marker>
            <c:symbol val="none"/>
          </c:marker>
          <c:cat>
            <c:strRef>
              <c:f>'Results ICS21'!$D$138:$D$149</c:f>
            </c:strRef>
          </c:cat>
          <c:val>
            <c:numRef>
              <c:f>'Results ICS21'!$G$138:$G$149</c:f>
              <c:numCache/>
            </c:numRef>
          </c:val>
          <c:smooth val="0"/>
        </c:ser>
        <c:ser>
          <c:idx val="3"/>
          <c:order val="3"/>
          <c:tx>
            <c:strRef>
              <c:f>'Results ICS21'!$H$137</c:f>
            </c:strRef>
          </c:tx>
          <c:spPr>
            <a:ln cmpd="sng">
              <a:solidFill>
                <a:srgbClr val="34A853"/>
              </a:solidFill>
            </a:ln>
          </c:spPr>
          <c:marker>
            <c:symbol val="none"/>
          </c:marker>
          <c:cat>
            <c:strRef>
              <c:f>'Results ICS21'!$D$138:$D$149</c:f>
            </c:strRef>
          </c:cat>
          <c:val>
            <c:numRef>
              <c:f>'Results ICS21'!$H$138:$H$149</c:f>
              <c:numCache/>
            </c:numRef>
          </c:val>
          <c:smooth val="0"/>
        </c:ser>
        <c:axId val="603205777"/>
        <c:axId val="571996419"/>
      </c:lineChart>
      <c:catAx>
        <c:axId val="6032057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571996419"/>
      </c:catAx>
      <c:valAx>
        <c:axId val="5719964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3205777"/>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Read_OMP_pref, Write_OMP_pref, Read_Numa_pref and Write_Numa_pref</a:t>
            </a:r>
          </a:p>
        </c:rich>
      </c:tx>
      <c:overlay val="0"/>
    </c:title>
    <c:plotArea>
      <c:layout/>
      <c:lineChart>
        <c:ser>
          <c:idx val="0"/>
          <c:order val="0"/>
          <c:tx>
            <c:strRef>
              <c:f>Numa!$C$6</c:f>
            </c:strRef>
          </c:tx>
          <c:spPr>
            <a:ln cmpd="sng">
              <a:solidFill>
                <a:srgbClr val="4285F4"/>
              </a:solidFill>
            </a:ln>
          </c:spPr>
          <c:marker>
            <c:symbol val="none"/>
          </c:marker>
          <c:cat>
            <c:strRef>
              <c:f>Numa!$B$7:$B$20</c:f>
            </c:strRef>
          </c:cat>
          <c:val>
            <c:numRef>
              <c:f>Numa!$C$7:$C$20</c:f>
              <c:numCache/>
            </c:numRef>
          </c:val>
          <c:smooth val="0"/>
        </c:ser>
        <c:ser>
          <c:idx val="1"/>
          <c:order val="1"/>
          <c:tx>
            <c:strRef>
              <c:f>Numa!$D$6</c:f>
            </c:strRef>
          </c:tx>
          <c:spPr>
            <a:ln cmpd="sng">
              <a:solidFill>
                <a:srgbClr val="EA4335"/>
              </a:solidFill>
            </a:ln>
          </c:spPr>
          <c:marker>
            <c:symbol val="none"/>
          </c:marker>
          <c:cat>
            <c:strRef>
              <c:f>Numa!$B$7:$B$20</c:f>
            </c:strRef>
          </c:cat>
          <c:val>
            <c:numRef>
              <c:f>Numa!$D$7:$D$20</c:f>
              <c:numCache/>
            </c:numRef>
          </c:val>
          <c:smooth val="0"/>
        </c:ser>
        <c:ser>
          <c:idx val="2"/>
          <c:order val="2"/>
          <c:tx>
            <c:strRef>
              <c:f>Numa!$E$6</c:f>
            </c:strRef>
          </c:tx>
          <c:spPr>
            <a:ln cmpd="sng">
              <a:solidFill>
                <a:srgbClr val="FBBC04"/>
              </a:solidFill>
            </a:ln>
          </c:spPr>
          <c:marker>
            <c:symbol val="none"/>
          </c:marker>
          <c:cat>
            <c:strRef>
              <c:f>Numa!$B$7:$B$20</c:f>
            </c:strRef>
          </c:cat>
          <c:val>
            <c:numRef>
              <c:f>Numa!$E$7:$E$20</c:f>
              <c:numCache/>
            </c:numRef>
          </c:val>
          <c:smooth val="0"/>
        </c:ser>
        <c:ser>
          <c:idx val="3"/>
          <c:order val="3"/>
          <c:tx>
            <c:strRef>
              <c:f>Numa!$F$6</c:f>
            </c:strRef>
          </c:tx>
          <c:spPr>
            <a:ln cmpd="sng">
              <a:solidFill>
                <a:srgbClr val="34A853"/>
              </a:solidFill>
            </a:ln>
          </c:spPr>
          <c:marker>
            <c:symbol val="none"/>
          </c:marker>
          <c:cat>
            <c:strRef>
              <c:f>Numa!$B$7:$B$20</c:f>
            </c:strRef>
          </c:cat>
          <c:val>
            <c:numRef>
              <c:f>Numa!$F$7:$F$20</c:f>
              <c:numCache/>
            </c:numRef>
          </c:val>
          <c:smooth val="0"/>
        </c:ser>
        <c:axId val="601304243"/>
        <c:axId val="142539415"/>
      </c:lineChart>
      <c:catAx>
        <c:axId val="6013042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142539415"/>
      </c:catAx>
      <c:valAx>
        <c:axId val="1425394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1304243"/>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Read_OMP_nopref, Write_OMP_nopref, Read_Numa_nopref and Write_Numa_nopref</a:t>
            </a:r>
          </a:p>
        </c:rich>
      </c:tx>
      <c:overlay val="0"/>
    </c:title>
    <c:plotArea>
      <c:layout/>
      <c:lineChart>
        <c:ser>
          <c:idx val="0"/>
          <c:order val="0"/>
          <c:tx>
            <c:strRef>
              <c:f>Numa!$C$25</c:f>
            </c:strRef>
          </c:tx>
          <c:spPr>
            <a:ln cmpd="sng">
              <a:solidFill>
                <a:srgbClr val="4285F4"/>
              </a:solidFill>
            </a:ln>
          </c:spPr>
          <c:marker>
            <c:symbol val="none"/>
          </c:marker>
          <c:cat>
            <c:strRef>
              <c:f>Numa!$B$26:$B$39</c:f>
            </c:strRef>
          </c:cat>
          <c:val>
            <c:numRef>
              <c:f>Numa!$C$26:$C$39</c:f>
              <c:numCache/>
            </c:numRef>
          </c:val>
          <c:smooth val="0"/>
        </c:ser>
        <c:ser>
          <c:idx val="1"/>
          <c:order val="1"/>
          <c:tx>
            <c:strRef>
              <c:f>Numa!$D$25</c:f>
            </c:strRef>
          </c:tx>
          <c:spPr>
            <a:ln cmpd="sng">
              <a:solidFill>
                <a:srgbClr val="EA4335"/>
              </a:solidFill>
            </a:ln>
          </c:spPr>
          <c:marker>
            <c:symbol val="none"/>
          </c:marker>
          <c:cat>
            <c:strRef>
              <c:f>Numa!$B$26:$B$39</c:f>
            </c:strRef>
          </c:cat>
          <c:val>
            <c:numRef>
              <c:f>Numa!$D$26:$D$39</c:f>
              <c:numCache/>
            </c:numRef>
          </c:val>
          <c:smooth val="0"/>
        </c:ser>
        <c:ser>
          <c:idx val="2"/>
          <c:order val="2"/>
          <c:tx>
            <c:strRef>
              <c:f>Numa!$E$25</c:f>
            </c:strRef>
          </c:tx>
          <c:spPr>
            <a:ln cmpd="sng">
              <a:solidFill>
                <a:srgbClr val="FBBC04"/>
              </a:solidFill>
            </a:ln>
          </c:spPr>
          <c:marker>
            <c:symbol val="none"/>
          </c:marker>
          <c:cat>
            <c:strRef>
              <c:f>Numa!$B$26:$B$39</c:f>
            </c:strRef>
          </c:cat>
          <c:val>
            <c:numRef>
              <c:f>Numa!$E$26:$E$39</c:f>
              <c:numCache/>
            </c:numRef>
          </c:val>
          <c:smooth val="0"/>
        </c:ser>
        <c:ser>
          <c:idx val="3"/>
          <c:order val="3"/>
          <c:tx>
            <c:strRef>
              <c:f>Numa!$F$25</c:f>
            </c:strRef>
          </c:tx>
          <c:spPr>
            <a:ln cmpd="sng">
              <a:solidFill>
                <a:srgbClr val="34A853"/>
              </a:solidFill>
            </a:ln>
          </c:spPr>
          <c:marker>
            <c:symbol val="none"/>
          </c:marker>
          <c:cat>
            <c:strRef>
              <c:f>Numa!$B$26:$B$39</c:f>
            </c:strRef>
          </c:cat>
          <c:val>
            <c:numRef>
              <c:f>Numa!$F$26:$F$39</c:f>
              <c:numCache/>
            </c:numRef>
          </c:val>
          <c:smooth val="0"/>
        </c:ser>
        <c:axId val="451734714"/>
        <c:axId val="1400489213"/>
      </c:lineChart>
      <c:catAx>
        <c:axId val="4517347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1400489213"/>
      </c:catAx>
      <c:valAx>
        <c:axId val="14004892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1734714"/>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prefetch: numa vs non numa</a:t>
            </a:r>
          </a:p>
        </c:rich>
      </c:tx>
      <c:overlay val="0"/>
    </c:title>
    <c:plotArea>
      <c:layout/>
      <c:lineChart>
        <c:ser>
          <c:idx val="0"/>
          <c:order val="0"/>
          <c:tx>
            <c:strRef>
              <c:f>Numa!$C$88</c:f>
            </c:strRef>
          </c:tx>
          <c:spPr>
            <a:ln cmpd="sng">
              <a:solidFill>
                <a:srgbClr val="4285F4"/>
              </a:solidFill>
            </a:ln>
          </c:spPr>
          <c:marker>
            <c:symbol val="none"/>
          </c:marker>
          <c:cat>
            <c:strRef>
              <c:f>Numa!$B$89:$B$102</c:f>
            </c:strRef>
          </c:cat>
          <c:val>
            <c:numRef>
              <c:f>Numa!$C$89:$C$102</c:f>
              <c:numCache/>
            </c:numRef>
          </c:val>
          <c:smooth val="0"/>
        </c:ser>
        <c:ser>
          <c:idx val="1"/>
          <c:order val="1"/>
          <c:tx>
            <c:strRef>
              <c:f>Numa!$D$88</c:f>
            </c:strRef>
          </c:tx>
          <c:spPr>
            <a:ln cmpd="sng">
              <a:solidFill>
                <a:srgbClr val="EA4335"/>
              </a:solidFill>
            </a:ln>
          </c:spPr>
          <c:marker>
            <c:symbol val="none"/>
          </c:marker>
          <c:cat>
            <c:strRef>
              <c:f>Numa!$B$89:$B$102</c:f>
            </c:strRef>
          </c:cat>
          <c:val>
            <c:numRef>
              <c:f>Numa!$D$89:$D$102</c:f>
              <c:numCache/>
            </c:numRef>
          </c:val>
          <c:smooth val="0"/>
        </c:ser>
        <c:ser>
          <c:idx val="2"/>
          <c:order val="2"/>
          <c:tx>
            <c:strRef>
              <c:f>Numa!$E$88</c:f>
            </c:strRef>
          </c:tx>
          <c:spPr>
            <a:ln cmpd="sng">
              <a:solidFill>
                <a:srgbClr val="FBBC04"/>
              </a:solidFill>
            </a:ln>
          </c:spPr>
          <c:marker>
            <c:symbol val="none"/>
          </c:marker>
          <c:cat>
            <c:strRef>
              <c:f>Numa!$B$89:$B$102</c:f>
            </c:strRef>
          </c:cat>
          <c:val>
            <c:numRef>
              <c:f>Numa!$E$89:$E$102</c:f>
              <c:numCache/>
            </c:numRef>
          </c:val>
          <c:smooth val="0"/>
        </c:ser>
        <c:ser>
          <c:idx val="3"/>
          <c:order val="3"/>
          <c:tx>
            <c:strRef>
              <c:f>Numa!$F$88</c:f>
            </c:strRef>
          </c:tx>
          <c:spPr>
            <a:ln cmpd="sng">
              <a:solidFill>
                <a:srgbClr val="34A853"/>
              </a:solidFill>
            </a:ln>
          </c:spPr>
          <c:marker>
            <c:symbol val="none"/>
          </c:marker>
          <c:cat>
            <c:strRef>
              <c:f>Numa!$B$89:$B$102</c:f>
            </c:strRef>
          </c:cat>
          <c:val>
            <c:numRef>
              <c:f>Numa!$F$89:$F$102</c:f>
              <c:numCache/>
            </c:numRef>
          </c:val>
          <c:smooth val="0"/>
        </c:ser>
        <c:axId val="2136124561"/>
        <c:axId val="679831659"/>
      </c:lineChart>
      <c:catAx>
        <c:axId val="21361245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679831659"/>
      </c:catAx>
      <c:valAx>
        <c:axId val="6798316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6124561"/>
      </c:valAx>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Prefetch: numa vs nonnuma</a:t>
            </a:r>
          </a:p>
        </c:rich>
      </c:tx>
      <c:overlay val="0"/>
    </c:title>
    <c:plotArea>
      <c:layout/>
      <c:lineChart>
        <c:ser>
          <c:idx val="0"/>
          <c:order val="0"/>
          <c:tx>
            <c:strRef>
              <c:f>Numa!$C$106</c:f>
            </c:strRef>
          </c:tx>
          <c:spPr>
            <a:ln cmpd="sng">
              <a:solidFill>
                <a:srgbClr val="4285F4"/>
              </a:solidFill>
            </a:ln>
          </c:spPr>
          <c:marker>
            <c:symbol val="none"/>
          </c:marker>
          <c:cat>
            <c:strRef>
              <c:f>Numa!$B$107:$B$120</c:f>
            </c:strRef>
          </c:cat>
          <c:val>
            <c:numRef>
              <c:f>Numa!$C$107:$C$120</c:f>
              <c:numCache/>
            </c:numRef>
          </c:val>
          <c:smooth val="0"/>
        </c:ser>
        <c:ser>
          <c:idx val="1"/>
          <c:order val="1"/>
          <c:tx>
            <c:strRef>
              <c:f>Numa!$D$106</c:f>
            </c:strRef>
          </c:tx>
          <c:spPr>
            <a:ln cmpd="sng">
              <a:solidFill>
                <a:srgbClr val="EA4335"/>
              </a:solidFill>
            </a:ln>
          </c:spPr>
          <c:marker>
            <c:symbol val="none"/>
          </c:marker>
          <c:cat>
            <c:strRef>
              <c:f>Numa!$B$107:$B$120</c:f>
            </c:strRef>
          </c:cat>
          <c:val>
            <c:numRef>
              <c:f>Numa!$D$107:$D$120</c:f>
              <c:numCache/>
            </c:numRef>
          </c:val>
          <c:smooth val="0"/>
        </c:ser>
        <c:ser>
          <c:idx val="2"/>
          <c:order val="2"/>
          <c:tx>
            <c:strRef>
              <c:f>Numa!$E$106</c:f>
            </c:strRef>
          </c:tx>
          <c:spPr>
            <a:ln cmpd="sng">
              <a:solidFill>
                <a:srgbClr val="FBBC04"/>
              </a:solidFill>
            </a:ln>
          </c:spPr>
          <c:marker>
            <c:symbol val="none"/>
          </c:marker>
          <c:cat>
            <c:strRef>
              <c:f>Numa!$B$107:$B$120</c:f>
            </c:strRef>
          </c:cat>
          <c:val>
            <c:numRef>
              <c:f>Numa!$E$107:$E$120</c:f>
              <c:numCache/>
            </c:numRef>
          </c:val>
          <c:smooth val="0"/>
        </c:ser>
        <c:ser>
          <c:idx val="3"/>
          <c:order val="3"/>
          <c:tx>
            <c:strRef>
              <c:f>Numa!$F$106</c:f>
            </c:strRef>
          </c:tx>
          <c:spPr>
            <a:ln cmpd="sng">
              <a:solidFill>
                <a:srgbClr val="34A853"/>
              </a:solidFill>
            </a:ln>
          </c:spPr>
          <c:marker>
            <c:symbol val="none"/>
          </c:marker>
          <c:cat>
            <c:strRef>
              <c:f>Numa!$B$107:$B$120</c:f>
            </c:strRef>
          </c:cat>
          <c:val>
            <c:numRef>
              <c:f>Numa!$F$107:$F$120</c:f>
              <c:numCache/>
            </c:numRef>
          </c:val>
          <c:smooth val="0"/>
        </c:ser>
        <c:axId val="1196309990"/>
        <c:axId val="863324486"/>
      </c:lineChart>
      <c:catAx>
        <c:axId val="11963099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863324486"/>
      </c:catAx>
      <c:valAx>
        <c:axId val="8633244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630999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Strided experiment with and without prefetch</a:t>
            </a:r>
          </a:p>
        </c:rich>
      </c:tx>
      <c:overlay val="0"/>
    </c:title>
    <c:plotArea>
      <c:layout/>
      <c:lineChart>
        <c:ser>
          <c:idx val="0"/>
          <c:order val="0"/>
          <c:tx>
            <c:strRef>
              <c:f>'Results MCHPC'!$E$368</c:f>
            </c:strRef>
          </c:tx>
          <c:spPr>
            <a:ln cmpd="sng">
              <a:solidFill>
                <a:srgbClr val="4285F4"/>
              </a:solidFill>
            </a:ln>
          </c:spPr>
          <c:marker>
            <c:symbol val="none"/>
          </c:marker>
          <c:cat>
            <c:strRef>
              <c:f>'Results MCHPC'!$D$369:$D$376</c:f>
            </c:strRef>
          </c:cat>
          <c:val>
            <c:numRef>
              <c:f>'Results MCHPC'!$E$369:$E$376</c:f>
              <c:numCache/>
            </c:numRef>
          </c:val>
          <c:smooth val="0"/>
        </c:ser>
        <c:ser>
          <c:idx val="1"/>
          <c:order val="1"/>
          <c:tx>
            <c:strRef>
              <c:f>'Results MCHPC'!$F$368</c:f>
            </c:strRef>
          </c:tx>
          <c:spPr>
            <a:ln cmpd="sng">
              <a:solidFill>
                <a:srgbClr val="EA4335"/>
              </a:solidFill>
            </a:ln>
          </c:spPr>
          <c:marker>
            <c:symbol val="none"/>
          </c:marker>
          <c:cat>
            <c:strRef>
              <c:f>'Results MCHPC'!$D$369:$D$376</c:f>
            </c:strRef>
          </c:cat>
          <c:val>
            <c:numRef>
              <c:f>'Results MCHPC'!$F$369:$F$376</c:f>
              <c:numCache/>
            </c:numRef>
          </c:val>
          <c:smooth val="0"/>
        </c:ser>
        <c:ser>
          <c:idx val="2"/>
          <c:order val="2"/>
          <c:tx>
            <c:strRef>
              <c:f>'Results MCHPC'!$G$368</c:f>
            </c:strRef>
          </c:tx>
          <c:spPr>
            <a:ln cmpd="sng">
              <a:solidFill>
                <a:srgbClr val="FBBC04"/>
              </a:solidFill>
            </a:ln>
          </c:spPr>
          <c:marker>
            <c:symbol val="none"/>
          </c:marker>
          <c:cat>
            <c:strRef>
              <c:f>'Results MCHPC'!$D$369:$D$376</c:f>
            </c:strRef>
          </c:cat>
          <c:val>
            <c:numRef>
              <c:f>'Results MCHPC'!$G$369:$G$376</c:f>
              <c:numCache/>
            </c:numRef>
          </c:val>
          <c:smooth val="0"/>
        </c:ser>
        <c:ser>
          <c:idx val="3"/>
          <c:order val="3"/>
          <c:tx>
            <c:strRef>
              <c:f>'Results MCHPC'!$H$368</c:f>
            </c:strRef>
          </c:tx>
          <c:spPr>
            <a:ln cmpd="sng">
              <a:solidFill>
                <a:srgbClr val="34A853"/>
              </a:solidFill>
            </a:ln>
          </c:spPr>
          <c:marker>
            <c:symbol val="none"/>
          </c:marker>
          <c:cat>
            <c:strRef>
              <c:f>'Results MCHPC'!$D$369:$D$376</c:f>
            </c:strRef>
          </c:cat>
          <c:val>
            <c:numRef>
              <c:f>'Results MCHPC'!$H$369:$H$376</c:f>
              <c:numCache/>
            </c:numRef>
          </c:val>
          <c:smooth val="0"/>
        </c:ser>
        <c:axId val="1025443204"/>
        <c:axId val="64234447"/>
      </c:lineChart>
      <c:catAx>
        <c:axId val="10254432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64234447"/>
      </c:catAx>
      <c:valAx>
        <c:axId val="642344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5443204"/>
      </c:valAx>
    </c:plotArea>
    <c:legend>
      <c:legendPos val="r"/>
      <c:overlay val="0"/>
      <c:txPr>
        <a:bodyPr/>
        <a:lstStyle/>
        <a:p>
          <a:pPr lvl="0">
            <a:defRPr b="0">
              <a:solidFill>
                <a:srgbClr val="1A1A1A"/>
              </a:solidFill>
              <a:latin typeface="+mn-lt"/>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pref: 4 thread</a:t>
            </a:r>
          </a:p>
        </c:rich>
      </c:tx>
      <c:overlay val="0"/>
    </c:title>
    <c:plotArea>
      <c:layout/>
      <c:lineChart>
        <c:ser>
          <c:idx val="0"/>
          <c:order val="0"/>
          <c:tx>
            <c:strRef>
              <c:f>Numa!$D$47</c:f>
            </c:strRef>
          </c:tx>
          <c:spPr>
            <a:ln cmpd="sng">
              <a:solidFill>
                <a:srgbClr val="4285F4"/>
              </a:solidFill>
            </a:ln>
          </c:spPr>
          <c:marker>
            <c:symbol val="none"/>
          </c:marker>
          <c:cat>
            <c:strRef>
              <c:f>Numa!$C$48:$C$61</c:f>
            </c:strRef>
          </c:cat>
          <c:val>
            <c:numRef>
              <c:f>Numa!$D$48:$D$61</c:f>
              <c:numCache/>
            </c:numRef>
          </c:val>
          <c:smooth val="0"/>
        </c:ser>
        <c:ser>
          <c:idx val="1"/>
          <c:order val="1"/>
          <c:tx>
            <c:strRef>
              <c:f>Numa!$E$47</c:f>
            </c:strRef>
          </c:tx>
          <c:spPr>
            <a:ln cmpd="sng">
              <a:solidFill>
                <a:srgbClr val="EA4335"/>
              </a:solidFill>
            </a:ln>
          </c:spPr>
          <c:marker>
            <c:symbol val="none"/>
          </c:marker>
          <c:cat>
            <c:strRef>
              <c:f>Numa!$C$48:$C$61</c:f>
            </c:strRef>
          </c:cat>
          <c:val>
            <c:numRef>
              <c:f>Numa!$E$48:$E$61</c:f>
              <c:numCache/>
            </c:numRef>
          </c:val>
          <c:smooth val="0"/>
        </c:ser>
        <c:ser>
          <c:idx val="2"/>
          <c:order val="2"/>
          <c:tx>
            <c:strRef>
              <c:f>Numa!$F$47</c:f>
            </c:strRef>
          </c:tx>
          <c:spPr>
            <a:ln cmpd="sng">
              <a:solidFill>
                <a:srgbClr val="FBBC04"/>
              </a:solidFill>
            </a:ln>
          </c:spPr>
          <c:marker>
            <c:symbol val="none"/>
          </c:marker>
          <c:cat>
            <c:strRef>
              <c:f>Numa!$C$48:$C$61</c:f>
            </c:strRef>
          </c:cat>
          <c:val>
            <c:numRef>
              <c:f>Numa!$F$48:$F$61</c:f>
              <c:numCache/>
            </c:numRef>
          </c:val>
          <c:smooth val="0"/>
        </c:ser>
        <c:ser>
          <c:idx val="3"/>
          <c:order val="3"/>
          <c:tx>
            <c:strRef>
              <c:f>Numa!$G$47</c:f>
            </c:strRef>
          </c:tx>
          <c:spPr>
            <a:ln cmpd="sng">
              <a:solidFill>
                <a:srgbClr val="34A853"/>
              </a:solidFill>
            </a:ln>
          </c:spPr>
          <c:marker>
            <c:symbol val="none"/>
          </c:marker>
          <c:cat>
            <c:strRef>
              <c:f>Numa!$C$48:$C$61</c:f>
            </c:strRef>
          </c:cat>
          <c:val>
            <c:numRef>
              <c:f>Numa!$G$48:$G$61</c:f>
              <c:numCache/>
            </c:numRef>
          </c:val>
          <c:smooth val="0"/>
        </c:ser>
        <c:axId val="1881429907"/>
        <c:axId val="1135214688"/>
      </c:lineChart>
      <c:catAx>
        <c:axId val="18814299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1135214688"/>
      </c:catAx>
      <c:valAx>
        <c:axId val="11352146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1429907"/>
      </c:valAx>
    </c:plotArea>
    <c:legend>
      <c:legendPos val="r"/>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prefetch: 4 thread: numa vs nonnuma</a:t>
            </a:r>
          </a:p>
        </c:rich>
      </c:tx>
      <c:overlay val="0"/>
    </c:title>
    <c:plotArea>
      <c:layout/>
      <c:lineChart>
        <c:ser>
          <c:idx val="0"/>
          <c:order val="0"/>
          <c:tx>
            <c:strRef>
              <c:f>Numa!$D$66</c:f>
            </c:strRef>
          </c:tx>
          <c:spPr>
            <a:ln cmpd="sng">
              <a:solidFill>
                <a:srgbClr val="4285F4"/>
              </a:solidFill>
            </a:ln>
          </c:spPr>
          <c:marker>
            <c:symbol val="none"/>
          </c:marker>
          <c:cat>
            <c:strRef>
              <c:f>Numa!$C$67:$C$80</c:f>
            </c:strRef>
          </c:cat>
          <c:val>
            <c:numRef>
              <c:f>Numa!$D$67:$D$80</c:f>
              <c:numCache/>
            </c:numRef>
          </c:val>
          <c:smooth val="0"/>
        </c:ser>
        <c:ser>
          <c:idx val="1"/>
          <c:order val="1"/>
          <c:tx>
            <c:strRef>
              <c:f>Numa!$E$66</c:f>
            </c:strRef>
          </c:tx>
          <c:spPr>
            <a:ln cmpd="sng">
              <a:solidFill>
                <a:srgbClr val="EA4335"/>
              </a:solidFill>
            </a:ln>
          </c:spPr>
          <c:marker>
            <c:symbol val="none"/>
          </c:marker>
          <c:cat>
            <c:strRef>
              <c:f>Numa!$C$67:$C$80</c:f>
            </c:strRef>
          </c:cat>
          <c:val>
            <c:numRef>
              <c:f>Numa!$E$67:$E$80</c:f>
              <c:numCache/>
            </c:numRef>
          </c:val>
          <c:smooth val="0"/>
        </c:ser>
        <c:ser>
          <c:idx val="2"/>
          <c:order val="2"/>
          <c:tx>
            <c:strRef>
              <c:f>Numa!$F$66</c:f>
            </c:strRef>
          </c:tx>
          <c:spPr>
            <a:ln cmpd="sng">
              <a:solidFill>
                <a:srgbClr val="FBBC04"/>
              </a:solidFill>
            </a:ln>
          </c:spPr>
          <c:marker>
            <c:symbol val="none"/>
          </c:marker>
          <c:cat>
            <c:strRef>
              <c:f>Numa!$C$67:$C$80</c:f>
            </c:strRef>
          </c:cat>
          <c:val>
            <c:numRef>
              <c:f>Numa!$F$67:$F$80</c:f>
              <c:numCache/>
            </c:numRef>
          </c:val>
          <c:smooth val="0"/>
        </c:ser>
        <c:ser>
          <c:idx val="3"/>
          <c:order val="3"/>
          <c:tx>
            <c:strRef>
              <c:f>Numa!$G$66</c:f>
            </c:strRef>
          </c:tx>
          <c:spPr>
            <a:ln cmpd="sng">
              <a:solidFill>
                <a:srgbClr val="34A853"/>
              </a:solidFill>
            </a:ln>
          </c:spPr>
          <c:marker>
            <c:symbol val="none"/>
          </c:marker>
          <c:cat>
            <c:strRef>
              <c:f>Numa!$C$67:$C$80</c:f>
            </c:strRef>
          </c:cat>
          <c:val>
            <c:numRef>
              <c:f>Numa!$G$67:$G$80</c:f>
              <c:numCache/>
            </c:numRef>
          </c:val>
          <c:smooth val="0"/>
        </c:ser>
        <c:axId val="894407173"/>
        <c:axId val="178434012"/>
      </c:lineChart>
      <c:catAx>
        <c:axId val="8944071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178434012"/>
      </c:catAx>
      <c:valAx>
        <c:axId val="1784340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4407173"/>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non prefetch: 16 thread: numa vs non numa</a:t>
            </a:r>
          </a:p>
        </c:rich>
      </c:tx>
      <c:overlay val="0"/>
    </c:title>
    <c:plotArea>
      <c:layout/>
      <c:lineChart>
        <c:ser>
          <c:idx val="0"/>
          <c:order val="0"/>
          <c:tx>
            <c:strRef>
              <c:f>Numa!$C$128</c:f>
            </c:strRef>
          </c:tx>
          <c:spPr>
            <a:ln cmpd="sng">
              <a:solidFill>
                <a:srgbClr val="4285F4"/>
              </a:solidFill>
            </a:ln>
          </c:spPr>
          <c:marker>
            <c:symbol val="none"/>
          </c:marker>
          <c:cat>
            <c:strRef>
              <c:f>Numa!$B$129:$B$142</c:f>
            </c:strRef>
          </c:cat>
          <c:val>
            <c:numRef>
              <c:f>Numa!$C$129:$C$142</c:f>
              <c:numCache/>
            </c:numRef>
          </c:val>
          <c:smooth val="0"/>
        </c:ser>
        <c:ser>
          <c:idx val="1"/>
          <c:order val="1"/>
          <c:tx>
            <c:strRef>
              <c:f>Numa!$D$128</c:f>
            </c:strRef>
          </c:tx>
          <c:spPr>
            <a:ln cmpd="sng">
              <a:solidFill>
                <a:srgbClr val="EA4335"/>
              </a:solidFill>
            </a:ln>
          </c:spPr>
          <c:marker>
            <c:symbol val="none"/>
          </c:marker>
          <c:cat>
            <c:strRef>
              <c:f>Numa!$B$129:$B$142</c:f>
            </c:strRef>
          </c:cat>
          <c:val>
            <c:numRef>
              <c:f>Numa!$D$129:$D$142</c:f>
              <c:numCache/>
            </c:numRef>
          </c:val>
          <c:smooth val="0"/>
        </c:ser>
        <c:ser>
          <c:idx val="2"/>
          <c:order val="2"/>
          <c:tx>
            <c:strRef>
              <c:f>Numa!$E$128</c:f>
            </c:strRef>
          </c:tx>
          <c:spPr>
            <a:ln cmpd="sng">
              <a:solidFill>
                <a:srgbClr val="FBBC04"/>
              </a:solidFill>
            </a:ln>
          </c:spPr>
          <c:marker>
            <c:symbol val="none"/>
          </c:marker>
          <c:cat>
            <c:strRef>
              <c:f>Numa!$B$129:$B$142</c:f>
            </c:strRef>
          </c:cat>
          <c:val>
            <c:numRef>
              <c:f>Numa!$E$129:$E$142</c:f>
              <c:numCache/>
            </c:numRef>
          </c:val>
          <c:smooth val="0"/>
        </c:ser>
        <c:ser>
          <c:idx val="3"/>
          <c:order val="3"/>
          <c:tx>
            <c:strRef>
              <c:f>Numa!$F$128</c:f>
            </c:strRef>
          </c:tx>
          <c:spPr>
            <a:ln cmpd="sng">
              <a:solidFill>
                <a:srgbClr val="34A853"/>
              </a:solidFill>
            </a:ln>
          </c:spPr>
          <c:marker>
            <c:symbol val="none"/>
          </c:marker>
          <c:cat>
            <c:strRef>
              <c:f>Numa!$B$129:$B$142</c:f>
            </c:strRef>
          </c:cat>
          <c:val>
            <c:numRef>
              <c:f>Numa!$F$129:$F$142</c:f>
              <c:numCache/>
            </c:numRef>
          </c:val>
          <c:smooth val="0"/>
        </c:ser>
        <c:axId val="1805087086"/>
        <c:axId val="2088710784"/>
      </c:lineChart>
      <c:catAx>
        <c:axId val="18050870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2088710784"/>
      </c:catAx>
      <c:valAx>
        <c:axId val="20887107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5087086"/>
      </c:valAx>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prefetch: 16 thread: numa vs non numa</a:t>
            </a:r>
          </a:p>
        </c:rich>
      </c:tx>
      <c:overlay val="0"/>
    </c:title>
    <c:plotArea>
      <c:layout/>
      <c:lineChart>
        <c:ser>
          <c:idx val="0"/>
          <c:order val="0"/>
          <c:tx>
            <c:strRef>
              <c:f>Numa!$C$146</c:f>
            </c:strRef>
          </c:tx>
          <c:spPr>
            <a:ln cmpd="sng">
              <a:solidFill>
                <a:srgbClr val="4285F4"/>
              </a:solidFill>
            </a:ln>
          </c:spPr>
          <c:marker>
            <c:symbol val="none"/>
          </c:marker>
          <c:cat>
            <c:strRef>
              <c:f>Numa!$B$147:$B$160</c:f>
            </c:strRef>
          </c:cat>
          <c:val>
            <c:numRef>
              <c:f>Numa!$C$147:$C$160</c:f>
              <c:numCache/>
            </c:numRef>
          </c:val>
          <c:smooth val="0"/>
        </c:ser>
        <c:ser>
          <c:idx val="1"/>
          <c:order val="1"/>
          <c:tx>
            <c:strRef>
              <c:f>Numa!$D$146</c:f>
            </c:strRef>
          </c:tx>
          <c:spPr>
            <a:ln cmpd="sng">
              <a:solidFill>
                <a:srgbClr val="EA4335"/>
              </a:solidFill>
            </a:ln>
          </c:spPr>
          <c:marker>
            <c:symbol val="none"/>
          </c:marker>
          <c:cat>
            <c:strRef>
              <c:f>Numa!$B$147:$B$160</c:f>
            </c:strRef>
          </c:cat>
          <c:val>
            <c:numRef>
              <c:f>Numa!$D$147:$D$160</c:f>
              <c:numCache/>
            </c:numRef>
          </c:val>
          <c:smooth val="0"/>
        </c:ser>
        <c:ser>
          <c:idx val="2"/>
          <c:order val="2"/>
          <c:tx>
            <c:strRef>
              <c:f>Numa!$E$146</c:f>
            </c:strRef>
          </c:tx>
          <c:spPr>
            <a:ln cmpd="sng">
              <a:solidFill>
                <a:srgbClr val="FBBC04"/>
              </a:solidFill>
            </a:ln>
          </c:spPr>
          <c:marker>
            <c:symbol val="none"/>
          </c:marker>
          <c:cat>
            <c:strRef>
              <c:f>Numa!$B$147:$B$160</c:f>
            </c:strRef>
          </c:cat>
          <c:val>
            <c:numRef>
              <c:f>Numa!$E$147:$E$160</c:f>
              <c:numCache/>
            </c:numRef>
          </c:val>
          <c:smooth val="0"/>
        </c:ser>
        <c:ser>
          <c:idx val="3"/>
          <c:order val="3"/>
          <c:tx>
            <c:strRef>
              <c:f>Numa!$F$146</c:f>
            </c:strRef>
          </c:tx>
          <c:spPr>
            <a:ln cmpd="sng">
              <a:solidFill>
                <a:srgbClr val="34A853"/>
              </a:solidFill>
            </a:ln>
          </c:spPr>
          <c:marker>
            <c:symbol val="none"/>
          </c:marker>
          <c:cat>
            <c:strRef>
              <c:f>Numa!$B$147:$B$160</c:f>
            </c:strRef>
          </c:cat>
          <c:val>
            <c:numRef>
              <c:f>Numa!$F$147:$F$160</c:f>
              <c:numCache/>
            </c:numRef>
          </c:val>
          <c:smooth val="0"/>
        </c:ser>
        <c:axId val="1615837847"/>
        <c:axId val="1740331598"/>
      </c:lineChart>
      <c:catAx>
        <c:axId val="16158378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1740331598"/>
      </c:catAx>
      <c:valAx>
        <c:axId val="17403315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583784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aligned strided experiment with and without prefetch</a:t>
            </a:r>
          </a:p>
        </c:rich>
      </c:tx>
      <c:overlay val="0"/>
    </c:title>
    <c:plotArea>
      <c:layout/>
      <c:lineChart>
        <c:ser>
          <c:idx val="0"/>
          <c:order val="0"/>
          <c:tx>
            <c:strRef>
              <c:f>'Results MCHPC'!$E$386</c:f>
            </c:strRef>
          </c:tx>
          <c:spPr>
            <a:ln cmpd="sng">
              <a:solidFill>
                <a:srgbClr val="4285F4"/>
              </a:solidFill>
            </a:ln>
          </c:spPr>
          <c:marker>
            <c:symbol val="none"/>
          </c:marker>
          <c:cat>
            <c:strRef>
              <c:f>'Results MCHPC'!$D$387:$D$394</c:f>
            </c:strRef>
          </c:cat>
          <c:val>
            <c:numRef>
              <c:f>'Results MCHPC'!$E$387:$E$394</c:f>
              <c:numCache/>
            </c:numRef>
          </c:val>
          <c:smooth val="0"/>
        </c:ser>
        <c:ser>
          <c:idx val="1"/>
          <c:order val="1"/>
          <c:tx>
            <c:strRef>
              <c:f>'Results MCHPC'!$F$386</c:f>
            </c:strRef>
          </c:tx>
          <c:spPr>
            <a:ln cmpd="sng">
              <a:solidFill>
                <a:srgbClr val="EA4335"/>
              </a:solidFill>
            </a:ln>
          </c:spPr>
          <c:marker>
            <c:symbol val="none"/>
          </c:marker>
          <c:cat>
            <c:strRef>
              <c:f>'Results MCHPC'!$D$387:$D$394</c:f>
            </c:strRef>
          </c:cat>
          <c:val>
            <c:numRef>
              <c:f>'Results MCHPC'!$F$387:$F$394</c:f>
              <c:numCache/>
            </c:numRef>
          </c:val>
          <c:smooth val="0"/>
        </c:ser>
        <c:ser>
          <c:idx val="2"/>
          <c:order val="2"/>
          <c:tx>
            <c:strRef>
              <c:f>'Results MCHPC'!$G$386</c:f>
            </c:strRef>
          </c:tx>
          <c:spPr>
            <a:ln cmpd="sng">
              <a:solidFill>
                <a:srgbClr val="FBBC04"/>
              </a:solidFill>
            </a:ln>
          </c:spPr>
          <c:marker>
            <c:symbol val="none"/>
          </c:marker>
          <c:cat>
            <c:strRef>
              <c:f>'Results MCHPC'!$D$387:$D$394</c:f>
            </c:strRef>
          </c:cat>
          <c:val>
            <c:numRef>
              <c:f>'Results MCHPC'!$G$387:$G$394</c:f>
              <c:numCache/>
            </c:numRef>
          </c:val>
          <c:smooth val="0"/>
        </c:ser>
        <c:ser>
          <c:idx val="3"/>
          <c:order val="3"/>
          <c:tx>
            <c:strRef>
              <c:f>'Results MCHPC'!$H$386</c:f>
            </c:strRef>
          </c:tx>
          <c:spPr>
            <a:ln cmpd="sng">
              <a:solidFill>
                <a:srgbClr val="34A853"/>
              </a:solidFill>
            </a:ln>
          </c:spPr>
          <c:marker>
            <c:symbol val="none"/>
          </c:marker>
          <c:cat>
            <c:strRef>
              <c:f>'Results MCHPC'!$D$387:$D$394</c:f>
            </c:strRef>
          </c:cat>
          <c:val>
            <c:numRef>
              <c:f>'Results MCHPC'!$H$387:$H$394</c:f>
              <c:numCache/>
            </c:numRef>
          </c:val>
          <c:smooth val="0"/>
        </c:ser>
        <c:axId val="1646463912"/>
        <c:axId val="1843967400"/>
      </c:lineChart>
      <c:catAx>
        <c:axId val="16464639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1843967400"/>
      </c:catAx>
      <c:valAx>
        <c:axId val="18439674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646391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Read_non-aligned, Write_non-aligned, Read_aligned and Write_aligned</a:t>
            </a:r>
          </a:p>
        </c:rich>
      </c:tx>
      <c:overlay val="0"/>
    </c:title>
    <c:plotArea>
      <c:layout/>
      <c:lineChart>
        <c:ser>
          <c:idx val="0"/>
          <c:order val="0"/>
          <c:tx>
            <c:strRef>
              <c:f>'Results MCHPC'!$E$405</c:f>
            </c:strRef>
          </c:tx>
          <c:spPr>
            <a:ln cmpd="sng">
              <a:solidFill>
                <a:srgbClr val="4285F4"/>
              </a:solidFill>
            </a:ln>
          </c:spPr>
          <c:marker>
            <c:symbol val="none"/>
          </c:marker>
          <c:cat>
            <c:strRef>
              <c:f>'Results MCHPC'!$D$406:$D$413</c:f>
            </c:strRef>
          </c:cat>
          <c:val>
            <c:numRef>
              <c:f>'Results MCHPC'!$E$406:$E$413</c:f>
              <c:numCache/>
            </c:numRef>
          </c:val>
          <c:smooth val="0"/>
        </c:ser>
        <c:ser>
          <c:idx val="1"/>
          <c:order val="1"/>
          <c:tx>
            <c:strRef>
              <c:f>'Results MCHPC'!$F$405</c:f>
            </c:strRef>
          </c:tx>
          <c:spPr>
            <a:ln cmpd="sng">
              <a:solidFill>
                <a:srgbClr val="EA4335"/>
              </a:solidFill>
            </a:ln>
          </c:spPr>
          <c:marker>
            <c:symbol val="none"/>
          </c:marker>
          <c:cat>
            <c:strRef>
              <c:f>'Results MCHPC'!$D$406:$D$413</c:f>
            </c:strRef>
          </c:cat>
          <c:val>
            <c:numRef>
              <c:f>'Results MCHPC'!$F$406:$F$413</c:f>
              <c:numCache/>
            </c:numRef>
          </c:val>
          <c:smooth val="0"/>
        </c:ser>
        <c:ser>
          <c:idx val="2"/>
          <c:order val="2"/>
          <c:tx>
            <c:strRef>
              <c:f>'Results MCHPC'!$G$405</c:f>
            </c:strRef>
          </c:tx>
          <c:spPr>
            <a:ln cmpd="sng">
              <a:solidFill>
                <a:srgbClr val="FBBC04"/>
              </a:solidFill>
            </a:ln>
          </c:spPr>
          <c:marker>
            <c:symbol val="none"/>
          </c:marker>
          <c:cat>
            <c:strRef>
              <c:f>'Results MCHPC'!$D$406:$D$413</c:f>
            </c:strRef>
          </c:cat>
          <c:val>
            <c:numRef>
              <c:f>'Results MCHPC'!$G$406:$G$413</c:f>
              <c:numCache/>
            </c:numRef>
          </c:val>
          <c:smooth val="0"/>
        </c:ser>
        <c:ser>
          <c:idx val="3"/>
          <c:order val="3"/>
          <c:tx>
            <c:strRef>
              <c:f>'Results MCHPC'!$H$405</c:f>
            </c:strRef>
          </c:tx>
          <c:spPr>
            <a:ln cmpd="sng">
              <a:solidFill>
                <a:srgbClr val="34A853"/>
              </a:solidFill>
            </a:ln>
          </c:spPr>
          <c:marker>
            <c:symbol val="none"/>
          </c:marker>
          <c:cat>
            <c:strRef>
              <c:f>'Results MCHPC'!$D$406:$D$413</c:f>
            </c:strRef>
          </c:cat>
          <c:val>
            <c:numRef>
              <c:f>'Results MCHPC'!$H$406:$H$413</c:f>
              <c:numCache/>
            </c:numRef>
          </c:val>
          <c:smooth val="0"/>
        </c:ser>
        <c:axId val="984271380"/>
        <c:axId val="1683820914"/>
      </c:lineChart>
      <c:catAx>
        <c:axId val="9842713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a:t>
                </a:r>
              </a:p>
            </c:rich>
          </c:tx>
          <c:overlay val="0"/>
        </c:title>
        <c:numFmt formatCode="General" sourceLinked="1"/>
        <c:majorTickMark val="none"/>
        <c:minorTickMark val="none"/>
        <c:spPr/>
        <c:txPr>
          <a:bodyPr/>
          <a:lstStyle/>
          <a:p>
            <a:pPr lvl="0">
              <a:defRPr b="0">
                <a:solidFill>
                  <a:srgbClr val="000000"/>
                </a:solidFill>
                <a:latin typeface="+mn-lt"/>
              </a:defRPr>
            </a:pPr>
          </a:p>
        </c:txPr>
        <c:crossAx val="1683820914"/>
      </c:catAx>
      <c:valAx>
        <c:axId val="16838209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84271380"/>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100M Read and Write</a:t>
            </a:r>
          </a:p>
        </c:rich>
      </c:tx>
      <c:overlay val="0"/>
    </c:title>
    <c:plotArea>
      <c:layout/>
      <c:lineChart>
        <c:ser>
          <c:idx val="0"/>
          <c:order val="0"/>
          <c:tx>
            <c:strRef>
              <c:f>'Results MCHPC'!$D$435</c:f>
            </c:strRef>
          </c:tx>
          <c:spPr>
            <a:ln cmpd="sng">
              <a:solidFill>
                <a:srgbClr val="4285F4"/>
              </a:solidFill>
            </a:ln>
          </c:spPr>
          <c:marker>
            <c:symbol val="none"/>
          </c:marker>
          <c:cat>
            <c:strRef>
              <c:f>'Results MCHPC'!$C$436:$C$444</c:f>
            </c:strRef>
          </c:cat>
          <c:val>
            <c:numRef>
              <c:f>'Results MCHPC'!$D$436:$D$444</c:f>
              <c:numCache/>
            </c:numRef>
          </c:val>
          <c:smooth val="0"/>
        </c:ser>
        <c:ser>
          <c:idx val="1"/>
          <c:order val="1"/>
          <c:tx>
            <c:strRef>
              <c:f>'Results MCHPC'!$E$435</c:f>
            </c:strRef>
          </c:tx>
          <c:spPr>
            <a:ln cmpd="sng">
              <a:solidFill>
                <a:srgbClr val="EA4335"/>
              </a:solidFill>
            </a:ln>
          </c:spPr>
          <c:marker>
            <c:symbol val="none"/>
          </c:marker>
          <c:cat>
            <c:strRef>
              <c:f>'Results MCHPC'!$C$436:$C$444</c:f>
            </c:strRef>
          </c:cat>
          <c:val>
            <c:numRef>
              <c:f>'Results MCHPC'!$E$436:$E$444</c:f>
              <c:numCache/>
            </c:numRef>
          </c:val>
          <c:smooth val="0"/>
        </c:ser>
        <c:axId val="788272673"/>
        <c:axId val="1678598334"/>
      </c:lineChart>
      <c:catAx>
        <c:axId val="7882726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 </a:t>
                </a:r>
              </a:p>
            </c:rich>
          </c:tx>
          <c:overlay val="0"/>
        </c:title>
        <c:numFmt formatCode="General" sourceLinked="1"/>
        <c:majorTickMark val="none"/>
        <c:minorTickMark val="none"/>
        <c:spPr/>
        <c:txPr>
          <a:bodyPr/>
          <a:lstStyle/>
          <a:p>
            <a:pPr lvl="0">
              <a:defRPr b="0">
                <a:solidFill>
                  <a:srgbClr val="000000"/>
                </a:solidFill>
                <a:latin typeface="+mn-lt"/>
              </a:defRPr>
            </a:pPr>
          </a:p>
        </c:txPr>
        <c:crossAx val="1678598334"/>
      </c:catAx>
      <c:valAx>
        <c:axId val="16785983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8272673"/>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10M Read and Write</a:t>
            </a:r>
          </a:p>
        </c:rich>
      </c:tx>
      <c:layout>
        <c:manualLayout>
          <c:xMode val="edge"/>
          <c:yMode val="edge"/>
          <c:x val="0.03091666666666667"/>
          <c:y val="0.04730458221024259"/>
        </c:manualLayout>
      </c:layout>
      <c:overlay val="0"/>
    </c:title>
    <c:plotArea>
      <c:layout/>
      <c:lineChart>
        <c:ser>
          <c:idx val="0"/>
          <c:order val="0"/>
          <c:tx>
            <c:strRef>
              <c:f>'Results MCHPC'!$D$448</c:f>
            </c:strRef>
          </c:tx>
          <c:spPr>
            <a:ln cmpd="sng">
              <a:solidFill>
                <a:srgbClr val="4285F4"/>
              </a:solidFill>
            </a:ln>
          </c:spPr>
          <c:marker>
            <c:symbol val="none"/>
          </c:marker>
          <c:cat>
            <c:strRef>
              <c:f>'Results MCHPC'!$C$449:$C$457</c:f>
            </c:strRef>
          </c:cat>
          <c:val>
            <c:numRef>
              <c:f>'Results MCHPC'!$D$449:$D$457</c:f>
              <c:numCache/>
            </c:numRef>
          </c:val>
          <c:smooth val="0"/>
        </c:ser>
        <c:ser>
          <c:idx val="1"/>
          <c:order val="1"/>
          <c:tx>
            <c:strRef>
              <c:f>'Results MCHPC'!$E$448</c:f>
            </c:strRef>
          </c:tx>
          <c:spPr>
            <a:ln cmpd="sng">
              <a:solidFill>
                <a:srgbClr val="EA4335"/>
              </a:solidFill>
            </a:ln>
          </c:spPr>
          <c:marker>
            <c:symbol val="none"/>
          </c:marker>
          <c:cat>
            <c:strRef>
              <c:f>'Results MCHPC'!$C$449:$C$457</c:f>
            </c:strRef>
          </c:cat>
          <c:val>
            <c:numRef>
              <c:f>'Results MCHPC'!$E$449:$E$457</c:f>
              <c:numCache/>
            </c:numRef>
          </c:val>
          <c:smooth val="0"/>
        </c:ser>
        <c:axId val="1125824903"/>
        <c:axId val="1190252633"/>
      </c:lineChart>
      <c:catAx>
        <c:axId val="11258249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 </a:t>
                </a:r>
              </a:p>
            </c:rich>
          </c:tx>
          <c:overlay val="0"/>
        </c:title>
        <c:numFmt formatCode="General" sourceLinked="1"/>
        <c:majorTickMark val="none"/>
        <c:minorTickMark val="none"/>
        <c:spPr/>
        <c:txPr>
          <a:bodyPr/>
          <a:lstStyle/>
          <a:p>
            <a:pPr lvl="0">
              <a:defRPr b="0">
                <a:solidFill>
                  <a:srgbClr val="000000"/>
                </a:solidFill>
                <a:latin typeface="+mn-lt"/>
              </a:defRPr>
            </a:pPr>
          </a:p>
        </c:txPr>
        <c:crossAx val="1190252633"/>
      </c:catAx>
      <c:valAx>
        <c:axId val="11902526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5824903"/>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1M Read and Write</a:t>
            </a:r>
          </a:p>
        </c:rich>
      </c:tx>
      <c:overlay val="0"/>
    </c:title>
    <c:plotArea>
      <c:layout/>
      <c:lineChart>
        <c:ser>
          <c:idx val="0"/>
          <c:order val="0"/>
          <c:tx>
            <c:strRef>
              <c:f>'Results MCHPC'!$D$464</c:f>
            </c:strRef>
          </c:tx>
          <c:spPr>
            <a:ln cmpd="sng">
              <a:solidFill>
                <a:srgbClr val="4285F4"/>
              </a:solidFill>
            </a:ln>
          </c:spPr>
          <c:marker>
            <c:symbol val="none"/>
          </c:marker>
          <c:cat>
            <c:strRef>
              <c:f>'Results MCHPC'!$C$465:$C$473</c:f>
            </c:strRef>
          </c:cat>
          <c:val>
            <c:numRef>
              <c:f>'Results MCHPC'!$D$465:$D$473</c:f>
              <c:numCache/>
            </c:numRef>
          </c:val>
          <c:smooth val="0"/>
        </c:ser>
        <c:ser>
          <c:idx val="1"/>
          <c:order val="1"/>
          <c:tx>
            <c:strRef>
              <c:f>'Results MCHPC'!$E$464</c:f>
            </c:strRef>
          </c:tx>
          <c:spPr>
            <a:ln cmpd="sng">
              <a:solidFill>
                <a:srgbClr val="EA4335"/>
              </a:solidFill>
            </a:ln>
          </c:spPr>
          <c:marker>
            <c:symbol val="none"/>
          </c:marker>
          <c:cat>
            <c:strRef>
              <c:f>'Results MCHPC'!$C$465:$C$473</c:f>
            </c:strRef>
          </c:cat>
          <c:val>
            <c:numRef>
              <c:f>'Results MCHPC'!$E$465:$E$473</c:f>
              <c:numCache/>
            </c:numRef>
          </c:val>
          <c:smooth val="0"/>
        </c:ser>
        <c:axId val="1138426787"/>
        <c:axId val="412566994"/>
      </c:lineChart>
      <c:catAx>
        <c:axId val="11384267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 </a:t>
                </a:r>
              </a:p>
            </c:rich>
          </c:tx>
          <c:overlay val="0"/>
        </c:title>
        <c:numFmt formatCode="General" sourceLinked="1"/>
        <c:majorTickMark val="none"/>
        <c:minorTickMark val="none"/>
        <c:spPr/>
        <c:txPr>
          <a:bodyPr/>
          <a:lstStyle/>
          <a:p>
            <a:pPr lvl="0">
              <a:defRPr b="0">
                <a:solidFill>
                  <a:srgbClr val="000000"/>
                </a:solidFill>
                <a:latin typeface="+mn-lt"/>
              </a:defRPr>
            </a:pPr>
          </a:p>
        </c:txPr>
        <c:crossAx val="412566994"/>
      </c:catAx>
      <c:valAx>
        <c:axId val="4125669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8426787"/>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Read, Write and difference</a:t>
            </a:r>
          </a:p>
        </c:rich>
      </c:tx>
      <c:overlay val="0"/>
    </c:title>
    <c:plotArea>
      <c:layout/>
      <c:lineChart>
        <c:ser>
          <c:idx val="0"/>
          <c:order val="0"/>
          <c:tx>
            <c:strRef>
              <c:f>'Results MCHPC'!$D$486</c:f>
            </c:strRef>
          </c:tx>
          <c:spPr>
            <a:ln cmpd="sng">
              <a:solidFill>
                <a:srgbClr val="4285F4"/>
              </a:solidFill>
            </a:ln>
          </c:spPr>
          <c:marker>
            <c:symbol val="none"/>
          </c:marker>
          <c:cat>
            <c:strRef>
              <c:f>'Results MCHPC'!$C$487:$C$495</c:f>
            </c:strRef>
          </c:cat>
          <c:val>
            <c:numRef>
              <c:f>'Results MCHPC'!$D$487:$D$495</c:f>
              <c:numCache/>
            </c:numRef>
          </c:val>
          <c:smooth val="0"/>
        </c:ser>
        <c:ser>
          <c:idx val="1"/>
          <c:order val="1"/>
          <c:tx>
            <c:strRef>
              <c:f>'Results MCHPC'!$E$486</c:f>
            </c:strRef>
          </c:tx>
          <c:spPr>
            <a:ln cmpd="sng">
              <a:solidFill>
                <a:srgbClr val="EA4335"/>
              </a:solidFill>
            </a:ln>
          </c:spPr>
          <c:marker>
            <c:symbol val="none"/>
          </c:marker>
          <c:cat>
            <c:strRef>
              <c:f>'Results MCHPC'!$C$487:$C$495</c:f>
            </c:strRef>
          </c:cat>
          <c:val>
            <c:numRef>
              <c:f>'Results MCHPC'!$E$487:$E$495</c:f>
              <c:numCache/>
            </c:numRef>
          </c:val>
          <c:smooth val="0"/>
        </c:ser>
        <c:ser>
          <c:idx val="2"/>
          <c:order val="2"/>
          <c:tx>
            <c:strRef>
              <c:f>'Results MCHPC'!$F$486</c:f>
            </c:strRef>
          </c:tx>
          <c:spPr>
            <a:ln cmpd="sng">
              <a:solidFill>
                <a:srgbClr val="FBBC04"/>
              </a:solidFill>
            </a:ln>
          </c:spPr>
          <c:marker>
            <c:symbol val="none"/>
          </c:marker>
          <c:cat>
            <c:strRef>
              <c:f>'Results MCHPC'!$C$487:$C$495</c:f>
            </c:strRef>
          </c:cat>
          <c:val>
            <c:numRef>
              <c:f>'Results MCHPC'!$F$487:$F$495</c:f>
              <c:numCache/>
            </c:numRef>
          </c:val>
          <c:smooth val="0"/>
        </c:ser>
        <c:axId val="1855853938"/>
        <c:axId val="2009502916"/>
      </c:lineChart>
      <c:catAx>
        <c:axId val="18558539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Stride </a:t>
                </a:r>
              </a:p>
            </c:rich>
          </c:tx>
          <c:overlay val="0"/>
        </c:title>
        <c:numFmt formatCode="General" sourceLinked="1"/>
        <c:majorTickMark val="none"/>
        <c:minorTickMark val="none"/>
        <c:spPr/>
        <c:txPr>
          <a:bodyPr/>
          <a:lstStyle/>
          <a:p>
            <a:pPr lvl="0">
              <a:defRPr b="0">
                <a:solidFill>
                  <a:srgbClr val="000000"/>
                </a:solidFill>
                <a:latin typeface="+mn-lt"/>
              </a:defRPr>
            </a:pPr>
          </a:p>
        </c:txPr>
        <c:crossAx val="2009502916"/>
      </c:catAx>
      <c:valAx>
        <c:axId val="20095029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55853938"/>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26.xml"/><Relationship Id="rId2" Type="http://schemas.openxmlformats.org/officeDocument/2006/relationships/chart" Target="../charts/chart27.xml"/><Relationship Id="rId3" Type="http://schemas.openxmlformats.org/officeDocument/2006/relationships/chart" Target="../charts/chart28.xml"/><Relationship Id="rId4" Type="http://schemas.openxmlformats.org/officeDocument/2006/relationships/chart" Target="../charts/chart29.xml"/><Relationship Id="rId5" Type="http://schemas.openxmlformats.org/officeDocument/2006/relationships/chart" Target="../charts/chart30.xml"/><Relationship Id="rId6" Type="http://schemas.openxmlformats.org/officeDocument/2006/relationships/chart" Target="../charts/chart31.xml"/><Relationship Id="rId7" Type="http://schemas.openxmlformats.org/officeDocument/2006/relationships/chart" Target="../charts/chart32.xml"/><Relationship Id="rId8" Type="http://schemas.openxmlformats.org/officeDocument/2006/relationships/chart" Target="../charts/chart33.xml"/></Relationships>
</file>

<file path=xl/drawings/_rels/drawing4.xml.rels><?xml version="1.0" encoding="UTF-8" standalone="yes"?><Relationships xmlns="http://schemas.openxmlformats.org/package/2006/relationships"><Relationship Id="rId11" Type="http://schemas.openxmlformats.org/officeDocument/2006/relationships/chart" Target="../charts/chart11.xml"/><Relationship Id="rId10" Type="http://schemas.openxmlformats.org/officeDocument/2006/relationships/chart" Target="../charts/chart10.xml"/><Relationship Id="rId13" Type="http://schemas.openxmlformats.org/officeDocument/2006/relationships/chart" Target="../charts/chart13.xml"/><Relationship Id="rId12" Type="http://schemas.openxmlformats.org/officeDocument/2006/relationships/chart" Target="../charts/chart12.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15" Type="http://schemas.openxmlformats.org/officeDocument/2006/relationships/chart" Target="../charts/chart15.xml"/><Relationship Id="rId14" Type="http://schemas.openxmlformats.org/officeDocument/2006/relationships/chart" Target="../charts/chart14.xml"/><Relationship Id="rId17" Type="http://schemas.openxmlformats.org/officeDocument/2006/relationships/chart" Target="../charts/chart17.xml"/><Relationship Id="rId16" Type="http://schemas.openxmlformats.org/officeDocument/2006/relationships/chart" Target="../charts/chart16.xml"/><Relationship Id="rId5" Type="http://schemas.openxmlformats.org/officeDocument/2006/relationships/chart" Target="../charts/chart5.xml"/><Relationship Id="rId19" Type="http://schemas.openxmlformats.org/officeDocument/2006/relationships/chart" Target="../charts/chart19.xml"/><Relationship Id="rId6" Type="http://schemas.openxmlformats.org/officeDocument/2006/relationships/chart" Target="../charts/chart6.xml"/><Relationship Id="rId18" Type="http://schemas.openxmlformats.org/officeDocument/2006/relationships/chart" Target="../charts/chart18.xml"/><Relationship Id="rId7" Type="http://schemas.openxmlformats.org/officeDocument/2006/relationships/chart" Target="../charts/chart7.xml"/><Relationship Id="rId8"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0.xml"/><Relationship Id="rId2" Type="http://schemas.openxmlformats.org/officeDocument/2006/relationships/chart" Target="../charts/chart21.xml"/><Relationship Id="rId3" Type="http://schemas.openxmlformats.org/officeDocument/2006/relationships/chart" Target="../charts/chart2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3.xml"/><Relationship Id="rId2" Type="http://schemas.openxmlformats.org/officeDocument/2006/relationships/chart" Target="../charts/chart24.xml"/><Relationship Id="rId3"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523875</xdr:colOff>
      <xdr:row>47</xdr:row>
      <xdr:rowOff>180975</xdr:rowOff>
    </xdr:from>
    <xdr:ext cx="10725150" cy="36957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219075</xdr:colOff>
      <xdr:row>4</xdr:row>
      <xdr:rowOff>19050</xdr:rowOff>
    </xdr:from>
    <xdr:ext cx="5715000" cy="3533775"/>
    <xdr:graphicFrame>
      <xdr:nvGraphicFramePr>
        <xdr:cNvPr id="26" name="Chart 2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295275</xdr:colOff>
      <xdr:row>23</xdr:row>
      <xdr:rowOff>114300</xdr:rowOff>
    </xdr:from>
    <xdr:ext cx="5715000" cy="3533775"/>
    <xdr:graphicFrame>
      <xdr:nvGraphicFramePr>
        <xdr:cNvPr id="27" name="Chart 27"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495300</xdr:colOff>
      <xdr:row>84</xdr:row>
      <xdr:rowOff>171450</xdr:rowOff>
    </xdr:from>
    <xdr:ext cx="5715000" cy="3533775"/>
    <xdr:graphicFrame>
      <xdr:nvGraphicFramePr>
        <xdr:cNvPr id="28" name="Chart 28"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495300</xdr:colOff>
      <xdr:row>105</xdr:row>
      <xdr:rowOff>180975</xdr:rowOff>
    </xdr:from>
    <xdr:ext cx="5715000" cy="3533775"/>
    <xdr:graphicFrame>
      <xdr:nvGraphicFramePr>
        <xdr:cNvPr id="29" name="Chart 29"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7</xdr:col>
      <xdr:colOff>657225</xdr:colOff>
      <xdr:row>45</xdr:row>
      <xdr:rowOff>47625</xdr:rowOff>
    </xdr:from>
    <xdr:ext cx="5715000" cy="3533775"/>
    <xdr:graphicFrame>
      <xdr:nvGraphicFramePr>
        <xdr:cNvPr id="30" name="Chart 30"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714375</xdr:colOff>
      <xdr:row>64</xdr:row>
      <xdr:rowOff>152400</xdr:rowOff>
    </xdr:from>
    <xdr:ext cx="5715000" cy="3533775"/>
    <xdr:graphicFrame>
      <xdr:nvGraphicFramePr>
        <xdr:cNvPr id="31" name="Chart 31"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381000</xdr:colOff>
      <xdr:row>125</xdr:row>
      <xdr:rowOff>85725</xdr:rowOff>
    </xdr:from>
    <xdr:ext cx="5715000" cy="3533775"/>
    <xdr:graphicFrame>
      <xdr:nvGraphicFramePr>
        <xdr:cNvPr id="32" name="Chart 32"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6</xdr:col>
      <xdr:colOff>381000</xdr:colOff>
      <xdr:row>144</xdr:row>
      <xdr:rowOff>190500</xdr:rowOff>
    </xdr:from>
    <xdr:ext cx="5715000" cy="3533775"/>
    <xdr:graphicFrame>
      <xdr:nvGraphicFramePr>
        <xdr:cNvPr id="33" name="Chart 33" title="Chart"/>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278</xdr:row>
      <xdr:rowOff>0</xdr:rowOff>
    </xdr:from>
    <xdr:ext cx="764857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1590675</xdr:colOff>
      <xdr:row>295</xdr:row>
      <xdr:rowOff>133350</xdr:rowOff>
    </xdr:from>
    <xdr:ext cx="4267200" cy="27908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742950</xdr:colOff>
      <xdr:row>364</xdr:row>
      <xdr:rowOff>190500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742950</xdr:colOff>
      <xdr:row>383</xdr:row>
      <xdr:rowOff>85725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742950</xdr:colOff>
      <xdr:row>402</xdr:row>
      <xdr:rowOff>142875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123825</xdr:colOff>
      <xdr:row>428</xdr:row>
      <xdr:rowOff>161925</xdr:rowOff>
    </xdr:from>
    <xdr:ext cx="5715000" cy="305752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9</xdr:col>
      <xdr:colOff>123825</xdr:colOff>
      <xdr:row>445</xdr:row>
      <xdr:rowOff>9525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9</xdr:col>
      <xdr:colOff>123825</xdr:colOff>
      <xdr:row>464</xdr:row>
      <xdr:rowOff>123825</xdr:rowOff>
    </xdr:from>
    <xdr:ext cx="5638800" cy="35337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7</xdr:col>
      <xdr:colOff>952500</xdr:colOff>
      <xdr:row>483</xdr:row>
      <xdr:rowOff>104775</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3</xdr:col>
      <xdr:colOff>1419225</xdr:colOff>
      <xdr:row>523</xdr:row>
      <xdr:rowOff>66675</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14</xdr:col>
      <xdr:colOff>895350</xdr:colOff>
      <xdr:row>571</xdr:row>
      <xdr:rowOff>161925</xdr:rowOff>
    </xdr:from>
    <xdr:ext cx="5715000" cy="3533775"/>
    <xdr:graphicFrame>
      <xdr:nvGraphicFramePr>
        <xdr:cNvPr id="11" name="Chart 11"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9</xdr:col>
      <xdr:colOff>514350</xdr:colOff>
      <xdr:row>668</xdr:row>
      <xdr:rowOff>190500</xdr:rowOff>
    </xdr:from>
    <xdr:ext cx="5715000" cy="3533775"/>
    <xdr:graphicFrame>
      <xdr:nvGraphicFramePr>
        <xdr:cNvPr id="12" name="Chart 12" title="Chart"/>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15</xdr:col>
      <xdr:colOff>781050</xdr:colOff>
      <xdr:row>668</xdr:row>
      <xdr:rowOff>190500</xdr:rowOff>
    </xdr:from>
    <xdr:ext cx="5715000" cy="3533775"/>
    <xdr:graphicFrame>
      <xdr:nvGraphicFramePr>
        <xdr:cNvPr id="13" name="Chart 13" title="Chart"/>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8</xdr:col>
      <xdr:colOff>952500</xdr:colOff>
      <xdr:row>772</xdr:row>
      <xdr:rowOff>57150</xdr:rowOff>
    </xdr:from>
    <xdr:ext cx="5715000" cy="3533775"/>
    <xdr:graphicFrame>
      <xdr:nvGraphicFramePr>
        <xdr:cNvPr id="14" name="Chart 14" title="Chart"/>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15</xdr:col>
      <xdr:colOff>133350</xdr:colOff>
      <xdr:row>772</xdr:row>
      <xdr:rowOff>57150</xdr:rowOff>
    </xdr:from>
    <xdr:ext cx="5715000" cy="3533775"/>
    <xdr:graphicFrame>
      <xdr:nvGraphicFramePr>
        <xdr:cNvPr id="15" name="Chart 15" title="Chart"/>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8</xdr:col>
      <xdr:colOff>742950</xdr:colOff>
      <xdr:row>571</xdr:row>
      <xdr:rowOff>161925</xdr:rowOff>
    </xdr:from>
    <xdr:ext cx="5715000" cy="3533775"/>
    <xdr:graphicFrame>
      <xdr:nvGraphicFramePr>
        <xdr:cNvPr id="16" name="Chart 16" title="Chart"/>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8</xdr:col>
      <xdr:colOff>952500</xdr:colOff>
      <xdr:row>991</xdr:row>
      <xdr:rowOff>171450</xdr:rowOff>
    </xdr:from>
    <xdr:ext cx="5715000" cy="3533775"/>
    <xdr:graphicFrame>
      <xdr:nvGraphicFramePr>
        <xdr:cNvPr id="17" name="Chart 17" title="Chart"/>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11</xdr:col>
      <xdr:colOff>152400</xdr:colOff>
      <xdr:row>1013</xdr:row>
      <xdr:rowOff>180975</xdr:rowOff>
    </xdr:from>
    <xdr:ext cx="5715000" cy="3533775"/>
    <xdr:graphicFrame>
      <xdr:nvGraphicFramePr>
        <xdr:cNvPr id="18" name="Chart 18" title="Chart"/>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11</xdr:col>
      <xdr:colOff>152400</xdr:colOff>
      <xdr:row>1032</xdr:row>
      <xdr:rowOff>66675</xdr:rowOff>
    </xdr:from>
    <xdr:ext cx="5715000" cy="3533775"/>
    <xdr:graphicFrame>
      <xdr:nvGraphicFramePr>
        <xdr:cNvPr id="19" name="Chart 19" title="Chart"/>
        <xdr:cNvGraphicFramePr/>
      </xdr:nvGraphicFramePr>
      <xdr:xfrm>
        <a:off x="0" y="0"/>
        <a:ext cx="0" cy="0"/>
      </xdr:xfrm>
      <a:graphic>
        <a:graphicData uri="http://schemas.openxmlformats.org/drawingml/2006/chart">
          <c:chart r:id="rId19"/>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304800</xdr:colOff>
      <xdr:row>94</xdr:row>
      <xdr:rowOff>9525</xdr:rowOff>
    </xdr:from>
    <xdr:ext cx="11353800" cy="3533775"/>
    <xdr:graphicFrame>
      <xdr:nvGraphicFramePr>
        <xdr:cNvPr id="20" name="Chart 20"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238125</xdr:colOff>
      <xdr:row>112</xdr:row>
      <xdr:rowOff>190500</xdr:rowOff>
    </xdr:from>
    <xdr:ext cx="11420475" cy="3533775"/>
    <xdr:graphicFrame>
      <xdr:nvGraphicFramePr>
        <xdr:cNvPr id="21" name="Chart 21"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238125</xdr:colOff>
      <xdr:row>132</xdr:row>
      <xdr:rowOff>104775</xdr:rowOff>
    </xdr:from>
    <xdr:ext cx="11420475" cy="3533775"/>
    <xdr:graphicFrame>
      <xdr:nvGraphicFramePr>
        <xdr:cNvPr id="22" name="Chart 22"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304800</xdr:colOff>
      <xdr:row>94</xdr:row>
      <xdr:rowOff>9525</xdr:rowOff>
    </xdr:from>
    <xdr:ext cx="11353800" cy="3533775"/>
    <xdr:graphicFrame>
      <xdr:nvGraphicFramePr>
        <xdr:cNvPr id="23" name="Chart 2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238125</xdr:colOff>
      <xdr:row>112</xdr:row>
      <xdr:rowOff>190500</xdr:rowOff>
    </xdr:from>
    <xdr:ext cx="11420475" cy="3533775"/>
    <xdr:graphicFrame>
      <xdr:nvGraphicFramePr>
        <xdr:cNvPr id="24" name="Chart 2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238125</xdr:colOff>
      <xdr:row>132</xdr:row>
      <xdr:rowOff>104775</xdr:rowOff>
    </xdr:from>
    <xdr:ext cx="11420475" cy="3533775"/>
    <xdr:graphicFrame>
      <xdr:nvGraphicFramePr>
        <xdr:cNvPr id="25" name="Chart 25"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6:I30" sheet="top500 nov20"/>
  </cacheSource>
  <cacheFields>
    <cacheField name="SL" numFmtId="0">
      <sharedItems containsSemiMixedTypes="0" containsString="0" containsNumber="1" containsInteger="1">
        <n v="1.0"/>
        <n v="2.0"/>
        <n v="3.0"/>
        <n v="4.0"/>
        <n v="5.0"/>
        <n v="6.0"/>
        <n v="7.0"/>
        <n v="8.0"/>
        <n v="9.0"/>
        <n v="10.0"/>
        <n v="11.0"/>
        <n v="12.0"/>
        <n v="13.0"/>
        <n v="14.0"/>
        <n v="15.0"/>
        <n v="16.0"/>
        <n v="17.0"/>
        <n v="18.0"/>
        <n v="19.0"/>
        <n v="20.0"/>
        <n v="21.0"/>
        <n v="22.0"/>
        <n v="23.0"/>
        <n v="24.0"/>
      </sharedItems>
    </cacheField>
    <cacheField name="Processor Generation" numFmtId="0">
      <sharedItems>
        <s v="Xeon Gold"/>
        <s v="Intel Xeon E5 (Broadwell)"/>
        <s v="Xeon Gold 62xx (Cascade Lake)"/>
        <s v="Xeon Platinum"/>
        <s v="Intel Xeon E5 (Haswell)"/>
        <s v="Xeon Platinum 82xx (Cascade Lake)"/>
        <s v="AMD Rome"/>
        <s v="Intel Xeon Phi"/>
        <s v="IBM POWER9"/>
        <s v="Intel Xeon E5 (IvyBridge)"/>
        <s v="Xeon Silver"/>
        <s v="Xeon Platinum 92xx (Cascade Lake)"/>
        <s v="Intel Xeon E5 (SandyBridge)"/>
        <s v="Fujitsu A64FX"/>
        <s v="Vector Engine"/>
        <s v="Intel Xeon E7 (Haswell-Ex)"/>
        <s v="AMD Naples"/>
        <s v="Marvell ThunderX2"/>
        <s v="SPARC64 XIfx"/>
        <s v="POWER7"/>
        <s v="Power BQC"/>
        <s v="Hygon Dhyana"/>
        <s v="Xeon 5600-series (Westmere-EP)"/>
        <s v="Sunway"/>
      </sharedItems>
    </cacheField>
    <cacheField name="Count" numFmtId="0">
      <sharedItems containsSemiMixedTypes="0" containsString="0" containsNumber="1" containsInteger="1">
        <n v="163.0"/>
        <n v="140.0"/>
        <n v="49.0"/>
        <n v="31.0"/>
        <n v="24.0"/>
        <n v="19.0"/>
        <n v="9.0"/>
        <n v="8.0"/>
        <n v="5.0"/>
        <n v="4.0"/>
        <n v="2.0"/>
        <n v="1.0"/>
      </sharedItems>
    </cacheField>
    <cacheField name="System Share (%)" numFmtId="0">
      <sharedItems containsSemiMixedTypes="0" containsString="0" containsNumber="1">
        <n v="32.6"/>
        <n v="28.0"/>
        <n v="9.8"/>
        <n v="6.2"/>
        <n v="4.8"/>
        <n v="3.8"/>
        <n v="1.8"/>
        <n v="1.6"/>
        <n v="1.0"/>
        <n v="0.8"/>
        <n v="0.4"/>
        <n v="0.2"/>
      </sharedItems>
    </cacheField>
    <cacheField name="Rmax (GFlops)" numFmtId="3">
      <sharedItems containsSemiMixedTypes="0" containsString="0" containsNumber="1" containsInteger="1">
        <n v="3.73439988E8"/>
        <n v="2.68664224E8"/>
        <n v="1.8162946E8"/>
        <n v="1.25905488E8"/>
        <n v="8.118616E7"/>
        <n v="8.395702E7"/>
        <n v="1.9262174E8"/>
        <n v="9.611161E7"/>
        <n v="3.13031E8"/>
        <n v="8.4595496E7"/>
        <n v="1.07849E7"/>
        <n v="1.769436E7"/>
        <n v="6718600.0"/>
        <n v="4.672193E8"/>
        <n v="1.04883E7"/>
        <n v="3393510.0"/>
        <n v="3407000.0"/>
        <n v="1833000.0"/>
        <n v="3157000.0"/>
        <n v="1587000.0"/>
        <n v="1431102.0"/>
        <n v="4325000.0"/>
        <n v="2566000.0"/>
        <n v="9.3014594E7"/>
      </sharedItems>
    </cacheField>
    <cacheField name="Rpeak (GFlops)" numFmtId="3">
      <sharedItems containsSemiMixedTypes="0" containsString="0" containsNumber="1" containsInteger="1">
        <n v="8.12886069E8"/>
        <n v="3.76073808E8"/>
        <n v="3.23872144E8"/>
        <n v="1.96183217E8"/>
        <n v="1.11489845E8"/>
        <n v="1.38730409E8"/>
        <n v="2.6750625E8"/>
        <n v="1.83141296E8"/>
        <n v="4.19573103E8"/>
        <n v="1.3516081E8"/>
        <n v="2.922992E7"/>
        <n v="2.5487156E7"/>
        <n v="1.0138928E7"/>
        <n v="5.66821173E8"/>
        <n v="1.487064E7"/>
        <n v="8.417024E7"/>
        <n v="5041152.0"/>
        <n v="2298240.0"/>
        <n v="3481056.0"/>
        <n v="1931625.0"/>
        <n v="1677722.0"/>
        <n v="6134170.0"/>
        <n v="4701000.0"/>
        <n v="1.25435904E8"/>
      </sharedItems>
    </cacheField>
    <cacheField name="Cores" numFmtId="3">
      <sharedItems containsSemiMixedTypes="0" containsString="0" containsNumber="1" containsInteger="1">
        <n v="1.0036584E7"/>
        <n v="9472624.0"/>
        <n v="3886588.0"/>
        <n v="2406096.0"/>
        <n v="2568522.0"/>
        <n v="1748976.0"/>
        <n v="3754688.0"/>
        <n v="4139324.0"/>
        <n v="5104640.0"/>
        <n v="5959252.0"/>
        <n v="464184.0"/>
        <n v="345512.0"/>
        <n v="389400.0"/>
        <n v="8054784.0"/>
        <n v="49408.0"/>
        <n v="2391200.0"/>
        <n v="246720.0"/>
        <n v="143640.0"/>
        <n v="110160.0"/>
        <n v="62944.0"/>
        <n v="131072.0"/>
        <n v="163840.0"/>
        <n v="186368.0"/>
        <n v="1.06496E7"/>
      </sharedItems>
    </cacheField>
    <cacheField name="Manufacturer" numFmtId="0">
      <sharedItems>
        <s v="Intel"/>
        <s v="AMD"/>
        <s v="IBM"/>
        <s v="ARM"/>
        <s v="Others"/>
      </sharedItems>
    </cacheField>
    <cacheField name="system share (%)2" numFmtId="0">
      <sharedItems containsSemiMixedTypes="0" containsString="0" containsNumber="1">
        <n v="32.6"/>
        <n v="28.0"/>
        <n v="9.8"/>
        <n v="6.2"/>
        <n v="4.8"/>
        <n v="3.8"/>
        <n v="1.8"/>
        <n v="1.6"/>
        <n v="1.0"/>
        <n v="0.8"/>
        <n v="0.4"/>
        <n v="0.2"/>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46:H56" sheet="top500 nov20"/>
  </cacheSource>
  <cacheFields>
    <cacheField name="Sl" numFmtId="0">
      <sharedItems containsSemiMixedTypes="0" containsString="0" containsNumber="1" containsInteger="1">
        <n v="1.0"/>
        <n v="2.0"/>
        <n v="3.0"/>
        <n v="4.0"/>
        <n v="5.0"/>
        <n v="6.0"/>
        <n v="7.0"/>
        <n v="8.0"/>
        <n v="9.0"/>
        <n v="10.0"/>
      </sharedItems>
    </cacheField>
    <cacheField name="Accelerator/CP Family" numFmtId="0">
      <sharedItems>
        <s v="NVIDIA Volta"/>
        <s v="NVIDIA Pascal"/>
        <s v="NVIDIA Kepler"/>
        <s v="NVIDIA Ampere"/>
        <s v="Intel Xeon Phi"/>
        <s v="Matrix-2000"/>
        <s v="MN-Core"/>
        <s v="AMD Vega"/>
        <s v="NVIDIA Fermi"/>
        <s v="Hybrid"/>
      </sharedItems>
    </cacheField>
    <cacheField name="Count" numFmtId="0">
      <sharedItems containsSemiMixedTypes="0" containsString="0" containsNumber="1" containsInteger="1">
        <n v="110.0"/>
        <n v="14.0"/>
        <n v="8.0"/>
        <n v="6.0"/>
        <n v="3.0"/>
        <n v="1.0"/>
      </sharedItems>
    </cacheField>
    <cacheField name="System Share (%)" numFmtId="0">
      <sharedItems containsSemiMixedTypes="0" containsString="0" containsNumber="1">
        <n v="22.0"/>
        <n v="2.8"/>
        <n v="1.6"/>
        <n v="1.2"/>
        <n v="0.6"/>
        <n v="0.2"/>
      </sharedItems>
    </cacheField>
    <cacheField name="Rmax (GFlops)" numFmtId="3">
      <sharedItems containsSemiMixedTypes="0" containsString="0" containsNumber="1" containsInteger="1">
        <n v="6.3583497E8"/>
        <n v="6.480754E7"/>
        <n v="2.226966E7"/>
        <n v="1.2057E8"/>
        <n v="6068250.0"/>
        <n v="6.14445E7"/>
        <n v="1652900.0"/>
        <n v="1661000.0"/>
        <n v="2566000.0"/>
        <n v="3126240.0"/>
      </sharedItems>
    </cacheField>
    <cacheField name="Rpeak (GFlops)" numFmtId="3">
      <sharedItems containsSemiMixedTypes="0" containsString="0" containsNumber="1" containsInteger="1">
        <n v="1.053763692E9"/>
        <n v="1.00487954E8"/>
        <n v="3.8079725E7"/>
        <n v="1.6853419E8"/>
        <n v="8474207.0"/>
        <n v="1.00678664E8"/>
        <n v="3137870.0"/>
        <n v="2472960.0"/>
        <n v="4701000.0"/>
        <n v="5610481.0"/>
      </sharedItems>
    </cacheField>
    <cacheField name="Cores" numFmtId="3">
      <sharedItems containsSemiMixedTypes="0" containsString="0" containsNumber="1" containsInteger="1">
        <n v="1.216804E7"/>
        <n v="1324504.0"/>
        <n v="602878.0"/>
        <n v="1127744.0"/>
        <n v="446232.0"/>
        <n v="4981760.0"/>
        <n v="1664.0"/>
        <n v="100800.0"/>
        <n v="186368.0"/>
        <n v="152692.0"/>
      </sharedItems>
    </cacheField>
    <cacheField name="Manufacturer" numFmtId="0">
      <sharedItems>
        <s v="NVIDIA"/>
        <s v="Intel"/>
        <s v="China"/>
        <s v="TSMC"/>
        <s v="AMD"/>
        <s v="other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op500 nov20" cacheId="0" dataCaption="" compact="0" compactData="0">
  <location ref="B34:D40" firstHeaderRow="0" firstDataRow="2" firstDataCol="0"/>
  <pivotFields>
    <pivotField name="SL"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rocessor Gener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Count" dataField="1" compact="0" outline="0" multipleItemSelectionAllowed="1" showAll="0">
      <items>
        <item x="0"/>
        <item x="1"/>
        <item x="2"/>
        <item x="3"/>
        <item x="4"/>
        <item x="5"/>
        <item x="6"/>
        <item x="7"/>
        <item x="8"/>
        <item x="9"/>
        <item x="10"/>
        <item x="11"/>
        <item t="default"/>
      </items>
    </pivotField>
    <pivotField name="System Share (%)" compact="0" outline="0" multipleItemSelectionAllowed="1" showAll="0">
      <items>
        <item x="0"/>
        <item x="1"/>
        <item x="2"/>
        <item x="3"/>
        <item x="4"/>
        <item x="5"/>
        <item x="6"/>
        <item x="7"/>
        <item x="8"/>
        <item x="9"/>
        <item x="10"/>
        <item x="11"/>
        <item t="default"/>
      </items>
    </pivotField>
    <pivotField name="Rmax (GFlop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Rpeak (GFlop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Core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Manufacturer" axis="axisRow" compact="0" outline="0" multipleItemSelectionAllowed="1" showAll="0" sortType="ascending">
      <items>
        <item x="1"/>
        <item x="3"/>
        <item x="2"/>
        <item x="0"/>
        <item x="4"/>
        <item t="default"/>
      </items>
    </pivotField>
    <pivotField name="system share (%)2" dataField="1" compact="0" outline="0" multipleItemSelectionAllowed="1" showAll="0">
      <items>
        <item x="0"/>
        <item x="1"/>
        <item x="2"/>
        <item x="3"/>
        <item x="4"/>
        <item x="5"/>
        <item x="6"/>
        <item x="7"/>
        <item x="8"/>
        <item x="9"/>
        <item x="10"/>
        <item x="11"/>
        <item t="default"/>
      </items>
    </pivotField>
  </pivotFields>
  <rowFields>
    <field x="7"/>
  </rowFields>
  <colFields>
    <field x="-2"/>
  </colFields>
  <dataFields>
    <dataField name="SUM of system share (%)2" fld="8" baseField="0"/>
    <dataField name="SUM of Count" fld="2" baseField="0"/>
  </dataFields>
</pivotTableDefinition>
</file>

<file path=xl/pivotTables/pivotTable2.xml><?xml version="1.0" encoding="utf-8"?>
<pivotTableDefinition xmlns="http://schemas.openxmlformats.org/spreadsheetml/2006/main" name="top500 nov20 2" cacheId="1" dataCaption="" compact="0" compactData="0">
  <location ref="B60:D67" firstHeaderRow="0" firstDataRow="2" firstDataCol="0"/>
  <pivotFields>
    <pivotField name="Sl" compact="0" outline="0" multipleItemSelectionAllowed="1" showAll="0">
      <items>
        <item x="0"/>
        <item x="1"/>
        <item x="2"/>
        <item x="3"/>
        <item x="4"/>
        <item x="5"/>
        <item x="6"/>
        <item x="7"/>
        <item x="8"/>
        <item x="9"/>
        <item t="default"/>
      </items>
    </pivotField>
    <pivotField name="Accelerator/CP Family" compact="0" outline="0" multipleItemSelectionAllowed="1" showAll="0">
      <items>
        <item x="0"/>
        <item x="1"/>
        <item x="2"/>
        <item x="3"/>
        <item x="4"/>
        <item x="5"/>
        <item x="6"/>
        <item x="7"/>
        <item x="8"/>
        <item x="9"/>
        <item t="default"/>
      </items>
    </pivotField>
    <pivotField name="Count" dataField="1" compact="0" outline="0" multipleItemSelectionAllowed="1" showAll="0">
      <items>
        <item x="0"/>
        <item x="1"/>
        <item x="2"/>
        <item x="3"/>
        <item x="4"/>
        <item x="5"/>
        <item t="default"/>
      </items>
    </pivotField>
    <pivotField name="System Share (%)" dataField="1" compact="0" outline="0" multipleItemSelectionAllowed="1" showAll="0">
      <items>
        <item x="0"/>
        <item x="1"/>
        <item x="2"/>
        <item x="3"/>
        <item x="4"/>
        <item x="5"/>
        <item t="default"/>
      </items>
    </pivotField>
    <pivotField name="Rmax (GFlops)" compact="0" numFmtId="3" outline="0" multipleItemSelectionAllowed="1" showAll="0">
      <items>
        <item x="0"/>
        <item x="1"/>
        <item x="2"/>
        <item x="3"/>
        <item x="4"/>
        <item x="5"/>
        <item x="6"/>
        <item x="7"/>
        <item x="8"/>
        <item x="9"/>
        <item t="default"/>
      </items>
    </pivotField>
    <pivotField name="Rpeak (GFlops)" compact="0" numFmtId="3" outline="0" multipleItemSelectionAllowed="1" showAll="0">
      <items>
        <item x="0"/>
        <item x="1"/>
        <item x="2"/>
        <item x="3"/>
        <item x="4"/>
        <item x="5"/>
        <item x="6"/>
        <item x="7"/>
        <item x="8"/>
        <item x="9"/>
        <item t="default"/>
      </items>
    </pivotField>
    <pivotField name="Cores" compact="0" numFmtId="3" outline="0" multipleItemSelectionAllowed="1" showAll="0">
      <items>
        <item x="0"/>
        <item x="1"/>
        <item x="2"/>
        <item x="3"/>
        <item x="4"/>
        <item x="5"/>
        <item x="6"/>
        <item x="7"/>
        <item x="8"/>
        <item x="9"/>
        <item t="default"/>
      </items>
    </pivotField>
    <pivotField name="Manufacturer" axis="axisRow" compact="0" outline="0" multipleItemSelectionAllowed="1" showAll="0" sortType="ascending">
      <items>
        <item x="4"/>
        <item x="2"/>
        <item x="1"/>
        <item x="0"/>
        <item x="5"/>
        <item x="3"/>
        <item t="default"/>
      </items>
    </pivotField>
  </pivotFields>
  <rowFields>
    <field x="7"/>
  </rowFields>
  <colFields>
    <field x="-2"/>
  </colFields>
  <dataFields>
    <dataField name="SUM of Count" fld="2" baseField="0"/>
    <dataField name="SUM of System Share (%)" fld="3"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groups.google.com/a/icl.utk.edu/forum/?utm_medium=email&amp;utm_source=footer" TargetMode="External"/><Relationship Id="rId22" Type="http://schemas.openxmlformats.org/officeDocument/2006/relationships/hyperlink" Target="https://github.com/deater/uarch-configure/blob/master/intel-prefetch/intel-prefetch-disable.c" TargetMode="External"/><Relationship Id="rId21" Type="http://schemas.openxmlformats.org/officeDocument/2006/relationships/hyperlink" Target="https://software.intel.com/content/www/us/en/develop/download/intel-64-and-ia-32-architectures-sdm-combined-volumes-3a-3b-3c-and-3d-system-programming-guide.html" TargetMode="External"/><Relationship Id="rId24" Type="http://schemas.openxmlformats.org/officeDocument/2006/relationships/hyperlink" Target="https://www.ncbi.nlm.nih.gov/pmc/articles/PMC7295341/" TargetMode="External"/><Relationship Id="rId23" Type="http://schemas.openxmlformats.org/officeDocument/2006/relationships/hyperlink" Target="https://software.intel.com/content/www/us/en/develop/articles/disclosure-of-hw-prefetcher-control-on-some-intel-processors.html" TargetMode="External"/><Relationship Id="rId1" Type="http://schemas.openxmlformats.org/officeDocument/2006/relationships/hyperlink" Target="https://dl.acm.org/doi/10.1145/3208040.3208057" TargetMode="External"/><Relationship Id="rId2" Type="http://schemas.openxmlformats.org/officeDocument/2006/relationships/hyperlink" Target="https://ieeexplore.ieee.org/stamp/stamp.jsp?tp=&amp;arnumber=7013044" TargetMode="External"/><Relationship Id="rId3" Type="http://schemas.openxmlformats.org/officeDocument/2006/relationships/hyperlink" Target="https://dl.acm.org/doi/10.1145/29868.32979" TargetMode="External"/><Relationship Id="rId4" Type="http://schemas.openxmlformats.org/officeDocument/2006/relationships/hyperlink" Target="https://dl.acm.org/doi/abs/10.1145/63404.63407" TargetMode="External"/><Relationship Id="rId9" Type="http://schemas.openxmlformats.org/officeDocument/2006/relationships/hyperlink" Target="https://dl.acm.org/doi/10.1145/3373376.3378498" TargetMode="External"/><Relationship Id="rId26" Type="http://schemas.openxmlformats.org/officeDocument/2006/relationships/hyperlink" Target="https://developer.amd.com/wordpress/media/2012/10/51803A_OpteronLinuxTuningGuide_SCREEN.pdf" TargetMode="External"/><Relationship Id="rId25" Type="http://schemas.openxmlformats.org/officeDocument/2006/relationships/hyperlink" Target="https://ieeexplore.ieee.org/abstract/document/8514369" TargetMode="External"/><Relationship Id="rId27" Type="http://schemas.openxmlformats.org/officeDocument/2006/relationships/drawing" Target="../drawings/drawing1.xml"/><Relationship Id="rId5" Type="http://schemas.openxmlformats.org/officeDocument/2006/relationships/hyperlink" Target="https://ieeexplore.ieee.org/stamp/stamp.jsp?tp=&amp;arnumber=8035181" TargetMode="External"/><Relationship Id="rId6" Type="http://schemas.openxmlformats.org/officeDocument/2006/relationships/hyperlink" Target="https://dl.acm.org/doi/proceedings/10.1145/3373376" TargetMode="External"/><Relationship Id="rId7" Type="http://schemas.openxmlformats.org/officeDocument/2006/relationships/hyperlink" Target="https://eecs.oregonstate.edu/aidarc/paper/MAP.pdf" TargetMode="External"/><Relationship Id="rId8" Type="http://schemas.openxmlformats.org/officeDocument/2006/relationships/hyperlink" Target="https://icml.cc/Conferences/2018/ScheduleMultitrack?event=2836" TargetMode="External"/><Relationship Id="rId11" Type="http://schemas.openxmlformats.org/officeDocument/2006/relationships/hyperlink" Target="https://dl.acm.org/doi/10.1145/2751205.2751220" TargetMode="External"/><Relationship Id="rId10" Type="http://schemas.openxmlformats.org/officeDocument/2006/relationships/hyperlink" Target="https://ieeexplore.ieee.org/document/6468530" TargetMode="External"/><Relationship Id="rId13" Type="http://schemas.openxmlformats.org/officeDocument/2006/relationships/hyperlink" Target="https://arxiv.org/pdf/1804.06826.pdf" TargetMode="External"/><Relationship Id="rId12" Type="http://schemas.openxmlformats.org/officeDocument/2006/relationships/hyperlink" Target="https://www.sciencedirect.com/science/article/pii/S0743731517303039" TargetMode="External"/><Relationship Id="rId15" Type="http://schemas.openxmlformats.org/officeDocument/2006/relationships/hyperlink" Target="https://stackoverflow.com/questions/36756640/what-exactly-are-the-transaction-metrics-reported-by-nvprof" TargetMode="External"/><Relationship Id="rId14" Type="http://schemas.openxmlformats.org/officeDocument/2006/relationships/hyperlink" Target="https://stackoverflow.com/questions/37732735/nvprof-option-for-bandwidth" TargetMode="External"/><Relationship Id="rId17" Type="http://schemas.openxmlformats.org/officeDocument/2006/relationships/hyperlink" Target="https://stackoverflow.com/questions/39182060/why-isnt-there-a-data-bus-which-is-as-wide-as-the-cache-line-size" TargetMode="External"/><Relationship Id="rId16" Type="http://schemas.openxmlformats.org/officeDocument/2006/relationships/hyperlink" Target="https://stackoverflow.com/questions/33432821/does-anyone-knows-about-details-of-l2-cache-structure-of-nvidia-kepler-gpusmapp" TargetMode="External"/><Relationship Id="rId19" Type="http://schemas.openxmlformats.org/officeDocument/2006/relationships/hyperlink" Target="https://sites.utexas.edu/jdm4372/2013/07/14/notes-on-the-mystery-of-hardware-cache-performance-counters/" TargetMode="External"/><Relationship Id="rId18" Type="http://schemas.openxmlformats.org/officeDocument/2006/relationships/hyperlink" Target="https://software.intel.com/en-us/forums/intel-threading-building-blocks/topic/296674"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ANL-CESAR/XSBench/tree/master/openmp-threading"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ANL-CESAR/XSBench/tree/master/openmp-threading"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2.71"/>
    <col customWidth="1" min="6" max="6" width="7.57"/>
    <col customWidth="1" min="7" max="7" width="11.43"/>
    <col customWidth="1" min="8" max="8" width="10.14"/>
    <col customWidth="1" min="9" max="9" width="18.86"/>
    <col customWidth="1" min="10" max="10" width="65.43"/>
    <col customWidth="1" min="11" max="11" width="28.14"/>
  </cols>
  <sheetData>
    <row r="1" ht="14.25" customHeight="1">
      <c r="A1" s="1" t="s">
        <v>0</v>
      </c>
      <c r="B1" s="1">
        <v>2.176976935E9</v>
      </c>
      <c r="C1" s="1"/>
      <c r="D1" s="1"/>
      <c r="E1" s="1"/>
      <c r="F1" s="1"/>
      <c r="G1" s="2"/>
      <c r="H1" s="2"/>
      <c r="I1" s="2"/>
      <c r="J1" s="2"/>
      <c r="K1" s="3"/>
    </row>
    <row r="2" ht="14.25" customHeight="1">
      <c r="A2" s="4" t="s">
        <v>1</v>
      </c>
      <c r="B2" s="5"/>
      <c r="C2" s="5"/>
      <c r="D2" s="5"/>
      <c r="E2" s="5"/>
      <c r="F2" s="6"/>
      <c r="G2" s="7" t="s">
        <v>2</v>
      </c>
      <c r="H2" s="7" t="s">
        <v>3</v>
      </c>
      <c r="I2" s="7" t="s">
        <v>4</v>
      </c>
      <c r="J2" s="7" t="s">
        <v>5</v>
      </c>
      <c r="K2" s="3"/>
    </row>
    <row r="3">
      <c r="A3" s="8" t="s">
        <v>6</v>
      </c>
      <c r="G3" s="9" t="s">
        <v>7</v>
      </c>
      <c r="H3" s="10" t="s">
        <v>8</v>
      </c>
      <c r="I3" s="9" t="s">
        <v>9</v>
      </c>
      <c r="J3" s="11" t="s">
        <v>10</v>
      </c>
    </row>
    <row r="4">
      <c r="A4" s="12" t="s">
        <v>11</v>
      </c>
      <c r="G4" s="9" t="s">
        <v>12</v>
      </c>
      <c r="H4" s="10" t="s">
        <v>13</v>
      </c>
      <c r="I4" s="9" t="s">
        <v>14</v>
      </c>
      <c r="J4" s="9" t="s">
        <v>15</v>
      </c>
    </row>
    <row r="5">
      <c r="A5" s="13" t="s">
        <v>16</v>
      </c>
      <c r="G5" s="9" t="s">
        <v>17</v>
      </c>
      <c r="H5" s="14" t="s">
        <v>18</v>
      </c>
      <c r="I5" s="9" t="s">
        <v>19</v>
      </c>
      <c r="J5" s="9" t="s">
        <v>20</v>
      </c>
      <c r="K5" s="15" t="s">
        <v>21</v>
      </c>
    </row>
    <row r="6">
      <c r="A6" s="3" t="s">
        <v>22</v>
      </c>
      <c r="G6" s="9" t="s">
        <v>23</v>
      </c>
      <c r="H6" s="14" t="s">
        <v>24</v>
      </c>
      <c r="I6" s="9" t="s">
        <v>19</v>
      </c>
      <c r="J6" s="9" t="s">
        <v>25</v>
      </c>
    </row>
    <row r="7">
      <c r="A7" s="3" t="s">
        <v>26</v>
      </c>
      <c r="B7" s="16"/>
      <c r="C7" s="16"/>
      <c r="D7" s="16"/>
      <c r="E7" s="16"/>
      <c r="F7" s="16"/>
      <c r="H7" s="14" t="s">
        <v>27</v>
      </c>
      <c r="I7" s="3" t="s">
        <v>28</v>
      </c>
    </row>
    <row r="8">
      <c r="A8" s="3" t="s">
        <v>29</v>
      </c>
      <c r="G8" s="17" t="s">
        <v>30</v>
      </c>
      <c r="H8" s="14" t="s">
        <v>31</v>
      </c>
      <c r="I8" s="3" t="s">
        <v>32</v>
      </c>
      <c r="J8" s="3" t="s">
        <v>33</v>
      </c>
    </row>
    <row r="9">
      <c r="A9" s="3" t="s">
        <v>34</v>
      </c>
      <c r="B9" s="16"/>
      <c r="C9" s="16"/>
      <c r="D9" s="16"/>
      <c r="E9" s="16"/>
      <c r="F9" s="16"/>
      <c r="G9" s="3" t="s">
        <v>35</v>
      </c>
      <c r="H9" s="14" t="s">
        <v>36</v>
      </c>
      <c r="I9" s="3" t="s">
        <v>32</v>
      </c>
      <c r="J9" s="3" t="s">
        <v>37</v>
      </c>
    </row>
    <row r="10">
      <c r="A10" s="3" t="s">
        <v>38</v>
      </c>
      <c r="B10" s="16"/>
      <c r="C10" s="16"/>
      <c r="D10" s="16"/>
      <c r="E10" s="16"/>
      <c r="F10" s="16"/>
      <c r="G10" s="3" t="s">
        <v>39</v>
      </c>
      <c r="H10" s="14" t="s">
        <v>40</v>
      </c>
      <c r="I10" s="3" t="s">
        <v>41</v>
      </c>
      <c r="J10" s="3" t="s">
        <v>42</v>
      </c>
    </row>
    <row r="11">
      <c r="A11" s="18"/>
      <c r="B11" s="16"/>
      <c r="C11" s="16"/>
      <c r="D11" s="16"/>
      <c r="E11" s="16"/>
      <c r="F11" s="16"/>
      <c r="H11" s="19"/>
    </row>
    <row r="12">
      <c r="A12" s="16"/>
      <c r="H12" s="19"/>
    </row>
    <row r="13">
      <c r="A13" s="16"/>
      <c r="H13" s="19"/>
    </row>
    <row r="14">
      <c r="A14" s="16"/>
      <c r="H14" s="19"/>
    </row>
    <row r="15">
      <c r="A15" s="16"/>
    </row>
    <row r="16">
      <c r="A16" s="16"/>
    </row>
    <row r="17">
      <c r="A17" s="2" t="s">
        <v>43</v>
      </c>
    </row>
    <row r="18">
      <c r="A18" s="4" t="s">
        <v>1</v>
      </c>
      <c r="B18" s="5"/>
      <c r="C18" s="5"/>
      <c r="D18" s="5"/>
      <c r="E18" s="5"/>
      <c r="F18" s="6"/>
      <c r="G18" s="7" t="s">
        <v>2</v>
      </c>
      <c r="H18" s="7" t="s">
        <v>3</v>
      </c>
      <c r="I18" s="7" t="s">
        <v>4</v>
      </c>
      <c r="J18" s="7" t="s">
        <v>5</v>
      </c>
    </row>
    <row r="19">
      <c r="A19" s="8" t="s">
        <v>44</v>
      </c>
      <c r="G19" s="9" t="s">
        <v>45</v>
      </c>
      <c r="H19" s="20" t="s">
        <v>46</v>
      </c>
      <c r="I19" s="9" t="s">
        <v>47</v>
      </c>
      <c r="J19" s="11"/>
    </row>
    <row r="20">
      <c r="A20" s="9" t="s">
        <v>48</v>
      </c>
      <c r="G20" s="9" t="s">
        <v>49</v>
      </c>
      <c r="H20" s="14" t="s">
        <v>50</v>
      </c>
      <c r="I20" s="9" t="s">
        <v>51</v>
      </c>
      <c r="J20" s="21"/>
    </row>
    <row r="21">
      <c r="A21" s="9" t="s">
        <v>52</v>
      </c>
      <c r="G21" s="9" t="s">
        <v>53</v>
      </c>
      <c r="H21" s="14" t="s">
        <v>54</v>
      </c>
      <c r="I21" s="9" t="s">
        <v>55</v>
      </c>
      <c r="J21" s="21"/>
    </row>
    <row r="29">
      <c r="A29" s="2" t="s">
        <v>56</v>
      </c>
    </row>
    <row r="30">
      <c r="A30" s="4" t="s">
        <v>57</v>
      </c>
      <c r="B30" s="5"/>
      <c r="C30" s="5"/>
      <c r="D30" s="5"/>
      <c r="E30" s="5"/>
      <c r="F30" s="6"/>
      <c r="G30" s="7" t="s">
        <v>2</v>
      </c>
      <c r="H30" s="7" t="s">
        <v>3</v>
      </c>
      <c r="I30" s="7" t="s">
        <v>4</v>
      </c>
      <c r="J30" s="7" t="s">
        <v>5</v>
      </c>
    </row>
    <row r="31">
      <c r="A31" s="8" t="s">
        <v>58</v>
      </c>
      <c r="G31" s="9"/>
      <c r="H31" s="14" t="s">
        <v>59</v>
      </c>
      <c r="I31" s="9" t="s">
        <v>60</v>
      </c>
      <c r="J31" s="11" t="s">
        <v>61</v>
      </c>
    </row>
    <row r="32">
      <c r="A32" s="9" t="s">
        <v>62</v>
      </c>
      <c r="G32" s="9"/>
      <c r="H32" s="14" t="s">
        <v>63</v>
      </c>
      <c r="I32" s="9"/>
      <c r="J32" s="9" t="s">
        <v>64</v>
      </c>
    </row>
    <row r="33">
      <c r="A33" s="9" t="s">
        <v>65</v>
      </c>
      <c r="G33" s="9"/>
      <c r="H33" s="14" t="s">
        <v>66</v>
      </c>
      <c r="I33" s="9"/>
      <c r="J33" s="21"/>
    </row>
    <row r="34">
      <c r="A34" s="9" t="s">
        <v>67</v>
      </c>
      <c r="H34" s="14" t="s">
        <v>68</v>
      </c>
      <c r="J34" s="3" t="s">
        <v>69</v>
      </c>
    </row>
    <row r="35">
      <c r="A35" s="3" t="s">
        <v>70</v>
      </c>
      <c r="H35" s="14" t="s">
        <v>71</v>
      </c>
      <c r="J35" s="22" t="s">
        <v>72</v>
      </c>
    </row>
    <row r="36">
      <c r="A36" s="3" t="s">
        <v>70</v>
      </c>
      <c r="H36" s="14" t="s">
        <v>73</v>
      </c>
      <c r="J36" s="22" t="s">
        <v>72</v>
      </c>
    </row>
    <row r="37">
      <c r="A37" s="3" t="s">
        <v>74</v>
      </c>
      <c r="H37" s="14" t="s">
        <v>75</v>
      </c>
    </row>
    <row r="38">
      <c r="A38" s="3" t="s">
        <v>76</v>
      </c>
      <c r="H38" s="14" t="s">
        <v>77</v>
      </c>
      <c r="J38" s="3" t="s">
        <v>78</v>
      </c>
    </row>
    <row r="39">
      <c r="A39" s="3" t="s">
        <v>79</v>
      </c>
      <c r="H39" s="14" t="s">
        <v>80</v>
      </c>
      <c r="J39" s="3" t="s">
        <v>81</v>
      </c>
    </row>
    <row r="40">
      <c r="A40" s="3" t="s">
        <v>82</v>
      </c>
      <c r="H40" s="14" t="s">
        <v>83</v>
      </c>
    </row>
    <row r="41">
      <c r="A41" s="3" t="s">
        <v>84</v>
      </c>
      <c r="H41" s="14" t="s">
        <v>85</v>
      </c>
    </row>
    <row r="45">
      <c r="M45" s="23" t="s">
        <v>86</v>
      </c>
    </row>
    <row r="46">
      <c r="D46" s="24"/>
      <c r="M46" s="3" t="s">
        <v>87</v>
      </c>
    </row>
    <row r="47">
      <c r="M47" s="3" t="s">
        <v>88</v>
      </c>
    </row>
    <row r="68">
      <c r="H68" s="14" t="s">
        <v>89</v>
      </c>
    </row>
    <row r="74">
      <c r="B74" s="25" t="s">
        <v>90</v>
      </c>
      <c r="C74" s="26" t="s">
        <v>91</v>
      </c>
    </row>
    <row r="84">
      <c r="A84" s="3" t="s">
        <v>92</v>
      </c>
      <c r="B84" s="3" t="s">
        <v>93</v>
      </c>
    </row>
    <row r="86">
      <c r="B86" s="3" t="s">
        <v>94</v>
      </c>
      <c r="I86" s="3">
        <v>4.0</v>
      </c>
    </row>
    <row r="87">
      <c r="C87" s="3" t="s">
        <v>95</v>
      </c>
      <c r="F87" s="3" t="s">
        <v>96</v>
      </c>
    </row>
    <row r="88">
      <c r="C88" s="3" t="s">
        <v>97</v>
      </c>
      <c r="F88" s="3" t="s">
        <v>98</v>
      </c>
      <c r="J88" s="3" t="s">
        <v>99</v>
      </c>
    </row>
    <row r="89">
      <c r="C89" s="3" t="s">
        <v>100</v>
      </c>
      <c r="F89" s="3" t="s">
        <v>101</v>
      </c>
      <c r="J89" s="3">
        <v>100.0</v>
      </c>
    </row>
    <row r="90">
      <c r="B90" s="3" t="s">
        <v>102</v>
      </c>
      <c r="I90" s="3">
        <v>4.0</v>
      </c>
    </row>
    <row r="91">
      <c r="C91" s="3" t="s">
        <v>103</v>
      </c>
      <c r="F91" s="3" t="s">
        <v>104</v>
      </c>
    </row>
    <row r="92">
      <c r="C92" s="3" t="s">
        <v>105</v>
      </c>
      <c r="F92" s="3" t="s">
        <v>106</v>
      </c>
    </row>
    <row r="93">
      <c r="C93" s="3" t="s">
        <v>107</v>
      </c>
      <c r="F93" s="3" t="s">
        <v>108</v>
      </c>
    </row>
    <row r="94">
      <c r="C94" s="3" t="s">
        <v>109</v>
      </c>
      <c r="F94" s="3" t="s">
        <v>110</v>
      </c>
    </row>
    <row r="95">
      <c r="B95" s="3" t="s">
        <v>111</v>
      </c>
      <c r="I95" s="3">
        <v>4.0</v>
      </c>
    </row>
    <row r="96">
      <c r="C96" s="3" t="s">
        <v>112</v>
      </c>
      <c r="F96" s="3" t="s">
        <v>113</v>
      </c>
    </row>
    <row r="97">
      <c r="C97" s="3" t="s">
        <v>114</v>
      </c>
      <c r="F97" s="3" t="s">
        <v>115</v>
      </c>
    </row>
    <row r="99">
      <c r="I99" s="3" t="s">
        <v>116</v>
      </c>
    </row>
    <row r="107">
      <c r="B107" s="3" t="s">
        <v>117</v>
      </c>
      <c r="C107" s="3" t="s">
        <v>118</v>
      </c>
    </row>
    <row r="108">
      <c r="B108" s="3" t="s">
        <v>119</v>
      </c>
      <c r="C108" s="3" t="s">
        <v>118</v>
      </c>
    </row>
    <row r="111">
      <c r="A111" s="27" t="s">
        <v>120</v>
      </c>
    </row>
    <row r="113">
      <c r="B113" s="3" t="s">
        <v>121</v>
      </c>
      <c r="C113" s="14" t="s">
        <v>122</v>
      </c>
    </row>
  </sheetData>
  <mergeCells count="20">
    <mergeCell ref="A2:F2"/>
    <mergeCell ref="A3:F3"/>
    <mergeCell ref="A4:F4"/>
    <mergeCell ref="A5:F5"/>
    <mergeCell ref="K5:K6"/>
    <mergeCell ref="A6:F6"/>
    <mergeCell ref="A12:F12"/>
    <mergeCell ref="A21:F21"/>
    <mergeCell ref="A30:F30"/>
    <mergeCell ref="A31:F31"/>
    <mergeCell ref="A32:F32"/>
    <mergeCell ref="A33:F33"/>
    <mergeCell ref="A34:F34"/>
    <mergeCell ref="A13:F13"/>
    <mergeCell ref="A14:F14"/>
    <mergeCell ref="A15:F15"/>
    <mergeCell ref="A16:F16"/>
    <mergeCell ref="A18:F18"/>
    <mergeCell ref="A19:F19"/>
    <mergeCell ref="A20:F20"/>
  </mergeCells>
  <hyperlinks>
    <hyperlink r:id="rId1" ref="H3"/>
    <hyperlink r:id="rId2" ref="H4"/>
    <hyperlink r:id="rId3" ref="H5"/>
    <hyperlink r:id="rId4" ref="H6"/>
    <hyperlink r:id="rId5" ref="H7"/>
    <hyperlink r:id="rId6" ref="G8"/>
    <hyperlink r:id="rId7" ref="H8"/>
    <hyperlink r:id="rId8" ref="H9"/>
    <hyperlink r:id="rId9" ref="H10"/>
    <hyperlink r:id="rId10" ref="H19"/>
    <hyperlink r:id="rId11" ref="H20"/>
    <hyperlink r:id="rId12" ref="H21"/>
    <hyperlink r:id="rId13" ref="H31"/>
    <hyperlink r:id="rId14" ref="H32"/>
    <hyperlink r:id="rId15" ref="H33"/>
    <hyperlink r:id="rId16" ref="H34"/>
    <hyperlink r:id="rId17" ref="H35"/>
    <hyperlink r:id="rId18" ref="H36"/>
    <hyperlink r:id="rId19" ref="H37"/>
    <hyperlink r:id="rId20" location="!searchin/ptools-perfapi/cache%7Csort:date/ptools-perfapi/7BFT-jwZe0s/whX9Mg7ECQAJ" ref="H38"/>
    <hyperlink r:id="rId21" ref="H39"/>
    <hyperlink r:id="rId22" ref="H40"/>
    <hyperlink r:id="rId23" ref="H41"/>
    <hyperlink r:id="rId24" ref="H68"/>
    <hyperlink r:id="rId25" ref="C74"/>
    <hyperlink r:id="rId26" ref="C113"/>
  </hyperlinks>
  <drawing r:id="rId2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3" t="s">
        <v>888</v>
      </c>
    </row>
    <row r="5">
      <c r="A5" s="3" t="s">
        <v>889</v>
      </c>
    </row>
    <row r="6">
      <c r="B6" s="73" t="s">
        <v>324</v>
      </c>
      <c r="C6" s="73" t="s">
        <v>890</v>
      </c>
      <c r="D6" s="73" t="s">
        <v>891</v>
      </c>
      <c r="E6" s="73" t="s">
        <v>892</v>
      </c>
      <c r="F6" s="73" t="s">
        <v>893</v>
      </c>
    </row>
    <row r="7">
      <c r="B7" s="30" t="s">
        <v>894</v>
      </c>
      <c r="C7" s="3">
        <v>1.9450012E7</v>
      </c>
      <c r="D7" s="3">
        <v>7322722.0</v>
      </c>
      <c r="E7" s="3">
        <v>2.1175454E7</v>
      </c>
      <c r="F7" s="3">
        <v>7827016.0</v>
      </c>
    </row>
    <row r="8">
      <c r="B8" s="30" t="s">
        <v>895</v>
      </c>
      <c r="C8" s="3">
        <v>1.9256132E7</v>
      </c>
      <c r="D8" s="3">
        <v>7134477.0</v>
      </c>
      <c r="E8" s="3">
        <v>4.5293365E7</v>
      </c>
      <c r="F8" s="3">
        <v>1.4404936E7</v>
      </c>
    </row>
    <row r="9">
      <c r="B9" s="30" t="s">
        <v>896</v>
      </c>
      <c r="C9" s="3">
        <v>9.8188377E7</v>
      </c>
      <c r="D9" s="3">
        <v>3.2395592E7</v>
      </c>
      <c r="E9" s="3">
        <v>9.6097182E7</v>
      </c>
      <c r="F9" s="3">
        <v>3.2092701E7</v>
      </c>
    </row>
    <row r="10">
      <c r="B10" s="30" t="s">
        <v>897</v>
      </c>
      <c r="C10" s="3">
        <v>4.9414165E7</v>
      </c>
      <c r="D10" s="3">
        <v>1.7330235E7</v>
      </c>
      <c r="E10" s="3">
        <v>9.5238593E7</v>
      </c>
      <c r="F10" s="3">
        <v>3.1849245E7</v>
      </c>
    </row>
    <row r="11">
      <c r="B11" s="30" t="s">
        <v>898</v>
      </c>
      <c r="C11" s="3">
        <v>5.936714E7</v>
      </c>
      <c r="D11" s="3">
        <v>1.9742343E7</v>
      </c>
      <c r="E11" s="3">
        <v>9.3242206E7</v>
      </c>
      <c r="F11" s="3">
        <v>3.0638087E7</v>
      </c>
    </row>
    <row r="12">
      <c r="B12" s="30" t="s">
        <v>899</v>
      </c>
      <c r="C12" s="3">
        <v>5.5765276E7</v>
      </c>
      <c r="D12" s="3">
        <v>1.8425888E7</v>
      </c>
      <c r="E12" s="3">
        <v>8.8676447E7</v>
      </c>
      <c r="F12" s="3">
        <v>1.524607E7</v>
      </c>
    </row>
    <row r="13">
      <c r="B13" s="30" t="s">
        <v>900</v>
      </c>
      <c r="C13" s="3">
        <v>2.5836467E7</v>
      </c>
      <c r="D13" s="3">
        <v>8558364.0</v>
      </c>
      <c r="E13" s="3">
        <v>7.4890198E7</v>
      </c>
      <c r="F13" s="3">
        <v>8568840.0</v>
      </c>
    </row>
    <row r="14">
      <c r="B14" s="30" t="s">
        <v>901</v>
      </c>
      <c r="C14" s="3">
        <v>1.3985051E7</v>
      </c>
      <c r="D14" s="3">
        <v>4701500.0</v>
      </c>
      <c r="E14" s="3">
        <v>1.2512012E7</v>
      </c>
      <c r="F14" s="3">
        <v>4220456.0</v>
      </c>
    </row>
    <row r="15">
      <c r="B15" s="30" t="s">
        <v>902</v>
      </c>
      <c r="C15" s="3">
        <v>5927857.0</v>
      </c>
      <c r="D15" s="3">
        <v>2010671.0</v>
      </c>
      <c r="E15" s="3">
        <v>8549774.0</v>
      </c>
      <c r="F15" s="3">
        <v>2899726.0</v>
      </c>
    </row>
    <row r="16">
      <c r="B16" s="30" t="s">
        <v>903</v>
      </c>
      <c r="C16" s="3">
        <v>3608668.0</v>
      </c>
      <c r="D16" s="3">
        <v>1228275.0</v>
      </c>
      <c r="E16" s="3">
        <v>4293305.0</v>
      </c>
      <c r="F16" s="3">
        <v>1456879.0</v>
      </c>
    </row>
    <row r="17">
      <c r="B17" s="30" t="s">
        <v>904</v>
      </c>
      <c r="C17" s="3">
        <v>2150303.0</v>
      </c>
      <c r="D17" s="3">
        <v>732395.0</v>
      </c>
      <c r="E17" s="3">
        <v>1765035.0</v>
      </c>
      <c r="F17" s="3">
        <v>603058.0</v>
      </c>
    </row>
    <row r="18">
      <c r="B18" s="30" t="s">
        <v>905</v>
      </c>
      <c r="C18" s="3">
        <v>1049873.0</v>
      </c>
      <c r="D18" s="3">
        <v>380458.0</v>
      </c>
      <c r="E18" s="3">
        <v>1034658.0</v>
      </c>
      <c r="F18" s="3">
        <v>358201.0</v>
      </c>
    </row>
    <row r="19">
      <c r="B19" s="30" t="s">
        <v>906</v>
      </c>
      <c r="C19" s="3">
        <v>519245.0</v>
      </c>
      <c r="D19" s="3">
        <v>182513.0</v>
      </c>
      <c r="E19" s="3">
        <v>300594.0</v>
      </c>
      <c r="F19" s="3">
        <v>108043.0</v>
      </c>
    </row>
    <row r="20">
      <c r="B20" s="30" t="s">
        <v>907</v>
      </c>
      <c r="C20" s="3">
        <v>259844.0</v>
      </c>
      <c r="D20" s="3">
        <v>92354.0</v>
      </c>
      <c r="E20" s="3">
        <v>151262.0</v>
      </c>
      <c r="F20" s="3">
        <v>56431.0</v>
      </c>
    </row>
    <row r="24">
      <c r="A24" s="73" t="s">
        <v>908</v>
      </c>
    </row>
    <row r="25">
      <c r="B25" s="73" t="s">
        <v>324</v>
      </c>
      <c r="C25" s="73" t="s">
        <v>909</v>
      </c>
      <c r="D25" s="73" t="s">
        <v>910</v>
      </c>
      <c r="E25" s="73" t="s">
        <v>911</v>
      </c>
      <c r="F25" s="73" t="s">
        <v>912</v>
      </c>
    </row>
    <row r="26">
      <c r="B26" s="30" t="s">
        <v>894</v>
      </c>
      <c r="C26" s="3">
        <v>2.1175454E7</v>
      </c>
      <c r="D26" s="3">
        <v>7827016.0</v>
      </c>
      <c r="E26" s="3">
        <v>4.406276E7</v>
      </c>
      <c r="F26" s="3">
        <v>4.1010926E7</v>
      </c>
    </row>
    <row r="27">
      <c r="B27" s="30" t="s">
        <v>895</v>
      </c>
      <c r="C27" s="3">
        <v>4.5293365E7</v>
      </c>
      <c r="D27" s="3">
        <v>1.4404936E7</v>
      </c>
      <c r="E27" s="3">
        <v>7.9631022E7</v>
      </c>
      <c r="F27" s="3">
        <v>6.3917124E7</v>
      </c>
    </row>
    <row r="28">
      <c r="B28" s="30" t="s">
        <v>896</v>
      </c>
      <c r="C28" s="3">
        <v>9.6097182E7</v>
      </c>
      <c r="D28" s="3">
        <v>3.2092701E7</v>
      </c>
      <c r="E28" s="3">
        <v>1.25936152E8</v>
      </c>
      <c r="F28" s="3">
        <v>8.3349445E7</v>
      </c>
    </row>
    <row r="29">
      <c r="B29" s="30" t="s">
        <v>897</v>
      </c>
      <c r="C29" s="3">
        <v>9.5238593E7</v>
      </c>
      <c r="D29" s="3">
        <v>3.1849245E7</v>
      </c>
      <c r="E29" s="3">
        <v>1.34493235E8</v>
      </c>
      <c r="F29" s="3">
        <v>9.5418157E7</v>
      </c>
    </row>
    <row r="30">
      <c r="B30" s="30" t="s">
        <v>898</v>
      </c>
      <c r="C30" s="3">
        <v>9.3242206E7</v>
      </c>
      <c r="D30" s="3">
        <v>3.0638087E7</v>
      </c>
      <c r="E30" s="3">
        <v>1.34829064E8</v>
      </c>
      <c r="F30" s="3">
        <v>9.1169262E7</v>
      </c>
    </row>
    <row r="31">
      <c r="B31" s="30" t="s">
        <v>899</v>
      </c>
      <c r="C31" s="3">
        <v>8.8676447E7</v>
      </c>
      <c r="D31" s="3">
        <v>1.524607E7</v>
      </c>
      <c r="E31" s="3">
        <v>1.38379917E8</v>
      </c>
      <c r="F31" s="3">
        <v>7.5620111E7</v>
      </c>
    </row>
    <row r="32">
      <c r="B32" s="30" t="s">
        <v>900</v>
      </c>
      <c r="C32" s="3">
        <v>7.4890198E7</v>
      </c>
      <c r="D32" s="3">
        <v>8568840.0</v>
      </c>
      <c r="E32" s="3">
        <v>9.8726331E7</v>
      </c>
      <c r="F32" s="3">
        <v>5.0089121E7</v>
      </c>
    </row>
    <row r="33">
      <c r="B33" s="30" t="s">
        <v>901</v>
      </c>
      <c r="C33" s="3">
        <v>1.2512012E7</v>
      </c>
      <c r="D33" s="3">
        <v>4220456.0</v>
      </c>
      <c r="E33" s="3">
        <v>1.8332589E7</v>
      </c>
      <c r="F33" s="3">
        <v>1.3361266E7</v>
      </c>
    </row>
    <row r="34">
      <c r="B34" s="30" t="s">
        <v>902</v>
      </c>
      <c r="C34" s="3">
        <v>8549774.0</v>
      </c>
      <c r="D34" s="3">
        <v>2899726.0</v>
      </c>
      <c r="E34" s="3">
        <v>9368189.0</v>
      </c>
      <c r="F34" s="3">
        <v>5742392.0</v>
      </c>
    </row>
    <row r="35">
      <c r="B35" s="30" t="s">
        <v>903</v>
      </c>
      <c r="C35" s="3">
        <v>4293305.0</v>
      </c>
      <c r="D35" s="3">
        <v>1456879.0</v>
      </c>
      <c r="E35" s="3">
        <v>4748827.0</v>
      </c>
      <c r="F35" s="3">
        <v>4266970.0</v>
      </c>
    </row>
    <row r="36">
      <c r="B36" s="30" t="s">
        <v>904</v>
      </c>
      <c r="C36" s="3">
        <v>1765035.0</v>
      </c>
      <c r="D36" s="3">
        <v>603058.0</v>
      </c>
      <c r="E36" s="3">
        <v>2380456.0</v>
      </c>
      <c r="F36" s="3">
        <v>1989731.0</v>
      </c>
    </row>
    <row r="37">
      <c r="B37" s="30" t="s">
        <v>905</v>
      </c>
      <c r="C37" s="3">
        <v>1034658.0</v>
      </c>
      <c r="D37" s="3">
        <v>358201.0</v>
      </c>
      <c r="E37" s="3">
        <v>1253199.0</v>
      </c>
      <c r="F37" s="3">
        <v>994677.0</v>
      </c>
    </row>
    <row r="38">
      <c r="B38" s="30" t="s">
        <v>906</v>
      </c>
      <c r="C38" s="3">
        <v>300594.0</v>
      </c>
      <c r="D38" s="3">
        <v>108043.0</v>
      </c>
      <c r="E38" s="3">
        <v>594514.0</v>
      </c>
      <c r="F38" s="3">
        <v>367888.0</v>
      </c>
    </row>
    <row r="39">
      <c r="B39" s="30" t="s">
        <v>907</v>
      </c>
      <c r="C39" s="3">
        <v>151262.0</v>
      </c>
      <c r="D39" s="3">
        <v>56431.0</v>
      </c>
      <c r="E39" s="3">
        <v>301094.0</v>
      </c>
      <c r="F39" s="3">
        <v>158612.0</v>
      </c>
    </row>
    <row r="45">
      <c r="A45" s="3" t="s">
        <v>913</v>
      </c>
    </row>
    <row r="46">
      <c r="B46" s="3" t="s">
        <v>889</v>
      </c>
    </row>
    <row r="47">
      <c r="C47" s="73" t="s">
        <v>324</v>
      </c>
      <c r="D47" s="73" t="s">
        <v>890</v>
      </c>
      <c r="E47" s="73" t="s">
        <v>891</v>
      </c>
      <c r="F47" s="73" t="s">
        <v>892</v>
      </c>
      <c r="G47" s="73" t="s">
        <v>893</v>
      </c>
    </row>
    <row r="48">
      <c r="C48" s="30" t="s">
        <v>894</v>
      </c>
      <c r="D48" s="3">
        <v>1.9133214E7</v>
      </c>
      <c r="E48" s="3">
        <v>7045933.0</v>
      </c>
      <c r="F48" s="3">
        <v>5.9967751E7</v>
      </c>
      <c r="G48" s="3">
        <v>5.3708227E7</v>
      </c>
    </row>
    <row r="49">
      <c r="C49" s="30" t="s">
        <v>895</v>
      </c>
      <c r="D49" s="3">
        <v>1.9206797E7</v>
      </c>
      <c r="E49" s="3">
        <v>7066021.0</v>
      </c>
      <c r="F49" s="3">
        <v>6.8558503E7</v>
      </c>
      <c r="G49" s="3">
        <v>5.0526854E7</v>
      </c>
    </row>
    <row r="50">
      <c r="C50" s="30" t="s">
        <v>896</v>
      </c>
      <c r="D50" s="3">
        <v>2.1726119E7</v>
      </c>
      <c r="E50" s="3">
        <v>8509210.0</v>
      </c>
      <c r="F50" s="3">
        <v>6.9113656E7</v>
      </c>
      <c r="G50" s="3">
        <v>5.8145775E7</v>
      </c>
    </row>
    <row r="51">
      <c r="C51" s="30" t="s">
        <v>897</v>
      </c>
      <c r="D51" s="3">
        <v>2.7240028E7</v>
      </c>
      <c r="E51" s="3">
        <v>1.0217528E7</v>
      </c>
      <c r="F51" s="3">
        <v>4.6527303E7</v>
      </c>
      <c r="G51" s="3">
        <v>4.4869419E7</v>
      </c>
    </row>
    <row r="52">
      <c r="C52" s="30" t="s">
        <v>898</v>
      </c>
      <c r="D52" s="3">
        <v>2.7335808E7</v>
      </c>
      <c r="E52" s="3">
        <v>1.0275291E7</v>
      </c>
      <c r="F52" s="3">
        <v>4.3766215E7</v>
      </c>
      <c r="G52" s="3">
        <v>4.1912396E7</v>
      </c>
    </row>
    <row r="53">
      <c r="C53" s="30" t="s">
        <v>899</v>
      </c>
      <c r="D53" s="3">
        <v>2.8550125E7</v>
      </c>
      <c r="E53" s="3">
        <v>9992153.0</v>
      </c>
      <c r="F53" s="3">
        <v>3.5524991E7</v>
      </c>
      <c r="G53" s="3">
        <v>2.6606229E7</v>
      </c>
    </row>
    <row r="54">
      <c r="C54" s="30" t="s">
        <v>900</v>
      </c>
      <c r="D54" s="3">
        <v>1.2570108E7</v>
      </c>
      <c r="E54" s="3">
        <v>4455232.0</v>
      </c>
      <c r="F54" s="3">
        <v>2.121407E7</v>
      </c>
      <c r="G54" s="3">
        <v>1.4360632E7</v>
      </c>
    </row>
    <row r="55">
      <c r="C55" s="30" t="s">
        <v>901</v>
      </c>
      <c r="D55" s="3">
        <v>7914915.0</v>
      </c>
      <c r="E55" s="3">
        <v>2721470.0</v>
      </c>
      <c r="F55" s="3">
        <v>1.0339581E7</v>
      </c>
      <c r="G55" s="3">
        <v>6307291.0</v>
      </c>
    </row>
    <row r="56">
      <c r="C56" s="30" t="s">
        <v>902</v>
      </c>
      <c r="D56" s="3">
        <v>4949606.0</v>
      </c>
      <c r="E56" s="3">
        <v>1683570.0</v>
      </c>
      <c r="F56" s="3">
        <v>6019517.0</v>
      </c>
      <c r="G56" s="3">
        <v>4129321.0</v>
      </c>
    </row>
    <row r="57">
      <c r="C57" s="30" t="s">
        <v>903</v>
      </c>
      <c r="D57" s="3">
        <v>1374971.0</v>
      </c>
      <c r="E57" s="3">
        <v>479970.0</v>
      </c>
      <c r="F57" s="3">
        <v>2568697.0</v>
      </c>
      <c r="G57" s="3">
        <v>1750657.0</v>
      </c>
    </row>
    <row r="58">
      <c r="C58" s="30" t="s">
        <v>904</v>
      </c>
      <c r="D58" s="3">
        <v>593397.0</v>
      </c>
      <c r="E58" s="3">
        <v>209425.0</v>
      </c>
      <c r="F58" s="3">
        <v>1673974.0</v>
      </c>
      <c r="G58" s="3">
        <v>1084065.0</v>
      </c>
    </row>
    <row r="59">
      <c r="C59" s="30" t="s">
        <v>905</v>
      </c>
      <c r="D59" s="3">
        <v>443839.0</v>
      </c>
      <c r="E59" s="3">
        <v>158158.0</v>
      </c>
      <c r="F59" s="3">
        <v>720788.0</v>
      </c>
      <c r="G59" s="3">
        <v>524617.0</v>
      </c>
    </row>
    <row r="60">
      <c r="C60" s="30" t="s">
        <v>906</v>
      </c>
      <c r="D60" s="3">
        <v>150049.0</v>
      </c>
      <c r="E60" s="3">
        <v>57583.0</v>
      </c>
      <c r="F60" s="3">
        <v>339203.0</v>
      </c>
      <c r="G60" s="3">
        <v>240148.0</v>
      </c>
    </row>
    <row r="61">
      <c r="C61" s="30" t="s">
        <v>907</v>
      </c>
      <c r="D61" s="3">
        <v>75311.0</v>
      </c>
      <c r="E61" s="3">
        <v>28997.0</v>
      </c>
      <c r="F61" s="3">
        <v>176767.0</v>
      </c>
      <c r="G61" s="3">
        <v>122170.0</v>
      </c>
    </row>
    <row r="65">
      <c r="B65" s="73" t="s">
        <v>908</v>
      </c>
    </row>
    <row r="66">
      <c r="C66" s="73" t="s">
        <v>324</v>
      </c>
      <c r="D66" s="73" t="s">
        <v>909</v>
      </c>
      <c r="E66" s="73" t="s">
        <v>910</v>
      </c>
      <c r="F66" s="73" t="s">
        <v>911</v>
      </c>
      <c r="G66" s="73" t="s">
        <v>912</v>
      </c>
    </row>
    <row r="67">
      <c r="C67" s="30" t="s">
        <v>894</v>
      </c>
      <c r="D67" s="3">
        <v>4.113759E7</v>
      </c>
      <c r="E67" s="3">
        <v>1.3726544E7</v>
      </c>
      <c r="F67" s="3">
        <v>5.1698778E7</v>
      </c>
      <c r="G67" s="3">
        <v>4.8145458E7</v>
      </c>
    </row>
    <row r="68">
      <c r="C68" s="30" t="s">
        <v>895</v>
      </c>
      <c r="D68" s="3">
        <v>4.4334704E7</v>
      </c>
      <c r="E68" s="3">
        <v>1.5292369E7</v>
      </c>
      <c r="F68" s="3">
        <v>8.0815439E7</v>
      </c>
      <c r="G68" s="3">
        <v>5.7450394E7</v>
      </c>
    </row>
    <row r="69">
      <c r="C69" s="30" t="s">
        <v>896</v>
      </c>
      <c r="D69" s="3">
        <v>4.1663074E7</v>
      </c>
      <c r="E69" s="3">
        <v>1.4333519E7</v>
      </c>
      <c r="F69" s="3">
        <v>7.9769498E7</v>
      </c>
      <c r="G69" s="3">
        <v>5.8849582E7</v>
      </c>
    </row>
    <row r="70">
      <c r="C70" s="30" t="s">
        <v>897</v>
      </c>
      <c r="D70" s="3">
        <v>7.6702782E7</v>
      </c>
      <c r="E70" s="3">
        <v>2.5767701E7</v>
      </c>
      <c r="F70" s="3">
        <v>9.8530945E7</v>
      </c>
      <c r="G70" s="3">
        <v>6.500288E7</v>
      </c>
    </row>
    <row r="71">
      <c r="C71" s="30" t="s">
        <v>898</v>
      </c>
      <c r="D71" s="3">
        <v>7.3165006E7</v>
      </c>
      <c r="E71" s="3">
        <v>2.4705802E7</v>
      </c>
      <c r="F71" s="3">
        <v>9.0814722E7</v>
      </c>
      <c r="G71" s="3">
        <v>7.1410906E7</v>
      </c>
    </row>
    <row r="72">
      <c r="C72" s="30" t="s">
        <v>899</v>
      </c>
      <c r="D72" s="3">
        <v>5.8054695E7</v>
      </c>
      <c r="E72" s="3">
        <v>1.0359093E7</v>
      </c>
      <c r="F72" s="3">
        <v>8.0950143E7</v>
      </c>
      <c r="G72" s="3">
        <v>4.6629256E7</v>
      </c>
    </row>
    <row r="73">
      <c r="C73" s="30" t="s">
        <v>900</v>
      </c>
      <c r="D73" s="3">
        <v>5.5262565E7</v>
      </c>
      <c r="E73" s="3">
        <v>6554832.0</v>
      </c>
      <c r="F73" s="3">
        <v>7.4661481E7</v>
      </c>
      <c r="G73" s="3">
        <v>3.8605599E7</v>
      </c>
    </row>
    <row r="74">
      <c r="C74" s="30" t="s">
        <v>901</v>
      </c>
      <c r="D74" s="3">
        <v>7417374.0</v>
      </c>
      <c r="E74" s="3">
        <v>2550662.0</v>
      </c>
      <c r="F74" s="3">
        <v>1.2183984E7</v>
      </c>
      <c r="G74" s="3">
        <v>9189790.0</v>
      </c>
    </row>
    <row r="75">
      <c r="C75" s="30" t="s">
        <v>902</v>
      </c>
      <c r="D75" s="3">
        <v>2309685.0</v>
      </c>
      <c r="E75" s="3">
        <v>816181.0</v>
      </c>
      <c r="F75" s="3">
        <v>5077865.0</v>
      </c>
      <c r="G75" s="3">
        <v>3716232.0</v>
      </c>
    </row>
    <row r="76">
      <c r="C76" s="30" t="s">
        <v>903</v>
      </c>
      <c r="D76" s="3">
        <v>2262384.0</v>
      </c>
      <c r="E76" s="3">
        <v>776413.0</v>
      </c>
      <c r="F76" s="3">
        <v>3277435.0</v>
      </c>
      <c r="G76" s="3">
        <v>1860701.0</v>
      </c>
    </row>
    <row r="77">
      <c r="C77" s="30" t="s">
        <v>904</v>
      </c>
      <c r="D77" s="3">
        <v>1310796.0</v>
      </c>
      <c r="E77" s="3">
        <v>449085.0</v>
      </c>
      <c r="F77" s="3">
        <v>1458858.0</v>
      </c>
      <c r="G77" s="3">
        <v>938794.0</v>
      </c>
    </row>
    <row r="78">
      <c r="C78" s="30" t="s">
        <v>905</v>
      </c>
      <c r="D78" s="3">
        <v>444524.0</v>
      </c>
      <c r="E78" s="3">
        <v>159058.0</v>
      </c>
      <c r="F78" s="3">
        <v>680937.0</v>
      </c>
      <c r="G78" s="3">
        <v>425610.0</v>
      </c>
    </row>
    <row r="79">
      <c r="C79" s="30" t="s">
        <v>906</v>
      </c>
      <c r="D79" s="3">
        <v>149443.0</v>
      </c>
      <c r="E79" s="3">
        <v>56638.0</v>
      </c>
      <c r="F79" s="3">
        <v>366223.0</v>
      </c>
      <c r="G79" s="3">
        <v>245904.0</v>
      </c>
    </row>
    <row r="80">
      <c r="C80" s="30" t="s">
        <v>907</v>
      </c>
      <c r="D80" s="3">
        <v>75260.0</v>
      </c>
      <c r="E80" s="3">
        <v>28909.0</v>
      </c>
      <c r="F80" s="3">
        <v>182613.0</v>
      </c>
      <c r="G80" s="3">
        <v>144287.0</v>
      </c>
    </row>
    <row r="83">
      <c r="A83" s="3" t="s">
        <v>914</v>
      </c>
    </row>
    <row r="86">
      <c r="A86" s="3" t="s">
        <v>889</v>
      </c>
    </row>
    <row r="88">
      <c r="B88" s="3" t="s">
        <v>324</v>
      </c>
      <c r="C88" s="3" t="s">
        <v>890</v>
      </c>
      <c r="D88" s="3" t="s">
        <v>891</v>
      </c>
      <c r="E88" s="3" t="s">
        <v>892</v>
      </c>
      <c r="F88" s="3" t="s">
        <v>893</v>
      </c>
    </row>
    <row r="89">
      <c r="B89" s="30" t="s">
        <v>894</v>
      </c>
      <c r="C89" s="3">
        <v>1.8938716E7</v>
      </c>
      <c r="D89" s="3">
        <v>6834742.0</v>
      </c>
      <c r="E89" s="3">
        <v>5.6453544E7</v>
      </c>
      <c r="F89" s="3">
        <v>5.1358672E7</v>
      </c>
    </row>
    <row r="90">
      <c r="B90" s="30" t="s">
        <v>895</v>
      </c>
      <c r="C90" s="3">
        <v>1.8850158E7</v>
      </c>
      <c r="D90" s="3">
        <v>6774238.0</v>
      </c>
      <c r="E90" s="3">
        <v>5.3722572E7</v>
      </c>
      <c r="F90" s="3">
        <v>4.2732353E7</v>
      </c>
    </row>
    <row r="91">
      <c r="B91" s="30" t="s">
        <v>896</v>
      </c>
      <c r="C91" s="3">
        <v>1.8821703E7</v>
      </c>
      <c r="D91" s="3">
        <v>6760244.0</v>
      </c>
      <c r="E91" s="3">
        <v>3.7682366E7</v>
      </c>
      <c r="F91" s="3">
        <v>3.8400395E7</v>
      </c>
    </row>
    <row r="92">
      <c r="B92" s="30" t="s">
        <v>897</v>
      </c>
      <c r="C92" s="3">
        <v>1.8813577E7</v>
      </c>
      <c r="D92" s="3">
        <v>6761905.0</v>
      </c>
      <c r="E92" s="3">
        <v>3.7702402E7</v>
      </c>
      <c r="F92" s="3">
        <v>3.8195955E7</v>
      </c>
    </row>
    <row r="93">
      <c r="B93" s="30" t="s">
        <v>898</v>
      </c>
      <c r="C93" s="3">
        <v>1.8833566E7</v>
      </c>
      <c r="D93" s="3">
        <v>6746289.0</v>
      </c>
      <c r="E93" s="3">
        <v>3.8033088E7</v>
      </c>
      <c r="F93" s="3">
        <v>3.8081795E7</v>
      </c>
    </row>
    <row r="94">
      <c r="B94" s="30" t="s">
        <v>899</v>
      </c>
      <c r="C94" s="3">
        <v>1.8787026E7</v>
      </c>
      <c r="D94" s="3">
        <v>3718388.0</v>
      </c>
      <c r="E94" s="3">
        <v>3.7540338E7</v>
      </c>
      <c r="F94" s="3">
        <v>3.3443757E7</v>
      </c>
    </row>
    <row r="95">
      <c r="B95" s="30" t="s">
        <v>900</v>
      </c>
      <c r="C95" s="3">
        <v>1.470334E7</v>
      </c>
      <c r="D95" s="3">
        <v>2147968.0</v>
      </c>
      <c r="E95" s="3">
        <v>2.9137161E7</v>
      </c>
      <c r="F95" s="3">
        <v>2.4795069E7</v>
      </c>
    </row>
    <row r="96">
      <c r="B96" s="30" t="s">
        <v>901</v>
      </c>
      <c r="C96" s="3">
        <v>2366417.0</v>
      </c>
      <c r="D96" s="3">
        <v>861786.0</v>
      </c>
      <c r="E96" s="3">
        <v>7892697.0</v>
      </c>
      <c r="F96" s="3">
        <v>6560453.0</v>
      </c>
    </row>
    <row r="97">
      <c r="B97" s="30" t="s">
        <v>902</v>
      </c>
      <c r="C97" s="3">
        <v>1185961.0</v>
      </c>
      <c r="D97" s="3">
        <v>431940.0</v>
      </c>
      <c r="E97" s="3">
        <v>2375953.0</v>
      </c>
      <c r="F97" s="3">
        <v>2397153.0</v>
      </c>
    </row>
    <row r="98">
      <c r="B98" s="30" t="s">
        <v>903</v>
      </c>
      <c r="C98" s="3">
        <v>593282.0</v>
      </c>
      <c r="D98" s="3">
        <v>216291.0</v>
      </c>
      <c r="E98" s="3">
        <v>1864705.0</v>
      </c>
      <c r="F98" s="3">
        <v>1519586.0</v>
      </c>
    </row>
    <row r="99">
      <c r="B99" s="30" t="s">
        <v>904</v>
      </c>
      <c r="C99" s="3">
        <v>296638.0</v>
      </c>
      <c r="D99" s="3">
        <v>107888.0</v>
      </c>
      <c r="E99" s="3">
        <v>937921.0</v>
      </c>
      <c r="F99" s="3">
        <v>772993.0</v>
      </c>
    </row>
    <row r="100">
      <c r="B100" s="30" t="s">
        <v>905</v>
      </c>
      <c r="C100" s="3">
        <v>148359.0</v>
      </c>
      <c r="D100" s="3">
        <v>57850.0</v>
      </c>
      <c r="E100" s="3">
        <v>414329.0</v>
      </c>
      <c r="F100" s="3">
        <v>435760.0</v>
      </c>
    </row>
    <row r="101">
      <c r="B101" s="30" t="s">
        <v>906</v>
      </c>
      <c r="C101" s="3">
        <v>74555.0</v>
      </c>
      <c r="D101" s="3">
        <v>30696.0</v>
      </c>
      <c r="E101" s="3">
        <v>180820.0</v>
      </c>
      <c r="F101" s="3">
        <v>190345.0</v>
      </c>
    </row>
    <row r="102">
      <c r="B102" s="30" t="s">
        <v>907</v>
      </c>
      <c r="C102" s="3">
        <v>37563.0</v>
      </c>
      <c r="D102" s="3">
        <v>15668.0</v>
      </c>
      <c r="E102" s="3">
        <v>115466.0</v>
      </c>
      <c r="F102" s="3">
        <v>119980.0</v>
      </c>
    </row>
    <row r="105">
      <c r="A105" s="3" t="s">
        <v>908</v>
      </c>
    </row>
    <row r="106">
      <c r="B106" s="3" t="s">
        <v>324</v>
      </c>
      <c r="C106" s="3" t="s">
        <v>909</v>
      </c>
      <c r="D106" s="3" t="s">
        <v>910</v>
      </c>
      <c r="E106" s="3" t="s">
        <v>911</v>
      </c>
      <c r="F106" s="3" t="s">
        <v>912</v>
      </c>
    </row>
    <row r="107">
      <c r="B107" s="30" t="s">
        <v>894</v>
      </c>
      <c r="C107" s="3">
        <v>1.9116661E7</v>
      </c>
      <c r="D107" s="3">
        <v>7008041.0</v>
      </c>
      <c r="E107" s="3">
        <v>5.3154118E7</v>
      </c>
      <c r="F107" s="3">
        <v>4.9251677E7</v>
      </c>
    </row>
    <row r="108">
      <c r="B108" s="30" t="s">
        <v>895</v>
      </c>
      <c r="C108" s="3">
        <v>1.9049023E7</v>
      </c>
      <c r="D108" s="3">
        <v>6949238.0</v>
      </c>
      <c r="E108" s="3">
        <v>4.9395012E7</v>
      </c>
      <c r="F108" s="3">
        <v>3.8031586E7</v>
      </c>
    </row>
    <row r="109">
      <c r="B109" s="30" t="s">
        <v>896</v>
      </c>
      <c r="C109" s="3">
        <v>1.8955618E7</v>
      </c>
      <c r="D109" s="3">
        <v>6906466.0</v>
      </c>
      <c r="E109" s="3">
        <v>4.7488455E7</v>
      </c>
      <c r="F109" s="3">
        <v>3.6005797E7</v>
      </c>
    </row>
    <row r="110">
      <c r="B110" s="30" t="s">
        <v>897</v>
      </c>
      <c r="C110" s="3">
        <v>1.8964307E7</v>
      </c>
      <c r="D110" s="3">
        <v>6901767.0</v>
      </c>
      <c r="E110" s="3">
        <v>5.3643661E7</v>
      </c>
      <c r="F110" s="3">
        <v>4.2246042E7</v>
      </c>
    </row>
    <row r="111">
      <c r="B111" s="30" t="s">
        <v>898</v>
      </c>
      <c r="C111" s="3">
        <v>1.8986782E7</v>
      </c>
      <c r="D111" s="3">
        <v>6916977.0</v>
      </c>
      <c r="E111" s="3">
        <v>5.3639703E7</v>
      </c>
      <c r="F111" s="3">
        <v>4.2261354E7</v>
      </c>
    </row>
    <row r="112">
      <c r="B112" s="30" t="s">
        <v>899</v>
      </c>
      <c r="C112" s="3">
        <v>9473181.0</v>
      </c>
      <c r="D112" s="3">
        <v>3453577.0</v>
      </c>
      <c r="E112" s="3">
        <v>2.0545001E7</v>
      </c>
      <c r="F112" s="3">
        <v>1.4833233E7</v>
      </c>
    </row>
    <row r="113">
      <c r="B113" s="30" t="s">
        <v>900</v>
      </c>
      <c r="C113" s="3">
        <v>4729376.0</v>
      </c>
      <c r="D113" s="3">
        <v>1720440.0</v>
      </c>
      <c r="E113" s="3">
        <v>9514475.0</v>
      </c>
      <c r="F113" s="3">
        <v>9587274.0</v>
      </c>
    </row>
    <row r="114">
      <c r="B114" s="30" t="s">
        <v>901</v>
      </c>
      <c r="C114" s="3">
        <v>2364896.0</v>
      </c>
      <c r="D114" s="3">
        <v>860628.0</v>
      </c>
      <c r="E114" s="3">
        <v>4745661.0</v>
      </c>
      <c r="F114" s="3">
        <v>4803342.0</v>
      </c>
    </row>
    <row r="115">
      <c r="B115" s="30" t="s">
        <v>902</v>
      </c>
      <c r="C115" s="3">
        <v>1185091.0</v>
      </c>
      <c r="D115" s="3">
        <v>431275.0</v>
      </c>
      <c r="E115" s="3">
        <v>3728341.0</v>
      </c>
      <c r="F115" s="3">
        <v>3036927.0</v>
      </c>
    </row>
    <row r="116">
      <c r="B116" s="30" t="s">
        <v>903</v>
      </c>
      <c r="C116" s="3">
        <v>593313.0</v>
      </c>
      <c r="D116" s="3">
        <v>216549.0</v>
      </c>
      <c r="E116" s="3">
        <v>1871228.0</v>
      </c>
      <c r="F116" s="3">
        <v>1516071.0</v>
      </c>
    </row>
    <row r="117">
      <c r="B117" s="30" t="s">
        <v>904</v>
      </c>
      <c r="C117" s="3">
        <v>296259.0</v>
      </c>
      <c r="D117" s="3">
        <v>107527.0</v>
      </c>
      <c r="E117" s="3">
        <v>867558.0</v>
      </c>
      <c r="F117" s="3">
        <v>703639.0</v>
      </c>
    </row>
    <row r="118">
      <c r="B118" s="30" t="s">
        <v>905</v>
      </c>
      <c r="C118" s="3">
        <v>149146.0</v>
      </c>
      <c r="D118" s="3">
        <v>58890.0</v>
      </c>
      <c r="E118" s="3">
        <v>300633.0</v>
      </c>
      <c r="F118" s="3">
        <v>304032.0</v>
      </c>
    </row>
    <row r="119">
      <c r="B119" s="30" t="s">
        <v>906</v>
      </c>
      <c r="C119" s="3">
        <v>74306.0</v>
      </c>
      <c r="D119" s="3">
        <v>30587.0</v>
      </c>
      <c r="E119" s="3">
        <v>191340.0</v>
      </c>
      <c r="F119" s="3">
        <v>179524.0</v>
      </c>
    </row>
    <row r="120">
      <c r="B120" s="30" t="s">
        <v>907</v>
      </c>
      <c r="C120" s="3">
        <v>37251.0</v>
      </c>
      <c r="D120" s="3">
        <v>15365.0</v>
      </c>
      <c r="E120" s="3">
        <v>133704.0</v>
      </c>
      <c r="F120" s="3">
        <v>118018.0</v>
      </c>
    </row>
    <row r="123">
      <c r="A123" s="3" t="s">
        <v>915</v>
      </c>
    </row>
    <row r="124">
      <c r="A124" s="3" t="s">
        <v>827</v>
      </c>
    </row>
    <row r="126">
      <c r="A126" s="3" t="s">
        <v>889</v>
      </c>
    </row>
    <row r="128">
      <c r="B128" s="3" t="s">
        <v>324</v>
      </c>
      <c r="C128" s="3" t="s">
        <v>890</v>
      </c>
      <c r="D128" s="3" t="s">
        <v>891</v>
      </c>
      <c r="E128" s="3" t="s">
        <v>892</v>
      </c>
      <c r="F128" s="3" t="s">
        <v>893</v>
      </c>
    </row>
    <row r="129">
      <c r="B129" s="30" t="s">
        <v>894</v>
      </c>
      <c r="C129" s="3">
        <v>1.9080723E7</v>
      </c>
      <c r="D129" s="3">
        <v>7002544.0</v>
      </c>
      <c r="E129" s="3">
        <v>1.9331115E7</v>
      </c>
      <c r="F129" s="3">
        <v>7269945.0</v>
      </c>
    </row>
    <row r="130">
      <c r="B130" s="30" t="s">
        <v>895</v>
      </c>
      <c r="C130" s="3">
        <v>1.898947E7</v>
      </c>
      <c r="D130" s="3">
        <v>6927374.0</v>
      </c>
      <c r="E130" s="3">
        <v>1.9166303E7</v>
      </c>
      <c r="F130" s="3">
        <v>7113004.0</v>
      </c>
    </row>
    <row r="131">
      <c r="B131" s="30" t="s">
        <v>896</v>
      </c>
      <c r="C131" s="3">
        <v>1.8955327E7</v>
      </c>
      <c r="D131" s="3">
        <v>6903315.0</v>
      </c>
      <c r="E131" s="3">
        <v>1.9113855E7</v>
      </c>
      <c r="F131" s="3">
        <v>7061481.0</v>
      </c>
    </row>
    <row r="132">
      <c r="B132" s="30" t="s">
        <v>897</v>
      </c>
      <c r="C132" s="3">
        <v>1.8949828E7</v>
      </c>
      <c r="D132" s="3">
        <v>6892803.0</v>
      </c>
      <c r="E132" s="3">
        <v>1.9110442E7</v>
      </c>
      <c r="F132" s="3">
        <v>7059612.0</v>
      </c>
    </row>
    <row r="133">
      <c r="B133" s="30" t="s">
        <v>898</v>
      </c>
      <c r="C133" s="3">
        <v>1.8954768E7</v>
      </c>
      <c r="D133" s="3">
        <v>6897240.0</v>
      </c>
      <c r="E133" s="3">
        <v>1.9119983E7</v>
      </c>
      <c r="F133" s="3">
        <v>7063787.0</v>
      </c>
    </row>
    <row r="134">
      <c r="B134" s="30" t="s">
        <v>899</v>
      </c>
      <c r="C134" s="3">
        <v>9475552.0</v>
      </c>
      <c r="D134" s="3">
        <v>3453775.0</v>
      </c>
      <c r="E134" s="3">
        <v>9553694.0</v>
      </c>
      <c r="F134" s="3">
        <v>3526871.0</v>
      </c>
    </row>
    <row r="135">
      <c r="B135" s="30" t="s">
        <v>900</v>
      </c>
      <c r="C135" s="3">
        <v>4729114.0</v>
      </c>
      <c r="D135" s="3">
        <v>1721611.0</v>
      </c>
      <c r="E135" s="3">
        <v>4767172.0</v>
      </c>
      <c r="F135" s="3">
        <v>1755476.0</v>
      </c>
    </row>
    <row r="136">
      <c r="B136" s="30" t="s">
        <v>901</v>
      </c>
      <c r="C136" s="3">
        <v>2363360.0</v>
      </c>
      <c r="D136" s="3">
        <v>859297.0</v>
      </c>
      <c r="E136" s="3">
        <v>2381362.0</v>
      </c>
      <c r="F136" s="3">
        <v>876154.0</v>
      </c>
    </row>
    <row r="137">
      <c r="B137" s="30" t="s">
        <v>902</v>
      </c>
      <c r="C137" s="3">
        <v>1185136.0</v>
      </c>
      <c r="D137" s="3">
        <v>431533.0</v>
      </c>
      <c r="E137" s="3">
        <v>1196259.0</v>
      </c>
      <c r="F137" s="3">
        <v>441727.0</v>
      </c>
    </row>
    <row r="138">
      <c r="B138" s="30" t="s">
        <v>903</v>
      </c>
      <c r="C138" s="3">
        <v>593855.0</v>
      </c>
      <c r="D138" s="3">
        <v>217047.0</v>
      </c>
      <c r="E138" s="3">
        <v>598709.0</v>
      </c>
      <c r="F138" s="3">
        <v>221441.0</v>
      </c>
    </row>
    <row r="139">
      <c r="B139" s="30" t="s">
        <v>904</v>
      </c>
      <c r="C139" s="3">
        <v>296292.0</v>
      </c>
      <c r="D139" s="3">
        <v>107692.0</v>
      </c>
      <c r="E139" s="3">
        <v>298723.0</v>
      </c>
      <c r="F139" s="3">
        <v>109951.0</v>
      </c>
    </row>
    <row r="140">
      <c r="B140" s="30" t="s">
        <v>905</v>
      </c>
      <c r="C140" s="3">
        <v>148457.0</v>
      </c>
      <c r="D140" s="3">
        <v>57984.0</v>
      </c>
      <c r="E140" s="3">
        <v>149661.0</v>
      </c>
      <c r="F140" s="3">
        <v>59171.0</v>
      </c>
    </row>
    <row r="141">
      <c r="B141" s="30" t="s">
        <v>906</v>
      </c>
      <c r="C141" s="3">
        <v>74406.0</v>
      </c>
      <c r="D141" s="3">
        <v>30476.0</v>
      </c>
      <c r="E141" s="3">
        <v>75190.0</v>
      </c>
      <c r="F141" s="3">
        <v>31249.0</v>
      </c>
    </row>
    <row r="142">
      <c r="B142" s="30" t="s">
        <v>907</v>
      </c>
      <c r="C142" s="3">
        <v>37300.0</v>
      </c>
      <c r="D142" s="3">
        <v>15399.0</v>
      </c>
      <c r="E142" s="3">
        <v>37796.0</v>
      </c>
      <c r="F142" s="3">
        <v>15929.0</v>
      </c>
    </row>
    <row r="145">
      <c r="A145" s="3" t="s">
        <v>908</v>
      </c>
    </row>
    <row r="146">
      <c r="B146" s="3" t="s">
        <v>324</v>
      </c>
      <c r="C146" s="3" t="s">
        <v>909</v>
      </c>
      <c r="D146" s="3" t="s">
        <v>910</v>
      </c>
      <c r="E146" s="3" t="s">
        <v>911</v>
      </c>
      <c r="F146" s="3" t="s">
        <v>912</v>
      </c>
    </row>
    <row r="147">
      <c r="B147" s="30" t="s">
        <v>894</v>
      </c>
      <c r="C147" s="3">
        <v>1.8954816E7</v>
      </c>
      <c r="D147" s="3">
        <v>6833709.0</v>
      </c>
      <c r="E147" s="3">
        <v>1.906219E7</v>
      </c>
      <c r="F147" s="3">
        <v>6960558.0</v>
      </c>
    </row>
    <row r="148">
      <c r="B148" s="30" t="s">
        <v>895</v>
      </c>
      <c r="C148" s="3">
        <v>1.8844693E7</v>
      </c>
      <c r="D148" s="3">
        <v>6770536.0</v>
      </c>
      <c r="E148" s="3">
        <v>3.6165558E7</v>
      </c>
      <c r="F148" s="3">
        <v>1.2427216E7</v>
      </c>
    </row>
    <row r="149">
      <c r="B149" s="30" t="s">
        <v>896</v>
      </c>
      <c r="C149" s="3">
        <v>1.8816227E7</v>
      </c>
      <c r="D149" s="3">
        <v>6760187.0</v>
      </c>
      <c r="E149" s="3">
        <v>1.8874362E7</v>
      </c>
      <c r="F149" s="3">
        <v>6803379.0</v>
      </c>
    </row>
    <row r="150">
      <c r="B150" s="30" t="s">
        <v>897</v>
      </c>
      <c r="C150" s="3">
        <v>1.88112E7</v>
      </c>
      <c r="D150" s="3">
        <v>6761608.0</v>
      </c>
      <c r="E150" s="3">
        <v>1.8864372E7</v>
      </c>
      <c r="F150" s="3">
        <v>6798233.0</v>
      </c>
    </row>
    <row r="151">
      <c r="B151" s="30" t="s">
        <v>898</v>
      </c>
      <c r="C151" s="3">
        <v>1.8809866E7</v>
      </c>
      <c r="D151" s="3">
        <v>6759239.0</v>
      </c>
      <c r="E151" s="3">
        <v>1.8847826E7</v>
      </c>
      <c r="F151" s="3">
        <v>6792576.0</v>
      </c>
    </row>
    <row r="152">
      <c r="B152" s="30" t="s">
        <v>899</v>
      </c>
      <c r="C152" s="3">
        <v>1.8788015E7</v>
      </c>
      <c r="D152" s="3">
        <v>3720747.0</v>
      </c>
      <c r="E152" s="3">
        <v>1.8831816E7</v>
      </c>
      <c r="F152" s="3">
        <v>3749635.0</v>
      </c>
    </row>
    <row r="153">
      <c r="B153" s="30" t="s">
        <v>900</v>
      </c>
      <c r="C153" s="3">
        <v>1.4686899E7</v>
      </c>
      <c r="D153" s="3">
        <v>2132082.0</v>
      </c>
      <c r="E153" s="3">
        <v>1.4725987E7</v>
      </c>
      <c r="F153" s="3">
        <v>2168551.0</v>
      </c>
    </row>
    <row r="154">
      <c r="B154" s="30" t="s">
        <v>901</v>
      </c>
      <c r="C154" s="3">
        <v>2370145.0</v>
      </c>
      <c r="D154" s="3">
        <v>865028.0</v>
      </c>
      <c r="E154" s="3">
        <v>2389782.0</v>
      </c>
      <c r="F154" s="3">
        <v>882324.0</v>
      </c>
    </row>
    <row r="155">
      <c r="B155" s="30" t="s">
        <v>902</v>
      </c>
      <c r="C155" s="3">
        <v>1186011.0</v>
      </c>
      <c r="D155" s="3">
        <v>432042.0</v>
      </c>
      <c r="E155" s="3">
        <v>1195353.0</v>
      </c>
      <c r="F155" s="3">
        <v>440995.0</v>
      </c>
    </row>
    <row r="156">
      <c r="B156" s="30" t="s">
        <v>903</v>
      </c>
      <c r="C156" s="3">
        <v>593281.0</v>
      </c>
      <c r="D156" s="3">
        <v>216380.0</v>
      </c>
      <c r="E156" s="3">
        <v>598670.0</v>
      </c>
      <c r="F156" s="3">
        <v>221489.0</v>
      </c>
    </row>
    <row r="157">
      <c r="B157" s="30" t="s">
        <v>904</v>
      </c>
      <c r="C157" s="3">
        <v>296701.0</v>
      </c>
      <c r="D157" s="3">
        <v>107886.0</v>
      </c>
      <c r="E157" s="3">
        <v>300341.0</v>
      </c>
      <c r="F157" s="3">
        <v>111319.0</v>
      </c>
    </row>
    <row r="158">
      <c r="B158" s="30" t="s">
        <v>905</v>
      </c>
      <c r="C158" s="3">
        <v>148521.0</v>
      </c>
      <c r="D158" s="3">
        <v>58087.0</v>
      </c>
      <c r="E158" s="3">
        <v>151134.0</v>
      </c>
      <c r="F158" s="3">
        <v>60584.0</v>
      </c>
    </row>
    <row r="159">
      <c r="B159" s="30" t="s">
        <v>906</v>
      </c>
      <c r="C159" s="3">
        <v>74299.0</v>
      </c>
      <c r="D159" s="3">
        <v>30345.0</v>
      </c>
      <c r="E159" s="3">
        <v>75846.0</v>
      </c>
      <c r="F159" s="3">
        <v>31838.0</v>
      </c>
    </row>
    <row r="160">
      <c r="B160" s="30" t="s">
        <v>907</v>
      </c>
      <c r="C160" s="3">
        <v>37651.0</v>
      </c>
      <c r="D160" s="3">
        <v>15786.0</v>
      </c>
      <c r="E160" s="3">
        <v>38388.0</v>
      </c>
      <c r="F160" s="3">
        <v>16525.0</v>
      </c>
    </row>
    <row r="166">
      <c r="A166" s="3" t="s">
        <v>915</v>
      </c>
    </row>
    <row r="167">
      <c r="A167" s="3" t="s">
        <v>916</v>
      </c>
    </row>
    <row r="169">
      <c r="A169" s="3" t="s">
        <v>889</v>
      </c>
    </row>
    <row r="171">
      <c r="B171" s="3" t="s">
        <v>324</v>
      </c>
      <c r="C171" s="3" t="s">
        <v>909</v>
      </c>
      <c r="D171" s="3" t="s">
        <v>910</v>
      </c>
      <c r="E171" s="3" t="s">
        <v>911</v>
      </c>
      <c r="F171" s="3" t="s">
        <v>912</v>
      </c>
      <c r="I171" s="3" t="s">
        <v>463</v>
      </c>
      <c r="J171" s="3">
        <v>1.0</v>
      </c>
      <c r="K171" s="3">
        <v>1.321855E7</v>
      </c>
      <c r="L171" s="3">
        <v>7547858.0</v>
      </c>
    </row>
    <row r="172">
      <c r="B172" s="30" t="s">
        <v>894</v>
      </c>
      <c r="C172" s="3">
        <v>1.3127733E7</v>
      </c>
      <c r="D172" s="3">
        <v>7226897.0</v>
      </c>
      <c r="E172" s="3">
        <v>1.3429083E7</v>
      </c>
      <c r="F172" s="3">
        <v>7711633.0</v>
      </c>
      <c r="I172" s="3" t="s">
        <v>463</v>
      </c>
      <c r="J172" s="3">
        <v>2.0</v>
      </c>
      <c r="K172" s="3">
        <v>1.3140277E7</v>
      </c>
      <c r="L172" s="3">
        <v>8014396.0</v>
      </c>
    </row>
    <row r="173">
      <c r="B173" s="30" t="s">
        <v>895</v>
      </c>
      <c r="C173" s="3">
        <v>1.3032239E7</v>
      </c>
      <c r="D173" s="3">
        <v>7143927.0</v>
      </c>
      <c r="E173" s="3">
        <v>1.3316087E7</v>
      </c>
      <c r="F173" s="3">
        <v>7360170.0</v>
      </c>
      <c r="I173" s="3" t="s">
        <v>463</v>
      </c>
      <c r="J173" s="3">
        <v>4.0</v>
      </c>
      <c r="K173" s="3">
        <v>1.3096193E7</v>
      </c>
      <c r="L173" s="3">
        <v>8337668.0</v>
      </c>
    </row>
    <row r="174">
      <c r="B174" s="30" t="s">
        <v>896</v>
      </c>
      <c r="C174" s="3">
        <v>1.2933963E7</v>
      </c>
      <c r="D174" s="3">
        <v>7073269.0</v>
      </c>
      <c r="E174" s="3">
        <v>1.3090409E7</v>
      </c>
      <c r="F174" s="3">
        <v>7298527.0</v>
      </c>
      <c r="I174" s="3" t="s">
        <v>463</v>
      </c>
      <c r="J174" s="3">
        <v>8.0</v>
      </c>
      <c r="K174" s="3">
        <v>1.3105557E7</v>
      </c>
      <c r="L174" s="3">
        <v>8324474.0</v>
      </c>
    </row>
    <row r="175">
      <c r="B175" s="30" t="s">
        <v>897</v>
      </c>
      <c r="C175" s="3">
        <v>1.289652E7</v>
      </c>
      <c r="D175" s="3">
        <v>6959896.0</v>
      </c>
      <c r="E175" s="3">
        <v>1.2998019E7</v>
      </c>
      <c r="F175" s="3">
        <v>7040337.0</v>
      </c>
      <c r="I175" s="3" t="s">
        <v>463</v>
      </c>
      <c r="J175" s="3">
        <v>16.0</v>
      </c>
      <c r="K175" s="3">
        <v>1.3086892E7</v>
      </c>
      <c r="L175" s="3">
        <v>8356975.0</v>
      </c>
    </row>
    <row r="176">
      <c r="B176" s="30" t="s">
        <v>898</v>
      </c>
      <c r="C176" s="3">
        <v>1.2876399E7</v>
      </c>
      <c r="D176" s="3">
        <v>6969371.0</v>
      </c>
      <c r="E176" s="3">
        <v>1.2945405E7</v>
      </c>
      <c r="F176" s="3">
        <v>7001815.0</v>
      </c>
      <c r="I176" s="3" t="s">
        <v>463</v>
      </c>
      <c r="J176" s="3">
        <v>32.0</v>
      </c>
      <c r="K176" s="3">
        <v>1.3215046E7</v>
      </c>
      <c r="L176" s="3">
        <v>1.0343157E7</v>
      </c>
    </row>
    <row r="177">
      <c r="B177" s="30" t="s">
        <v>899</v>
      </c>
      <c r="C177" s="3">
        <v>6611000.0</v>
      </c>
      <c r="D177" s="3">
        <v>6858565.0</v>
      </c>
      <c r="E177" s="3">
        <v>6659593.0</v>
      </c>
      <c r="F177" s="3">
        <v>6873072.0</v>
      </c>
      <c r="I177" s="3" t="s">
        <v>463</v>
      </c>
      <c r="J177" s="3">
        <v>64.0</v>
      </c>
      <c r="K177" s="3">
        <v>1.0579026E7</v>
      </c>
      <c r="L177" s="3">
        <v>7774340.0</v>
      </c>
    </row>
    <row r="178">
      <c r="B178" s="30" t="s">
        <v>900</v>
      </c>
      <c r="C178" s="3">
        <v>3497823.0</v>
      </c>
      <c r="D178" s="3">
        <v>6872799.0</v>
      </c>
      <c r="E178" s="3">
        <v>3529644.0</v>
      </c>
      <c r="F178" s="3">
        <v>6977162.0</v>
      </c>
      <c r="I178" s="3" t="s">
        <v>463</v>
      </c>
      <c r="J178" s="3">
        <v>128.0</v>
      </c>
      <c r="K178" s="3">
        <v>2094308.0</v>
      </c>
      <c r="L178" s="3">
        <v>6982619.0</v>
      </c>
    </row>
    <row r="179">
      <c r="B179" s="30" t="s">
        <v>901</v>
      </c>
      <c r="C179" s="3">
        <v>1945256.0</v>
      </c>
      <c r="D179" s="3">
        <v>6766069.0</v>
      </c>
      <c r="E179" s="3">
        <v>1986107.0</v>
      </c>
      <c r="F179" s="3">
        <v>7109141.0</v>
      </c>
      <c r="I179" s="3" t="s">
        <v>463</v>
      </c>
      <c r="J179" s="3">
        <v>256.0</v>
      </c>
      <c r="K179" s="3">
        <v>1287940.0</v>
      </c>
      <c r="L179" s="3">
        <v>7076140.0</v>
      </c>
    </row>
    <row r="180">
      <c r="B180" s="30" t="s">
        <v>902</v>
      </c>
      <c r="C180" s="3">
        <v>1155772.0</v>
      </c>
      <c r="D180" s="3">
        <v>6726827.0</v>
      </c>
      <c r="E180" s="3">
        <v>1192491.0</v>
      </c>
      <c r="F180" s="3">
        <v>7036749.0</v>
      </c>
      <c r="I180" s="3" t="s">
        <v>463</v>
      </c>
      <c r="J180" s="3">
        <v>512.0</v>
      </c>
      <c r="K180" s="3">
        <v>874587.0</v>
      </c>
      <c r="L180" s="3">
        <v>7033757.0</v>
      </c>
    </row>
    <row r="181">
      <c r="B181" s="30" t="s">
        <v>903</v>
      </c>
      <c r="C181" s="3">
        <v>758483.0</v>
      </c>
      <c r="D181" s="3">
        <v>6672263.0</v>
      </c>
      <c r="E181" s="3">
        <v>802626.0</v>
      </c>
      <c r="F181" s="3">
        <v>6926888.0</v>
      </c>
      <c r="I181" s="3" t="s">
        <v>463</v>
      </c>
      <c r="J181" s="3">
        <v>1024.0</v>
      </c>
      <c r="K181" s="3">
        <v>665797.0</v>
      </c>
      <c r="L181" s="3">
        <v>6980730.0</v>
      </c>
    </row>
    <row r="182">
      <c r="B182" s="30" t="s">
        <v>904</v>
      </c>
      <c r="C182" s="3">
        <v>554314.0</v>
      </c>
      <c r="D182" s="3">
        <v>6637103.0</v>
      </c>
      <c r="E182" s="3">
        <v>602567.0</v>
      </c>
      <c r="F182" s="3">
        <v>7031388.0</v>
      </c>
      <c r="I182" s="3" t="s">
        <v>463</v>
      </c>
      <c r="J182" s="3">
        <v>2048.0</v>
      </c>
      <c r="K182" s="3">
        <v>549738.0</v>
      </c>
      <c r="L182" s="3">
        <v>6930386.0</v>
      </c>
    </row>
    <row r="183">
      <c r="B183" s="30" t="s">
        <v>905</v>
      </c>
      <c r="C183" s="3">
        <v>440331.0</v>
      </c>
      <c r="D183" s="3">
        <v>6605807.0</v>
      </c>
      <c r="E183" s="3">
        <v>483039.0</v>
      </c>
      <c r="F183" s="3">
        <v>6879576.0</v>
      </c>
      <c r="I183" s="3" t="s">
        <v>463</v>
      </c>
      <c r="J183" s="3">
        <v>4096.0</v>
      </c>
      <c r="K183" s="3">
        <v>493373.0</v>
      </c>
      <c r="L183" s="3">
        <v>6919271.0</v>
      </c>
    </row>
    <row r="184">
      <c r="B184" s="30" t="s">
        <v>906</v>
      </c>
      <c r="C184" s="3">
        <v>389928.0</v>
      </c>
      <c r="D184" s="3">
        <v>6604876.0</v>
      </c>
      <c r="E184" s="3">
        <v>411174.0</v>
      </c>
      <c r="F184" s="3">
        <v>6725786.0</v>
      </c>
      <c r="I184" s="3" t="s">
        <v>463</v>
      </c>
      <c r="J184" s="3">
        <v>8192.0</v>
      </c>
      <c r="K184" s="3">
        <v>464919.0</v>
      </c>
      <c r="L184" s="3">
        <v>6865179.0</v>
      </c>
    </row>
    <row r="185">
      <c r="B185" s="30" t="s">
        <v>907</v>
      </c>
      <c r="C185" s="3">
        <v>366524.0</v>
      </c>
      <c r="D185" s="3">
        <v>6612127.0</v>
      </c>
      <c r="E185" s="3">
        <v>385946.0</v>
      </c>
      <c r="F185" s="3">
        <v>6792399.0</v>
      </c>
    </row>
    <row r="188">
      <c r="A188" s="3" t="s">
        <v>908</v>
      </c>
    </row>
    <row r="189">
      <c r="B189" s="3" t="s">
        <v>324</v>
      </c>
      <c r="C189" s="3" t="s">
        <v>909</v>
      </c>
      <c r="D189" s="3" t="s">
        <v>910</v>
      </c>
      <c r="E189" s="3" t="s">
        <v>911</v>
      </c>
      <c r="F189" s="3" t="s">
        <v>912</v>
      </c>
    </row>
    <row r="190">
      <c r="B190" s="30" t="s">
        <v>894</v>
      </c>
      <c r="C190" s="3">
        <v>1.3042515E7</v>
      </c>
      <c r="D190" s="3">
        <v>7263678.0</v>
      </c>
      <c r="E190" s="3">
        <v>1.321855E7</v>
      </c>
      <c r="F190" s="3">
        <v>7547858.0</v>
      </c>
    </row>
    <row r="191">
      <c r="B191" s="30" t="s">
        <v>895</v>
      </c>
      <c r="C191" s="3">
        <v>1.2999389E7</v>
      </c>
      <c r="D191" s="3">
        <v>7431000.0</v>
      </c>
      <c r="E191" s="3">
        <v>1.3140277E7</v>
      </c>
      <c r="F191" s="3">
        <v>8014396.0</v>
      </c>
    </row>
    <row r="192">
      <c r="B192" s="30" t="s">
        <v>896</v>
      </c>
      <c r="C192" s="3">
        <v>1.297088E7</v>
      </c>
      <c r="D192" s="3">
        <v>7248539.0</v>
      </c>
      <c r="E192" s="3">
        <v>1.3096193E7</v>
      </c>
      <c r="F192" s="3">
        <v>8337668.0</v>
      </c>
    </row>
    <row r="193">
      <c r="B193" s="30" t="s">
        <v>897</v>
      </c>
      <c r="C193" s="3">
        <v>1.2974662E7</v>
      </c>
      <c r="D193" s="3">
        <v>7256688.0</v>
      </c>
      <c r="E193" s="3">
        <v>1.3105557E7</v>
      </c>
      <c r="F193" s="3">
        <v>8324474.0</v>
      </c>
    </row>
    <row r="194">
      <c r="B194" s="30" t="s">
        <v>898</v>
      </c>
      <c r="C194" s="3">
        <v>1.2984566E7</v>
      </c>
      <c r="D194" s="3">
        <v>7406128.0</v>
      </c>
      <c r="E194" s="3">
        <v>1.3086892E7</v>
      </c>
      <c r="F194" s="3">
        <v>8356975.0</v>
      </c>
    </row>
    <row r="195">
      <c r="B195" s="30" t="s">
        <v>899</v>
      </c>
      <c r="C195" s="3">
        <v>1.3018577E7</v>
      </c>
      <c r="D195" s="3">
        <v>7603906.0</v>
      </c>
      <c r="E195" s="3">
        <v>1.3215046E7</v>
      </c>
      <c r="F195" s="3">
        <v>1.0343157E7</v>
      </c>
    </row>
    <row r="196">
      <c r="B196" s="30" t="s">
        <v>900</v>
      </c>
      <c r="C196" s="3">
        <v>1.0500219E7</v>
      </c>
      <c r="D196" s="3">
        <v>7649302.0</v>
      </c>
      <c r="E196" s="3">
        <v>1.0579026E7</v>
      </c>
      <c r="F196" s="3">
        <v>7774340.0</v>
      </c>
    </row>
    <row r="197">
      <c r="B197" s="30" t="s">
        <v>901</v>
      </c>
      <c r="C197" s="3">
        <v>2069562.0</v>
      </c>
      <c r="D197" s="3">
        <v>6840330.0</v>
      </c>
      <c r="E197" s="3">
        <v>2094308.0</v>
      </c>
      <c r="F197" s="3">
        <v>6982619.0</v>
      </c>
    </row>
    <row r="198">
      <c r="B198" s="30" t="s">
        <v>902</v>
      </c>
      <c r="C198" s="3">
        <v>1236710.0</v>
      </c>
      <c r="D198" s="3">
        <v>6731406.0</v>
      </c>
      <c r="E198" s="3">
        <v>1287940.0</v>
      </c>
      <c r="F198" s="3">
        <v>7076140.0</v>
      </c>
    </row>
    <row r="199">
      <c r="B199" s="30" t="s">
        <v>903</v>
      </c>
      <c r="C199" s="3">
        <v>818100.0</v>
      </c>
      <c r="D199" s="3">
        <v>6671563.0</v>
      </c>
      <c r="E199" s="3">
        <v>874587.0</v>
      </c>
      <c r="F199" s="3">
        <v>7033757.0</v>
      </c>
    </row>
    <row r="200">
      <c r="B200" s="30" t="s">
        <v>904</v>
      </c>
      <c r="C200" s="3">
        <v>614828.0</v>
      </c>
      <c r="D200" s="3">
        <v>6653805.0</v>
      </c>
      <c r="E200" s="3">
        <v>665797.0</v>
      </c>
      <c r="F200" s="3">
        <v>6980730.0</v>
      </c>
    </row>
    <row r="201">
      <c r="B201" s="30" t="s">
        <v>905</v>
      </c>
      <c r="C201" s="3">
        <v>500927.0</v>
      </c>
      <c r="D201" s="3">
        <v>6604177.0</v>
      </c>
      <c r="E201" s="3">
        <v>549738.0</v>
      </c>
      <c r="F201" s="3">
        <v>6930386.0</v>
      </c>
    </row>
    <row r="202">
      <c r="B202" s="30" t="s">
        <v>906</v>
      </c>
      <c r="C202" s="3">
        <v>449828.0</v>
      </c>
      <c r="D202" s="3">
        <v>6611382.0</v>
      </c>
      <c r="E202" s="3">
        <v>493373.0</v>
      </c>
      <c r="F202" s="3">
        <v>6919271.0</v>
      </c>
    </row>
    <row r="203">
      <c r="B203" s="30" t="s">
        <v>907</v>
      </c>
      <c r="C203" s="3">
        <v>427630.0</v>
      </c>
      <c r="D203" s="3">
        <v>6612136.0</v>
      </c>
      <c r="E203" s="3">
        <v>464919.0</v>
      </c>
      <c r="F203" s="3">
        <v>6865179.0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123</v>
      </c>
    </row>
    <row r="2">
      <c r="A2" s="3" t="s">
        <v>124</v>
      </c>
    </row>
    <row r="3">
      <c r="A3" s="3" t="s">
        <v>125</v>
      </c>
    </row>
    <row r="4">
      <c r="A4" s="3" t="s">
        <v>126</v>
      </c>
    </row>
    <row r="6">
      <c r="A6" s="3" t="s">
        <v>127</v>
      </c>
    </row>
    <row r="7">
      <c r="A7" s="3" t="s">
        <v>128</v>
      </c>
    </row>
    <row r="10">
      <c r="A10" s="3" t="s">
        <v>129</v>
      </c>
    </row>
    <row r="11">
      <c r="A11" s="3" t="s">
        <v>130</v>
      </c>
    </row>
    <row r="13">
      <c r="A13" s="3" t="s">
        <v>131</v>
      </c>
    </row>
    <row r="14">
      <c r="A14" s="3" t="s">
        <v>132</v>
      </c>
    </row>
    <row r="15">
      <c r="A15" s="3" t="s">
        <v>133</v>
      </c>
    </row>
    <row r="16">
      <c r="A16" s="3" t="s">
        <v>134</v>
      </c>
    </row>
    <row r="17">
      <c r="A17" s="3" t="s">
        <v>135</v>
      </c>
    </row>
    <row r="18">
      <c r="A18" s="3" t="s">
        <v>136</v>
      </c>
    </row>
    <row r="20">
      <c r="A20" s="2" t="s">
        <v>137</v>
      </c>
    </row>
    <row r="21">
      <c r="A21" s="3" t="s">
        <v>138</v>
      </c>
    </row>
    <row r="22">
      <c r="A22" s="3" t="s">
        <v>139</v>
      </c>
    </row>
    <row r="23">
      <c r="A23" s="3" t="s">
        <v>140</v>
      </c>
    </row>
    <row r="26">
      <c r="A26" s="2" t="s">
        <v>141</v>
      </c>
    </row>
    <row r="27">
      <c r="A27" s="3" t="s">
        <v>142</v>
      </c>
      <c r="I27" s="3" t="s">
        <v>143</v>
      </c>
    </row>
    <row r="28">
      <c r="A28" s="3" t="s">
        <v>144</v>
      </c>
      <c r="I28" s="3" t="s">
        <v>145</v>
      </c>
    </row>
    <row r="29">
      <c r="A29" s="3" t="s">
        <v>146</v>
      </c>
    </row>
    <row r="30">
      <c r="A30" s="3" t="s">
        <v>147</v>
      </c>
    </row>
    <row r="31">
      <c r="A31" s="3" t="s">
        <v>148</v>
      </c>
    </row>
    <row r="32">
      <c r="A32" s="3" t="s">
        <v>149</v>
      </c>
    </row>
    <row r="33">
      <c r="A33" s="3" t="s">
        <v>150</v>
      </c>
    </row>
    <row r="36">
      <c r="A36" s="2" t="s">
        <v>151</v>
      </c>
    </row>
    <row r="37">
      <c r="A37" s="3" t="s">
        <v>152</v>
      </c>
    </row>
    <row r="38">
      <c r="A38" s="3" t="s">
        <v>153</v>
      </c>
    </row>
    <row r="39">
      <c r="A39" s="3" t="s">
        <v>154</v>
      </c>
    </row>
    <row r="40">
      <c r="A40" s="3" t="s">
        <v>155</v>
      </c>
    </row>
    <row r="42">
      <c r="A42" s="3" t="s">
        <v>156</v>
      </c>
    </row>
    <row r="43">
      <c r="A43" s="3" t="s">
        <v>157</v>
      </c>
    </row>
    <row r="44">
      <c r="A44" s="3" t="s">
        <v>158</v>
      </c>
    </row>
    <row r="47">
      <c r="A47" s="2" t="s">
        <v>159</v>
      </c>
    </row>
    <row r="48">
      <c r="A48" s="3" t="s">
        <v>160</v>
      </c>
    </row>
    <row r="49">
      <c r="A49" s="3" t="s">
        <v>161</v>
      </c>
    </row>
    <row r="50">
      <c r="A50" s="3" t="s">
        <v>162</v>
      </c>
    </row>
    <row r="51">
      <c r="A51" s="3" t="s">
        <v>163</v>
      </c>
    </row>
    <row r="54">
      <c r="A54" s="3" t="s">
        <v>164</v>
      </c>
    </row>
    <row r="55">
      <c r="A55" s="3" t="s">
        <v>165</v>
      </c>
    </row>
    <row r="56">
      <c r="A56" s="3" t="s">
        <v>166</v>
      </c>
    </row>
    <row r="57">
      <c r="A57" s="3" t="s">
        <v>167</v>
      </c>
    </row>
    <row r="58">
      <c r="A58" s="3" t="s">
        <v>168</v>
      </c>
    </row>
    <row r="61">
      <c r="A61" s="3" t="s">
        <v>169</v>
      </c>
    </row>
    <row r="62">
      <c r="A62" s="3" t="s">
        <v>170</v>
      </c>
    </row>
    <row r="63">
      <c r="A63" s="3" t="s">
        <v>171</v>
      </c>
    </row>
    <row r="66">
      <c r="A66" s="3" t="s">
        <v>172</v>
      </c>
    </row>
    <row r="67">
      <c r="A67" s="3" t="s">
        <v>173</v>
      </c>
    </row>
    <row r="68">
      <c r="A68" s="3" t="s">
        <v>174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2" t="s">
        <v>175</v>
      </c>
      <c r="B1" s="9"/>
      <c r="C1" s="9"/>
      <c r="D1" s="9"/>
      <c r="E1" s="9"/>
      <c r="F1" s="9"/>
      <c r="G1" s="9"/>
      <c r="H1" s="9"/>
      <c r="I1" s="9"/>
      <c r="J1" s="9"/>
      <c r="K1" s="9"/>
      <c r="L1" s="9"/>
    </row>
    <row r="2">
      <c r="A2" s="9" t="s">
        <v>176</v>
      </c>
    </row>
    <row r="3">
      <c r="A3" s="9" t="s">
        <v>177</v>
      </c>
    </row>
    <row r="4">
      <c r="A4" s="2" t="s">
        <v>178</v>
      </c>
    </row>
    <row r="5">
      <c r="A5" s="3" t="s">
        <v>179</v>
      </c>
    </row>
    <row r="7">
      <c r="A7" s="28"/>
    </row>
    <row r="8">
      <c r="A8" s="29" t="s">
        <v>180</v>
      </c>
    </row>
    <row r="9">
      <c r="A9" s="28" t="s">
        <v>181</v>
      </c>
    </row>
    <row r="10">
      <c r="A10" s="3" t="s">
        <v>182</v>
      </c>
    </row>
    <row r="11">
      <c r="A11" s="3" t="s">
        <v>183</v>
      </c>
    </row>
    <row r="12">
      <c r="A12" s="3" t="s">
        <v>184</v>
      </c>
    </row>
    <row r="13">
      <c r="A13" s="3" t="s">
        <v>185</v>
      </c>
    </row>
    <row r="14">
      <c r="A14" s="3" t="s">
        <v>186</v>
      </c>
    </row>
    <row r="15">
      <c r="A15" s="3" t="s">
        <v>187</v>
      </c>
    </row>
    <row r="16">
      <c r="A16" s="3" t="s">
        <v>188</v>
      </c>
    </row>
    <row r="19">
      <c r="A19" s="3" t="s">
        <v>189</v>
      </c>
    </row>
    <row r="20">
      <c r="A20" s="3" t="s">
        <v>190</v>
      </c>
    </row>
    <row r="21">
      <c r="A21" s="3" t="s">
        <v>191</v>
      </c>
    </row>
    <row r="22">
      <c r="A22" s="3" t="s">
        <v>192</v>
      </c>
    </row>
    <row r="23">
      <c r="A23" s="3" t="s">
        <v>193</v>
      </c>
    </row>
    <row r="24">
      <c r="A24" s="3" t="s">
        <v>194</v>
      </c>
    </row>
    <row r="25">
      <c r="A25" s="3" t="s">
        <v>195</v>
      </c>
    </row>
    <row r="26">
      <c r="A26" s="3" t="s">
        <v>196</v>
      </c>
    </row>
    <row r="28">
      <c r="A28" s="3" t="s">
        <v>197</v>
      </c>
    </row>
    <row r="29">
      <c r="A29" s="3" t="s">
        <v>198</v>
      </c>
    </row>
    <row r="30">
      <c r="A30" s="3" t="s">
        <v>199</v>
      </c>
    </row>
  </sheetData>
  <mergeCells count="2">
    <mergeCell ref="A2:L2"/>
    <mergeCell ref="A3:L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8.86"/>
    <col customWidth="1" min="4" max="4" width="23.71"/>
  </cols>
  <sheetData>
    <row r="2">
      <c r="A2" s="3" t="s">
        <v>200</v>
      </c>
    </row>
    <row r="4">
      <c r="A4" s="3" t="s">
        <v>201</v>
      </c>
      <c r="L4" s="3" t="s">
        <v>202</v>
      </c>
    </row>
    <row r="5">
      <c r="A5" s="3" t="s">
        <v>203</v>
      </c>
    </row>
    <row r="6">
      <c r="A6" s="3" t="s">
        <v>204</v>
      </c>
    </row>
    <row r="7">
      <c r="A7" s="3">
        <v>1.0</v>
      </c>
      <c r="B7" s="3" t="s">
        <v>205</v>
      </c>
      <c r="C7" s="3" t="s">
        <v>206</v>
      </c>
      <c r="D7" s="3" t="s">
        <v>207</v>
      </c>
      <c r="E7" s="3">
        <v>58192.0</v>
      </c>
      <c r="F7" s="3">
        <v>58192.0</v>
      </c>
      <c r="G7" s="3">
        <v>58192.0</v>
      </c>
    </row>
    <row r="8">
      <c r="A8" s="3">
        <v>1.0</v>
      </c>
      <c r="B8" s="3" t="s">
        <v>208</v>
      </c>
      <c r="C8" s="3" t="s">
        <v>209</v>
      </c>
      <c r="D8" s="3" t="s">
        <v>207</v>
      </c>
      <c r="E8" s="3">
        <v>29528.0</v>
      </c>
      <c r="F8" s="3">
        <v>29528.0</v>
      </c>
      <c r="G8" s="3">
        <v>29528.0</v>
      </c>
      <c r="J8" s="30">
        <f>G7+G8</f>
        <v>87720</v>
      </c>
      <c r="K8" s="3" t="s">
        <v>210</v>
      </c>
    </row>
    <row r="9">
      <c r="J9" s="31">
        <f>J8*32</f>
        <v>2807040</v>
      </c>
    </row>
    <row r="14">
      <c r="N14" s="3" t="s">
        <v>211</v>
      </c>
      <c r="O14" s="3" t="s">
        <v>212</v>
      </c>
      <c r="P14" s="3" t="s">
        <v>213</v>
      </c>
      <c r="Q14" s="3">
        <v>3374982.0</v>
      </c>
    </row>
    <row r="15">
      <c r="N15" s="3" t="s">
        <v>214</v>
      </c>
      <c r="O15" s="3" t="s">
        <v>212</v>
      </c>
      <c r="P15" s="3" t="s">
        <v>213</v>
      </c>
      <c r="Q15" s="3">
        <v>3395869.0</v>
      </c>
    </row>
    <row r="16">
      <c r="N16" s="3" t="s">
        <v>215</v>
      </c>
      <c r="O16" s="3" t="s">
        <v>212</v>
      </c>
      <c r="P16" s="3" t="s">
        <v>213</v>
      </c>
      <c r="Q16" s="3">
        <v>3376414.0</v>
      </c>
    </row>
    <row r="17">
      <c r="N17" s="3" t="s">
        <v>216</v>
      </c>
      <c r="O17" s="3" t="s">
        <v>212</v>
      </c>
      <c r="P17" s="3" t="s">
        <v>213</v>
      </c>
      <c r="Q17" s="3">
        <v>3397176.0</v>
      </c>
    </row>
    <row r="18">
      <c r="G18" s="3">
        <v>100000.0</v>
      </c>
      <c r="N18" s="3" t="s">
        <v>211</v>
      </c>
      <c r="O18" s="3" t="s">
        <v>217</v>
      </c>
      <c r="P18" s="3" t="s">
        <v>213</v>
      </c>
      <c r="Q18" s="3">
        <v>3078063.0</v>
      </c>
    </row>
    <row r="19">
      <c r="G19" s="3">
        <v>32.0</v>
      </c>
      <c r="H19" s="30">
        <f>G18/G19 *4</f>
        <v>12500</v>
      </c>
      <c r="I19" s="30">
        <f>H19*3</f>
        <v>37500</v>
      </c>
      <c r="J19" s="30">
        <f>I19*2</f>
        <v>75000</v>
      </c>
      <c r="N19" s="3" t="s">
        <v>214</v>
      </c>
      <c r="O19" s="3" t="s">
        <v>217</v>
      </c>
      <c r="P19" s="3" t="s">
        <v>213</v>
      </c>
      <c r="Q19" s="3">
        <v>3097351.0</v>
      </c>
    </row>
    <row r="20">
      <c r="N20" s="3" t="s">
        <v>215</v>
      </c>
      <c r="O20" s="3" t="s">
        <v>217</v>
      </c>
      <c r="P20" s="3" t="s">
        <v>213</v>
      </c>
      <c r="Q20" s="3">
        <v>3087958.0</v>
      </c>
    </row>
    <row r="21">
      <c r="J21" s="30">
        <f>(J8-J19)/J8</f>
        <v>0.1450068399</v>
      </c>
      <c r="N21" s="3" t="s">
        <v>216</v>
      </c>
      <c r="O21" s="3" t="s">
        <v>217</v>
      </c>
      <c r="P21" s="3" t="s">
        <v>213</v>
      </c>
      <c r="Q21" s="3">
        <v>3107558.0</v>
      </c>
    </row>
    <row r="23">
      <c r="A23" s="32" t="s">
        <v>218</v>
      </c>
    </row>
    <row r="25">
      <c r="A25" s="3" t="s">
        <v>219</v>
      </c>
    </row>
    <row r="26">
      <c r="A26" s="3" t="s">
        <v>220</v>
      </c>
      <c r="D26" s="3">
        <v>100000.0</v>
      </c>
      <c r="F26" s="30">
        <f>D26*4</f>
        <v>400000</v>
      </c>
      <c r="G26" s="31">
        <f>F26*3</f>
        <v>1200000</v>
      </c>
    </row>
    <row r="28">
      <c r="A28" s="33" t="s">
        <v>221</v>
      </c>
      <c r="B28" s="33" t="s">
        <v>222</v>
      </c>
      <c r="C28" s="33" t="s">
        <v>223</v>
      </c>
      <c r="D28" s="34" t="s">
        <v>224</v>
      </c>
      <c r="E28" s="7" t="s">
        <v>225</v>
      </c>
      <c r="F28" s="7" t="s">
        <v>226</v>
      </c>
      <c r="G28" s="7" t="s">
        <v>227</v>
      </c>
      <c r="H28" s="7" t="s">
        <v>228</v>
      </c>
      <c r="I28" s="7" t="s">
        <v>229</v>
      </c>
      <c r="J28" s="2" t="s">
        <v>230</v>
      </c>
      <c r="K28" s="2" t="s">
        <v>231</v>
      </c>
      <c r="L28" s="3" t="s">
        <v>232</v>
      </c>
    </row>
    <row r="29">
      <c r="A29" s="35" t="s">
        <v>233</v>
      </c>
      <c r="B29" s="35" t="s">
        <v>234</v>
      </c>
      <c r="C29" s="35" t="s">
        <v>235</v>
      </c>
      <c r="D29" s="36" t="s">
        <v>236</v>
      </c>
      <c r="E29" s="37">
        <v>1194.0</v>
      </c>
      <c r="F29" s="37">
        <v>1088.0</v>
      </c>
      <c r="G29" s="37">
        <v>1146.0</v>
      </c>
      <c r="H29" s="37">
        <v>1167.0</v>
      </c>
      <c r="I29" s="37">
        <v>1004.0</v>
      </c>
      <c r="J29" s="30">
        <f t="shared" ref="J29:J38" si="1">AVERAGE(E29:I29)</f>
        <v>1119.8</v>
      </c>
      <c r="K29" s="38">
        <f t="shared" ref="K29:K38" si="2">STDEV(E29:I29)</f>
        <v>75.56586531</v>
      </c>
      <c r="L29" s="30">
        <f t="shared" ref="L29:L38" si="3">K29/J29*100</f>
        <v>6.748157288</v>
      </c>
    </row>
    <row r="30">
      <c r="A30" s="35" t="s">
        <v>237</v>
      </c>
      <c r="B30" s="35" t="s">
        <v>238</v>
      </c>
      <c r="C30" s="35" t="s">
        <v>235</v>
      </c>
      <c r="D30" s="36" t="s">
        <v>239</v>
      </c>
      <c r="E30" s="37">
        <v>1140.0</v>
      </c>
      <c r="F30" s="37">
        <v>1038.0</v>
      </c>
      <c r="G30" s="37">
        <v>1030.0</v>
      </c>
      <c r="H30" s="37">
        <v>1101.0</v>
      </c>
      <c r="I30" s="37">
        <v>958.0</v>
      </c>
      <c r="J30" s="30">
        <f t="shared" si="1"/>
        <v>1053.4</v>
      </c>
      <c r="K30" s="38">
        <f t="shared" si="2"/>
        <v>70.09136894</v>
      </c>
      <c r="L30" s="30">
        <f t="shared" si="3"/>
        <v>6.653822759</v>
      </c>
    </row>
    <row r="31">
      <c r="A31" s="35" t="s">
        <v>240</v>
      </c>
      <c r="B31" s="35" t="s">
        <v>241</v>
      </c>
      <c r="C31" s="35" t="s">
        <v>235</v>
      </c>
      <c r="D31" s="36" t="s">
        <v>242</v>
      </c>
      <c r="E31" s="37">
        <v>44.0</v>
      </c>
      <c r="F31" s="37">
        <v>44.0</v>
      </c>
      <c r="G31" s="37">
        <v>117.0</v>
      </c>
      <c r="H31" s="37">
        <v>61.0</v>
      </c>
      <c r="I31" s="37">
        <v>42.0</v>
      </c>
      <c r="J31" s="30">
        <f t="shared" si="1"/>
        <v>61.6</v>
      </c>
      <c r="K31" s="38">
        <f t="shared" si="2"/>
        <v>31.91081321</v>
      </c>
      <c r="L31" s="30">
        <f t="shared" si="3"/>
        <v>51.80326821</v>
      </c>
    </row>
    <row r="32">
      <c r="A32" s="35" t="s">
        <v>243</v>
      </c>
      <c r="B32" s="35" t="s">
        <v>244</v>
      </c>
      <c r="C32" s="35" t="s">
        <v>235</v>
      </c>
      <c r="D32" s="36" t="s">
        <v>245</v>
      </c>
      <c r="E32" s="37">
        <v>105.0</v>
      </c>
      <c r="F32" s="37">
        <v>97.0</v>
      </c>
      <c r="G32" s="37">
        <v>106.0</v>
      </c>
      <c r="H32" s="37">
        <v>160.0</v>
      </c>
      <c r="I32" s="37">
        <v>151.0</v>
      </c>
      <c r="J32" s="30">
        <f t="shared" si="1"/>
        <v>123.8</v>
      </c>
      <c r="K32" s="38">
        <f t="shared" si="2"/>
        <v>29.32064119</v>
      </c>
      <c r="L32" s="30">
        <f t="shared" si="3"/>
        <v>23.68387819</v>
      </c>
    </row>
    <row r="33">
      <c r="A33" s="35" t="s">
        <v>246</v>
      </c>
      <c r="B33" s="35" t="s">
        <v>247</v>
      </c>
      <c r="C33" s="35" t="s">
        <v>235</v>
      </c>
      <c r="D33" s="36" t="s">
        <v>248</v>
      </c>
      <c r="E33" s="37">
        <v>105.0</v>
      </c>
      <c r="F33" s="37">
        <v>97.0</v>
      </c>
      <c r="G33" s="37">
        <v>106.0</v>
      </c>
      <c r="H33" s="37">
        <v>160.0</v>
      </c>
      <c r="I33" s="37">
        <v>151.0</v>
      </c>
      <c r="J33" s="30">
        <f t="shared" si="1"/>
        <v>123.8</v>
      </c>
      <c r="K33" s="38">
        <f t="shared" si="2"/>
        <v>29.32064119</v>
      </c>
      <c r="L33" s="30">
        <f t="shared" si="3"/>
        <v>23.68387819</v>
      </c>
    </row>
    <row r="34">
      <c r="A34" s="35" t="s">
        <v>249</v>
      </c>
      <c r="B34" s="35" t="s">
        <v>250</v>
      </c>
      <c r="C34" s="35" t="s">
        <v>235</v>
      </c>
      <c r="D34" s="36" t="s">
        <v>251</v>
      </c>
      <c r="E34" s="37">
        <v>81.0</v>
      </c>
      <c r="F34" s="37">
        <v>88.0</v>
      </c>
      <c r="G34" s="37">
        <v>79.0</v>
      </c>
      <c r="H34" s="37">
        <v>86.0</v>
      </c>
      <c r="I34" s="37">
        <v>78.0</v>
      </c>
      <c r="J34" s="30">
        <f t="shared" si="1"/>
        <v>82.4</v>
      </c>
      <c r="K34" s="38">
        <f t="shared" si="2"/>
        <v>4.393176527</v>
      </c>
      <c r="L34" s="30">
        <f t="shared" si="3"/>
        <v>5.331524912</v>
      </c>
    </row>
    <row r="35">
      <c r="A35" s="35" t="s">
        <v>252</v>
      </c>
      <c r="B35" s="35" t="s">
        <v>253</v>
      </c>
      <c r="C35" s="35" t="s">
        <v>235</v>
      </c>
      <c r="D35" s="36" t="s">
        <v>254</v>
      </c>
      <c r="E35" s="37">
        <v>1250.0</v>
      </c>
      <c r="F35" s="37">
        <v>1281.0</v>
      </c>
      <c r="G35" s="37">
        <v>1436.0</v>
      </c>
      <c r="H35" s="37">
        <v>1585.0</v>
      </c>
      <c r="I35" s="37">
        <v>1241.0</v>
      </c>
      <c r="J35" s="30">
        <f t="shared" si="1"/>
        <v>1358.6</v>
      </c>
      <c r="K35" s="38">
        <f t="shared" si="2"/>
        <v>149.0748134</v>
      </c>
      <c r="L35" s="30">
        <f t="shared" si="3"/>
        <v>10.97267875</v>
      </c>
    </row>
    <row r="36">
      <c r="A36" s="35" t="s">
        <v>255</v>
      </c>
      <c r="B36" s="35" t="s">
        <v>256</v>
      </c>
      <c r="C36" s="35" t="s">
        <v>235</v>
      </c>
      <c r="D36" s="36" t="s">
        <v>257</v>
      </c>
      <c r="E36" s="37">
        <v>0.0</v>
      </c>
      <c r="F36" s="37">
        <v>2.0</v>
      </c>
      <c r="G36" s="37">
        <v>2.0</v>
      </c>
      <c r="H36" s="37">
        <v>3.0</v>
      </c>
      <c r="I36" s="37">
        <v>0.0</v>
      </c>
      <c r="J36" s="30">
        <f t="shared" si="1"/>
        <v>1.4</v>
      </c>
      <c r="K36" s="38">
        <f t="shared" si="2"/>
        <v>1.341640786</v>
      </c>
      <c r="L36" s="30">
        <f t="shared" si="3"/>
        <v>95.83148475</v>
      </c>
    </row>
    <row r="37">
      <c r="A37" s="35" t="s">
        <v>258</v>
      </c>
      <c r="B37" s="35" t="s">
        <v>259</v>
      </c>
      <c r="C37" s="35" t="s">
        <v>235</v>
      </c>
      <c r="D37" s="36" t="s">
        <v>260</v>
      </c>
      <c r="E37" s="37">
        <v>1187.0</v>
      </c>
      <c r="F37" s="37">
        <v>1170.0</v>
      </c>
      <c r="G37" s="37">
        <v>1359.0</v>
      </c>
      <c r="H37" s="37">
        <v>1374.0</v>
      </c>
      <c r="I37" s="37">
        <v>1198.0</v>
      </c>
      <c r="J37" s="30">
        <f t="shared" si="1"/>
        <v>1257.6</v>
      </c>
      <c r="K37" s="38">
        <f t="shared" si="2"/>
        <v>100.0514867</v>
      </c>
      <c r="L37" s="30">
        <f t="shared" si="3"/>
        <v>7.955747992</v>
      </c>
    </row>
    <row r="38">
      <c r="A38" s="35" t="s">
        <v>261</v>
      </c>
      <c r="B38" s="35" t="s">
        <v>262</v>
      </c>
      <c r="C38" s="35" t="s">
        <v>235</v>
      </c>
      <c r="D38" s="36" t="s">
        <v>263</v>
      </c>
      <c r="E38" s="37">
        <v>63.0</v>
      </c>
      <c r="F38" s="37">
        <v>111.0</v>
      </c>
      <c r="G38" s="37">
        <v>77.0</v>
      </c>
      <c r="H38" s="37">
        <v>211.0</v>
      </c>
      <c r="I38" s="37">
        <v>43.0</v>
      </c>
      <c r="J38" s="30">
        <f t="shared" si="1"/>
        <v>101</v>
      </c>
      <c r="K38" s="38">
        <f t="shared" si="2"/>
        <v>66.30233782</v>
      </c>
      <c r="L38" s="30">
        <f t="shared" si="3"/>
        <v>65.64587903</v>
      </c>
    </row>
    <row r="41">
      <c r="B41" s="3" t="s">
        <v>264</v>
      </c>
    </row>
    <row r="44">
      <c r="A44" s="3" t="s">
        <v>219</v>
      </c>
    </row>
    <row r="45">
      <c r="A45" s="3" t="s">
        <v>220</v>
      </c>
      <c r="D45" s="3">
        <v>100000.0</v>
      </c>
      <c r="F45" s="30">
        <f>D45*4</f>
        <v>400000</v>
      </c>
      <c r="G45" s="31">
        <f>F45*3</f>
        <v>1200000</v>
      </c>
    </row>
    <row r="47">
      <c r="A47" s="33" t="s">
        <v>221</v>
      </c>
      <c r="B47" s="33" t="s">
        <v>222</v>
      </c>
      <c r="C47" s="33" t="s">
        <v>223</v>
      </c>
      <c r="D47" s="34" t="s">
        <v>224</v>
      </c>
      <c r="E47" s="7" t="s">
        <v>225</v>
      </c>
      <c r="F47" s="7" t="s">
        <v>226</v>
      </c>
      <c r="G47" s="7" t="s">
        <v>227</v>
      </c>
      <c r="H47" s="7" t="s">
        <v>228</v>
      </c>
      <c r="I47" s="7" t="s">
        <v>229</v>
      </c>
      <c r="J47" s="2" t="s">
        <v>230</v>
      </c>
      <c r="K47" s="2" t="s">
        <v>231</v>
      </c>
      <c r="L47" s="3" t="s">
        <v>232</v>
      </c>
    </row>
    <row r="48">
      <c r="A48" s="35" t="s">
        <v>233</v>
      </c>
      <c r="B48" s="35" t="s">
        <v>234</v>
      </c>
      <c r="C48" s="35" t="s">
        <v>235</v>
      </c>
      <c r="D48" s="36" t="s">
        <v>236</v>
      </c>
      <c r="E48" s="37">
        <v>1495.0</v>
      </c>
      <c r="F48" s="37">
        <v>1304.0</v>
      </c>
      <c r="G48" s="37">
        <v>1482.0</v>
      </c>
      <c r="H48" s="37">
        <v>1385.0</v>
      </c>
      <c r="I48" s="37">
        <v>1434.0</v>
      </c>
      <c r="J48" s="39">
        <f t="shared" ref="J48:J57" si="4">AVERAGE(E48:I48)</f>
        <v>1420</v>
      </c>
      <c r="K48" s="40">
        <f t="shared" ref="K48:K57" si="5">STDEV(E48:I48)</f>
        <v>78.016024</v>
      </c>
      <c r="L48" s="30">
        <f t="shared" ref="L48:L57" si="6">K48/J48*100</f>
        <v>5.494086197</v>
      </c>
    </row>
    <row r="49">
      <c r="A49" s="35" t="s">
        <v>237</v>
      </c>
      <c r="B49" s="35" t="s">
        <v>238</v>
      </c>
      <c r="C49" s="35" t="s">
        <v>235</v>
      </c>
      <c r="D49" s="36" t="s">
        <v>239</v>
      </c>
      <c r="E49" s="37">
        <v>1361.0</v>
      </c>
      <c r="F49" s="37">
        <v>1242.0</v>
      </c>
      <c r="G49" s="37">
        <v>1404.0</v>
      </c>
      <c r="H49" s="37">
        <v>1320.0</v>
      </c>
      <c r="I49" s="37">
        <v>1350.0</v>
      </c>
      <c r="J49" s="39">
        <f t="shared" si="4"/>
        <v>1335.4</v>
      </c>
      <c r="K49" s="40">
        <f t="shared" si="5"/>
        <v>60.28100862</v>
      </c>
      <c r="L49" s="30">
        <f t="shared" si="6"/>
        <v>4.514078824</v>
      </c>
    </row>
    <row r="50">
      <c r="A50" s="35" t="s">
        <v>240</v>
      </c>
      <c r="B50" s="35" t="s">
        <v>241</v>
      </c>
      <c r="C50" s="35" t="s">
        <v>235</v>
      </c>
      <c r="D50" s="36" t="s">
        <v>242</v>
      </c>
      <c r="E50" s="37">
        <v>138.0</v>
      </c>
      <c r="F50" s="37">
        <v>68.0</v>
      </c>
      <c r="G50" s="37">
        <v>80.0</v>
      </c>
      <c r="H50" s="37">
        <v>70.0</v>
      </c>
      <c r="I50" s="37">
        <v>85.0</v>
      </c>
      <c r="J50" s="39">
        <f t="shared" si="4"/>
        <v>88.2</v>
      </c>
      <c r="K50" s="40">
        <f t="shared" si="5"/>
        <v>28.70888364</v>
      </c>
      <c r="L50" s="30">
        <f t="shared" si="6"/>
        <v>32.5497547</v>
      </c>
    </row>
    <row r="51">
      <c r="A51" s="35" t="s">
        <v>243</v>
      </c>
      <c r="B51" s="35" t="s">
        <v>244</v>
      </c>
      <c r="C51" s="35" t="s">
        <v>235</v>
      </c>
      <c r="D51" s="36" t="s">
        <v>245</v>
      </c>
      <c r="E51" s="37">
        <v>63.0</v>
      </c>
      <c r="F51" s="37">
        <v>92.0</v>
      </c>
      <c r="G51" s="37">
        <v>66.0</v>
      </c>
      <c r="H51" s="37">
        <v>76.0</v>
      </c>
      <c r="I51" s="37">
        <v>99.0</v>
      </c>
      <c r="J51" s="39">
        <f t="shared" si="4"/>
        <v>79.2</v>
      </c>
      <c r="K51" s="40">
        <f t="shared" si="5"/>
        <v>15.83350877</v>
      </c>
      <c r="L51" s="30">
        <f t="shared" si="6"/>
        <v>19.991804</v>
      </c>
    </row>
    <row r="52">
      <c r="A52" s="35" t="s">
        <v>246</v>
      </c>
      <c r="B52" s="35" t="s">
        <v>247</v>
      </c>
      <c r="C52" s="35" t="s">
        <v>235</v>
      </c>
      <c r="D52" s="36" t="s">
        <v>248</v>
      </c>
      <c r="E52" s="37">
        <v>63.0</v>
      </c>
      <c r="F52" s="37">
        <v>92.0</v>
      </c>
      <c r="G52" s="37">
        <v>66.0</v>
      </c>
      <c r="H52" s="37">
        <v>76.0</v>
      </c>
      <c r="I52" s="37">
        <v>99.0</v>
      </c>
      <c r="J52" s="39">
        <f t="shared" si="4"/>
        <v>79.2</v>
      </c>
      <c r="K52" s="40">
        <f t="shared" si="5"/>
        <v>15.83350877</v>
      </c>
      <c r="L52" s="30">
        <f t="shared" si="6"/>
        <v>19.991804</v>
      </c>
    </row>
    <row r="53">
      <c r="A53" s="35" t="s">
        <v>249</v>
      </c>
      <c r="B53" s="35" t="s">
        <v>250</v>
      </c>
      <c r="C53" s="35" t="s">
        <v>235</v>
      </c>
      <c r="D53" s="36" t="s">
        <v>251</v>
      </c>
      <c r="E53" s="37">
        <v>202.0</v>
      </c>
      <c r="F53" s="37">
        <v>185.0</v>
      </c>
      <c r="G53" s="37">
        <v>192.0</v>
      </c>
      <c r="H53" s="37">
        <v>228.0</v>
      </c>
      <c r="I53" s="37">
        <v>217.0</v>
      </c>
      <c r="J53" s="39">
        <f t="shared" si="4"/>
        <v>204.8</v>
      </c>
      <c r="K53" s="40">
        <f t="shared" si="5"/>
        <v>17.68332548</v>
      </c>
      <c r="L53" s="30">
        <f t="shared" si="6"/>
        <v>8.634436269</v>
      </c>
    </row>
    <row r="54">
      <c r="A54" s="35" t="s">
        <v>252</v>
      </c>
      <c r="B54" s="35" t="s">
        <v>253</v>
      </c>
      <c r="C54" s="35" t="s">
        <v>235</v>
      </c>
      <c r="D54" s="36" t="s">
        <v>254</v>
      </c>
      <c r="E54" s="37">
        <v>1586.0</v>
      </c>
      <c r="F54" s="37">
        <v>1393.0</v>
      </c>
      <c r="G54" s="37">
        <v>1413.0</v>
      </c>
      <c r="H54" s="37">
        <v>1383.0</v>
      </c>
      <c r="I54" s="37">
        <v>1340.0</v>
      </c>
      <c r="J54" s="39">
        <f t="shared" si="4"/>
        <v>1423</v>
      </c>
      <c r="K54" s="40">
        <f t="shared" si="5"/>
        <v>94.94472076</v>
      </c>
      <c r="L54" s="30">
        <f t="shared" si="6"/>
        <v>6.672151845</v>
      </c>
    </row>
    <row r="55">
      <c r="A55" s="41" t="s">
        <v>255</v>
      </c>
      <c r="B55" s="41" t="s">
        <v>256</v>
      </c>
      <c r="C55" s="41" t="s">
        <v>235</v>
      </c>
      <c r="D55" s="42" t="s">
        <v>257</v>
      </c>
      <c r="E55" s="43">
        <v>1263.0</v>
      </c>
      <c r="F55" s="43">
        <v>1135.0</v>
      </c>
      <c r="G55" s="43">
        <v>1181.0</v>
      </c>
      <c r="H55" s="43">
        <v>1145.0</v>
      </c>
      <c r="I55" s="43">
        <v>1062.0</v>
      </c>
      <c r="J55" s="44">
        <f t="shared" si="4"/>
        <v>1157.2</v>
      </c>
      <c r="K55" s="45">
        <f t="shared" si="5"/>
        <v>73.25435141</v>
      </c>
      <c r="L55" s="30">
        <f t="shared" si="6"/>
        <v>6.330310353</v>
      </c>
    </row>
    <row r="56">
      <c r="A56" s="35" t="s">
        <v>258</v>
      </c>
      <c r="B56" s="35" t="s">
        <v>259</v>
      </c>
      <c r="C56" s="35" t="s">
        <v>235</v>
      </c>
      <c r="D56" s="36" t="s">
        <v>260</v>
      </c>
      <c r="E56" s="37">
        <v>1461.0</v>
      </c>
      <c r="F56" s="37">
        <v>1349.0</v>
      </c>
      <c r="G56" s="37">
        <v>1347.0</v>
      </c>
      <c r="H56" s="37">
        <v>1328.0</v>
      </c>
      <c r="I56" s="37">
        <v>1257.0</v>
      </c>
      <c r="J56" s="39">
        <f t="shared" si="4"/>
        <v>1348.4</v>
      </c>
      <c r="K56" s="40">
        <f t="shared" si="5"/>
        <v>73.23114092</v>
      </c>
      <c r="L56" s="30">
        <f t="shared" si="6"/>
        <v>5.430965657</v>
      </c>
    </row>
    <row r="57">
      <c r="A57" s="35" t="s">
        <v>261</v>
      </c>
      <c r="B57" s="35" t="s">
        <v>262</v>
      </c>
      <c r="C57" s="35" t="s">
        <v>235</v>
      </c>
      <c r="D57" s="36" t="s">
        <v>263</v>
      </c>
      <c r="E57" s="37">
        <v>125.0</v>
      </c>
      <c r="F57" s="37">
        <v>44.0</v>
      </c>
      <c r="G57" s="37">
        <v>66.0</v>
      </c>
      <c r="H57" s="37">
        <v>55.0</v>
      </c>
      <c r="I57" s="37">
        <v>83.0</v>
      </c>
      <c r="J57" s="39">
        <f t="shared" si="4"/>
        <v>74.6</v>
      </c>
      <c r="K57" s="40">
        <f t="shared" si="5"/>
        <v>31.64332473</v>
      </c>
      <c r="L57" s="30">
        <f t="shared" si="6"/>
        <v>42.41732538</v>
      </c>
    </row>
    <row r="60">
      <c r="E60" s="3">
        <v>1157.0</v>
      </c>
      <c r="F60" s="30">
        <f>E60*64</f>
        <v>74048</v>
      </c>
      <c r="G60" s="46" t="s">
        <v>265</v>
      </c>
      <c r="I60" s="3">
        <v>217.0</v>
      </c>
      <c r="J60" s="30">
        <f>I60*64</f>
        <v>13888</v>
      </c>
    </row>
    <row r="64">
      <c r="F64" s="3" t="s">
        <v>266</v>
      </c>
      <c r="G64" s="47" t="s">
        <v>265</v>
      </c>
    </row>
    <row r="67">
      <c r="A67" s="32" t="s">
        <v>267</v>
      </c>
    </row>
    <row r="68">
      <c r="O68" s="3">
        <v>100000.0</v>
      </c>
      <c r="P68" s="30">
        <f>O68*4</f>
        <v>400000</v>
      </c>
    </row>
    <row r="69">
      <c r="P69" s="31">
        <f>P68*3</f>
        <v>1200000</v>
      </c>
    </row>
    <row r="70">
      <c r="A70" s="33" t="s">
        <v>221</v>
      </c>
      <c r="B70" s="33" t="s">
        <v>222</v>
      </c>
      <c r="C70" s="33" t="s">
        <v>223</v>
      </c>
      <c r="D70" s="34" t="s">
        <v>224</v>
      </c>
      <c r="E70" s="7" t="s">
        <v>225</v>
      </c>
      <c r="F70" s="7" t="s">
        <v>226</v>
      </c>
      <c r="G70" s="7" t="s">
        <v>227</v>
      </c>
      <c r="H70" s="7" t="s">
        <v>228</v>
      </c>
      <c r="I70" s="7" t="s">
        <v>229</v>
      </c>
      <c r="J70" s="2" t="s">
        <v>230</v>
      </c>
      <c r="K70" s="2" t="s">
        <v>231</v>
      </c>
      <c r="L70" s="3" t="s">
        <v>232</v>
      </c>
    </row>
    <row r="71">
      <c r="A71" s="35" t="s">
        <v>233</v>
      </c>
      <c r="B71" s="35" t="s">
        <v>234</v>
      </c>
      <c r="C71" s="35" t="s">
        <v>235</v>
      </c>
      <c r="D71" s="36" t="s">
        <v>236</v>
      </c>
      <c r="E71" s="37">
        <v>1407.0</v>
      </c>
      <c r="F71" s="37">
        <v>1240.0</v>
      </c>
      <c r="G71" s="37">
        <v>1370.0</v>
      </c>
      <c r="H71" s="37">
        <v>1400.0</v>
      </c>
      <c r="I71" s="37">
        <v>1333.0</v>
      </c>
      <c r="J71" s="39">
        <f t="shared" ref="J71:J80" si="7">AVERAGE(E71:I71)</f>
        <v>1350</v>
      </c>
      <c r="K71" s="40">
        <f t="shared" ref="K71:K80" si="8">STDEV(E71:I71)</f>
        <v>68.0771621</v>
      </c>
      <c r="L71" s="30">
        <f t="shared" ref="L71:L80" si="9">K71/J71*100</f>
        <v>5.042752748</v>
      </c>
    </row>
    <row r="72">
      <c r="A72" s="35" t="s">
        <v>237</v>
      </c>
      <c r="B72" s="35" t="s">
        <v>238</v>
      </c>
      <c r="C72" s="35" t="s">
        <v>235</v>
      </c>
      <c r="D72" s="36" t="s">
        <v>239</v>
      </c>
      <c r="E72" s="37">
        <v>998.0</v>
      </c>
      <c r="F72" s="37">
        <v>871.0</v>
      </c>
      <c r="G72" s="37">
        <v>964.0</v>
      </c>
      <c r="H72" s="37">
        <v>997.0</v>
      </c>
      <c r="I72" s="37">
        <v>916.0</v>
      </c>
      <c r="J72" s="39">
        <f t="shared" si="7"/>
        <v>949.2</v>
      </c>
      <c r="K72" s="40">
        <f t="shared" si="8"/>
        <v>55.00636327</v>
      </c>
      <c r="L72" s="30">
        <f t="shared" si="9"/>
        <v>5.795023522</v>
      </c>
    </row>
    <row r="73">
      <c r="A73" s="35" t="s">
        <v>240</v>
      </c>
      <c r="B73" s="35" t="s">
        <v>241</v>
      </c>
      <c r="C73" s="35" t="s">
        <v>235</v>
      </c>
      <c r="D73" s="36" t="s">
        <v>242</v>
      </c>
      <c r="E73" s="37">
        <v>430.0</v>
      </c>
      <c r="F73" s="37">
        <v>418.0</v>
      </c>
      <c r="G73" s="37">
        <v>413.0</v>
      </c>
      <c r="H73" s="37">
        <v>413.0</v>
      </c>
      <c r="I73" s="37">
        <v>424.0</v>
      </c>
      <c r="J73" s="39">
        <f t="shared" si="7"/>
        <v>419.6</v>
      </c>
      <c r="K73" s="40">
        <f t="shared" si="8"/>
        <v>7.368853371</v>
      </c>
      <c r="L73" s="30">
        <f t="shared" si="9"/>
        <v>1.756161433</v>
      </c>
    </row>
    <row r="74">
      <c r="A74" s="35" t="s">
        <v>243</v>
      </c>
      <c r="B74" s="35" t="s">
        <v>244</v>
      </c>
      <c r="C74" s="35" t="s">
        <v>235</v>
      </c>
      <c r="D74" s="36" t="s">
        <v>245</v>
      </c>
      <c r="E74" s="37">
        <v>937.0</v>
      </c>
      <c r="F74" s="37">
        <v>814.0</v>
      </c>
      <c r="G74" s="37">
        <v>846.0</v>
      </c>
      <c r="H74" s="37">
        <v>885.0</v>
      </c>
      <c r="I74" s="37">
        <v>896.0</v>
      </c>
      <c r="J74" s="39">
        <f t="shared" si="7"/>
        <v>875.6</v>
      </c>
      <c r="K74" s="40">
        <f t="shared" si="8"/>
        <v>47.28953373</v>
      </c>
      <c r="L74" s="30">
        <f t="shared" si="9"/>
        <v>5.400814724</v>
      </c>
    </row>
    <row r="75">
      <c r="A75" s="35" t="s">
        <v>246</v>
      </c>
      <c r="B75" s="35" t="s">
        <v>247</v>
      </c>
      <c r="C75" s="35" t="s">
        <v>235</v>
      </c>
      <c r="D75" s="36" t="s">
        <v>248</v>
      </c>
      <c r="E75" s="37">
        <v>937.0</v>
      </c>
      <c r="F75" s="37">
        <v>814.0</v>
      </c>
      <c r="G75" s="37">
        <v>846.0</v>
      </c>
      <c r="H75" s="37">
        <v>885.0</v>
      </c>
      <c r="I75" s="37">
        <v>896.0</v>
      </c>
      <c r="J75" s="39">
        <f t="shared" si="7"/>
        <v>875.6</v>
      </c>
      <c r="K75" s="40">
        <f t="shared" si="8"/>
        <v>47.28953373</v>
      </c>
      <c r="L75" s="30">
        <f t="shared" si="9"/>
        <v>5.400814724</v>
      </c>
    </row>
    <row r="76">
      <c r="A76" s="35" t="s">
        <v>249</v>
      </c>
      <c r="B76" s="35" t="s">
        <v>250</v>
      </c>
      <c r="C76" s="35" t="s">
        <v>235</v>
      </c>
      <c r="D76" s="36" t="s">
        <v>251</v>
      </c>
      <c r="E76" s="37">
        <v>279.0</v>
      </c>
      <c r="F76" s="37">
        <v>282.0</v>
      </c>
      <c r="G76" s="37">
        <v>278.0</v>
      </c>
      <c r="H76" s="37">
        <v>292.0</v>
      </c>
      <c r="I76" s="37">
        <v>268.0</v>
      </c>
      <c r="J76" s="39">
        <f t="shared" si="7"/>
        <v>279.8</v>
      </c>
      <c r="K76" s="40">
        <f t="shared" si="8"/>
        <v>8.613942187</v>
      </c>
      <c r="L76" s="30">
        <f t="shared" si="9"/>
        <v>3.078606929</v>
      </c>
    </row>
    <row r="77">
      <c r="A77" s="35" t="s">
        <v>252</v>
      </c>
      <c r="B77" s="35" t="s">
        <v>253</v>
      </c>
      <c r="C77" s="35" t="s">
        <v>235</v>
      </c>
      <c r="D77" s="36" t="s">
        <v>254</v>
      </c>
      <c r="E77" s="37">
        <v>2099.0</v>
      </c>
      <c r="F77" s="37">
        <v>2638.0</v>
      </c>
      <c r="G77" s="37">
        <v>2143.0</v>
      </c>
      <c r="H77" s="37">
        <v>2346.0</v>
      </c>
      <c r="I77" s="37">
        <v>2536.0</v>
      </c>
      <c r="J77" s="39">
        <f t="shared" si="7"/>
        <v>2352.4</v>
      </c>
      <c r="K77" s="40">
        <f t="shared" si="8"/>
        <v>236.313986</v>
      </c>
      <c r="L77" s="30">
        <f t="shared" si="9"/>
        <v>10.04565491</v>
      </c>
    </row>
    <row r="78">
      <c r="A78" s="41" t="s">
        <v>255</v>
      </c>
      <c r="B78" s="41" t="s">
        <v>256</v>
      </c>
      <c r="C78" s="41" t="s">
        <v>235</v>
      </c>
      <c r="D78" s="42" t="s">
        <v>257</v>
      </c>
      <c r="E78" s="37">
        <v>1046.0</v>
      </c>
      <c r="F78" s="37">
        <v>1187.0</v>
      </c>
      <c r="G78" s="37">
        <v>1046.0</v>
      </c>
      <c r="H78" s="37">
        <v>1021.0</v>
      </c>
      <c r="I78" s="37">
        <v>1107.0</v>
      </c>
      <c r="J78" s="44">
        <f t="shared" si="7"/>
        <v>1081.4</v>
      </c>
      <c r="K78" s="45">
        <f t="shared" si="8"/>
        <v>67.00970079</v>
      </c>
      <c r="L78" s="30">
        <f t="shared" si="9"/>
        <v>6.196569335</v>
      </c>
    </row>
    <row r="79">
      <c r="A79" s="35" t="s">
        <v>258</v>
      </c>
      <c r="B79" s="35" t="s">
        <v>259</v>
      </c>
      <c r="C79" s="35" t="s">
        <v>235</v>
      </c>
      <c r="D79" s="36" t="s">
        <v>260</v>
      </c>
      <c r="E79" s="37">
        <v>1682.0</v>
      </c>
      <c r="F79" s="37">
        <v>2203.0</v>
      </c>
      <c r="G79" s="37">
        <v>1730.0</v>
      </c>
      <c r="H79" s="37">
        <v>1922.0</v>
      </c>
      <c r="I79" s="37">
        <v>2142.0</v>
      </c>
      <c r="J79" s="39">
        <f t="shared" si="7"/>
        <v>1935.8</v>
      </c>
      <c r="K79" s="40">
        <f t="shared" si="8"/>
        <v>234.9855315</v>
      </c>
      <c r="L79" s="30">
        <f t="shared" si="9"/>
        <v>12.13893643</v>
      </c>
      <c r="N79" s="3">
        <f>100*4*3</f>
        <v>1200</v>
      </c>
    </row>
    <row r="80">
      <c r="A80" s="35" t="s">
        <v>261</v>
      </c>
      <c r="B80" s="35" t="s">
        <v>262</v>
      </c>
      <c r="C80" s="35" t="s">
        <v>235</v>
      </c>
      <c r="D80" s="36" t="s">
        <v>263</v>
      </c>
      <c r="E80" s="37">
        <v>417.0</v>
      </c>
      <c r="F80" s="37">
        <v>435.0</v>
      </c>
      <c r="G80" s="37">
        <v>413.0</v>
      </c>
      <c r="H80" s="37">
        <v>424.0</v>
      </c>
      <c r="I80" s="37">
        <v>394.0</v>
      </c>
      <c r="J80" s="39">
        <f t="shared" si="7"/>
        <v>416.6</v>
      </c>
      <c r="K80" s="40">
        <f t="shared" si="8"/>
        <v>15.14265499</v>
      </c>
      <c r="L80" s="30">
        <f t="shared" si="9"/>
        <v>3.634818767</v>
      </c>
      <c r="N80" s="30">
        <f>N79/64</f>
        <v>18.75</v>
      </c>
    </row>
    <row r="83">
      <c r="E83" s="3">
        <v>1081.0</v>
      </c>
      <c r="F83" s="30">
        <f t="shared" ref="F83:F84" si="10">E83*64</f>
        <v>69184</v>
      </c>
      <c r="G83" s="46" t="s">
        <v>268</v>
      </c>
    </row>
    <row r="84">
      <c r="E84" s="3">
        <v>279.0</v>
      </c>
      <c r="F84" s="30">
        <f t="shared" si="10"/>
        <v>17856</v>
      </c>
    </row>
    <row r="87">
      <c r="F87" s="3" t="s">
        <v>266</v>
      </c>
      <c r="G87" s="47">
        <v>69184.0</v>
      </c>
    </row>
    <row r="89">
      <c r="J89" s="3">
        <v>100000.0</v>
      </c>
      <c r="K89" s="30">
        <f>J89*4</f>
        <v>400000</v>
      </c>
      <c r="L89" s="30">
        <f>K89/64</f>
        <v>6250</v>
      </c>
    </row>
    <row r="90">
      <c r="A90" s="32" t="s">
        <v>269</v>
      </c>
    </row>
    <row r="95">
      <c r="A95" s="3" t="s">
        <v>270</v>
      </c>
    </row>
    <row r="97">
      <c r="A97" s="3" t="s">
        <v>271</v>
      </c>
    </row>
    <row r="98">
      <c r="A98" s="3" t="s">
        <v>272</v>
      </c>
    </row>
    <row r="99">
      <c r="A99" s="3" t="s">
        <v>273</v>
      </c>
    </row>
    <row r="100">
      <c r="A100" s="3">
        <v>1.0</v>
      </c>
      <c r="B100" s="3" t="s">
        <v>274</v>
      </c>
      <c r="C100" s="3" t="s">
        <v>275</v>
      </c>
      <c r="D100" s="3" t="s">
        <v>276</v>
      </c>
      <c r="E100" s="3" t="s">
        <v>277</v>
      </c>
      <c r="F100" s="3">
        <v>1056.0</v>
      </c>
      <c r="G100" s="3">
        <v>1056.0</v>
      </c>
      <c r="H100" s="3">
        <v>1056.0</v>
      </c>
    </row>
    <row r="101">
      <c r="A101" s="3">
        <v>1.0</v>
      </c>
      <c r="B101" s="3" t="s">
        <v>278</v>
      </c>
      <c r="C101" s="3" t="s">
        <v>279</v>
      </c>
      <c r="D101" s="3" t="s">
        <v>276</v>
      </c>
      <c r="E101" s="3" t="s">
        <v>280</v>
      </c>
      <c r="F101" s="3">
        <v>304736.0</v>
      </c>
      <c r="G101" s="3">
        <v>304736.0</v>
      </c>
      <c r="H101" s="3">
        <v>304736.0</v>
      </c>
    </row>
    <row r="104">
      <c r="A104" s="3" t="s">
        <v>281</v>
      </c>
      <c r="B104" s="3">
        <v>1.0E8</v>
      </c>
      <c r="C104" s="30">
        <f>B104*4</f>
        <v>400000000</v>
      </c>
      <c r="E104" s="3">
        <v>5.0E7</v>
      </c>
      <c r="F104" s="30">
        <f>E104*4</f>
        <v>200000000</v>
      </c>
    </row>
    <row r="105">
      <c r="C105" s="31">
        <f>C104*3</f>
        <v>1200000000</v>
      </c>
      <c r="F105" s="31">
        <f>F104*3</f>
        <v>600000000</v>
      </c>
    </row>
    <row r="106">
      <c r="B106" s="3" t="s">
        <v>282</v>
      </c>
      <c r="C106" s="30">
        <f>C105/64</f>
        <v>18750000</v>
      </c>
      <c r="F106" s="30">
        <f>F105/64</f>
        <v>9375000</v>
      </c>
    </row>
    <row r="112">
      <c r="A112" s="3" t="s">
        <v>271</v>
      </c>
    </row>
    <row r="113">
      <c r="A113" s="3" t="s">
        <v>272</v>
      </c>
    </row>
    <row r="114">
      <c r="A114" s="3" t="s">
        <v>273</v>
      </c>
    </row>
    <row r="115">
      <c r="A115" s="3">
        <v>1.0</v>
      </c>
      <c r="B115" s="3" t="s">
        <v>274</v>
      </c>
      <c r="C115" s="3" t="s">
        <v>275</v>
      </c>
      <c r="D115" s="3" t="s">
        <v>276</v>
      </c>
      <c r="E115" s="3" t="s">
        <v>277</v>
      </c>
      <c r="F115" s="3">
        <v>8.00011488E8</v>
      </c>
      <c r="G115" s="3">
        <v>8.00011488E8</v>
      </c>
      <c r="H115" s="3">
        <v>8.00011488E8</v>
      </c>
    </row>
    <row r="116">
      <c r="A116" s="3">
        <v>1.0</v>
      </c>
      <c r="B116" s="3" t="s">
        <v>278</v>
      </c>
      <c r="C116" s="3" t="s">
        <v>279</v>
      </c>
      <c r="D116" s="3" t="s">
        <v>276</v>
      </c>
      <c r="E116" s="3" t="s">
        <v>280</v>
      </c>
      <c r="F116" s="3">
        <v>4.000928E8</v>
      </c>
      <c r="G116" s="3">
        <v>4.000928E8</v>
      </c>
      <c r="H116" s="3">
        <v>4.000928E8</v>
      </c>
    </row>
    <row r="118">
      <c r="H118" s="3" t="s">
        <v>283</v>
      </c>
      <c r="I118" s="31">
        <f>H115+H116</f>
        <v>1200104288</v>
      </c>
      <c r="J118" s="3" t="s">
        <v>284</v>
      </c>
    </row>
    <row r="119">
      <c r="I119" s="31">
        <f>C105</f>
        <v>1200000000</v>
      </c>
    </row>
    <row r="120">
      <c r="J120" s="30">
        <f>(1-(I118-I119)/I118)*100</f>
        <v>99.99131009</v>
      </c>
    </row>
    <row r="123">
      <c r="I123" s="30">
        <f>I119/64</f>
        <v>18750000</v>
      </c>
    </row>
    <row r="127">
      <c r="A127" s="3" t="s">
        <v>285</v>
      </c>
    </row>
    <row r="129">
      <c r="A129" s="33" t="s">
        <v>221</v>
      </c>
      <c r="B129" s="33" t="s">
        <v>222</v>
      </c>
      <c r="C129" s="33" t="s">
        <v>223</v>
      </c>
      <c r="D129" s="34" t="s">
        <v>224</v>
      </c>
      <c r="E129" s="7" t="s">
        <v>225</v>
      </c>
      <c r="F129" s="7" t="s">
        <v>226</v>
      </c>
      <c r="G129" s="7" t="s">
        <v>227</v>
      </c>
      <c r="H129" s="7" t="s">
        <v>228</v>
      </c>
      <c r="I129" s="7" t="s">
        <v>229</v>
      </c>
      <c r="J129" s="2" t="s">
        <v>230</v>
      </c>
      <c r="K129" s="2" t="s">
        <v>231</v>
      </c>
      <c r="L129" s="3" t="s">
        <v>232</v>
      </c>
    </row>
    <row r="130">
      <c r="A130" s="35" t="s">
        <v>233</v>
      </c>
      <c r="B130" s="35" t="s">
        <v>234</v>
      </c>
      <c r="C130" s="35" t="s">
        <v>235</v>
      </c>
      <c r="D130" s="36" t="s">
        <v>236</v>
      </c>
      <c r="E130" s="48">
        <v>1.88E7</v>
      </c>
      <c r="F130" s="48">
        <v>1.886E7</v>
      </c>
      <c r="G130" s="48">
        <v>1.881E7</v>
      </c>
      <c r="H130" s="48">
        <v>1.881E7</v>
      </c>
      <c r="I130" s="48">
        <v>1.878E7</v>
      </c>
      <c r="J130" s="49">
        <f t="shared" ref="J130:J139" si="11">AVERAGE(E130:I130)</f>
        <v>18812000</v>
      </c>
      <c r="K130" s="40">
        <f t="shared" ref="K130:K139" si="12">STDEV(E130:I130)</f>
        <v>29495.76241</v>
      </c>
      <c r="L130" s="30">
        <f t="shared" ref="L130:L139" si="13">K130/J130*100</f>
        <v>0.1567922731</v>
      </c>
    </row>
    <row r="131">
      <c r="A131" s="35" t="s">
        <v>237</v>
      </c>
      <c r="B131" s="35" t="s">
        <v>238</v>
      </c>
      <c r="C131" s="35" t="s">
        <v>235</v>
      </c>
      <c r="D131" s="36" t="s">
        <v>239</v>
      </c>
      <c r="E131" s="48">
        <v>34220.0</v>
      </c>
      <c r="F131" s="48">
        <v>51320.0</v>
      </c>
      <c r="G131" s="48">
        <v>33820.0</v>
      </c>
      <c r="H131" s="48">
        <v>34480.0</v>
      </c>
      <c r="I131" s="48">
        <v>33940.0</v>
      </c>
      <c r="J131" s="49">
        <f t="shared" si="11"/>
        <v>37556</v>
      </c>
      <c r="K131" s="40">
        <f t="shared" si="12"/>
        <v>7698.563502</v>
      </c>
      <c r="L131" s="30">
        <f t="shared" si="13"/>
        <v>20.498891</v>
      </c>
    </row>
    <row r="132">
      <c r="A132" s="35" t="s">
        <v>240</v>
      </c>
      <c r="B132" s="35" t="s">
        <v>241</v>
      </c>
      <c r="C132" s="35" t="s">
        <v>235</v>
      </c>
      <c r="D132" s="36" t="s">
        <v>242</v>
      </c>
      <c r="E132" s="48">
        <v>229900.0</v>
      </c>
      <c r="F132" s="48">
        <v>268400.0</v>
      </c>
      <c r="G132" s="48">
        <v>236000.0</v>
      </c>
      <c r="H132" s="48">
        <v>232900.0</v>
      </c>
      <c r="I132" s="48">
        <v>230500.0</v>
      </c>
      <c r="J132" s="49">
        <f t="shared" si="11"/>
        <v>239540</v>
      </c>
      <c r="K132" s="40">
        <f t="shared" si="12"/>
        <v>16310.82463</v>
      </c>
      <c r="L132" s="30">
        <f t="shared" si="13"/>
        <v>6.809227948</v>
      </c>
    </row>
    <row r="133">
      <c r="A133" s="35" t="s">
        <v>243</v>
      </c>
      <c r="B133" s="35" t="s">
        <v>244</v>
      </c>
      <c r="C133" s="35" t="s">
        <v>235</v>
      </c>
      <c r="D133" s="36" t="s">
        <v>245</v>
      </c>
      <c r="E133" s="48">
        <v>789.0</v>
      </c>
      <c r="F133" s="48">
        <v>729.0</v>
      </c>
      <c r="G133" s="48">
        <v>446.0</v>
      </c>
      <c r="H133" s="48">
        <v>742.0</v>
      </c>
      <c r="I133" s="48">
        <v>456.0</v>
      </c>
      <c r="J133" s="49">
        <f t="shared" si="11"/>
        <v>632.4</v>
      </c>
      <c r="K133" s="40">
        <f t="shared" si="12"/>
        <v>167.1295904</v>
      </c>
      <c r="L133" s="30">
        <f t="shared" si="13"/>
        <v>26.42782898</v>
      </c>
    </row>
    <row r="134">
      <c r="A134" s="35" t="s">
        <v>246</v>
      </c>
      <c r="B134" s="35" t="s">
        <v>247</v>
      </c>
      <c r="C134" s="35" t="s">
        <v>235</v>
      </c>
      <c r="D134" s="36" t="s">
        <v>248</v>
      </c>
      <c r="E134" s="48">
        <v>789.0</v>
      </c>
      <c r="F134" s="48">
        <v>729.0</v>
      </c>
      <c r="G134" s="48">
        <v>446.0</v>
      </c>
      <c r="H134" s="48">
        <v>742.0</v>
      </c>
      <c r="I134" s="48">
        <v>456.0</v>
      </c>
      <c r="J134" s="49">
        <f t="shared" si="11"/>
        <v>632.4</v>
      </c>
      <c r="K134" s="40">
        <f t="shared" si="12"/>
        <v>167.1295904</v>
      </c>
      <c r="L134" s="30">
        <f t="shared" si="13"/>
        <v>26.42782898</v>
      </c>
    </row>
    <row r="135">
      <c r="A135" s="35" t="s">
        <v>249</v>
      </c>
      <c r="B135" s="35" t="s">
        <v>250</v>
      </c>
      <c r="C135" s="35" t="s">
        <v>235</v>
      </c>
      <c r="D135" s="36" t="s">
        <v>251</v>
      </c>
      <c r="E135" s="48">
        <v>28640.0</v>
      </c>
      <c r="F135" s="48">
        <v>28900.0</v>
      </c>
      <c r="G135" s="48">
        <v>27490.0</v>
      </c>
      <c r="H135" s="48">
        <v>28350.0</v>
      </c>
      <c r="I135" s="48">
        <v>28590.0</v>
      </c>
      <c r="J135" s="49">
        <f t="shared" si="11"/>
        <v>28394</v>
      </c>
      <c r="K135" s="40">
        <f t="shared" si="12"/>
        <v>541.7840898</v>
      </c>
      <c r="L135" s="30">
        <f t="shared" si="13"/>
        <v>1.908093576</v>
      </c>
    </row>
    <row r="136">
      <c r="A136" s="50" t="s">
        <v>252</v>
      </c>
      <c r="B136" s="50" t="s">
        <v>253</v>
      </c>
      <c r="C136" s="50" t="s">
        <v>235</v>
      </c>
      <c r="D136" s="51" t="s">
        <v>254</v>
      </c>
      <c r="E136" s="48">
        <v>1.882E7</v>
      </c>
      <c r="F136" s="48">
        <v>1.878E7</v>
      </c>
      <c r="G136" s="48">
        <v>1.88E7</v>
      </c>
      <c r="H136" s="48">
        <v>1.88E7</v>
      </c>
      <c r="I136" s="48">
        <v>1.883E7</v>
      </c>
      <c r="J136" s="52">
        <f t="shared" si="11"/>
        <v>18806000</v>
      </c>
      <c r="K136" s="53">
        <f t="shared" si="12"/>
        <v>19493.58869</v>
      </c>
      <c r="L136" s="30">
        <f t="shared" si="13"/>
        <v>0.1036562198</v>
      </c>
    </row>
    <row r="137">
      <c r="A137" s="41" t="s">
        <v>255</v>
      </c>
      <c r="B137" s="41" t="s">
        <v>256</v>
      </c>
      <c r="C137" s="41" t="s">
        <v>235</v>
      </c>
      <c r="D137" s="42" t="s">
        <v>257</v>
      </c>
      <c r="E137" s="48">
        <v>1.246E7</v>
      </c>
      <c r="F137" s="48">
        <v>1.246E7</v>
      </c>
      <c r="G137" s="48">
        <v>1.246E7</v>
      </c>
      <c r="H137" s="48">
        <v>1.246E7</v>
      </c>
      <c r="I137" s="48">
        <v>1.245E7</v>
      </c>
      <c r="J137" s="54">
        <f t="shared" si="11"/>
        <v>12458000</v>
      </c>
      <c r="K137" s="45">
        <f t="shared" si="12"/>
        <v>4472.135955</v>
      </c>
      <c r="L137" s="30">
        <f t="shared" si="13"/>
        <v>0.03589770393</v>
      </c>
    </row>
    <row r="138">
      <c r="A138" s="35" t="s">
        <v>258</v>
      </c>
      <c r="B138" s="35" t="s">
        <v>259</v>
      </c>
      <c r="C138" s="35" t="s">
        <v>235</v>
      </c>
      <c r="D138" s="36" t="s">
        <v>260</v>
      </c>
      <c r="E138" s="48">
        <v>1.858E7</v>
      </c>
      <c r="F138" s="48">
        <v>1.854E7</v>
      </c>
      <c r="G138" s="48">
        <v>1.857E7</v>
      </c>
      <c r="H138" s="48">
        <v>1.857E7</v>
      </c>
      <c r="I138" s="48">
        <v>1.859E7</v>
      </c>
      <c r="J138" s="49">
        <f t="shared" si="11"/>
        <v>18570000</v>
      </c>
      <c r="K138" s="40">
        <f t="shared" si="12"/>
        <v>18708.28693</v>
      </c>
      <c r="L138" s="30">
        <f t="shared" si="13"/>
        <v>0.1007446792</v>
      </c>
    </row>
    <row r="139">
      <c r="A139" s="35" t="s">
        <v>261</v>
      </c>
      <c r="B139" s="35" t="s">
        <v>262</v>
      </c>
      <c r="C139" s="35" t="s">
        <v>235</v>
      </c>
      <c r="D139" s="36" t="s">
        <v>263</v>
      </c>
      <c r="E139" s="48">
        <v>237200.0</v>
      </c>
      <c r="F139" s="48">
        <v>236400.0</v>
      </c>
      <c r="G139" s="48">
        <v>221300.0</v>
      </c>
      <c r="H139" s="48">
        <v>221300.0</v>
      </c>
      <c r="I139" s="48">
        <v>242100.0</v>
      </c>
      <c r="J139" s="49">
        <f t="shared" si="11"/>
        <v>231660</v>
      </c>
      <c r="K139" s="40">
        <f t="shared" si="12"/>
        <v>9705.822994</v>
      </c>
      <c r="L139" s="30">
        <f t="shared" si="13"/>
        <v>4.189684449</v>
      </c>
    </row>
    <row r="142">
      <c r="A142" s="3" t="s">
        <v>286</v>
      </c>
    </row>
    <row r="143">
      <c r="A143" s="33" t="s">
        <v>221</v>
      </c>
      <c r="B143" s="2" t="s">
        <v>287</v>
      </c>
      <c r="C143" s="55"/>
      <c r="D143" s="55"/>
    </row>
    <row r="144">
      <c r="A144" s="35" t="s">
        <v>233</v>
      </c>
      <c r="B144" s="55">
        <v>9418000.0</v>
      </c>
      <c r="C144" s="55"/>
      <c r="D144" s="55"/>
    </row>
    <row r="145">
      <c r="A145" s="35" t="s">
        <v>237</v>
      </c>
      <c r="B145" s="55">
        <v>16170.0</v>
      </c>
      <c r="C145" s="55"/>
      <c r="D145" s="55"/>
    </row>
    <row r="146">
      <c r="A146" s="35" t="s">
        <v>240</v>
      </c>
      <c r="B146" s="55">
        <v>118500.0</v>
      </c>
      <c r="C146" s="55"/>
      <c r="D146" s="55"/>
    </row>
    <row r="147">
      <c r="A147" s="35" t="s">
        <v>243</v>
      </c>
      <c r="B147" s="55">
        <v>281.0</v>
      </c>
      <c r="C147" s="55"/>
      <c r="D147" s="55"/>
    </row>
    <row r="148">
      <c r="A148" s="35" t="s">
        <v>246</v>
      </c>
      <c r="B148" s="55">
        <v>281.0</v>
      </c>
      <c r="C148" s="55"/>
      <c r="D148" s="55" t="s">
        <v>288</v>
      </c>
      <c r="F148" s="3" t="s">
        <v>281</v>
      </c>
      <c r="G148" s="3">
        <v>1.0E8</v>
      </c>
      <c r="H148" s="30">
        <f>G148*4</f>
        <v>400000000</v>
      </c>
      <c r="J148" s="3">
        <v>5.0E7</v>
      </c>
      <c r="K148" s="30">
        <f>J148*4</f>
        <v>200000000</v>
      </c>
    </row>
    <row r="149">
      <c r="A149" s="35" t="s">
        <v>249</v>
      </c>
      <c r="B149" s="55">
        <v>14410.0</v>
      </c>
      <c r="C149" s="56"/>
      <c r="D149" s="55"/>
      <c r="H149" s="31">
        <f>H148*3</f>
        <v>1200000000</v>
      </c>
      <c r="K149" s="31">
        <f>K148*3</f>
        <v>600000000</v>
      </c>
    </row>
    <row r="150">
      <c r="A150" s="50" t="s">
        <v>252</v>
      </c>
      <c r="B150" s="56">
        <v>9421000.0</v>
      </c>
      <c r="C150" s="55"/>
      <c r="D150" s="55"/>
      <c r="G150" s="3" t="s">
        <v>282</v>
      </c>
      <c r="H150" s="30">
        <f>H149/64</f>
        <v>18750000</v>
      </c>
      <c r="K150" s="30">
        <f>K149/64</f>
        <v>9375000</v>
      </c>
    </row>
    <row r="151">
      <c r="A151" s="41" t="s">
        <v>255</v>
      </c>
      <c r="B151" s="55">
        <v>6220000.0</v>
      </c>
      <c r="C151" s="55"/>
      <c r="D151" s="55"/>
    </row>
    <row r="152">
      <c r="A152" s="35" t="s">
        <v>258</v>
      </c>
      <c r="B152" s="55">
        <v>9300000.0</v>
      </c>
      <c r="C152" s="55"/>
      <c r="D152" s="55"/>
    </row>
    <row r="153">
      <c r="A153" s="35" t="s">
        <v>261</v>
      </c>
      <c r="B153" s="55">
        <v>121000.0</v>
      </c>
    </row>
    <row r="156">
      <c r="D156" s="3" t="s">
        <v>289</v>
      </c>
      <c r="E156" s="3" t="s">
        <v>212</v>
      </c>
      <c r="F156" s="3" t="s">
        <v>213</v>
      </c>
      <c r="G156" s="3">
        <v>343785.0</v>
      </c>
    </row>
    <row r="157">
      <c r="D157" s="3" t="s">
        <v>289</v>
      </c>
      <c r="E157" s="3" t="s">
        <v>212</v>
      </c>
      <c r="F157" s="3" t="s">
        <v>213</v>
      </c>
      <c r="G157" s="3">
        <v>331499.0</v>
      </c>
    </row>
    <row r="158">
      <c r="D158" s="3" t="s">
        <v>289</v>
      </c>
      <c r="E158" s="3" t="s">
        <v>212</v>
      </c>
      <c r="F158" s="3" t="s">
        <v>213</v>
      </c>
      <c r="G158" s="3">
        <v>344628.0</v>
      </c>
    </row>
    <row r="159">
      <c r="D159" s="3" t="s">
        <v>289</v>
      </c>
      <c r="E159" s="3" t="s">
        <v>212</v>
      </c>
      <c r="F159" s="3" t="s">
        <v>213</v>
      </c>
      <c r="G159" s="3">
        <v>332320.0</v>
      </c>
    </row>
    <row r="160">
      <c r="D160" s="3" t="s">
        <v>289</v>
      </c>
      <c r="E160" s="3" t="s">
        <v>212</v>
      </c>
      <c r="F160" s="3" t="s">
        <v>213</v>
      </c>
      <c r="G160" s="3">
        <v>1616572.0</v>
      </c>
    </row>
    <row r="161">
      <c r="D161" s="3" t="s">
        <v>289</v>
      </c>
      <c r="E161" s="3" t="s">
        <v>212</v>
      </c>
      <c r="F161" s="3" t="s">
        <v>213</v>
      </c>
      <c r="G161" s="3">
        <v>1604388.0</v>
      </c>
    </row>
    <row r="162">
      <c r="D162" s="3" t="s">
        <v>289</v>
      </c>
      <c r="E162" s="3" t="s">
        <v>212</v>
      </c>
      <c r="F162" s="3" t="s">
        <v>213</v>
      </c>
      <c r="G162" s="3">
        <v>1616982.0</v>
      </c>
    </row>
    <row r="163">
      <c r="D163" s="3" t="s">
        <v>289</v>
      </c>
      <c r="E163" s="3" t="s">
        <v>212</v>
      </c>
      <c r="F163" s="3" t="s">
        <v>213</v>
      </c>
      <c r="G163" s="3">
        <v>1604547.0</v>
      </c>
    </row>
    <row r="165">
      <c r="A165" s="2" t="s">
        <v>290</v>
      </c>
    </row>
    <row r="168">
      <c r="A168" s="33" t="s">
        <v>221</v>
      </c>
      <c r="B168" s="33" t="s">
        <v>222</v>
      </c>
      <c r="C168" s="33" t="s">
        <v>223</v>
      </c>
      <c r="D168" s="34" t="s">
        <v>224</v>
      </c>
      <c r="E168" s="7" t="s">
        <v>225</v>
      </c>
      <c r="F168" s="7" t="s">
        <v>226</v>
      </c>
      <c r="G168" s="7" t="s">
        <v>227</v>
      </c>
      <c r="H168" s="7" t="s">
        <v>228</v>
      </c>
      <c r="I168" s="7" t="s">
        <v>229</v>
      </c>
      <c r="J168" s="2" t="s">
        <v>230</v>
      </c>
      <c r="K168" s="2" t="s">
        <v>231</v>
      </c>
      <c r="L168" s="3" t="s">
        <v>232</v>
      </c>
    </row>
    <row r="169">
      <c r="A169" s="57" t="s">
        <v>291</v>
      </c>
      <c r="B169" s="36"/>
      <c r="C169" s="35" t="s">
        <v>235</v>
      </c>
      <c r="D169" s="36" t="s">
        <v>292</v>
      </c>
      <c r="E169" s="37">
        <v>3272188.0</v>
      </c>
      <c r="F169" s="37">
        <v>3268191.0</v>
      </c>
      <c r="G169" s="37">
        <v>3269363.0</v>
      </c>
      <c r="H169" s="37">
        <v>3270365.0</v>
      </c>
      <c r="I169" s="37">
        <v>3272918.0</v>
      </c>
      <c r="J169" s="39">
        <f t="shared" ref="J169:J176" si="14">AVERAGE(E169:I169)</f>
        <v>3270605</v>
      </c>
      <c r="K169" s="40">
        <f t="shared" ref="K169:K176" si="15">STDEV(E169:I169)</f>
        <v>1954.700616</v>
      </c>
      <c r="L169" s="39">
        <f t="shared" ref="L169:L176" si="16">K169/J169*100</f>
        <v>0.05976571969</v>
      </c>
    </row>
    <row r="170">
      <c r="A170" s="57" t="s">
        <v>293</v>
      </c>
      <c r="B170" s="36"/>
      <c r="C170" s="35" t="s">
        <v>235</v>
      </c>
      <c r="D170" s="36" t="s">
        <v>294</v>
      </c>
      <c r="E170" s="37">
        <v>3215266.0</v>
      </c>
      <c r="F170" s="37">
        <v>3211380.0</v>
      </c>
      <c r="G170" s="37">
        <v>3212033.0</v>
      </c>
      <c r="H170" s="37">
        <v>3212199.0</v>
      </c>
      <c r="I170" s="37">
        <v>3215339.0</v>
      </c>
      <c r="J170" s="39">
        <f t="shared" si="14"/>
        <v>3213243.4</v>
      </c>
      <c r="K170" s="40">
        <f t="shared" si="15"/>
        <v>1904.635739</v>
      </c>
      <c r="L170" s="39">
        <f t="shared" si="16"/>
        <v>0.05927455541</v>
      </c>
    </row>
    <row r="171">
      <c r="A171" s="57" t="s">
        <v>295</v>
      </c>
      <c r="B171" s="36"/>
      <c r="C171" s="35" t="s">
        <v>235</v>
      </c>
      <c r="D171" s="36" t="s">
        <v>296</v>
      </c>
      <c r="E171" s="37">
        <v>3272921.0</v>
      </c>
      <c r="F171" s="37">
        <v>3268788.0</v>
      </c>
      <c r="G171" s="37">
        <v>3269888.0</v>
      </c>
      <c r="H171" s="37">
        <v>3270819.0</v>
      </c>
      <c r="I171" s="37">
        <v>3273538.0</v>
      </c>
      <c r="J171" s="39">
        <f t="shared" si="14"/>
        <v>3271190.8</v>
      </c>
      <c r="K171" s="40">
        <f t="shared" si="15"/>
        <v>2006.982237</v>
      </c>
      <c r="L171" s="39">
        <f t="shared" si="16"/>
        <v>0.06135326124</v>
      </c>
    </row>
    <row r="172">
      <c r="A172" s="57" t="s">
        <v>297</v>
      </c>
      <c r="B172" s="36"/>
      <c r="C172" s="35" t="s">
        <v>235</v>
      </c>
      <c r="D172" s="36" t="s">
        <v>298</v>
      </c>
      <c r="E172" s="37">
        <v>3216310.0</v>
      </c>
      <c r="F172" s="37">
        <v>3212070.0</v>
      </c>
      <c r="G172" s="37">
        <v>3212595.0</v>
      </c>
      <c r="H172" s="37">
        <v>3212959.0</v>
      </c>
      <c r="I172" s="37">
        <v>3216055.0</v>
      </c>
      <c r="J172" s="39">
        <f t="shared" si="14"/>
        <v>3213997.8</v>
      </c>
      <c r="K172" s="40">
        <f t="shared" si="15"/>
        <v>2021.24385</v>
      </c>
      <c r="L172" s="39">
        <f t="shared" si="16"/>
        <v>0.06288877515</v>
      </c>
      <c r="M172" s="30">
        <f>sum(J169:J172)*65</f>
        <v>842987405</v>
      </c>
    </row>
    <row r="173">
      <c r="A173" s="57" t="s">
        <v>299</v>
      </c>
      <c r="B173" s="36"/>
      <c r="C173" s="35" t="s">
        <v>235</v>
      </c>
      <c r="D173" s="36" t="s">
        <v>300</v>
      </c>
      <c r="E173" s="37">
        <v>1752935.0</v>
      </c>
      <c r="F173" s="37">
        <v>1730225.0</v>
      </c>
      <c r="G173" s="37">
        <v>1731853.0</v>
      </c>
      <c r="H173" s="37">
        <v>1735510.0</v>
      </c>
      <c r="I173" s="37">
        <v>1732442.0</v>
      </c>
      <c r="J173" s="39">
        <f t="shared" si="14"/>
        <v>1736593</v>
      </c>
      <c r="K173" s="40">
        <f t="shared" si="15"/>
        <v>9333.858768</v>
      </c>
      <c r="L173" s="39">
        <f t="shared" si="16"/>
        <v>0.5374810775</v>
      </c>
    </row>
    <row r="174">
      <c r="A174" s="57" t="s">
        <v>301</v>
      </c>
      <c r="B174" s="36"/>
      <c r="C174" s="35" t="s">
        <v>235</v>
      </c>
      <c r="D174" s="36" t="s">
        <v>302</v>
      </c>
      <c r="E174" s="37">
        <v>1696197.0</v>
      </c>
      <c r="F174" s="37">
        <v>1673526.0</v>
      </c>
      <c r="G174" s="37">
        <v>1674456.0</v>
      </c>
      <c r="H174" s="37">
        <v>1677715.0</v>
      </c>
      <c r="I174" s="37">
        <v>1674767.0</v>
      </c>
      <c r="J174" s="39">
        <f t="shared" si="14"/>
        <v>1679332.2</v>
      </c>
      <c r="K174" s="40">
        <f t="shared" si="15"/>
        <v>9557.289768</v>
      </c>
      <c r="L174" s="39">
        <f t="shared" si="16"/>
        <v>0.5691125179</v>
      </c>
    </row>
    <row r="175">
      <c r="A175" s="57" t="s">
        <v>303</v>
      </c>
      <c r="B175" s="58"/>
      <c r="C175" s="59" t="s">
        <v>235</v>
      </c>
      <c r="D175" s="36" t="s">
        <v>304</v>
      </c>
      <c r="E175" s="60">
        <v>1753367.0</v>
      </c>
      <c r="F175" s="60">
        <v>1730366.0</v>
      </c>
      <c r="G175" s="60">
        <v>1731944.0</v>
      </c>
      <c r="H175" s="60">
        <v>1735554.0</v>
      </c>
      <c r="I175" s="60">
        <v>1731914.0</v>
      </c>
      <c r="J175" s="61">
        <f t="shared" si="14"/>
        <v>1736629</v>
      </c>
      <c r="K175" s="62">
        <f t="shared" si="15"/>
        <v>9548.846632</v>
      </c>
      <c r="L175" s="61">
        <f t="shared" si="16"/>
        <v>0.5498495437</v>
      </c>
    </row>
    <row r="176">
      <c r="A176" s="57" t="s">
        <v>305</v>
      </c>
      <c r="B176" s="58"/>
      <c r="C176" s="59" t="s">
        <v>235</v>
      </c>
      <c r="D176" s="36" t="s">
        <v>306</v>
      </c>
      <c r="E176" s="60">
        <v>1696836.0</v>
      </c>
      <c r="F176" s="60">
        <v>1673484.0</v>
      </c>
      <c r="G176" s="60">
        <v>1674711.0</v>
      </c>
      <c r="H176" s="60">
        <v>1677755.0</v>
      </c>
      <c r="I176" s="60">
        <v>1674889.0</v>
      </c>
      <c r="J176" s="61">
        <f t="shared" si="14"/>
        <v>1679535</v>
      </c>
      <c r="K176" s="62">
        <f t="shared" si="15"/>
        <v>9797.498329</v>
      </c>
      <c r="L176" s="61">
        <f t="shared" si="16"/>
        <v>0.5833458861</v>
      </c>
      <c r="M176" s="30">
        <f>sum(J173:J176)*64</f>
        <v>437253708.8</v>
      </c>
    </row>
    <row r="177">
      <c r="E177" s="30">
        <f>E173+E174+E175+E176</f>
        <v>6899335</v>
      </c>
      <c r="J177" s="30">
        <f>SUM(J169:J176)</f>
        <v>19801126.2</v>
      </c>
    </row>
    <row r="178">
      <c r="E178" s="30">
        <f>E177*64</f>
        <v>441557440</v>
      </c>
      <c r="J178" s="30">
        <f>J177*64</f>
        <v>1267272077</v>
      </c>
    </row>
    <row r="179">
      <c r="E179" s="30">
        <f>E178/4</f>
        <v>110389360</v>
      </c>
      <c r="H179" s="3" t="s">
        <v>307</v>
      </c>
      <c r="J179" s="3">
        <v>1.2E9</v>
      </c>
      <c r="K179" s="30">
        <f>(1-(J178-J179)/J178)*100</f>
        <v>94.69158375</v>
      </c>
    </row>
    <row r="182">
      <c r="A182" s="3" t="s">
        <v>308</v>
      </c>
      <c r="B182" s="3" t="s">
        <v>309</v>
      </c>
    </row>
    <row r="184">
      <c r="A184" s="33" t="s">
        <v>221</v>
      </c>
      <c r="B184" s="33" t="s">
        <v>222</v>
      </c>
      <c r="C184" s="33" t="s">
        <v>223</v>
      </c>
      <c r="D184" s="34" t="s">
        <v>224</v>
      </c>
      <c r="E184" s="7" t="s">
        <v>225</v>
      </c>
      <c r="F184" s="7" t="s">
        <v>226</v>
      </c>
      <c r="G184" s="7" t="s">
        <v>227</v>
      </c>
      <c r="H184" s="7" t="s">
        <v>228</v>
      </c>
      <c r="I184" s="7" t="s">
        <v>229</v>
      </c>
      <c r="J184" s="2" t="s">
        <v>230</v>
      </c>
      <c r="K184" s="2" t="s">
        <v>231</v>
      </c>
      <c r="L184" s="3" t="s">
        <v>232</v>
      </c>
    </row>
    <row r="185">
      <c r="A185" s="57" t="s">
        <v>291</v>
      </c>
      <c r="B185" s="36"/>
      <c r="C185" s="35" t="s">
        <v>235</v>
      </c>
      <c r="D185" s="36" t="s">
        <v>292</v>
      </c>
      <c r="E185" s="3">
        <v>3208972.0</v>
      </c>
      <c r="F185" s="3">
        <v>3210157.0</v>
      </c>
      <c r="G185" s="3">
        <v>3210141.0</v>
      </c>
      <c r="H185" s="3">
        <v>3211656.0</v>
      </c>
      <c r="I185" s="3">
        <v>3210234.0</v>
      </c>
      <c r="J185" s="39">
        <f t="shared" ref="J185:J192" si="17">AVERAGE(E185:I185)</f>
        <v>3210232</v>
      </c>
      <c r="K185" s="40">
        <f t="shared" ref="K185:K192" si="18">STDEV(E185:I185)</f>
        <v>952.5342514</v>
      </c>
      <c r="L185" s="39">
        <f t="shared" ref="L185:L192" si="19">K185/J185*100</f>
        <v>0.02967181971</v>
      </c>
    </row>
    <row r="186">
      <c r="A186" s="57" t="s">
        <v>293</v>
      </c>
      <c r="B186" s="36"/>
      <c r="C186" s="35" t="s">
        <v>235</v>
      </c>
      <c r="D186" s="36" t="s">
        <v>294</v>
      </c>
      <c r="E186" s="3">
        <v>3232930.0</v>
      </c>
      <c r="F186" s="3">
        <v>3234098.0</v>
      </c>
      <c r="G186" s="3">
        <v>3234426.0</v>
      </c>
      <c r="H186" s="3">
        <v>3235604.0</v>
      </c>
      <c r="I186" s="3">
        <v>3234052.0</v>
      </c>
      <c r="J186" s="39">
        <f t="shared" si="17"/>
        <v>3234222</v>
      </c>
      <c r="K186" s="40">
        <f t="shared" si="18"/>
        <v>957.2199329</v>
      </c>
      <c r="L186" s="39">
        <f t="shared" si="19"/>
        <v>0.0295966057</v>
      </c>
    </row>
    <row r="187">
      <c r="A187" s="57" t="s">
        <v>295</v>
      </c>
      <c r="B187" s="36"/>
      <c r="C187" s="35" t="s">
        <v>235</v>
      </c>
      <c r="D187" s="36" t="s">
        <v>296</v>
      </c>
      <c r="E187" s="3">
        <v>3209899.0</v>
      </c>
      <c r="F187" s="3">
        <v>3211035.0</v>
      </c>
      <c r="G187" s="3">
        <v>3211068.0</v>
      </c>
      <c r="H187" s="3">
        <v>3213491.0</v>
      </c>
      <c r="I187" s="3">
        <v>3210997.0</v>
      </c>
      <c r="J187" s="39">
        <f t="shared" si="17"/>
        <v>3211298</v>
      </c>
      <c r="K187" s="40">
        <f t="shared" si="18"/>
        <v>1320.901208</v>
      </c>
      <c r="L187" s="39">
        <f t="shared" si="19"/>
        <v>0.04113293776</v>
      </c>
    </row>
    <row r="188">
      <c r="A188" s="57" t="s">
        <v>297</v>
      </c>
      <c r="B188" s="36"/>
      <c r="C188" s="35" t="s">
        <v>235</v>
      </c>
      <c r="D188" s="36" t="s">
        <v>298</v>
      </c>
      <c r="E188" s="3">
        <v>3233838.0</v>
      </c>
      <c r="F188" s="3">
        <v>3234961.0</v>
      </c>
      <c r="G188" s="3">
        <v>3235133.0</v>
      </c>
      <c r="H188" s="3">
        <v>3236860.0</v>
      </c>
      <c r="I188" s="3">
        <v>3235116.0</v>
      </c>
      <c r="J188" s="39">
        <f t="shared" si="17"/>
        <v>3235181.6</v>
      </c>
      <c r="K188" s="40">
        <f t="shared" si="18"/>
        <v>1081.389985</v>
      </c>
      <c r="L188" s="39">
        <f t="shared" si="19"/>
        <v>0.03342594385</v>
      </c>
      <c r="M188" s="30">
        <f>sum(J185:J188)*65</f>
        <v>837910684</v>
      </c>
    </row>
    <row r="189">
      <c r="A189" s="57" t="s">
        <v>299</v>
      </c>
      <c r="B189" s="36"/>
      <c r="C189" s="35" t="s">
        <v>235</v>
      </c>
      <c r="D189" s="36" t="s">
        <v>300</v>
      </c>
      <c r="E189" s="3">
        <v>1674957.0</v>
      </c>
      <c r="F189" s="3">
        <v>1674944.0</v>
      </c>
      <c r="G189" s="3">
        <v>1676334.0</v>
      </c>
      <c r="H189" s="3">
        <v>1676336.0</v>
      </c>
      <c r="I189" s="3">
        <v>1675154.0</v>
      </c>
      <c r="J189" s="39">
        <f t="shared" si="17"/>
        <v>1675545</v>
      </c>
      <c r="K189" s="40">
        <f t="shared" si="18"/>
        <v>725.9524778</v>
      </c>
      <c r="L189" s="39">
        <f t="shared" si="19"/>
        <v>0.0433263492</v>
      </c>
    </row>
    <row r="190">
      <c r="A190" s="57" t="s">
        <v>301</v>
      </c>
      <c r="B190" s="36"/>
      <c r="C190" s="35" t="s">
        <v>235</v>
      </c>
      <c r="D190" s="36" t="s">
        <v>302</v>
      </c>
      <c r="E190" s="3">
        <v>1698804.0</v>
      </c>
      <c r="F190" s="3">
        <v>1698935.0</v>
      </c>
      <c r="G190" s="3">
        <v>1700128.0</v>
      </c>
      <c r="H190" s="3">
        <v>1700107.0</v>
      </c>
      <c r="I190" s="3">
        <v>1698965.0</v>
      </c>
      <c r="J190" s="39">
        <f t="shared" si="17"/>
        <v>1699387.8</v>
      </c>
      <c r="K190" s="40">
        <f t="shared" si="18"/>
        <v>668.9085887</v>
      </c>
      <c r="L190" s="39">
        <f t="shared" si="19"/>
        <v>0.0393617389</v>
      </c>
    </row>
    <row r="191">
      <c r="A191" s="57" t="s">
        <v>303</v>
      </c>
      <c r="B191" s="58"/>
      <c r="C191" s="59" t="s">
        <v>235</v>
      </c>
      <c r="D191" s="36" t="s">
        <v>304</v>
      </c>
      <c r="E191" s="3">
        <v>1675115.0</v>
      </c>
      <c r="F191" s="3">
        <v>1675336.0</v>
      </c>
      <c r="G191" s="3">
        <v>1676539.0</v>
      </c>
      <c r="H191" s="3">
        <v>1677434.0</v>
      </c>
      <c r="I191" s="3">
        <v>1675254.0</v>
      </c>
      <c r="J191" s="61">
        <f t="shared" si="17"/>
        <v>1675935.6</v>
      </c>
      <c r="K191" s="62">
        <f t="shared" si="18"/>
        <v>1013.259246</v>
      </c>
      <c r="L191" s="61">
        <f t="shared" si="19"/>
        <v>0.06045931873</v>
      </c>
    </row>
    <row r="192">
      <c r="A192" s="57" t="s">
        <v>305</v>
      </c>
      <c r="B192" s="58"/>
      <c r="C192" s="59" t="s">
        <v>235</v>
      </c>
      <c r="D192" s="36" t="s">
        <v>306</v>
      </c>
      <c r="E192" s="3">
        <v>1698736.0</v>
      </c>
      <c r="F192" s="3">
        <v>1699155.0</v>
      </c>
      <c r="G192" s="3">
        <v>1700428.0</v>
      </c>
      <c r="H192" s="3">
        <v>1700571.0</v>
      </c>
      <c r="I192" s="3">
        <v>1698997.0</v>
      </c>
      <c r="J192" s="61">
        <f t="shared" si="17"/>
        <v>1699577.4</v>
      </c>
      <c r="K192" s="62">
        <f t="shared" si="18"/>
        <v>856.4463206</v>
      </c>
      <c r="L192" s="61">
        <f t="shared" si="19"/>
        <v>0.05039172212</v>
      </c>
      <c r="M192" s="30">
        <f>sum(J189:J192)*64</f>
        <v>432028531.2</v>
      </c>
    </row>
    <row r="193">
      <c r="J193" s="30">
        <f>SUM(J185:J192)</f>
        <v>19641379.4</v>
      </c>
    </row>
    <row r="194">
      <c r="J194" s="30">
        <f>J193*64</f>
        <v>1257048282</v>
      </c>
    </row>
    <row r="195">
      <c r="J195" s="3">
        <v>1.2E9</v>
      </c>
      <c r="K195" s="30">
        <f>(1-(J194-J195)/J194)*100</f>
        <v>95.46172709</v>
      </c>
    </row>
    <row r="196">
      <c r="A196" s="3" t="s">
        <v>310</v>
      </c>
      <c r="B196" s="3" t="s">
        <v>311</v>
      </c>
    </row>
    <row r="198">
      <c r="A198" s="33" t="s">
        <v>221</v>
      </c>
      <c r="B198" s="33" t="s">
        <v>222</v>
      </c>
      <c r="C198" s="33" t="s">
        <v>223</v>
      </c>
      <c r="D198" s="34" t="s">
        <v>224</v>
      </c>
      <c r="E198" s="7" t="s">
        <v>225</v>
      </c>
      <c r="F198" s="7" t="s">
        <v>226</v>
      </c>
      <c r="G198" s="7" t="s">
        <v>227</v>
      </c>
      <c r="H198" s="7" t="s">
        <v>228</v>
      </c>
      <c r="I198" s="7" t="s">
        <v>229</v>
      </c>
      <c r="J198" s="2" t="s">
        <v>230</v>
      </c>
      <c r="K198" s="2" t="s">
        <v>231</v>
      </c>
      <c r="L198" s="3" t="s">
        <v>232</v>
      </c>
    </row>
    <row r="199">
      <c r="A199" s="57" t="s">
        <v>291</v>
      </c>
      <c r="B199" s="36"/>
      <c r="C199" s="35" t="s">
        <v>235</v>
      </c>
      <c r="D199" s="36" t="s">
        <v>292</v>
      </c>
      <c r="E199" s="3">
        <v>3216763.0</v>
      </c>
      <c r="F199" s="3">
        <v>3192381.0</v>
      </c>
      <c r="G199" s="3">
        <v>3193952.0</v>
      </c>
      <c r="H199" s="3">
        <v>3196224.0</v>
      </c>
      <c r="I199" s="3">
        <v>3192990.0</v>
      </c>
      <c r="J199" s="39">
        <f t="shared" ref="J199:J206" si="20">AVERAGE(E199:I199)</f>
        <v>3198462</v>
      </c>
      <c r="K199" s="40">
        <f t="shared" ref="K199:K206" si="21">STDEV(E199:I199)</f>
        <v>10334.36851</v>
      </c>
      <c r="L199" s="39">
        <f t="shared" ref="L199:L206" si="22">K199/J199*100</f>
        <v>0.3231043079</v>
      </c>
    </row>
    <row r="200">
      <c r="A200" s="57" t="s">
        <v>293</v>
      </c>
      <c r="B200" s="36"/>
      <c r="C200" s="35" t="s">
        <v>235</v>
      </c>
      <c r="D200" s="36" t="s">
        <v>294</v>
      </c>
      <c r="E200" s="3">
        <v>3239731.0</v>
      </c>
      <c r="F200" s="3">
        <v>3214531.0</v>
      </c>
      <c r="G200" s="3">
        <v>3215646.0</v>
      </c>
      <c r="H200" s="3">
        <v>3217180.0</v>
      </c>
      <c r="I200" s="3">
        <v>3214713.0</v>
      </c>
      <c r="J200" s="39">
        <f t="shared" si="20"/>
        <v>3220360.2</v>
      </c>
      <c r="K200" s="40">
        <f t="shared" si="21"/>
        <v>10879.28866</v>
      </c>
      <c r="L200" s="39">
        <f t="shared" si="22"/>
        <v>0.3378283168</v>
      </c>
    </row>
    <row r="201">
      <c r="A201" s="57" t="s">
        <v>295</v>
      </c>
      <c r="B201" s="36"/>
      <c r="C201" s="35" t="s">
        <v>235</v>
      </c>
      <c r="D201" s="36" t="s">
        <v>296</v>
      </c>
      <c r="E201" s="3">
        <v>3220135.0</v>
      </c>
      <c r="F201" s="3">
        <v>3192919.0</v>
      </c>
      <c r="G201" s="3">
        <v>3194092.0</v>
      </c>
      <c r="H201" s="3">
        <v>3197953.0</v>
      </c>
      <c r="I201" s="3">
        <v>3193422.0</v>
      </c>
      <c r="J201" s="39">
        <f t="shared" si="20"/>
        <v>3199704.2</v>
      </c>
      <c r="K201" s="40">
        <f t="shared" si="21"/>
        <v>11591.87274</v>
      </c>
      <c r="L201" s="39">
        <f t="shared" si="22"/>
        <v>0.3622795114</v>
      </c>
    </row>
    <row r="202">
      <c r="A202" s="57" t="s">
        <v>297</v>
      </c>
      <c r="B202" s="36"/>
      <c r="C202" s="35" t="s">
        <v>235</v>
      </c>
      <c r="D202" s="36" t="s">
        <v>298</v>
      </c>
      <c r="E202" s="3">
        <v>3241140.0</v>
      </c>
      <c r="F202" s="3">
        <v>3214526.0</v>
      </c>
      <c r="G202" s="3">
        <v>3216089.0</v>
      </c>
      <c r="H202" s="3">
        <v>3219484.0</v>
      </c>
      <c r="I202" s="3">
        <v>3215122.0</v>
      </c>
      <c r="J202" s="39">
        <f t="shared" si="20"/>
        <v>3221272.2</v>
      </c>
      <c r="K202" s="40">
        <f t="shared" si="21"/>
        <v>11270.85703</v>
      </c>
      <c r="L202" s="39">
        <f t="shared" si="22"/>
        <v>0.3498883773</v>
      </c>
      <c r="M202" s="30">
        <f>sum(J199:J202)*65</f>
        <v>834586909</v>
      </c>
    </row>
    <row r="203">
      <c r="A203" s="57" t="s">
        <v>299</v>
      </c>
      <c r="B203" s="36"/>
      <c r="C203" s="35" t="s">
        <v>235</v>
      </c>
      <c r="D203" s="36" t="s">
        <v>300</v>
      </c>
      <c r="E203" s="3">
        <v>1682037.0</v>
      </c>
      <c r="F203" s="3">
        <v>1672669.0</v>
      </c>
      <c r="G203" s="3">
        <v>1672742.0</v>
      </c>
      <c r="H203" s="3">
        <v>1674998.0</v>
      </c>
      <c r="I203" s="3">
        <v>1672958.0</v>
      </c>
      <c r="J203" s="39">
        <f t="shared" si="20"/>
        <v>1675080.8</v>
      </c>
      <c r="K203" s="40">
        <f t="shared" si="21"/>
        <v>4005.890001</v>
      </c>
      <c r="L203" s="39">
        <f t="shared" si="22"/>
        <v>0.2391460759</v>
      </c>
    </row>
    <row r="204">
      <c r="A204" s="57" t="s">
        <v>301</v>
      </c>
      <c r="B204" s="36"/>
      <c r="C204" s="35" t="s">
        <v>235</v>
      </c>
      <c r="D204" s="36" t="s">
        <v>302</v>
      </c>
      <c r="E204" s="3">
        <v>1704193.0</v>
      </c>
      <c r="F204" s="3">
        <v>1694782.0</v>
      </c>
      <c r="G204" s="3">
        <v>1694878.0</v>
      </c>
      <c r="H204" s="3">
        <v>1696319.0</v>
      </c>
      <c r="I204" s="3">
        <v>1694868.0</v>
      </c>
      <c r="J204" s="39">
        <f t="shared" si="20"/>
        <v>1697008</v>
      </c>
      <c r="K204" s="40">
        <f t="shared" si="21"/>
        <v>4067.263269</v>
      </c>
      <c r="L204" s="39">
        <f t="shared" si="22"/>
        <v>0.2396726043</v>
      </c>
    </row>
    <row r="205">
      <c r="A205" s="57" t="s">
        <v>303</v>
      </c>
      <c r="B205" s="58"/>
      <c r="C205" s="59" t="s">
        <v>235</v>
      </c>
      <c r="D205" s="36" t="s">
        <v>304</v>
      </c>
      <c r="E205" s="3">
        <v>1684288.0</v>
      </c>
      <c r="F205" s="3">
        <v>1672983.0</v>
      </c>
      <c r="G205" s="3">
        <v>1672725.0</v>
      </c>
      <c r="H205" s="3">
        <v>1676563.0</v>
      </c>
      <c r="I205" s="3">
        <v>1672889.0</v>
      </c>
      <c r="J205" s="61">
        <f t="shared" si="20"/>
        <v>1675889.6</v>
      </c>
      <c r="K205" s="62">
        <f t="shared" si="21"/>
        <v>4961.179477</v>
      </c>
      <c r="L205" s="61">
        <f t="shared" si="22"/>
        <v>0.2960325953</v>
      </c>
    </row>
    <row r="206">
      <c r="A206" s="57" t="s">
        <v>305</v>
      </c>
      <c r="B206" s="58"/>
      <c r="C206" s="59" t="s">
        <v>235</v>
      </c>
      <c r="D206" s="36" t="s">
        <v>306</v>
      </c>
      <c r="E206" s="3">
        <v>1705178.0</v>
      </c>
      <c r="F206" s="3">
        <v>1694877.0</v>
      </c>
      <c r="G206" s="3">
        <v>1694570.0</v>
      </c>
      <c r="H206" s="3">
        <v>1697645.0</v>
      </c>
      <c r="I206" s="3">
        <v>1694869.0</v>
      </c>
      <c r="J206" s="61">
        <f t="shared" si="20"/>
        <v>1697427.8</v>
      </c>
      <c r="K206" s="62">
        <f t="shared" si="21"/>
        <v>4509.263654</v>
      </c>
      <c r="L206" s="61">
        <f t="shared" si="22"/>
        <v>0.2656527514</v>
      </c>
      <c r="M206" s="30">
        <f>sum(J203:J206)*64</f>
        <v>431705996.8</v>
      </c>
    </row>
    <row r="207">
      <c r="J207" s="30">
        <f>SUM(J199:J206)</f>
        <v>19585204.8</v>
      </c>
    </row>
    <row r="208">
      <c r="J208" s="30">
        <f>J207*64</f>
        <v>1253453107</v>
      </c>
    </row>
    <row r="209">
      <c r="J209" s="3">
        <v>1.2E9</v>
      </c>
      <c r="K209" s="30">
        <f>(1-(J208-J209)/J208)*100</f>
        <v>95.73553196</v>
      </c>
    </row>
    <row r="212">
      <c r="A212" s="3" t="s">
        <v>312</v>
      </c>
      <c r="B212" s="3" t="s">
        <v>313</v>
      </c>
    </row>
    <row r="214">
      <c r="A214" s="33" t="s">
        <v>221</v>
      </c>
      <c r="B214" s="33" t="s">
        <v>222</v>
      </c>
      <c r="C214" s="33" t="s">
        <v>223</v>
      </c>
      <c r="D214" s="34" t="s">
        <v>224</v>
      </c>
      <c r="E214" s="7" t="s">
        <v>225</v>
      </c>
      <c r="F214" s="7" t="s">
        <v>226</v>
      </c>
      <c r="G214" s="7" t="s">
        <v>227</v>
      </c>
      <c r="H214" s="7" t="s">
        <v>228</v>
      </c>
      <c r="I214" s="7" t="s">
        <v>229</v>
      </c>
      <c r="J214" s="2" t="s">
        <v>230</v>
      </c>
      <c r="K214" s="2" t="s">
        <v>231</v>
      </c>
      <c r="L214" s="3" t="s">
        <v>232</v>
      </c>
    </row>
    <row r="215">
      <c r="A215" s="57" t="s">
        <v>291</v>
      </c>
      <c r="B215" s="36"/>
      <c r="C215" s="35" t="s">
        <v>235</v>
      </c>
      <c r="D215" s="36" t="s">
        <v>292</v>
      </c>
      <c r="E215" s="3">
        <v>2911244.0</v>
      </c>
      <c r="F215" s="3">
        <v>2902203.0</v>
      </c>
      <c r="G215" s="3">
        <v>2910220.0</v>
      </c>
      <c r="H215" s="3">
        <v>2913100.0</v>
      </c>
      <c r="I215" s="3">
        <v>2909909.0</v>
      </c>
      <c r="J215" s="39">
        <f t="shared" ref="J215:J222" si="23">AVERAGE(E215:I215)</f>
        <v>2909335.2</v>
      </c>
      <c r="K215" s="40">
        <f t="shared" ref="K215:K222" si="24">STDEV(E215:I215)</f>
        <v>4177.248819</v>
      </c>
      <c r="L215" s="39">
        <f t="shared" ref="L215:L222" si="25">K215/J215*100</f>
        <v>0.143580871</v>
      </c>
    </row>
    <row r="216">
      <c r="A216" s="57" t="s">
        <v>293</v>
      </c>
      <c r="B216" s="36"/>
      <c r="C216" s="35" t="s">
        <v>235</v>
      </c>
      <c r="D216" s="36" t="s">
        <v>294</v>
      </c>
      <c r="E216" s="3">
        <v>2929030.0</v>
      </c>
      <c r="F216" s="3">
        <v>2920697.0</v>
      </c>
      <c r="G216" s="3">
        <v>2930673.0</v>
      </c>
      <c r="H216" s="3">
        <v>2931151.0</v>
      </c>
      <c r="I216" s="3">
        <v>2929489.0</v>
      </c>
      <c r="J216" s="39">
        <f t="shared" si="23"/>
        <v>2928208</v>
      </c>
      <c r="K216" s="40">
        <f t="shared" si="24"/>
        <v>4285.709976</v>
      </c>
      <c r="L216" s="39">
        <f t="shared" si="25"/>
        <v>0.1463594791</v>
      </c>
    </row>
    <row r="217">
      <c r="A217" s="57" t="s">
        <v>295</v>
      </c>
      <c r="B217" s="36"/>
      <c r="C217" s="35" t="s">
        <v>235</v>
      </c>
      <c r="D217" s="36" t="s">
        <v>296</v>
      </c>
      <c r="E217" s="3">
        <v>2910054.0</v>
      </c>
      <c r="F217" s="3">
        <v>2900732.0</v>
      </c>
      <c r="G217" s="3">
        <v>2910191.0</v>
      </c>
      <c r="H217" s="3">
        <v>2910831.0</v>
      </c>
      <c r="I217" s="3">
        <v>2910618.0</v>
      </c>
      <c r="J217" s="39">
        <f t="shared" si="23"/>
        <v>2908485.2</v>
      </c>
      <c r="K217" s="40">
        <f t="shared" si="24"/>
        <v>4345.532499</v>
      </c>
      <c r="L217" s="39">
        <f t="shared" si="25"/>
        <v>0.1494087884</v>
      </c>
    </row>
    <row r="218">
      <c r="A218" s="57" t="s">
        <v>297</v>
      </c>
      <c r="B218" s="36"/>
      <c r="C218" s="35" t="s">
        <v>235</v>
      </c>
      <c r="D218" s="36" t="s">
        <v>298</v>
      </c>
      <c r="E218" s="3">
        <v>2927851.0</v>
      </c>
      <c r="F218" s="3">
        <v>2918323.0</v>
      </c>
      <c r="G218" s="3">
        <v>2928796.0</v>
      </c>
      <c r="H218" s="3">
        <v>2930583.0</v>
      </c>
      <c r="I218" s="3">
        <v>2927304.0</v>
      </c>
      <c r="J218" s="39">
        <f t="shared" si="23"/>
        <v>2926571.4</v>
      </c>
      <c r="K218" s="40">
        <f t="shared" si="24"/>
        <v>4776.29462</v>
      </c>
      <c r="L218" s="39">
        <f t="shared" si="25"/>
        <v>0.1632044453</v>
      </c>
      <c r="M218" s="30">
        <f>sum(J215:J218)*65</f>
        <v>758718987</v>
      </c>
    </row>
    <row r="219">
      <c r="A219" s="57" t="s">
        <v>299</v>
      </c>
      <c r="B219" s="36"/>
      <c r="C219" s="35" t="s">
        <v>235</v>
      </c>
      <c r="D219" s="36" t="s">
        <v>300</v>
      </c>
      <c r="E219" s="3">
        <v>1669020.0</v>
      </c>
      <c r="F219" s="3">
        <v>1668975.0</v>
      </c>
      <c r="G219" s="3">
        <v>1669042.0</v>
      </c>
      <c r="H219" s="3">
        <v>1668292.0</v>
      </c>
      <c r="I219" s="3">
        <v>1669147.0</v>
      </c>
      <c r="J219" s="39">
        <f t="shared" si="23"/>
        <v>1668895.2</v>
      </c>
      <c r="K219" s="40">
        <f t="shared" si="24"/>
        <v>343.0549519</v>
      </c>
      <c r="L219" s="39">
        <f t="shared" si="25"/>
        <v>0.02055581153</v>
      </c>
    </row>
    <row r="220">
      <c r="A220" s="57" t="s">
        <v>301</v>
      </c>
      <c r="B220" s="36"/>
      <c r="C220" s="35" t="s">
        <v>235</v>
      </c>
      <c r="D220" s="36" t="s">
        <v>302</v>
      </c>
      <c r="E220" s="3">
        <v>1687887.0</v>
      </c>
      <c r="F220" s="3">
        <v>1688409.0</v>
      </c>
      <c r="G220" s="3">
        <v>1687775.0</v>
      </c>
      <c r="H220" s="3">
        <v>1687360.0</v>
      </c>
      <c r="I220" s="3">
        <v>1687952.0</v>
      </c>
      <c r="J220" s="39">
        <f t="shared" si="23"/>
        <v>1687876.6</v>
      </c>
      <c r="K220" s="40">
        <f t="shared" si="24"/>
        <v>376.3114402</v>
      </c>
      <c r="L220" s="39">
        <f t="shared" si="25"/>
        <v>0.02229496162</v>
      </c>
    </row>
    <row r="221">
      <c r="A221" s="57" t="s">
        <v>303</v>
      </c>
      <c r="B221" s="58"/>
      <c r="C221" s="59" t="s">
        <v>235</v>
      </c>
      <c r="D221" s="36" t="s">
        <v>304</v>
      </c>
      <c r="E221" s="3">
        <v>1668999.0</v>
      </c>
      <c r="F221" s="3">
        <v>1669151.0</v>
      </c>
      <c r="G221" s="3">
        <v>1668566.0</v>
      </c>
      <c r="H221" s="3">
        <v>1668427.0</v>
      </c>
      <c r="I221" s="3">
        <v>1669097.0</v>
      </c>
      <c r="J221" s="61">
        <f t="shared" si="23"/>
        <v>1668848</v>
      </c>
      <c r="K221" s="62">
        <f t="shared" si="24"/>
        <v>329.1564977</v>
      </c>
      <c r="L221" s="61">
        <f t="shared" si="25"/>
        <v>0.01972357565</v>
      </c>
    </row>
    <row r="222">
      <c r="A222" s="57" t="s">
        <v>305</v>
      </c>
      <c r="B222" s="58"/>
      <c r="C222" s="59" t="s">
        <v>235</v>
      </c>
      <c r="D222" s="36" t="s">
        <v>306</v>
      </c>
      <c r="E222" s="3">
        <v>1687894.0</v>
      </c>
      <c r="F222" s="3">
        <v>1688123.0</v>
      </c>
      <c r="G222" s="3">
        <v>1687545.0</v>
      </c>
      <c r="H222" s="3">
        <v>1687017.0</v>
      </c>
      <c r="I222" s="3">
        <v>1688029.0</v>
      </c>
      <c r="J222" s="61">
        <f t="shared" si="23"/>
        <v>1687721.6</v>
      </c>
      <c r="K222" s="62">
        <f t="shared" si="24"/>
        <v>450.8290142</v>
      </c>
      <c r="L222" s="61">
        <f t="shared" si="25"/>
        <v>0.02671228561</v>
      </c>
      <c r="M222" s="30">
        <f>sum(J219:J222)*64</f>
        <v>429653849.6</v>
      </c>
    </row>
    <row r="223">
      <c r="J223" s="30">
        <f>SUM(J215:J222)</f>
        <v>18385941.2</v>
      </c>
    </row>
    <row r="224">
      <c r="J224" s="30">
        <f>J223*64</f>
        <v>1176700237</v>
      </c>
    </row>
    <row r="225">
      <c r="J225" s="3">
        <v>1.2E9</v>
      </c>
    </row>
    <row r="227">
      <c r="A227" s="3" t="s">
        <v>314</v>
      </c>
      <c r="B227" s="3" t="s">
        <v>315</v>
      </c>
    </row>
    <row r="229">
      <c r="A229" s="33" t="s">
        <v>221</v>
      </c>
      <c r="B229" s="33" t="s">
        <v>222</v>
      </c>
      <c r="C229" s="33" t="s">
        <v>223</v>
      </c>
      <c r="D229" s="34" t="s">
        <v>224</v>
      </c>
      <c r="E229" s="7" t="s">
        <v>225</v>
      </c>
      <c r="F229" s="7" t="s">
        <v>226</v>
      </c>
      <c r="G229" s="7" t="s">
        <v>227</v>
      </c>
      <c r="H229" s="7" t="s">
        <v>228</v>
      </c>
      <c r="I229" s="7" t="s">
        <v>229</v>
      </c>
      <c r="J229" s="2" t="s">
        <v>230</v>
      </c>
      <c r="K229" s="2" t="s">
        <v>231</v>
      </c>
      <c r="L229" s="3" t="s">
        <v>232</v>
      </c>
    </row>
    <row r="230">
      <c r="A230" s="57" t="s">
        <v>291</v>
      </c>
      <c r="B230" s="36"/>
      <c r="C230" s="35" t="s">
        <v>235</v>
      </c>
      <c r="D230" s="36" t="s">
        <v>292</v>
      </c>
      <c r="E230" s="3">
        <v>2121612.0</v>
      </c>
      <c r="F230" s="3">
        <v>2119162.0</v>
      </c>
      <c r="G230" s="3">
        <v>2125242.0</v>
      </c>
      <c r="H230" s="3">
        <v>2119501.0</v>
      </c>
      <c r="I230" s="3">
        <v>2115664.0</v>
      </c>
      <c r="J230" s="39">
        <f t="shared" ref="J230:J237" si="26">AVERAGE(E230:I230)</f>
        <v>2120236.2</v>
      </c>
      <c r="K230" s="40">
        <f t="shared" ref="K230:K237" si="27">STDEV(E230:I230)</f>
        <v>3519.598585</v>
      </c>
      <c r="L230" s="39">
        <f t="shared" ref="L230:L237" si="28">K230/J230*100</f>
        <v>0.1660003062</v>
      </c>
    </row>
    <row r="231">
      <c r="A231" s="57" t="s">
        <v>293</v>
      </c>
      <c r="B231" s="36"/>
      <c r="C231" s="35" t="s">
        <v>235</v>
      </c>
      <c r="D231" s="36" t="s">
        <v>294</v>
      </c>
      <c r="E231" s="3">
        <v>2136425.0</v>
      </c>
      <c r="F231" s="3">
        <v>2135205.0</v>
      </c>
      <c r="G231" s="3">
        <v>2141027.0</v>
      </c>
      <c r="H231" s="3">
        <v>2135553.0</v>
      </c>
      <c r="I231" s="3">
        <v>2134273.0</v>
      </c>
      <c r="J231" s="39">
        <f t="shared" si="26"/>
        <v>2136496.6</v>
      </c>
      <c r="K231" s="40">
        <f t="shared" si="27"/>
        <v>2647.293864</v>
      </c>
      <c r="L231" s="39">
        <f t="shared" si="28"/>
        <v>0.1239081711</v>
      </c>
    </row>
    <row r="232">
      <c r="A232" s="57" t="s">
        <v>295</v>
      </c>
      <c r="B232" s="36"/>
      <c r="C232" s="35" t="s">
        <v>235</v>
      </c>
      <c r="D232" s="36" t="s">
        <v>296</v>
      </c>
      <c r="E232" s="3">
        <v>2119775.0</v>
      </c>
      <c r="F232" s="3">
        <v>2118303.0</v>
      </c>
      <c r="G232" s="3">
        <v>2125232.0</v>
      </c>
      <c r="H232" s="3">
        <v>2120252.0</v>
      </c>
      <c r="I232" s="3">
        <v>2115471.0</v>
      </c>
      <c r="J232" s="39">
        <f t="shared" si="26"/>
        <v>2119806.6</v>
      </c>
      <c r="K232" s="40">
        <f t="shared" si="27"/>
        <v>3559.936278</v>
      </c>
      <c r="L232" s="39">
        <f t="shared" si="28"/>
        <v>0.1679368428</v>
      </c>
    </row>
    <row r="233">
      <c r="A233" s="57" t="s">
        <v>297</v>
      </c>
      <c r="B233" s="36"/>
      <c r="C233" s="35" t="s">
        <v>235</v>
      </c>
      <c r="D233" s="36" t="s">
        <v>298</v>
      </c>
      <c r="E233" s="3">
        <v>2135875.0</v>
      </c>
      <c r="F233" s="3">
        <v>2134750.0</v>
      </c>
      <c r="G233" s="3">
        <v>2141714.0</v>
      </c>
      <c r="H233" s="3">
        <v>2135835.0</v>
      </c>
      <c r="I233" s="3">
        <v>2132819.0</v>
      </c>
      <c r="J233" s="39">
        <f t="shared" si="26"/>
        <v>2136198.6</v>
      </c>
      <c r="K233" s="40">
        <f t="shared" si="27"/>
        <v>3323.277644</v>
      </c>
      <c r="L233" s="39">
        <f t="shared" si="28"/>
        <v>0.1555696949</v>
      </c>
      <c r="M233" s="30">
        <f>sum(J230:J233)*65</f>
        <v>553327970</v>
      </c>
    </row>
    <row r="234">
      <c r="A234" s="57" t="s">
        <v>299</v>
      </c>
      <c r="B234" s="36"/>
      <c r="C234" s="35" t="s">
        <v>235</v>
      </c>
      <c r="D234" s="36" t="s">
        <v>300</v>
      </c>
      <c r="E234" s="3">
        <v>1656534.0</v>
      </c>
      <c r="F234" s="3">
        <v>1655454.0</v>
      </c>
      <c r="G234" s="3">
        <v>1656088.0</v>
      </c>
      <c r="H234" s="3">
        <v>1655855.0</v>
      </c>
      <c r="I234" s="3">
        <v>1656211.0</v>
      </c>
      <c r="J234" s="39">
        <f t="shared" si="26"/>
        <v>1656028.4</v>
      </c>
      <c r="K234" s="40">
        <f t="shared" si="27"/>
        <v>403.8963976</v>
      </c>
      <c r="L234" s="39">
        <f t="shared" si="28"/>
        <v>0.02438946081</v>
      </c>
    </row>
    <row r="235">
      <c r="A235" s="57" t="s">
        <v>301</v>
      </c>
      <c r="B235" s="36"/>
      <c r="C235" s="35" t="s">
        <v>235</v>
      </c>
      <c r="D235" s="36" t="s">
        <v>302</v>
      </c>
      <c r="E235" s="3">
        <v>1672962.0</v>
      </c>
      <c r="F235" s="3">
        <v>1671983.0</v>
      </c>
      <c r="G235" s="3">
        <v>1672462.0</v>
      </c>
      <c r="H235" s="3">
        <v>1672172.0</v>
      </c>
      <c r="I235" s="3">
        <v>1672586.0</v>
      </c>
      <c r="J235" s="39">
        <f t="shared" si="26"/>
        <v>1672433</v>
      </c>
      <c r="K235" s="40">
        <f t="shared" si="27"/>
        <v>379.0488095</v>
      </c>
      <c r="L235" s="39">
        <f t="shared" si="28"/>
        <v>0.02266451389</v>
      </c>
    </row>
    <row r="236">
      <c r="A236" s="57" t="s">
        <v>303</v>
      </c>
      <c r="B236" s="58"/>
      <c r="C236" s="59" t="s">
        <v>235</v>
      </c>
      <c r="D236" s="36" t="s">
        <v>304</v>
      </c>
      <c r="E236" s="3">
        <v>1656465.0</v>
      </c>
      <c r="F236" s="3">
        <v>1655638.0</v>
      </c>
      <c r="G236" s="3">
        <v>1656267.0</v>
      </c>
      <c r="H236" s="3">
        <v>1655886.0</v>
      </c>
      <c r="I236" s="3">
        <v>1656335.0</v>
      </c>
      <c r="J236" s="61">
        <f t="shared" si="26"/>
        <v>1656118.2</v>
      </c>
      <c r="K236" s="62">
        <f t="shared" si="27"/>
        <v>344.2102555</v>
      </c>
      <c r="L236" s="61">
        <f t="shared" si="28"/>
        <v>0.02078415994</v>
      </c>
    </row>
    <row r="237">
      <c r="A237" s="57" t="s">
        <v>305</v>
      </c>
      <c r="B237" s="58"/>
      <c r="C237" s="59" t="s">
        <v>235</v>
      </c>
      <c r="D237" s="36" t="s">
        <v>306</v>
      </c>
      <c r="E237" s="3">
        <v>1673000.0</v>
      </c>
      <c r="F237" s="3">
        <v>1672060.0</v>
      </c>
      <c r="G237" s="3">
        <v>1672649.0</v>
      </c>
      <c r="H237" s="3">
        <v>1672651.0</v>
      </c>
      <c r="I237" s="3">
        <v>1672643.0</v>
      </c>
      <c r="J237" s="61">
        <f t="shared" si="26"/>
        <v>1672600.6</v>
      </c>
      <c r="K237" s="62">
        <f t="shared" si="27"/>
        <v>338.5443841</v>
      </c>
      <c r="L237" s="61">
        <f t="shared" si="28"/>
        <v>0.02024059923</v>
      </c>
      <c r="M237" s="30">
        <f>sum(J234:J237)*64</f>
        <v>426059532.8</v>
      </c>
    </row>
    <row r="238">
      <c r="J238" s="30">
        <f>SUM(J230:J237)</f>
        <v>15169918.2</v>
      </c>
    </row>
    <row r="239">
      <c r="J239" s="30">
        <f>J238*64</f>
        <v>970874764.8</v>
      </c>
    </row>
    <row r="240">
      <c r="J240" s="3">
        <v>1.2E9</v>
      </c>
      <c r="K240" s="30">
        <f>((J239-J240)/J239)*100</f>
        <v>-23.59987544</v>
      </c>
    </row>
    <row r="243">
      <c r="A243" s="3" t="s">
        <v>316</v>
      </c>
      <c r="B243" s="3" t="s">
        <v>317</v>
      </c>
    </row>
    <row r="245">
      <c r="A245" s="33" t="s">
        <v>221</v>
      </c>
      <c r="B245" s="33" t="s">
        <v>222</v>
      </c>
      <c r="C245" s="33" t="s">
        <v>223</v>
      </c>
      <c r="D245" s="34" t="s">
        <v>224</v>
      </c>
      <c r="E245" s="7" t="s">
        <v>225</v>
      </c>
      <c r="F245" s="7" t="s">
        <v>226</v>
      </c>
      <c r="G245" s="7" t="s">
        <v>227</v>
      </c>
      <c r="H245" s="7" t="s">
        <v>228</v>
      </c>
      <c r="I245" s="7" t="s">
        <v>229</v>
      </c>
      <c r="J245" s="2" t="s">
        <v>230</v>
      </c>
      <c r="K245" s="2" t="s">
        <v>231</v>
      </c>
      <c r="L245" s="3" t="s">
        <v>232</v>
      </c>
    </row>
    <row r="246">
      <c r="A246" s="57" t="s">
        <v>291</v>
      </c>
      <c r="B246" s="36"/>
      <c r="C246" s="35" t="s">
        <v>235</v>
      </c>
      <c r="D246" s="36" t="s">
        <v>292</v>
      </c>
      <c r="E246" s="3">
        <v>581074.0</v>
      </c>
      <c r="F246" s="3">
        <v>594949.0</v>
      </c>
      <c r="G246" s="3">
        <v>594696.0</v>
      </c>
      <c r="H246" s="3">
        <v>595074.0</v>
      </c>
      <c r="I246" s="3">
        <v>594998.0</v>
      </c>
      <c r="J246" s="39">
        <f t="shared" ref="J246:J253" si="29">AVERAGE(E246:I246)</f>
        <v>592158.2</v>
      </c>
      <c r="K246" s="40">
        <f t="shared" ref="K246:K253" si="30">STDEV(E246:I246)</f>
        <v>6197.879412</v>
      </c>
      <c r="L246" s="39">
        <f t="shared" ref="L246:L253" si="31">K246/J246*100</f>
        <v>1.046659391</v>
      </c>
    </row>
    <row r="247">
      <c r="A247" s="57" t="s">
        <v>293</v>
      </c>
      <c r="B247" s="36"/>
      <c r="C247" s="35" t="s">
        <v>235</v>
      </c>
      <c r="D247" s="36" t="s">
        <v>294</v>
      </c>
      <c r="E247" s="3">
        <v>595597.0</v>
      </c>
      <c r="F247" s="3">
        <v>580619.0</v>
      </c>
      <c r="G247" s="3">
        <v>581231.0</v>
      </c>
      <c r="H247" s="3">
        <v>581485.0</v>
      </c>
      <c r="I247" s="3">
        <v>581153.0</v>
      </c>
      <c r="J247" s="39">
        <f t="shared" si="29"/>
        <v>584017</v>
      </c>
      <c r="K247" s="40">
        <f t="shared" si="30"/>
        <v>6481.090186</v>
      </c>
      <c r="L247" s="39">
        <f t="shared" si="31"/>
        <v>1.109743413</v>
      </c>
    </row>
    <row r="248">
      <c r="A248" s="57" t="s">
        <v>295</v>
      </c>
      <c r="B248" s="36"/>
      <c r="C248" s="35" t="s">
        <v>235</v>
      </c>
      <c r="D248" s="36" t="s">
        <v>296</v>
      </c>
      <c r="E248" s="3">
        <v>581796.0</v>
      </c>
      <c r="F248" s="3">
        <v>595437.0</v>
      </c>
      <c r="G248" s="3">
        <v>595450.0</v>
      </c>
      <c r="H248" s="3">
        <v>596065.0</v>
      </c>
      <c r="I248" s="3">
        <v>595731.0</v>
      </c>
      <c r="J248" s="39">
        <f t="shared" si="29"/>
        <v>592895.8</v>
      </c>
      <c r="K248" s="40">
        <f t="shared" si="30"/>
        <v>6210.261323</v>
      </c>
      <c r="L248" s="39">
        <f t="shared" si="31"/>
        <v>1.04744566</v>
      </c>
    </row>
    <row r="249">
      <c r="A249" s="57" t="s">
        <v>297</v>
      </c>
      <c r="B249" s="36"/>
      <c r="C249" s="35" t="s">
        <v>235</v>
      </c>
      <c r="D249" s="36" t="s">
        <v>298</v>
      </c>
      <c r="E249" s="3">
        <v>595919.0</v>
      </c>
      <c r="F249" s="3">
        <v>581445.0</v>
      </c>
      <c r="G249" s="3">
        <v>581798.0</v>
      </c>
      <c r="H249" s="3">
        <v>582263.0</v>
      </c>
      <c r="I249" s="3">
        <v>581934.0</v>
      </c>
      <c r="J249" s="39">
        <f t="shared" si="29"/>
        <v>584671.8</v>
      </c>
      <c r="K249" s="40">
        <f t="shared" si="30"/>
        <v>6294.210411</v>
      </c>
      <c r="L249" s="39">
        <f t="shared" si="31"/>
        <v>1.076537369</v>
      </c>
      <c r="M249" s="30">
        <f>sum(J246:J249)*65</f>
        <v>152993282</v>
      </c>
    </row>
    <row r="250">
      <c r="A250" s="57" t="s">
        <v>299</v>
      </c>
      <c r="B250" s="36"/>
      <c r="C250" s="35" t="s">
        <v>235</v>
      </c>
      <c r="D250" s="36" t="s">
        <v>300</v>
      </c>
      <c r="E250" s="3">
        <v>1621323.0</v>
      </c>
      <c r="F250" s="3">
        <v>1635210.0</v>
      </c>
      <c r="G250" s="3">
        <v>1634245.0</v>
      </c>
      <c r="H250" s="3">
        <v>1634769.0</v>
      </c>
      <c r="I250" s="3">
        <v>1634781.0</v>
      </c>
      <c r="J250" s="39">
        <f t="shared" si="29"/>
        <v>1632065.6</v>
      </c>
      <c r="K250" s="40">
        <f t="shared" si="30"/>
        <v>6015.028246</v>
      </c>
      <c r="L250" s="39">
        <f t="shared" si="31"/>
        <v>0.3685530928</v>
      </c>
    </row>
    <row r="251">
      <c r="A251" s="57" t="s">
        <v>301</v>
      </c>
      <c r="B251" s="36"/>
      <c r="C251" s="35" t="s">
        <v>235</v>
      </c>
      <c r="D251" s="36" t="s">
        <v>302</v>
      </c>
      <c r="E251" s="3">
        <v>1635127.0</v>
      </c>
      <c r="F251" s="3">
        <v>1621528.0</v>
      </c>
      <c r="G251" s="3">
        <v>1620440.0</v>
      </c>
      <c r="H251" s="3">
        <v>1620984.0</v>
      </c>
      <c r="I251" s="3">
        <v>1620913.0</v>
      </c>
      <c r="J251" s="39">
        <f t="shared" si="29"/>
        <v>1623798.4</v>
      </c>
      <c r="K251" s="40">
        <f t="shared" si="30"/>
        <v>6344.626175</v>
      </c>
      <c r="L251" s="39">
        <f t="shared" si="31"/>
        <v>0.3907274558</v>
      </c>
    </row>
    <row r="252">
      <c r="A252" s="57" t="s">
        <v>303</v>
      </c>
      <c r="B252" s="58"/>
      <c r="C252" s="59" t="s">
        <v>235</v>
      </c>
      <c r="D252" s="36" t="s">
        <v>304</v>
      </c>
      <c r="E252" s="3">
        <v>1621243.0</v>
      </c>
      <c r="F252" s="3">
        <v>1635243.0</v>
      </c>
      <c r="G252" s="3">
        <v>1634220.0</v>
      </c>
      <c r="H252" s="3">
        <v>1635096.0</v>
      </c>
      <c r="I252" s="3">
        <v>1634734.0</v>
      </c>
      <c r="J252" s="61">
        <f t="shared" si="29"/>
        <v>1632107.2</v>
      </c>
      <c r="K252" s="62">
        <f t="shared" si="30"/>
        <v>6086.070382</v>
      </c>
      <c r="L252" s="61">
        <f t="shared" si="31"/>
        <v>0.3728964851</v>
      </c>
    </row>
    <row r="253">
      <c r="A253" s="57" t="s">
        <v>305</v>
      </c>
      <c r="B253" s="58"/>
      <c r="C253" s="59" t="s">
        <v>235</v>
      </c>
      <c r="D253" s="36" t="s">
        <v>306</v>
      </c>
      <c r="E253" s="3">
        <v>1635175.0</v>
      </c>
      <c r="F253" s="3">
        <v>1621614.0</v>
      </c>
      <c r="G253" s="3">
        <v>1620538.0</v>
      </c>
      <c r="H253" s="3">
        <v>1621132.0</v>
      </c>
      <c r="I253" s="3">
        <v>1621004.0</v>
      </c>
      <c r="J253" s="61">
        <f t="shared" si="29"/>
        <v>1623892.6</v>
      </c>
      <c r="K253" s="62">
        <f t="shared" si="30"/>
        <v>6318.679277</v>
      </c>
      <c r="L253" s="61">
        <f t="shared" si="31"/>
        <v>0.3891069691</v>
      </c>
      <c r="M253" s="30">
        <f>sum(J250:J253)*64</f>
        <v>416759283.2</v>
      </c>
    </row>
    <row r="254">
      <c r="J254" s="30">
        <f>SUM(J246:J253)</f>
        <v>8865606.6</v>
      </c>
    </row>
    <row r="255">
      <c r="J255" s="30">
        <f>J254*64</f>
        <v>567398822.4</v>
      </c>
    </row>
    <row r="256">
      <c r="J256" s="3">
        <v>2000000.0</v>
      </c>
    </row>
    <row r="258">
      <c r="A258" s="3" t="s">
        <v>318</v>
      </c>
      <c r="B258" s="3" t="s">
        <v>319</v>
      </c>
    </row>
    <row r="260">
      <c r="A260" s="33" t="s">
        <v>221</v>
      </c>
      <c r="B260" s="33" t="s">
        <v>222</v>
      </c>
      <c r="C260" s="33" t="s">
        <v>223</v>
      </c>
      <c r="D260" s="34" t="s">
        <v>224</v>
      </c>
      <c r="E260" s="7" t="s">
        <v>225</v>
      </c>
      <c r="F260" s="7" t="s">
        <v>226</v>
      </c>
      <c r="G260" s="7" t="s">
        <v>227</v>
      </c>
      <c r="H260" s="7" t="s">
        <v>228</v>
      </c>
      <c r="I260" s="7" t="s">
        <v>229</v>
      </c>
      <c r="J260" s="2" t="s">
        <v>230</v>
      </c>
      <c r="K260" s="2" t="s">
        <v>231</v>
      </c>
      <c r="L260" s="3" t="s">
        <v>232</v>
      </c>
    </row>
    <row r="261">
      <c r="A261" s="57" t="s">
        <v>291</v>
      </c>
      <c r="B261" s="36"/>
      <c r="C261" s="35" t="s">
        <v>235</v>
      </c>
      <c r="D261" s="36" t="s">
        <v>292</v>
      </c>
      <c r="E261" s="3">
        <v>343465.0</v>
      </c>
      <c r="F261" s="3">
        <v>343694.0</v>
      </c>
      <c r="G261" s="3">
        <v>343483.0</v>
      </c>
      <c r="H261" s="3">
        <v>343277.0</v>
      </c>
      <c r="I261" s="3">
        <v>343785.0</v>
      </c>
      <c r="J261" s="39">
        <f t="shared" ref="J261:J268" si="32">AVERAGE(E261:I261)</f>
        <v>343540.8</v>
      </c>
      <c r="K261" s="40">
        <f t="shared" ref="K261:K268" si="33">STDEV(E261:I261)</f>
        <v>201.1099202</v>
      </c>
      <c r="L261" s="39">
        <f t="shared" ref="L261:L268" si="34">K261/J261*100</f>
        <v>0.05854033064</v>
      </c>
    </row>
    <row r="262">
      <c r="A262" s="57" t="s">
        <v>293</v>
      </c>
      <c r="B262" s="36"/>
      <c r="C262" s="35" t="s">
        <v>235</v>
      </c>
      <c r="D262" s="36" t="s">
        <v>294</v>
      </c>
      <c r="E262" s="3">
        <v>331913.0</v>
      </c>
      <c r="F262" s="3">
        <v>331161.0</v>
      </c>
      <c r="G262" s="3">
        <v>330595.0</v>
      </c>
      <c r="H262" s="3">
        <v>332517.0</v>
      </c>
      <c r="I262" s="3">
        <v>331499.0</v>
      </c>
      <c r="J262" s="39">
        <f t="shared" si="32"/>
        <v>331537</v>
      </c>
      <c r="K262" s="40">
        <f t="shared" si="33"/>
        <v>730.0616412</v>
      </c>
      <c r="L262" s="39">
        <f t="shared" si="34"/>
        <v>0.2202051781</v>
      </c>
    </row>
    <row r="263">
      <c r="A263" s="57" t="s">
        <v>295</v>
      </c>
      <c r="B263" s="36"/>
      <c r="C263" s="35" t="s">
        <v>235</v>
      </c>
      <c r="D263" s="36" t="s">
        <v>296</v>
      </c>
      <c r="E263" s="3">
        <v>344743.0</v>
      </c>
      <c r="F263" s="3">
        <v>344297.0</v>
      </c>
      <c r="G263" s="3">
        <v>344308.0</v>
      </c>
      <c r="H263" s="3">
        <v>344656.0</v>
      </c>
      <c r="I263" s="3">
        <v>344628.0</v>
      </c>
      <c r="J263" s="39">
        <f t="shared" si="32"/>
        <v>344526.4</v>
      </c>
      <c r="K263" s="40">
        <f t="shared" si="33"/>
        <v>208.7805068</v>
      </c>
      <c r="L263" s="39">
        <f t="shared" si="34"/>
        <v>0.06059927679</v>
      </c>
    </row>
    <row r="264">
      <c r="A264" s="57" t="s">
        <v>297</v>
      </c>
      <c r="B264" s="36"/>
      <c r="C264" s="35" t="s">
        <v>235</v>
      </c>
      <c r="D264" s="36" t="s">
        <v>298</v>
      </c>
      <c r="E264" s="3">
        <v>332735.0</v>
      </c>
      <c r="F264" s="3">
        <v>331958.0</v>
      </c>
      <c r="G264" s="3">
        <v>331756.0</v>
      </c>
      <c r="H264" s="3">
        <v>332679.0</v>
      </c>
      <c r="I264" s="3">
        <v>332320.0</v>
      </c>
      <c r="J264" s="39">
        <f t="shared" si="32"/>
        <v>332289.6</v>
      </c>
      <c r="K264" s="40">
        <f t="shared" si="33"/>
        <v>431.7479589</v>
      </c>
      <c r="L264" s="39">
        <f t="shared" si="34"/>
        <v>0.1299312283</v>
      </c>
      <c r="M264" s="30">
        <f>sum(J261:J264)*65</f>
        <v>87873097</v>
      </c>
    </row>
    <row r="265">
      <c r="A265" s="57" t="s">
        <v>299</v>
      </c>
      <c r="B265" s="36"/>
      <c r="C265" s="35" t="s">
        <v>235</v>
      </c>
      <c r="D265" s="36" t="s">
        <v>300</v>
      </c>
      <c r="E265" s="3">
        <v>1616573.0</v>
      </c>
      <c r="F265" s="3">
        <v>1616745.0</v>
      </c>
      <c r="G265" s="3">
        <v>1616992.0</v>
      </c>
      <c r="H265" s="3">
        <v>1617202.0</v>
      </c>
      <c r="I265" s="3">
        <v>1616572.0</v>
      </c>
      <c r="J265" s="39">
        <f t="shared" si="32"/>
        <v>1616816.8</v>
      </c>
      <c r="K265" s="40">
        <f t="shared" si="33"/>
        <v>275.4971869</v>
      </c>
      <c r="L265" s="39">
        <f t="shared" si="34"/>
        <v>0.01703948072</v>
      </c>
    </row>
    <row r="266">
      <c r="A266" s="57" t="s">
        <v>301</v>
      </c>
      <c r="B266" s="36"/>
      <c r="C266" s="35" t="s">
        <v>235</v>
      </c>
      <c r="D266" s="36" t="s">
        <v>302</v>
      </c>
      <c r="E266" s="3">
        <v>1604125.0</v>
      </c>
      <c r="F266" s="3">
        <v>1604516.0</v>
      </c>
      <c r="G266" s="3">
        <v>1604713.0</v>
      </c>
      <c r="H266" s="3">
        <v>1604773.0</v>
      </c>
      <c r="I266" s="3">
        <v>1604388.0</v>
      </c>
      <c r="J266" s="39">
        <f t="shared" si="32"/>
        <v>1604503</v>
      </c>
      <c r="K266" s="40">
        <f t="shared" si="33"/>
        <v>261.3799916</v>
      </c>
      <c r="L266" s="39">
        <f t="shared" si="34"/>
        <v>0.01629040217</v>
      </c>
    </row>
    <row r="267">
      <c r="A267" s="57" t="s">
        <v>303</v>
      </c>
      <c r="B267" s="58"/>
      <c r="C267" s="59" t="s">
        <v>235</v>
      </c>
      <c r="D267" s="36" t="s">
        <v>304</v>
      </c>
      <c r="E267" s="3">
        <v>1616765.0</v>
      </c>
      <c r="F267" s="3">
        <v>1616978.0</v>
      </c>
      <c r="G267" s="3">
        <v>1617169.0</v>
      </c>
      <c r="H267" s="3">
        <v>1617179.0</v>
      </c>
      <c r="I267" s="3">
        <v>1616982.0</v>
      </c>
      <c r="J267" s="61">
        <f t="shared" si="32"/>
        <v>1617014.6</v>
      </c>
      <c r="K267" s="62">
        <f t="shared" si="33"/>
        <v>169.9773514</v>
      </c>
      <c r="L267" s="61">
        <f t="shared" si="34"/>
        <v>0.01051180066</v>
      </c>
    </row>
    <row r="268">
      <c r="A268" s="57" t="s">
        <v>305</v>
      </c>
      <c r="B268" s="58"/>
      <c r="C268" s="59" t="s">
        <v>235</v>
      </c>
      <c r="D268" s="36" t="s">
        <v>306</v>
      </c>
      <c r="E268" s="3">
        <v>1604344.0</v>
      </c>
      <c r="F268" s="3">
        <v>1604682.0</v>
      </c>
      <c r="G268" s="3">
        <v>1604693.0</v>
      </c>
      <c r="H268" s="3">
        <v>1604472.0</v>
      </c>
      <c r="I268" s="3">
        <v>1604547.0</v>
      </c>
      <c r="J268" s="61">
        <f t="shared" si="32"/>
        <v>1604547.6</v>
      </c>
      <c r="K268" s="62">
        <f t="shared" si="33"/>
        <v>146.9465889</v>
      </c>
      <c r="L268" s="61">
        <f t="shared" si="34"/>
        <v>0.009158132108</v>
      </c>
      <c r="M268" s="30">
        <f>sum(J265:J268)*64</f>
        <v>412344448</v>
      </c>
    </row>
    <row r="269">
      <c r="J269" s="30">
        <f>SUM(J261:J268)</f>
        <v>7794775.8</v>
      </c>
    </row>
    <row r="270">
      <c r="J270" s="30">
        <f>J269*64</f>
        <v>498865651.2</v>
      </c>
    </row>
    <row r="271">
      <c r="J271" s="3">
        <v>1.2E9</v>
      </c>
      <c r="K271" s="30">
        <f>((J270-J271)/J270)*100</f>
        <v>-140.5457255</v>
      </c>
    </row>
    <row r="272">
      <c r="E272" s="3" t="s">
        <v>320</v>
      </c>
      <c r="F272" s="3" t="s">
        <v>321</v>
      </c>
    </row>
    <row r="273">
      <c r="D273" s="3" t="s">
        <v>322</v>
      </c>
      <c r="E273" s="3">
        <v>12.0</v>
      </c>
      <c r="F273" s="3">
        <v>1.0</v>
      </c>
    </row>
    <row r="274">
      <c r="D274" s="3" t="s">
        <v>323</v>
      </c>
      <c r="E274" s="3">
        <v>6.8</v>
      </c>
      <c r="F274" s="3">
        <v>6.4</v>
      </c>
    </row>
    <row r="278">
      <c r="B278" s="63" t="s">
        <v>324</v>
      </c>
      <c r="C278" s="63" t="s">
        <v>325</v>
      </c>
      <c r="D278" s="63" t="s">
        <v>326</v>
      </c>
    </row>
    <row r="279">
      <c r="B279" s="35">
        <v>1.0</v>
      </c>
      <c r="C279" s="64">
        <v>1.3171678203125E7</v>
      </c>
      <c r="D279" s="64">
        <v>6832089.2</v>
      </c>
      <c r="E279" s="65">
        <f>C279+D279</f>
        <v>20003767.4</v>
      </c>
      <c r="F279" s="65"/>
    </row>
    <row r="280">
      <c r="B280" s="35">
        <v>8.0</v>
      </c>
      <c r="C280" s="64">
        <v>1.30923544375E7</v>
      </c>
      <c r="D280" s="64">
        <v>6750445.800000001</v>
      </c>
      <c r="E280" s="65"/>
      <c r="F280" s="65"/>
    </row>
    <row r="281">
      <c r="B281" s="35">
        <v>20.0</v>
      </c>
      <c r="C281" s="64">
        <v>1.3040420453125002E7</v>
      </c>
      <c r="D281" s="64">
        <v>6745406.2</v>
      </c>
      <c r="E281" s="65"/>
      <c r="F281" s="65"/>
    </row>
    <row r="282">
      <c r="B282" s="35">
        <v>40.0</v>
      </c>
      <c r="C282" s="64">
        <v>1.1854984171875E7</v>
      </c>
      <c r="D282" s="64">
        <v>6713341.4</v>
      </c>
      <c r="E282" s="65"/>
      <c r="F282" s="65"/>
    </row>
    <row r="283">
      <c r="B283" s="35">
        <v>60.0</v>
      </c>
      <c r="C283" s="64">
        <v>8645749.53125</v>
      </c>
      <c r="D283" s="64">
        <v>6657180.199999999</v>
      </c>
      <c r="E283" s="65"/>
      <c r="F283" s="65"/>
    </row>
    <row r="284">
      <c r="B284" s="35">
        <v>100.0</v>
      </c>
      <c r="C284" s="64">
        <v>2390520.03125</v>
      </c>
      <c r="D284" s="64">
        <v>6511863.800000001</v>
      </c>
      <c r="E284" s="65"/>
      <c r="F284" s="65"/>
    </row>
    <row r="285">
      <c r="B285" s="35">
        <v>200.0</v>
      </c>
      <c r="C285" s="64">
        <v>1373017.140625</v>
      </c>
      <c r="D285" s="64">
        <v>6442882.0</v>
      </c>
      <c r="E285" s="65"/>
      <c r="F285" s="65"/>
    </row>
    <row r="287">
      <c r="A287" s="3" t="s">
        <v>327</v>
      </c>
      <c r="B287" s="3">
        <v>1.0E8</v>
      </c>
      <c r="C287" s="30">
        <f>B287*4</f>
        <v>400000000</v>
      </c>
      <c r="D287" s="30">
        <f>C287/64</f>
        <v>6250000</v>
      </c>
      <c r="E287" s="30">
        <f>D287*3</f>
        <v>18750000</v>
      </c>
    </row>
    <row r="294">
      <c r="D294" s="3" t="s">
        <v>328</v>
      </c>
      <c r="E294" s="3" t="s">
        <v>329</v>
      </c>
      <c r="F294" s="3" t="s">
        <v>330</v>
      </c>
    </row>
    <row r="295">
      <c r="D295" s="66">
        <v>1.2E9</v>
      </c>
      <c r="E295" s="30">
        <v>1.2672720768E9</v>
      </c>
      <c r="F295" s="30">
        <v>1.200104288E9</v>
      </c>
    </row>
    <row r="313">
      <c r="A313" s="33" t="s">
        <v>221</v>
      </c>
      <c r="B313" s="33" t="s">
        <v>222</v>
      </c>
      <c r="C313" s="33" t="s">
        <v>223</v>
      </c>
      <c r="D313" s="34" t="s">
        <v>224</v>
      </c>
      <c r="E313" s="7" t="s">
        <v>225</v>
      </c>
      <c r="F313" s="7" t="s">
        <v>226</v>
      </c>
      <c r="G313" s="7" t="s">
        <v>227</v>
      </c>
      <c r="H313" s="7" t="s">
        <v>228</v>
      </c>
      <c r="I313" s="7" t="s">
        <v>229</v>
      </c>
      <c r="J313" s="2" t="s">
        <v>230</v>
      </c>
      <c r="K313" s="2" t="s">
        <v>231</v>
      </c>
      <c r="L313" s="3" t="s">
        <v>232</v>
      </c>
    </row>
    <row r="314">
      <c r="A314" s="57" t="s">
        <v>291</v>
      </c>
      <c r="B314" s="36"/>
      <c r="C314" s="35" t="s">
        <v>235</v>
      </c>
      <c r="D314" s="36" t="s">
        <v>292</v>
      </c>
      <c r="E314" s="3">
        <v>343465.0</v>
      </c>
      <c r="F314" s="3">
        <v>343694.0</v>
      </c>
      <c r="G314" s="3">
        <v>343483.0</v>
      </c>
      <c r="H314" s="3">
        <v>343277.0</v>
      </c>
      <c r="I314" s="3">
        <v>343785.0</v>
      </c>
      <c r="J314" s="39">
        <f t="shared" ref="J314:J321" si="35">AVERAGE(E314:I314)</f>
        <v>343540.8</v>
      </c>
      <c r="K314" s="40">
        <f t="shared" ref="K314:K321" si="36">STDEV(E314:I314)</f>
        <v>201.1099202</v>
      </c>
      <c r="L314" s="39">
        <f t="shared" ref="L314:L321" si="37">K314/J314*100</f>
        <v>0.05854033064</v>
      </c>
    </row>
    <row r="315">
      <c r="A315" s="57" t="s">
        <v>293</v>
      </c>
      <c r="B315" s="36"/>
      <c r="C315" s="35" t="s">
        <v>235</v>
      </c>
      <c r="D315" s="36" t="s">
        <v>294</v>
      </c>
      <c r="E315" s="3">
        <v>331913.0</v>
      </c>
      <c r="F315" s="3">
        <v>331161.0</v>
      </c>
      <c r="G315" s="3">
        <v>330595.0</v>
      </c>
      <c r="H315" s="3">
        <v>332517.0</v>
      </c>
      <c r="I315" s="3">
        <v>331499.0</v>
      </c>
      <c r="J315" s="39">
        <f t="shared" si="35"/>
        <v>331537</v>
      </c>
      <c r="K315" s="40">
        <f t="shared" si="36"/>
        <v>730.0616412</v>
      </c>
      <c r="L315" s="39">
        <f t="shared" si="37"/>
        <v>0.2202051781</v>
      </c>
    </row>
    <row r="316">
      <c r="A316" s="57" t="s">
        <v>295</v>
      </c>
      <c r="B316" s="36"/>
      <c r="C316" s="35" t="s">
        <v>235</v>
      </c>
      <c r="D316" s="36" t="s">
        <v>296</v>
      </c>
      <c r="E316" s="3">
        <v>344743.0</v>
      </c>
      <c r="F316" s="3">
        <v>344297.0</v>
      </c>
      <c r="G316" s="3">
        <v>344308.0</v>
      </c>
      <c r="H316" s="3">
        <v>344656.0</v>
      </c>
      <c r="I316" s="3">
        <v>344628.0</v>
      </c>
      <c r="J316" s="39">
        <f t="shared" si="35"/>
        <v>344526.4</v>
      </c>
      <c r="K316" s="40">
        <f t="shared" si="36"/>
        <v>208.7805068</v>
      </c>
      <c r="L316" s="39">
        <f t="shared" si="37"/>
        <v>0.06059927679</v>
      </c>
    </row>
    <row r="317">
      <c r="A317" s="57" t="s">
        <v>297</v>
      </c>
      <c r="B317" s="36"/>
      <c r="C317" s="35" t="s">
        <v>235</v>
      </c>
      <c r="D317" s="36" t="s">
        <v>298</v>
      </c>
      <c r="E317" s="3">
        <v>332735.0</v>
      </c>
      <c r="F317" s="3">
        <v>331958.0</v>
      </c>
      <c r="G317" s="3">
        <v>331756.0</v>
      </c>
      <c r="H317" s="3">
        <v>332679.0</v>
      </c>
      <c r="I317" s="3">
        <v>332320.0</v>
      </c>
      <c r="J317" s="39">
        <f t="shared" si="35"/>
        <v>332289.6</v>
      </c>
      <c r="K317" s="40">
        <f t="shared" si="36"/>
        <v>431.7479589</v>
      </c>
      <c r="L317" s="39">
        <f t="shared" si="37"/>
        <v>0.1299312283</v>
      </c>
      <c r="M317" s="30">
        <f>sum(J314:J317)*65</f>
        <v>87873097</v>
      </c>
    </row>
    <row r="318">
      <c r="A318" s="57" t="s">
        <v>299</v>
      </c>
      <c r="B318" s="36"/>
      <c r="C318" s="35" t="s">
        <v>235</v>
      </c>
      <c r="D318" s="36" t="s">
        <v>300</v>
      </c>
      <c r="E318" s="3">
        <v>1616573.0</v>
      </c>
      <c r="F318" s="3">
        <v>1616745.0</v>
      </c>
      <c r="G318" s="3">
        <v>1616992.0</v>
      </c>
      <c r="H318" s="3">
        <v>1617202.0</v>
      </c>
      <c r="I318" s="3">
        <v>1616572.0</v>
      </c>
      <c r="J318" s="39">
        <f t="shared" si="35"/>
        <v>1616816.8</v>
      </c>
      <c r="K318" s="40">
        <f t="shared" si="36"/>
        <v>275.4971869</v>
      </c>
      <c r="L318" s="39">
        <f t="shared" si="37"/>
        <v>0.01703948072</v>
      </c>
    </row>
    <row r="319">
      <c r="A319" s="57" t="s">
        <v>301</v>
      </c>
      <c r="B319" s="36"/>
      <c r="C319" s="35" t="s">
        <v>235</v>
      </c>
      <c r="D319" s="36" t="s">
        <v>302</v>
      </c>
      <c r="E319" s="3">
        <v>1604125.0</v>
      </c>
      <c r="F319" s="3">
        <v>1604516.0</v>
      </c>
      <c r="G319" s="3">
        <v>1604713.0</v>
      </c>
      <c r="H319" s="3">
        <v>1604773.0</v>
      </c>
      <c r="I319" s="3">
        <v>1604388.0</v>
      </c>
      <c r="J319" s="39">
        <f t="shared" si="35"/>
        <v>1604503</v>
      </c>
      <c r="K319" s="40">
        <f t="shared" si="36"/>
        <v>261.3799916</v>
      </c>
      <c r="L319" s="39">
        <f t="shared" si="37"/>
        <v>0.01629040217</v>
      </c>
    </row>
    <row r="320">
      <c r="A320" s="57" t="s">
        <v>303</v>
      </c>
      <c r="B320" s="58"/>
      <c r="C320" s="59" t="s">
        <v>235</v>
      </c>
      <c r="D320" s="36" t="s">
        <v>304</v>
      </c>
      <c r="E320" s="3">
        <v>1616765.0</v>
      </c>
      <c r="F320" s="3">
        <v>1616978.0</v>
      </c>
      <c r="G320" s="3">
        <v>1617169.0</v>
      </c>
      <c r="H320" s="3">
        <v>1617179.0</v>
      </c>
      <c r="I320" s="3">
        <v>1616982.0</v>
      </c>
      <c r="J320" s="61">
        <f t="shared" si="35"/>
        <v>1617014.6</v>
      </c>
      <c r="K320" s="62">
        <f t="shared" si="36"/>
        <v>169.9773514</v>
      </c>
      <c r="L320" s="61">
        <f t="shared" si="37"/>
        <v>0.01051180066</v>
      </c>
    </row>
    <row r="321">
      <c r="A321" s="57" t="s">
        <v>305</v>
      </c>
      <c r="B321" s="58"/>
      <c r="C321" s="59" t="s">
        <v>235</v>
      </c>
      <c r="D321" s="36" t="s">
        <v>306</v>
      </c>
      <c r="E321" s="3">
        <v>1604344.0</v>
      </c>
      <c r="F321" s="3">
        <v>1604682.0</v>
      </c>
      <c r="G321" s="3">
        <v>1604693.0</v>
      </c>
      <c r="H321" s="3">
        <v>1604472.0</v>
      </c>
      <c r="I321" s="3">
        <v>1604547.0</v>
      </c>
      <c r="J321" s="61">
        <f t="shared" si="35"/>
        <v>1604547.6</v>
      </c>
      <c r="K321" s="62">
        <f t="shared" si="36"/>
        <v>146.9465889</v>
      </c>
      <c r="L321" s="61">
        <f t="shared" si="37"/>
        <v>0.009158132108</v>
      </c>
      <c r="M321" s="30">
        <f>sum(J318:J321)*64</f>
        <v>412344448</v>
      </c>
    </row>
    <row r="322">
      <c r="J322" s="30">
        <f>SUM(J314:J321)</f>
        <v>7794775.8</v>
      </c>
    </row>
    <row r="323">
      <c r="J323" s="30">
        <f>J322*64</f>
        <v>498865651.2</v>
      </c>
    </row>
    <row r="324">
      <c r="J324" s="3">
        <v>1.2E9</v>
      </c>
      <c r="K324" s="30">
        <f>((J323-J324)/J323)*100</f>
        <v>-140.5457255</v>
      </c>
    </row>
    <row r="325">
      <c r="B325" s="3" t="s">
        <v>331</v>
      </c>
    </row>
    <row r="328">
      <c r="B328" s="3">
        <v>1.0</v>
      </c>
      <c r="D328" s="3">
        <v>2.0</v>
      </c>
      <c r="F328" s="3">
        <v>4.0</v>
      </c>
      <c r="I328" s="3">
        <v>20.0</v>
      </c>
    </row>
    <row r="329">
      <c r="B329" s="3" t="s">
        <v>332</v>
      </c>
      <c r="D329" s="3" t="s">
        <v>333</v>
      </c>
      <c r="F329" s="3" t="s">
        <v>334</v>
      </c>
      <c r="I329" s="3" t="s">
        <v>335</v>
      </c>
    </row>
    <row r="330">
      <c r="B330" s="3" t="s">
        <v>336</v>
      </c>
      <c r="D330" s="3" t="s">
        <v>337</v>
      </c>
      <c r="F330" s="3" t="s">
        <v>338</v>
      </c>
      <c r="I330" s="3" t="s">
        <v>339</v>
      </c>
    </row>
    <row r="331">
      <c r="B331" s="3" t="s">
        <v>340</v>
      </c>
      <c r="D331" s="3" t="s">
        <v>341</v>
      </c>
      <c r="F331" s="3" t="s">
        <v>342</v>
      </c>
      <c r="I331" s="3" t="s">
        <v>343</v>
      </c>
    </row>
    <row r="332">
      <c r="B332" s="3" t="s">
        <v>344</v>
      </c>
      <c r="D332" s="3" t="s">
        <v>345</v>
      </c>
      <c r="F332" s="3" t="s">
        <v>346</v>
      </c>
      <c r="I332" s="3" t="s">
        <v>347</v>
      </c>
    </row>
    <row r="333">
      <c r="B333" s="3" t="s">
        <v>348</v>
      </c>
      <c r="D333" s="3" t="s">
        <v>349</v>
      </c>
      <c r="F333" s="3" t="s">
        <v>350</v>
      </c>
      <c r="I333" s="3" t="s">
        <v>351</v>
      </c>
    </row>
    <row r="334">
      <c r="B334" s="3" t="s">
        <v>352</v>
      </c>
      <c r="D334" s="3" t="s">
        <v>353</v>
      </c>
      <c r="F334" s="3" t="s">
        <v>354</v>
      </c>
      <c r="I334" s="3" t="s">
        <v>355</v>
      </c>
    </row>
    <row r="335">
      <c r="B335" s="3" t="s">
        <v>356</v>
      </c>
      <c r="D335" s="3" t="s">
        <v>357</v>
      </c>
      <c r="F335" s="3" t="s">
        <v>358</v>
      </c>
      <c r="I335" s="3" t="s">
        <v>359</v>
      </c>
    </row>
    <row r="336">
      <c r="B336" s="3" t="s">
        <v>360</v>
      </c>
      <c r="D336" s="3" t="s">
        <v>361</v>
      </c>
      <c r="F336" s="3" t="s">
        <v>362</v>
      </c>
      <c r="I336" s="3" t="s">
        <v>363</v>
      </c>
    </row>
    <row r="341">
      <c r="B341" s="3" t="s">
        <v>331</v>
      </c>
      <c r="D341" s="3" t="s">
        <v>364</v>
      </c>
      <c r="F341" s="3" t="s">
        <v>365</v>
      </c>
    </row>
    <row r="342">
      <c r="A342" s="3" t="s">
        <v>366</v>
      </c>
      <c r="B342" s="30">
        <f>100000000/5000</f>
        <v>20000</v>
      </c>
      <c r="D342" s="30">
        <f>10000000/500</f>
        <v>20000</v>
      </c>
      <c r="F342" s="30">
        <f>1000000/50</f>
        <v>20000</v>
      </c>
    </row>
    <row r="343">
      <c r="B343" s="3" t="s">
        <v>367</v>
      </c>
      <c r="D343" s="3" t="s">
        <v>368</v>
      </c>
      <c r="F343" s="3" t="s">
        <v>369</v>
      </c>
    </row>
    <row r="344">
      <c r="B344" s="3" t="s">
        <v>370</v>
      </c>
      <c r="D344" s="3" t="s">
        <v>371</v>
      </c>
      <c r="F344" s="3" t="s">
        <v>372</v>
      </c>
    </row>
    <row r="345">
      <c r="B345" s="3" t="s">
        <v>373</v>
      </c>
      <c r="D345" s="3" t="s">
        <v>374</v>
      </c>
      <c r="F345" s="3" t="s">
        <v>375</v>
      </c>
    </row>
    <row r="346">
      <c r="B346" s="3" t="s">
        <v>376</v>
      </c>
      <c r="D346" s="3" t="s">
        <v>377</v>
      </c>
      <c r="F346" s="3" t="s">
        <v>378</v>
      </c>
    </row>
    <row r="347">
      <c r="B347" s="3" t="s">
        <v>379</v>
      </c>
      <c r="D347" s="3" t="s">
        <v>380</v>
      </c>
      <c r="F347" s="3" t="s">
        <v>381</v>
      </c>
    </row>
    <row r="348">
      <c r="B348" s="3" t="s">
        <v>382</v>
      </c>
      <c r="D348" s="3" t="s">
        <v>383</v>
      </c>
      <c r="F348" s="3" t="s">
        <v>384</v>
      </c>
    </row>
    <row r="349">
      <c r="B349" s="3" t="s">
        <v>385</v>
      </c>
      <c r="D349" s="3" t="s">
        <v>386</v>
      </c>
      <c r="F349" s="3" t="s">
        <v>387</v>
      </c>
    </row>
    <row r="350">
      <c r="B350" s="3" t="s">
        <v>388</v>
      </c>
      <c r="D350" s="3" t="s">
        <v>389</v>
      </c>
      <c r="F350" s="3" t="s">
        <v>390</v>
      </c>
    </row>
    <row r="353">
      <c r="B353" s="3" t="s">
        <v>391</v>
      </c>
      <c r="C353" s="3" t="s">
        <v>392</v>
      </c>
      <c r="F353" s="3" t="s">
        <v>393</v>
      </c>
      <c r="L353" s="3" t="s">
        <v>394</v>
      </c>
    </row>
    <row r="354">
      <c r="L354" s="3" t="s">
        <v>395</v>
      </c>
    </row>
    <row r="355">
      <c r="B355" s="3" t="s">
        <v>396</v>
      </c>
      <c r="D355" s="3" t="s">
        <v>397</v>
      </c>
      <c r="F355" s="3" t="s">
        <v>398</v>
      </c>
      <c r="L355" s="3" t="s">
        <v>399</v>
      </c>
    </row>
    <row r="356">
      <c r="B356" s="3" t="s">
        <v>400</v>
      </c>
      <c r="D356" s="3" t="s">
        <v>401</v>
      </c>
      <c r="F356" s="3" t="s">
        <v>402</v>
      </c>
      <c r="L356" s="3" t="s">
        <v>403</v>
      </c>
    </row>
    <row r="357">
      <c r="B357" s="3" t="s">
        <v>404</v>
      </c>
      <c r="D357" s="3" t="s">
        <v>405</v>
      </c>
      <c r="F357" s="3" t="s">
        <v>406</v>
      </c>
    </row>
    <row r="358">
      <c r="B358" s="3" t="s">
        <v>407</v>
      </c>
      <c r="D358" s="3" t="s">
        <v>408</v>
      </c>
      <c r="F358" s="3" t="s">
        <v>409</v>
      </c>
    </row>
    <row r="359">
      <c r="B359" s="3" t="s">
        <v>410</v>
      </c>
      <c r="D359" s="3" t="s">
        <v>411</v>
      </c>
      <c r="F359" s="3" t="s">
        <v>412</v>
      </c>
    </row>
    <row r="360">
      <c r="B360" s="3" t="s">
        <v>413</v>
      </c>
      <c r="D360" s="3" t="s">
        <v>414</v>
      </c>
      <c r="F360" s="3" t="s">
        <v>415</v>
      </c>
    </row>
    <row r="361">
      <c r="B361" s="3" t="s">
        <v>416</v>
      </c>
      <c r="D361" s="3" t="s">
        <v>417</v>
      </c>
      <c r="F361" s="3" t="s">
        <v>418</v>
      </c>
    </row>
    <row r="362">
      <c r="B362" s="3" t="s">
        <v>419</v>
      </c>
      <c r="D362" s="3" t="s">
        <v>420</v>
      </c>
      <c r="F362" s="3" t="s">
        <v>421</v>
      </c>
    </row>
    <row r="368">
      <c r="D368" s="3" t="s">
        <v>324</v>
      </c>
      <c r="E368" s="3" t="s">
        <v>422</v>
      </c>
      <c r="F368" s="3" t="s">
        <v>423</v>
      </c>
      <c r="G368" s="3" t="s">
        <v>424</v>
      </c>
      <c r="H368" s="3" t="s">
        <v>425</v>
      </c>
    </row>
    <row r="369">
      <c r="D369" s="30" t="s">
        <v>426</v>
      </c>
      <c r="E369" s="3">
        <v>1.3045687E7</v>
      </c>
      <c r="F369" s="3">
        <v>6856987.0</v>
      </c>
      <c r="G369" s="3">
        <v>1.3052366E7</v>
      </c>
      <c r="H369" s="3">
        <v>6911574.0</v>
      </c>
    </row>
    <row r="370">
      <c r="D370" s="30" t="s">
        <v>427</v>
      </c>
      <c r="E370" s="3">
        <v>1.2880309E7</v>
      </c>
      <c r="F370" s="3">
        <v>6751769.0</v>
      </c>
      <c r="G370" s="3">
        <v>1.2874274E7</v>
      </c>
      <c r="H370" s="3">
        <v>6721687.0</v>
      </c>
    </row>
    <row r="371">
      <c r="D371" s="30" t="s">
        <v>428</v>
      </c>
      <c r="E371" s="3">
        <v>1.2298289E7</v>
      </c>
      <c r="F371" s="3">
        <v>6697104.0</v>
      </c>
      <c r="G371" s="3">
        <v>6604526.0</v>
      </c>
      <c r="H371" s="3">
        <v>6546520.0</v>
      </c>
    </row>
    <row r="372">
      <c r="D372" s="30" t="s">
        <v>429</v>
      </c>
      <c r="E372" s="3">
        <v>7613934.0</v>
      </c>
      <c r="F372" s="3">
        <v>6586176.0</v>
      </c>
      <c r="G372" s="3">
        <v>3460514.0</v>
      </c>
      <c r="H372" s="3">
        <v>6449175.0</v>
      </c>
    </row>
    <row r="373">
      <c r="D373" s="30" t="s">
        <v>430</v>
      </c>
      <c r="E373" s="3">
        <v>1920322.0</v>
      </c>
      <c r="F373" s="3">
        <v>6418594.0</v>
      </c>
      <c r="G373" s="3">
        <v>1893338.0</v>
      </c>
      <c r="H373" s="3">
        <v>6402993.0</v>
      </c>
    </row>
    <row r="374">
      <c r="D374" s="30" t="s">
        <v>431</v>
      </c>
      <c r="E374" s="3">
        <v>1138451.0</v>
      </c>
      <c r="F374" s="3">
        <v>6393124.0</v>
      </c>
      <c r="G374" s="3">
        <v>1108415.0</v>
      </c>
      <c r="H374" s="3">
        <v>6396043.0</v>
      </c>
    </row>
    <row r="375">
      <c r="D375" s="30" t="s">
        <v>432</v>
      </c>
      <c r="E375" s="3">
        <v>743739.0</v>
      </c>
      <c r="F375" s="3">
        <v>6359145.0</v>
      </c>
      <c r="G375" s="3">
        <v>718142.0</v>
      </c>
      <c r="H375" s="3">
        <v>6376437.0</v>
      </c>
    </row>
    <row r="376">
      <c r="D376" s="30" t="s">
        <v>433</v>
      </c>
      <c r="E376" s="3">
        <v>547034.0</v>
      </c>
      <c r="F376" s="3">
        <v>6375415.0</v>
      </c>
      <c r="G376" s="3">
        <v>520379.0</v>
      </c>
      <c r="H376" s="3">
        <v>6380099.0</v>
      </c>
    </row>
    <row r="386">
      <c r="D386" s="3" t="s">
        <v>324</v>
      </c>
      <c r="E386" s="3" t="s">
        <v>422</v>
      </c>
      <c r="F386" s="3" t="s">
        <v>423</v>
      </c>
      <c r="G386" s="3" t="s">
        <v>424</v>
      </c>
      <c r="H386" s="3" t="s">
        <v>425</v>
      </c>
    </row>
    <row r="387">
      <c r="D387" s="30" t="s">
        <v>426</v>
      </c>
      <c r="E387" s="3">
        <v>1.2959032E7</v>
      </c>
      <c r="F387" s="3">
        <v>6803710.0</v>
      </c>
      <c r="G387" s="3">
        <v>1.305178E7</v>
      </c>
      <c r="H387" s="3">
        <v>6925976.0</v>
      </c>
    </row>
    <row r="388">
      <c r="D388" s="30" t="s">
        <v>427</v>
      </c>
      <c r="E388" s="3">
        <v>1.2896736E7</v>
      </c>
      <c r="F388" s="3">
        <v>6764855.0</v>
      </c>
      <c r="G388" s="3">
        <v>1.2874378E7</v>
      </c>
      <c r="H388" s="3">
        <v>6743098.0</v>
      </c>
    </row>
    <row r="389">
      <c r="D389" s="30" t="s">
        <v>428</v>
      </c>
      <c r="E389" s="3">
        <v>1.2312145E7</v>
      </c>
      <c r="F389" s="3">
        <v>6672802.0</v>
      </c>
      <c r="G389" s="3">
        <v>6605409.0</v>
      </c>
      <c r="H389" s="3">
        <v>6542853.0</v>
      </c>
    </row>
    <row r="390">
      <c r="D390" s="30" t="s">
        <v>429</v>
      </c>
      <c r="E390" s="3">
        <v>7716333.0</v>
      </c>
      <c r="F390" s="3">
        <v>6584440.0</v>
      </c>
      <c r="G390" s="3">
        <v>3461544.0</v>
      </c>
      <c r="H390" s="3">
        <v>6435469.0</v>
      </c>
    </row>
    <row r="391">
      <c r="D391" s="30" t="s">
        <v>430</v>
      </c>
      <c r="E391" s="3">
        <v>1918971.0</v>
      </c>
      <c r="F391" s="3">
        <v>6412898.0</v>
      </c>
      <c r="G391" s="3">
        <v>1892290.0</v>
      </c>
      <c r="H391" s="3">
        <v>6405408.0</v>
      </c>
    </row>
    <row r="392">
      <c r="D392" s="30" t="s">
        <v>431</v>
      </c>
      <c r="E392" s="3">
        <v>1136388.0</v>
      </c>
      <c r="F392" s="3">
        <v>6360676.0</v>
      </c>
      <c r="G392" s="3">
        <v>1106963.0</v>
      </c>
      <c r="H392" s="3">
        <v>6380593.0</v>
      </c>
    </row>
    <row r="393">
      <c r="D393" s="30" t="s">
        <v>432</v>
      </c>
      <c r="E393" s="3">
        <v>741124.0</v>
      </c>
      <c r="F393" s="3">
        <v>6353926.0</v>
      </c>
      <c r="G393" s="3">
        <v>714752.0</v>
      </c>
      <c r="H393" s="3">
        <v>6365355.0</v>
      </c>
    </row>
    <row r="394">
      <c r="D394" s="30" t="s">
        <v>433</v>
      </c>
      <c r="E394" s="3">
        <v>553195.0</v>
      </c>
      <c r="F394" s="3">
        <v>6376971.0</v>
      </c>
      <c r="G394" s="3">
        <v>519370.0</v>
      </c>
      <c r="H394" s="3">
        <v>6353173.0</v>
      </c>
    </row>
    <row r="405">
      <c r="D405" s="3" t="s">
        <v>324</v>
      </c>
      <c r="E405" s="3" t="s">
        <v>434</v>
      </c>
      <c r="F405" s="3" t="s">
        <v>435</v>
      </c>
      <c r="G405" s="3" t="s">
        <v>436</v>
      </c>
      <c r="H405" s="3" t="s">
        <v>437</v>
      </c>
    </row>
    <row r="406">
      <c r="D406" s="30" t="s">
        <v>426</v>
      </c>
      <c r="E406" s="3">
        <v>1.3045687E7</v>
      </c>
      <c r="F406" s="3">
        <v>6856987.0</v>
      </c>
      <c r="G406" s="3">
        <v>1.2959032E7</v>
      </c>
      <c r="H406" s="3">
        <v>6803710.0</v>
      </c>
    </row>
    <row r="407">
      <c r="D407" s="30" t="s">
        <v>427</v>
      </c>
      <c r="E407" s="3">
        <v>1.2880309E7</v>
      </c>
      <c r="F407" s="3">
        <v>6751769.0</v>
      </c>
      <c r="G407" s="3">
        <v>1.2896736E7</v>
      </c>
      <c r="H407" s="3">
        <v>6764855.0</v>
      </c>
    </row>
    <row r="408">
      <c r="D408" s="30" t="s">
        <v>428</v>
      </c>
      <c r="E408" s="3">
        <v>1.2298289E7</v>
      </c>
      <c r="F408" s="3">
        <v>6697104.0</v>
      </c>
      <c r="G408" s="3">
        <v>1.2312145E7</v>
      </c>
      <c r="H408" s="3">
        <v>6672802.0</v>
      </c>
    </row>
    <row r="409">
      <c r="D409" s="30" t="s">
        <v>429</v>
      </c>
      <c r="E409" s="3">
        <v>7613934.0</v>
      </c>
      <c r="F409" s="3">
        <v>6586176.0</v>
      </c>
      <c r="G409" s="3">
        <v>7716333.0</v>
      </c>
      <c r="H409" s="3">
        <v>6584440.0</v>
      </c>
    </row>
    <row r="410">
      <c r="D410" s="30" t="s">
        <v>430</v>
      </c>
      <c r="E410" s="3">
        <v>1920322.0</v>
      </c>
      <c r="F410" s="3">
        <v>6418594.0</v>
      </c>
      <c r="G410" s="3">
        <v>1918971.0</v>
      </c>
      <c r="H410" s="3">
        <v>6412898.0</v>
      </c>
    </row>
    <row r="411">
      <c r="D411" s="30" t="s">
        <v>431</v>
      </c>
      <c r="E411" s="3">
        <v>1138451.0</v>
      </c>
      <c r="F411" s="3">
        <v>6393124.0</v>
      </c>
      <c r="G411" s="3">
        <v>1136388.0</v>
      </c>
      <c r="H411" s="3">
        <v>6360676.0</v>
      </c>
    </row>
    <row r="412">
      <c r="D412" s="30" t="s">
        <v>432</v>
      </c>
      <c r="E412" s="3">
        <v>743739.0</v>
      </c>
      <c r="F412" s="3">
        <v>6359145.0</v>
      </c>
      <c r="G412" s="3">
        <v>741124.0</v>
      </c>
      <c r="H412" s="3">
        <v>6353926.0</v>
      </c>
    </row>
    <row r="413">
      <c r="D413" s="30" t="s">
        <v>433</v>
      </c>
      <c r="E413" s="3">
        <v>547034.0</v>
      </c>
      <c r="F413" s="3">
        <v>6375415.0</v>
      </c>
      <c r="G413" s="3">
        <v>553195.0</v>
      </c>
      <c r="H413" s="3">
        <v>6376971.0</v>
      </c>
    </row>
    <row r="423">
      <c r="B423" s="3" t="s">
        <v>438</v>
      </c>
    </row>
    <row r="424">
      <c r="B424" s="3" t="s">
        <v>439</v>
      </c>
    </row>
    <row r="425">
      <c r="B425" s="3" t="s">
        <v>440</v>
      </c>
    </row>
    <row r="426">
      <c r="B426" s="3" t="s">
        <v>441</v>
      </c>
    </row>
    <row r="427">
      <c r="B427" s="3" t="s">
        <v>442</v>
      </c>
    </row>
    <row r="428">
      <c r="B428" s="3" t="s">
        <v>443</v>
      </c>
    </row>
    <row r="429">
      <c r="B429" s="3" t="s">
        <v>444</v>
      </c>
    </row>
    <row r="430">
      <c r="B430" s="3" t="s">
        <v>445</v>
      </c>
    </row>
    <row r="435">
      <c r="B435" s="3" t="s">
        <v>446</v>
      </c>
      <c r="C435" s="3" t="s">
        <v>447</v>
      </c>
      <c r="D435" s="3" t="s">
        <v>448</v>
      </c>
      <c r="E435" s="3" t="s">
        <v>449</v>
      </c>
      <c r="F435" s="67" t="s">
        <v>450</v>
      </c>
      <c r="G435" s="3" t="s">
        <v>366</v>
      </c>
      <c r="H435" s="3" t="s">
        <v>451</v>
      </c>
      <c r="I435" s="68" t="s">
        <v>452</v>
      </c>
    </row>
    <row r="436">
      <c r="B436" s="3">
        <v>1000000.0</v>
      </c>
      <c r="C436" s="30" t="s">
        <v>426</v>
      </c>
      <c r="D436" s="3">
        <v>1.2964628E7</v>
      </c>
      <c r="E436" s="3">
        <v>6820908.0</v>
      </c>
      <c r="F436" s="69"/>
      <c r="G436" s="30">
        <v>1.0E8</v>
      </c>
      <c r="I436" s="70">
        <f t="shared" ref="I436:I444" si="38">E436/G436</f>
        <v>0.06820908</v>
      </c>
    </row>
    <row r="437">
      <c r="C437" s="30" t="s">
        <v>427</v>
      </c>
      <c r="D437" s="3">
        <v>1.2898569E7</v>
      </c>
      <c r="E437" s="3">
        <v>6703624.0</v>
      </c>
      <c r="F437" s="69">
        <f t="shared" ref="F437:F444" si="39">E436-E437</f>
        <v>117284</v>
      </c>
      <c r="G437" s="30">
        <v>6250000.0</v>
      </c>
      <c r="H437" s="30">
        <f t="shared" ref="H437:H444" si="40">F437/G437</f>
        <v>0.01876544</v>
      </c>
      <c r="I437" s="70">
        <f t="shared" si="38"/>
        <v>1.07257984</v>
      </c>
    </row>
    <row r="438">
      <c r="C438" s="30" t="s">
        <v>428</v>
      </c>
      <c r="D438" s="3">
        <v>1.2317487E7</v>
      </c>
      <c r="E438" s="3">
        <v>6695137.0</v>
      </c>
      <c r="F438" s="69">
        <f t="shared" si="39"/>
        <v>8487</v>
      </c>
      <c r="G438" s="30">
        <v>3125000.0</v>
      </c>
      <c r="H438" s="30">
        <f t="shared" si="40"/>
        <v>0.00271584</v>
      </c>
      <c r="I438" s="70">
        <f t="shared" si="38"/>
        <v>2.14244384</v>
      </c>
    </row>
    <row r="439">
      <c r="B439" s="3"/>
      <c r="C439" s="30" t="s">
        <v>429</v>
      </c>
      <c r="D439" s="3">
        <v>7918190.0</v>
      </c>
      <c r="E439" s="3">
        <v>6619262.0</v>
      </c>
      <c r="F439" s="69">
        <f t="shared" si="39"/>
        <v>75875</v>
      </c>
      <c r="G439" s="30">
        <v>1562500.0</v>
      </c>
      <c r="H439" s="30">
        <f t="shared" si="40"/>
        <v>0.04856</v>
      </c>
      <c r="I439" s="70">
        <f t="shared" si="38"/>
        <v>4.23632768</v>
      </c>
    </row>
    <row r="440">
      <c r="C440" s="30" t="s">
        <v>430</v>
      </c>
      <c r="D440" s="3">
        <v>1933993.0</v>
      </c>
      <c r="E440" s="3">
        <v>6389246.0</v>
      </c>
      <c r="F440" s="69">
        <f t="shared" si="39"/>
        <v>230016</v>
      </c>
      <c r="G440" s="30">
        <v>781250.0</v>
      </c>
      <c r="H440" s="30">
        <f t="shared" si="40"/>
        <v>0.29442048</v>
      </c>
      <c r="I440" s="70">
        <f t="shared" si="38"/>
        <v>8.17823488</v>
      </c>
    </row>
    <row r="441">
      <c r="C441" s="30" t="s">
        <v>431</v>
      </c>
      <c r="D441" s="3">
        <v>1150569.0</v>
      </c>
      <c r="E441" s="3">
        <v>6350955.0</v>
      </c>
      <c r="F441" s="69">
        <f t="shared" si="39"/>
        <v>38291</v>
      </c>
      <c r="G441" s="30">
        <v>390625.0</v>
      </c>
      <c r="H441" s="30">
        <f t="shared" si="40"/>
        <v>0.09802496</v>
      </c>
      <c r="I441" s="70">
        <f t="shared" si="38"/>
        <v>16.2584448</v>
      </c>
    </row>
    <row r="442">
      <c r="C442" s="30" t="s">
        <v>432</v>
      </c>
      <c r="D442" s="3">
        <v>755827.0</v>
      </c>
      <c r="E442" s="3">
        <v>6343603.0</v>
      </c>
      <c r="F442" s="69">
        <f t="shared" si="39"/>
        <v>7352</v>
      </c>
      <c r="G442" s="30">
        <v>195312.5</v>
      </c>
      <c r="H442" s="30">
        <f t="shared" si="40"/>
        <v>0.03764224</v>
      </c>
      <c r="I442" s="70">
        <f t="shared" si="38"/>
        <v>32.47924736</v>
      </c>
    </row>
    <row r="443">
      <c r="C443" s="30" t="s">
        <v>433</v>
      </c>
      <c r="D443" s="3">
        <v>560343.0</v>
      </c>
      <c r="E443" s="3">
        <v>6374692.0</v>
      </c>
      <c r="F443" s="69">
        <f t="shared" si="39"/>
        <v>-31089</v>
      </c>
      <c r="G443" s="30">
        <v>97656.25</v>
      </c>
      <c r="H443" s="30">
        <f t="shared" si="40"/>
        <v>-0.31835136</v>
      </c>
      <c r="I443" s="70">
        <f t="shared" si="38"/>
        <v>65.27684608</v>
      </c>
    </row>
    <row r="444">
      <c r="C444" s="3" t="s">
        <v>453</v>
      </c>
      <c r="D444" s="71">
        <v>403956.0</v>
      </c>
      <c r="E444" s="71">
        <v>6348724.0</v>
      </c>
      <c r="F444" s="69">
        <f t="shared" si="39"/>
        <v>25968</v>
      </c>
      <c r="G444" s="30">
        <v>24414.0625</v>
      </c>
      <c r="H444" s="30">
        <f t="shared" si="40"/>
        <v>1.06364928</v>
      </c>
      <c r="I444" s="70">
        <f t="shared" si="38"/>
        <v>260.043735</v>
      </c>
    </row>
    <row r="445">
      <c r="F445" s="69"/>
      <c r="I445" s="70"/>
    </row>
    <row r="446">
      <c r="F446" s="69"/>
      <c r="I446" s="70"/>
    </row>
    <row r="447">
      <c r="F447" s="69"/>
      <c r="I447" s="70"/>
    </row>
    <row r="448">
      <c r="C448" s="3" t="s">
        <v>447</v>
      </c>
      <c r="D448" s="3" t="s">
        <v>448</v>
      </c>
      <c r="E448" s="3" t="s">
        <v>449</v>
      </c>
      <c r="F448" s="67" t="s">
        <v>450</v>
      </c>
      <c r="G448" s="3" t="s">
        <v>366</v>
      </c>
      <c r="I448" s="68" t="s">
        <v>452</v>
      </c>
    </row>
    <row r="449">
      <c r="C449" s="30" t="s">
        <v>426</v>
      </c>
      <c r="D449" s="3">
        <v>1304064.0</v>
      </c>
      <c r="E449" s="3">
        <v>994909.0</v>
      </c>
      <c r="F449" s="69"/>
      <c r="G449" s="30">
        <v>1.0E7</v>
      </c>
      <c r="I449" s="70">
        <f t="shared" ref="I449:I457" si="41">E449/G449</f>
        <v>0.0994909</v>
      </c>
    </row>
    <row r="450">
      <c r="C450" s="30" t="s">
        <v>427</v>
      </c>
      <c r="D450" s="3">
        <v>1301444.0</v>
      </c>
      <c r="E450" s="3">
        <v>997899.0</v>
      </c>
      <c r="F450" s="69">
        <f t="shared" ref="F450:F457" si="42">E449-E450</f>
        <v>-2990</v>
      </c>
      <c r="G450" s="30">
        <v>625000.0</v>
      </c>
      <c r="H450" s="30">
        <f t="shared" ref="H450:H457" si="43">F450/G450</f>
        <v>-0.004784</v>
      </c>
      <c r="I450" s="70">
        <f t="shared" si="41"/>
        <v>1.5966384</v>
      </c>
    </row>
    <row r="451">
      <c r="B451" s="3" t="s">
        <v>454</v>
      </c>
      <c r="C451" s="30" t="s">
        <v>428</v>
      </c>
      <c r="D451" s="3">
        <v>1272502.0</v>
      </c>
      <c r="E451" s="3">
        <v>919311.0</v>
      </c>
      <c r="F451" s="69">
        <f t="shared" si="42"/>
        <v>78588</v>
      </c>
      <c r="G451" s="30">
        <v>312500.0</v>
      </c>
      <c r="H451" s="30">
        <f t="shared" si="43"/>
        <v>0.2514816</v>
      </c>
      <c r="I451" s="70">
        <f t="shared" si="41"/>
        <v>2.9417952</v>
      </c>
    </row>
    <row r="452">
      <c r="C452" s="30" t="s">
        <v>429</v>
      </c>
      <c r="D452" s="3">
        <v>783846.0</v>
      </c>
      <c r="E452" s="3">
        <v>812996.0</v>
      </c>
      <c r="F452" s="69">
        <f t="shared" si="42"/>
        <v>106315</v>
      </c>
      <c r="G452" s="30">
        <v>156250.0</v>
      </c>
      <c r="H452" s="30">
        <f t="shared" si="43"/>
        <v>0.680416</v>
      </c>
      <c r="I452" s="70">
        <f t="shared" si="41"/>
        <v>5.2031744</v>
      </c>
    </row>
    <row r="453">
      <c r="C453" s="30" t="s">
        <v>430</v>
      </c>
      <c r="D453" s="3">
        <v>197193.0</v>
      </c>
      <c r="E453" s="3">
        <v>646397.0</v>
      </c>
      <c r="F453" s="69">
        <f t="shared" si="42"/>
        <v>166599</v>
      </c>
      <c r="G453" s="30">
        <v>78125.0</v>
      </c>
      <c r="H453" s="30">
        <f t="shared" si="43"/>
        <v>2.1324672</v>
      </c>
      <c r="I453" s="70">
        <f t="shared" si="41"/>
        <v>8.2738816</v>
      </c>
    </row>
    <row r="454">
      <c r="C454" s="30" t="s">
        <v>431</v>
      </c>
      <c r="D454" s="3">
        <v>116442.0</v>
      </c>
      <c r="E454" s="3">
        <v>613638.0</v>
      </c>
      <c r="F454" s="69">
        <f t="shared" si="42"/>
        <v>32759</v>
      </c>
      <c r="G454" s="30">
        <v>39062.5</v>
      </c>
      <c r="H454" s="30">
        <f t="shared" si="43"/>
        <v>0.8386304</v>
      </c>
      <c r="I454" s="70">
        <f t="shared" si="41"/>
        <v>15.7091328</v>
      </c>
    </row>
    <row r="455">
      <c r="C455" s="30" t="s">
        <v>432</v>
      </c>
      <c r="D455" s="3">
        <v>77576.0</v>
      </c>
      <c r="E455" s="3">
        <v>616647.0</v>
      </c>
      <c r="F455" s="69">
        <f t="shared" si="42"/>
        <v>-3009</v>
      </c>
      <c r="G455" s="30">
        <v>19531.25</v>
      </c>
      <c r="H455" s="30">
        <f t="shared" si="43"/>
        <v>-0.1540608</v>
      </c>
      <c r="I455" s="70">
        <f t="shared" si="41"/>
        <v>31.5723264</v>
      </c>
    </row>
    <row r="456">
      <c r="C456" s="30" t="s">
        <v>433</v>
      </c>
      <c r="D456" s="3">
        <v>53548.0</v>
      </c>
      <c r="E456" s="3">
        <v>585049.0</v>
      </c>
      <c r="F456" s="69">
        <f t="shared" si="42"/>
        <v>31598</v>
      </c>
      <c r="G456" s="30">
        <v>9765.625</v>
      </c>
      <c r="H456" s="30">
        <f t="shared" si="43"/>
        <v>3.2356352</v>
      </c>
      <c r="I456" s="70">
        <f t="shared" si="41"/>
        <v>59.9090176</v>
      </c>
    </row>
    <row r="457">
      <c r="C457" s="30" t="s">
        <v>453</v>
      </c>
      <c r="D457" s="3">
        <v>39285.0</v>
      </c>
      <c r="E457" s="3">
        <v>586651.0</v>
      </c>
      <c r="F457" s="69">
        <f t="shared" si="42"/>
        <v>-1602</v>
      </c>
      <c r="G457" s="30">
        <v>2441.40625</v>
      </c>
      <c r="H457" s="30">
        <f t="shared" si="43"/>
        <v>-0.6561792</v>
      </c>
      <c r="I457" s="70">
        <f t="shared" si="41"/>
        <v>240.2922496</v>
      </c>
    </row>
    <row r="458">
      <c r="F458" s="69"/>
      <c r="I458" s="70"/>
    </row>
    <row r="459">
      <c r="F459" s="69"/>
      <c r="I459" s="70"/>
    </row>
    <row r="460">
      <c r="F460" s="69"/>
      <c r="I460" s="70"/>
    </row>
    <row r="461">
      <c r="F461" s="69"/>
      <c r="I461" s="70"/>
    </row>
    <row r="462">
      <c r="F462" s="69"/>
      <c r="I462" s="70"/>
    </row>
    <row r="463">
      <c r="F463" s="69"/>
      <c r="I463" s="70"/>
    </row>
    <row r="464">
      <c r="C464" s="3" t="s">
        <v>447</v>
      </c>
      <c r="D464" s="3" t="s">
        <v>448</v>
      </c>
      <c r="E464" s="3" t="s">
        <v>449</v>
      </c>
      <c r="F464" s="67" t="s">
        <v>450</v>
      </c>
      <c r="G464" s="3" t="s">
        <v>366</v>
      </c>
      <c r="I464" s="68" t="s">
        <v>452</v>
      </c>
    </row>
    <row r="465">
      <c r="C465" s="30" t="s">
        <v>426</v>
      </c>
      <c r="D465" s="3">
        <v>136249.0</v>
      </c>
      <c r="E465" s="3">
        <v>162886.0</v>
      </c>
      <c r="F465" s="69"/>
      <c r="G465" s="30">
        <v>1000000.0</v>
      </c>
      <c r="I465" s="70">
        <f t="shared" ref="I465:I473" si="44">E465/G465</f>
        <v>0.162886</v>
      </c>
    </row>
    <row r="466">
      <c r="C466" s="30" t="s">
        <v>427</v>
      </c>
      <c r="D466" s="3">
        <v>157107.0</v>
      </c>
      <c r="E466" s="3">
        <v>163497.0</v>
      </c>
      <c r="F466" s="69">
        <f t="shared" ref="F466:F473" si="45">E465-E466</f>
        <v>-611</v>
      </c>
      <c r="G466" s="30">
        <v>62500.0</v>
      </c>
      <c r="H466" s="30">
        <f t="shared" ref="H466:H473" si="46">F466/G466</f>
        <v>-0.009776</v>
      </c>
      <c r="I466" s="70">
        <f t="shared" si="44"/>
        <v>2.615952</v>
      </c>
    </row>
    <row r="467">
      <c r="C467" s="30" t="s">
        <v>428</v>
      </c>
      <c r="D467" s="3">
        <v>130117.0</v>
      </c>
      <c r="E467" s="3">
        <v>155821.0</v>
      </c>
      <c r="F467" s="69">
        <f t="shared" si="45"/>
        <v>7676</v>
      </c>
      <c r="G467" s="30">
        <v>31250.0</v>
      </c>
      <c r="H467" s="30">
        <f t="shared" si="46"/>
        <v>0.245632</v>
      </c>
      <c r="I467" s="70">
        <f t="shared" si="44"/>
        <v>4.986272</v>
      </c>
    </row>
    <row r="468">
      <c r="B468" s="3" t="s">
        <v>455</v>
      </c>
      <c r="C468" s="30" t="s">
        <v>429</v>
      </c>
      <c r="D468" s="3">
        <v>67758.0</v>
      </c>
      <c r="E468" s="3">
        <v>109653.0</v>
      </c>
      <c r="F468" s="69">
        <f t="shared" si="45"/>
        <v>46168</v>
      </c>
      <c r="G468" s="30">
        <v>15625.0</v>
      </c>
      <c r="H468" s="30">
        <f t="shared" si="46"/>
        <v>2.954752</v>
      </c>
      <c r="I468" s="70">
        <f t="shared" si="44"/>
        <v>7.017792</v>
      </c>
    </row>
    <row r="469">
      <c r="C469" s="30" t="s">
        <v>430</v>
      </c>
      <c r="D469" s="3">
        <v>21317.0</v>
      </c>
      <c r="E469" s="3">
        <v>67650.0</v>
      </c>
      <c r="F469" s="69">
        <f t="shared" si="45"/>
        <v>42003</v>
      </c>
      <c r="G469" s="30">
        <v>7812.5</v>
      </c>
      <c r="H469" s="30">
        <f t="shared" si="46"/>
        <v>5.376384</v>
      </c>
      <c r="I469" s="70">
        <f t="shared" si="44"/>
        <v>8.6592</v>
      </c>
    </row>
    <row r="470">
      <c r="C470" s="30" t="s">
        <v>431</v>
      </c>
      <c r="D470" s="3">
        <v>13465.0</v>
      </c>
      <c r="E470" s="3">
        <v>60012.0</v>
      </c>
      <c r="F470" s="69">
        <f t="shared" si="45"/>
        <v>7638</v>
      </c>
      <c r="G470" s="30">
        <v>3906.25</v>
      </c>
      <c r="H470" s="30">
        <f t="shared" si="46"/>
        <v>1.955328</v>
      </c>
      <c r="I470" s="70">
        <f t="shared" si="44"/>
        <v>15.363072</v>
      </c>
    </row>
    <row r="471">
      <c r="C471" s="30" t="s">
        <v>432</v>
      </c>
      <c r="D471" s="3">
        <v>11371.0</v>
      </c>
      <c r="E471" s="3">
        <v>61888.0</v>
      </c>
      <c r="F471" s="69">
        <f t="shared" si="45"/>
        <v>-1876</v>
      </c>
      <c r="G471" s="30">
        <v>1953.125</v>
      </c>
      <c r="H471" s="30">
        <f t="shared" si="46"/>
        <v>-0.960512</v>
      </c>
      <c r="I471" s="70">
        <f t="shared" si="44"/>
        <v>31.686656</v>
      </c>
    </row>
    <row r="472">
      <c r="C472" s="30" t="s">
        <v>433</v>
      </c>
      <c r="D472" s="3">
        <v>7559.0</v>
      </c>
      <c r="E472" s="3">
        <v>54473.0</v>
      </c>
      <c r="F472" s="69">
        <f t="shared" si="45"/>
        <v>7415</v>
      </c>
      <c r="G472" s="30">
        <v>976.5625</v>
      </c>
      <c r="H472" s="30">
        <f t="shared" si="46"/>
        <v>7.59296</v>
      </c>
      <c r="I472" s="70">
        <f t="shared" si="44"/>
        <v>55.780352</v>
      </c>
    </row>
    <row r="473">
      <c r="C473" s="30" t="s">
        <v>453</v>
      </c>
      <c r="D473" s="3">
        <v>3686.0</v>
      </c>
      <c r="E473" s="3">
        <v>30076.0</v>
      </c>
      <c r="F473" s="69">
        <f t="shared" si="45"/>
        <v>24397</v>
      </c>
      <c r="G473" s="30">
        <v>244.140625</v>
      </c>
      <c r="H473" s="30">
        <f t="shared" si="46"/>
        <v>99.930112</v>
      </c>
      <c r="I473" s="70">
        <f t="shared" si="44"/>
        <v>123.191296</v>
      </c>
    </row>
    <row r="486">
      <c r="C486" s="3" t="s">
        <v>447</v>
      </c>
      <c r="D486" s="3" t="s">
        <v>448</v>
      </c>
      <c r="E486" s="3" t="s">
        <v>449</v>
      </c>
      <c r="F486" s="3" t="s">
        <v>450</v>
      </c>
    </row>
    <row r="487">
      <c r="C487" s="30" t="s">
        <v>426</v>
      </c>
      <c r="D487" s="3">
        <v>6.4770957E7</v>
      </c>
      <c r="E487" s="3">
        <v>3.2679485E7</v>
      </c>
    </row>
    <row r="488">
      <c r="C488" s="30" t="s">
        <v>427</v>
      </c>
      <c r="D488" s="3">
        <v>6.4490216E7</v>
      </c>
      <c r="E488" s="3">
        <v>3.2401385E7</v>
      </c>
      <c r="F488" s="30">
        <f t="shared" ref="F488:F495" si="47">E487-E488</f>
        <v>278100</v>
      </c>
    </row>
    <row r="489">
      <c r="C489" s="30" t="s">
        <v>428</v>
      </c>
      <c r="D489" s="3">
        <v>6.1535974E7</v>
      </c>
      <c r="E489" s="3">
        <v>3.2308152E7</v>
      </c>
      <c r="F489" s="30">
        <f t="shared" si="47"/>
        <v>93233</v>
      </c>
    </row>
    <row r="490">
      <c r="B490" s="3" t="s">
        <v>456</v>
      </c>
      <c r="C490" s="30" t="s">
        <v>429</v>
      </c>
      <c r="D490" s="3">
        <v>3.9576775E7</v>
      </c>
      <c r="E490" s="3">
        <v>3.2179478E7</v>
      </c>
      <c r="F490" s="30">
        <f t="shared" si="47"/>
        <v>128674</v>
      </c>
    </row>
    <row r="491">
      <c r="C491" s="30" t="s">
        <v>430</v>
      </c>
      <c r="D491" s="3">
        <v>9649711.0</v>
      </c>
      <c r="E491" s="3">
        <v>3.1972285E7</v>
      </c>
      <c r="F491" s="30">
        <f t="shared" si="47"/>
        <v>207193</v>
      </c>
    </row>
    <row r="492">
      <c r="C492" s="30" t="s">
        <v>431</v>
      </c>
      <c r="D492" s="3">
        <v>5724491.0</v>
      </c>
      <c r="E492" s="3">
        <v>3.1917865E7</v>
      </c>
      <c r="F492" s="30">
        <f t="shared" si="47"/>
        <v>54420</v>
      </c>
    </row>
    <row r="493">
      <c r="C493" s="30" t="s">
        <v>432</v>
      </c>
      <c r="D493" s="3">
        <v>3750736.0</v>
      </c>
      <c r="E493" s="3">
        <v>3.1899966E7</v>
      </c>
      <c r="F493" s="30">
        <f t="shared" si="47"/>
        <v>17899</v>
      </c>
    </row>
    <row r="494">
      <c r="C494" s="30" t="s">
        <v>433</v>
      </c>
      <c r="D494" s="3">
        <v>2773827.0</v>
      </c>
      <c r="E494" s="3">
        <v>3.189849E7</v>
      </c>
      <c r="F494" s="30">
        <f t="shared" si="47"/>
        <v>1476</v>
      </c>
    </row>
    <row r="495">
      <c r="C495" s="30" t="s">
        <v>453</v>
      </c>
      <c r="D495" s="3">
        <v>2041065.0</v>
      </c>
      <c r="E495" s="3">
        <v>3.1859008E7</v>
      </c>
      <c r="F495" s="30">
        <f t="shared" si="47"/>
        <v>39482</v>
      </c>
    </row>
    <row r="508">
      <c r="E508" s="3" t="s">
        <v>446</v>
      </c>
      <c r="F508" s="3" t="s">
        <v>454</v>
      </c>
      <c r="G508" s="3" t="s">
        <v>455</v>
      </c>
    </row>
    <row r="509">
      <c r="E509" s="30">
        <v>0.06820908</v>
      </c>
      <c r="F509" s="30">
        <v>0.0994909</v>
      </c>
      <c r="G509" s="30">
        <v>0.162886</v>
      </c>
    </row>
    <row r="510">
      <c r="E510" s="30">
        <v>1.07257984</v>
      </c>
      <c r="F510" s="30">
        <v>1.5966384</v>
      </c>
      <c r="G510" s="30">
        <v>2.615952</v>
      </c>
    </row>
    <row r="511">
      <c r="E511" s="30">
        <v>2.14244384</v>
      </c>
      <c r="F511" s="30">
        <v>2.9417952</v>
      </c>
      <c r="G511" s="30">
        <v>4.986272</v>
      </c>
    </row>
    <row r="512">
      <c r="E512" s="30">
        <v>4.23632768</v>
      </c>
      <c r="F512" s="30">
        <v>5.2031744</v>
      </c>
      <c r="G512" s="30">
        <v>7.017792</v>
      </c>
    </row>
    <row r="513">
      <c r="E513" s="30">
        <v>8.17823488</v>
      </c>
      <c r="F513" s="30">
        <v>8.2738816</v>
      </c>
      <c r="G513" s="30">
        <v>8.6592</v>
      </c>
    </row>
    <row r="514">
      <c r="E514" s="30">
        <v>16.2584448</v>
      </c>
      <c r="F514" s="30">
        <v>15.7091328</v>
      </c>
      <c r="G514" s="30">
        <v>15.363072</v>
      </c>
    </row>
    <row r="515">
      <c r="E515" s="30">
        <v>32.47924736</v>
      </c>
      <c r="F515" s="30">
        <v>31.5723264</v>
      </c>
      <c r="G515" s="30">
        <v>31.686656</v>
      </c>
    </row>
    <row r="516">
      <c r="E516" s="30">
        <v>65.27684608</v>
      </c>
      <c r="F516" s="30">
        <v>59.9090176</v>
      </c>
      <c r="G516" s="30">
        <v>55.780352</v>
      </c>
    </row>
    <row r="517">
      <c r="E517" s="30">
        <v>260.04373504</v>
      </c>
      <c r="F517" s="30">
        <v>240.2922496</v>
      </c>
      <c r="G517" s="30">
        <v>123.191296</v>
      </c>
    </row>
    <row r="519">
      <c r="E519" s="30" t="s">
        <v>426</v>
      </c>
      <c r="F519" s="30" t="s">
        <v>427</v>
      </c>
      <c r="G519" s="30" t="s">
        <v>428</v>
      </c>
      <c r="H519" s="30" t="s">
        <v>429</v>
      </c>
      <c r="I519" s="30" t="s">
        <v>430</v>
      </c>
      <c r="J519" s="30" t="s">
        <v>431</v>
      </c>
      <c r="K519" s="30" t="s">
        <v>432</v>
      </c>
      <c r="L519" s="30" t="s">
        <v>433</v>
      </c>
      <c r="M519" s="30" t="s">
        <v>453</v>
      </c>
    </row>
    <row r="520">
      <c r="D520" s="3" t="s">
        <v>446</v>
      </c>
      <c r="E520" s="30">
        <v>0.06820908</v>
      </c>
      <c r="F520" s="30">
        <v>1.07257984</v>
      </c>
      <c r="G520" s="30">
        <v>2.14244384</v>
      </c>
      <c r="H520" s="30">
        <v>4.23632768</v>
      </c>
      <c r="I520" s="30">
        <v>8.17823488</v>
      </c>
      <c r="J520" s="30">
        <v>16.2584448</v>
      </c>
      <c r="K520" s="30">
        <v>32.47924736</v>
      </c>
      <c r="L520" s="30">
        <v>65.27684608</v>
      </c>
      <c r="M520" s="30">
        <v>260.04373504</v>
      </c>
    </row>
    <row r="521">
      <c r="D521" s="3" t="s">
        <v>454</v>
      </c>
      <c r="E521" s="30">
        <v>0.0994909</v>
      </c>
      <c r="F521" s="30">
        <v>1.5966384</v>
      </c>
      <c r="G521" s="30">
        <v>2.9417952</v>
      </c>
      <c r="H521" s="30">
        <v>5.2031744</v>
      </c>
      <c r="I521" s="30">
        <v>8.2738816</v>
      </c>
      <c r="J521" s="30">
        <v>15.7091328</v>
      </c>
      <c r="K521" s="30">
        <v>31.5723264</v>
      </c>
      <c r="L521" s="30">
        <v>59.9090176</v>
      </c>
      <c r="M521" s="30">
        <v>240.2922496</v>
      </c>
    </row>
    <row r="522">
      <c r="D522" s="3" t="s">
        <v>455</v>
      </c>
      <c r="E522" s="30">
        <v>0.162886</v>
      </c>
      <c r="F522" s="30">
        <v>2.615952</v>
      </c>
      <c r="G522" s="30">
        <v>4.986272</v>
      </c>
      <c r="H522" s="30">
        <v>7.017792</v>
      </c>
      <c r="I522" s="30">
        <v>8.6592</v>
      </c>
      <c r="J522" s="30">
        <v>15.363072</v>
      </c>
      <c r="K522" s="30">
        <v>31.686656</v>
      </c>
      <c r="L522" s="30">
        <v>55.780352</v>
      </c>
      <c r="M522" s="30">
        <v>123.191296</v>
      </c>
    </row>
    <row r="545">
      <c r="A545" s="3" t="s">
        <v>457</v>
      </c>
      <c r="B545" s="3" t="s">
        <v>458</v>
      </c>
    </row>
    <row r="547">
      <c r="A547" s="3" t="s">
        <v>459</v>
      </c>
      <c r="C547" s="3" t="s">
        <v>324</v>
      </c>
      <c r="D547" s="3" t="s">
        <v>448</v>
      </c>
      <c r="E547" s="3" t="s">
        <v>449</v>
      </c>
      <c r="F547" s="3" t="s">
        <v>460</v>
      </c>
      <c r="G547" s="67" t="s">
        <v>461</v>
      </c>
      <c r="H547" s="3" t="s">
        <v>462</v>
      </c>
    </row>
    <row r="548">
      <c r="A548" s="3">
        <v>1000000.0</v>
      </c>
      <c r="B548" s="3" t="s">
        <v>463</v>
      </c>
      <c r="C548" s="3">
        <v>1.0</v>
      </c>
      <c r="D548" s="3">
        <v>132611.0</v>
      </c>
      <c r="E548" s="3">
        <v>166461.0</v>
      </c>
      <c r="F548" s="30">
        <f t="shared" ref="F548:F561" si="48">A548/C548</f>
        <v>1000000</v>
      </c>
      <c r="G548" s="69">
        <f t="shared" ref="G548:G561" si="49">D548/F548</f>
        <v>0.132611</v>
      </c>
      <c r="H548" s="30">
        <f t="shared" ref="H548:H561" si="50">E548/F548</f>
        <v>0.166461</v>
      </c>
    </row>
    <row r="549">
      <c r="A549" s="3">
        <v>1000000.0</v>
      </c>
      <c r="B549" s="3" t="s">
        <v>463</v>
      </c>
      <c r="C549" s="3">
        <v>2.0</v>
      </c>
      <c r="D549" s="3">
        <v>131213.0</v>
      </c>
      <c r="E549" s="3">
        <v>164653.0</v>
      </c>
      <c r="F549" s="30">
        <f t="shared" si="48"/>
        <v>500000</v>
      </c>
      <c r="G549" s="69">
        <f t="shared" si="49"/>
        <v>0.262426</v>
      </c>
      <c r="H549" s="30">
        <f t="shared" si="50"/>
        <v>0.329306</v>
      </c>
    </row>
    <row r="550">
      <c r="A550" s="3">
        <v>1000000.0</v>
      </c>
      <c r="B550" s="3" t="s">
        <v>463</v>
      </c>
      <c r="C550" s="3">
        <v>4.0</v>
      </c>
      <c r="D550" s="3">
        <v>130325.0</v>
      </c>
      <c r="E550" s="3">
        <v>163595.0</v>
      </c>
      <c r="F550" s="30">
        <f t="shared" si="48"/>
        <v>250000</v>
      </c>
      <c r="G550" s="69">
        <f t="shared" si="49"/>
        <v>0.5213</v>
      </c>
      <c r="H550" s="30">
        <f t="shared" si="50"/>
        <v>0.65438</v>
      </c>
    </row>
    <row r="551">
      <c r="A551" s="3">
        <v>1000000.0</v>
      </c>
      <c r="B551" s="3" t="s">
        <v>463</v>
      </c>
      <c r="C551" s="3">
        <v>8.0</v>
      </c>
      <c r="D551" s="3">
        <v>130029.0</v>
      </c>
      <c r="E551" s="3">
        <v>168479.0</v>
      </c>
      <c r="F551" s="30">
        <f t="shared" si="48"/>
        <v>125000</v>
      </c>
      <c r="G551" s="69">
        <f t="shared" si="49"/>
        <v>1.040232</v>
      </c>
      <c r="H551" s="30">
        <f t="shared" si="50"/>
        <v>1.347832</v>
      </c>
    </row>
    <row r="552">
      <c r="A552" s="3">
        <v>1000000.0</v>
      </c>
      <c r="B552" s="3" t="s">
        <v>463</v>
      </c>
      <c r="C552" s="3">
        <v>16.0</v>
      </c>
      <c r="D552" s="3">
        <v>129892.0</v>
      </c>
      <c r="E552" s="3">
        <v>166162.0</v>
      </c>
      <c r="F552" s="30">
        <f t="shared" si="48"/>
        <v>62500</v>
      </c>
      <c r="G552" s="69">
        <f t="shared" si="49"/>
        <v>2.078272</v>
      </c>
      <c r="H552" s="30">
        <f t="shared" si="50"/>
        <v>2.658592</v>
      </c>
    </row>
    <row r="553">
      <c r="A553" s="3">
        <v>1000000.0</v>
      </c>
      <c r="B553" s="3" t="s">
        <v>463</v>
      </c>
      <c r="C553" s="3">
        <v>32.0</v>
      </c>
      <c r="D553" s="3">
        <v>71091.0</v>
      </c>
      <c r="E553" s="3">
        <v>112064.0</v>
      </c>
      <c r="F553" s="30">
        <f t="shared" si="48"/>
        <v>31250</v>
      </c>
      <c r="G553" s="69">
        <f t="shared" si="49"/>
        <v>2.274912</v>
      </c>
      <c r="H553" s="30">
        <f t="shared" si="50"/>
        <v>3.586048</v>
      </c>
    </row>
    <row r="554">
      <c r="A554" s="3">
        <v>1000000.0</v>
      </c>
      <c r="B554" s="3" t="s">
        <v>463</v>
      </c>
      <c r="C554" s="3">
        <v>64.0</v>
      </c>
      <c r="D554" s="3">
        <v>37167.0</v>
      </c>
      <c r="E554" s="3">
        <v>85477.0</v>
      </c>
      <c r="F554" s="30">
        <f t="shared" si="48"/>
        <v>15625</v>
      </c>
      <c r="G554" s="69">
        <f t="shared" si="49"/>
        <v>2.378688</v>
      </c>
      <c r="H554" s="30">
        <f t="shared" si="50"/>
        <v>5.470528</v>
      </c>
    </row>
    <row r="555">
      <c r="A555" s="3">
        <v>1000000.0</v>
      </c>
      <c r="B555" s="3" t="s">
        <v>463</v>
      </c>
      <c r="C555" s="3">
        <v>128.0</v>
      </c>
      <c r="D555" s="3">
        <v>20449.0</v>
      </c>
      <c r="E555" s="3">
        <v>66005.0</v>
      </c>
      <c r="F555" s="30">
        <f t="shared" si="48"/>
        <v>7812.5</v>
      </c>
      <c r="G555" s="69">
        <f t="shared" si="49"/>
        <v>2.617472</v>
      </c>
      <c r="H555" s="30">
        <f t="shared" si="50"/>
        <v>8.44864</v>
      </c>
    </row>
    <row r="556">
      <c r="A556" s="3">
        <v>1000000.0</v>
      </c>
      <c r="B556" s="3" t="s">
        <v>463</v>
      </c>
      <c r="C556" s="3">
        <v>256.0</v>
      </c>
      <c r="D556" s="3">
        <v>12634.0</v>
      </c>
      <c r="E556" s="3">
        <v>61501.0</v>
      </c>
      <c r="F556" s="30">
        <f t="shared" si="48"/>
        <v>3906.25</v>
      </c>
      <c r="G556" s="69">
        <f t="shared" si="49"/>
        <v>3.234304</v>
      </c>
      <c r="H556" s="30">
        <f t="shared" si="50"/>
        <v>15.744256</v>
      </c>
    </row>
    <row r="557">
      <c r="A557" s="3">
        <v>1000000.0</v>
      </c>
      <c r="B557" s="3" t="s">
        <v>463</v>
      </c>
      <c r="C557" s="3">
        <v>512.0</v>
      </c>
      <c r="D557" s="3">
        <v>8671.0</v>
      </c>
      <c r="E557" s="3">
        <v>62075.0</v>
      </c>
      <c r="F557" s="30">
        <f t="shared" si="48"/>
        <v>1953.125</v>
      </c>
      <c r="G557" s="69">
        <f t="shared" si="49"/>
        <v>4.439552</v>
      </c>
      <c r="H557" s="30">
        <f t="shared" si="50"/>
        <v>31.7824</v>
      </c>
      <c r="J557" s="3" t="s">
        <v>324</v>
      </c>
      <c r="K557" s="3" t="s">
        <v>464</v>
      </c>
      <c r="L557" s="3" t="s">
        <v>465</v>
      </c>
      <c r="M557" s="3" t="s">
        <v>466</v>
      </c>
      <c r="N557" s="3" t="s">
        <v>467</v>
      </c>
      <c r="O557" s="3" t="s">
        <v>468</v>
      </c>
      <c r="P557" s="3" t="s">
        <v>469</v>
      </c>
      <c r="Q557" s="3" t="s">
        <v>470</v>
      </c>
    </row>
    <row r="558">
      <c r="A558" s="3">
        <v>1000000.0</v>
      </c>
      <c r="B558" s="3" t="s">
        <v>463</v>
      </c>
      <c r="C558" s="3">
        <v>1024.0</v>
      </c>
      <c r="D558" s="3">
        <v>6852.0</v>
      </c>
      <c r="E558" s="3">
        <v>55409.0</v>
      </c>
      <c r="F558" s="30">
        <f t="shared" si="48"/>
        <v>976.5625</v>
      </c>
      <c r="G558" s="69">
        <f t="shared" si="49"/>
        <v>7.016448</v>
      </c>
      <c r="H558" s="30">
        <f t="shared" si="50"/>
        <v>56.738816</v>
      </c>
      <c r="J558" s="30" t="s">
        <v>426</v>
      </c>
      <c r="K558" s="3">
        <v>0.0625</v>
      </c>
      <c r="L558" s="30">
        <v>0.166461</v>
      </c>
      <c r="M558" s="30">
        <v>0.1327854</v>
      </c>
      <c r="N558" s="30">
        <v>0.0983409</v>
      </c>
      <c r="O558" s="30">
        <v>0.07237876</v>
      </c>
      <c r="P558" s="30">
        <v>0.06912853</v>
      </c>
      <c r="Q558" s="30">
        <v>0.066647632</v>
      </c>
    </row>
    <row r="559">
      <c r="A559" s="3">
        <v>1000000.0</v>
      </c>
      <c r="B559" s="3" t="s">
        <v>463</v>
      </c>
      <c r="C559" s="3">
        <v>2048.0</v>
      </c>
      <c r="D559" s="3">
        <v>4319.0</v>
      </c>
      <c r="E559" s="3">
        <v>41428.0</v>
      </c>
      <c r="F559" s="30">
        <f t="shared" si="48"/>
        <v>488.28125</v>
      </c>
      <c r="G559" s="69">
        <f t="shared" si="49"/>
        <v>8.845312</v>
      </c>
      <c r="H559" s="30">
        <f t="shared" si="50"/>
        <v>84.844544</v>
      </c>
      <c r="J559" s="30" t="s">
        <v>471</v>
      </c>
      <c r="K559" s="3">
        <v>0.125</v>
      </c>
      <c r="L559" s="30">
        <v>0.329306</v>
      </c>
      <c r="M559" s="30">
        <v>0.2641808</v>
      </c>
      <c r="N559" s="30">
        <v>0.195646</v>
      </c>
      <c r="O559" s="30">
        <v>0.14463236</v>
      </c>
      <c r="P559" s="30">
        <v>0.13749948</v>
      </c>
      <c r="Q559" s="30">
        <v>0.132405992</v>
      </c>
    </row>
    <row r="560">
      <c r="A560" s="3">
        <v>1000000.0</v>
      </c>
      <c r="B560" s="3" t="s">
        <v>463</v>
      </c>
      <c r="C560" s="3">
        <v>4096.0</v>
      </c>
      <c r="D560" s="3">
        <v>3320.0</v>
      </c>
      <c r="E560" s="3">
        <v>32723.0</v>
      </c>
      <c r="F560" s="30">
        <f t="shared" si="48"/>
        <v>244.140625</v>
      </c>
      <c r="G560" s="69">
        <f t="shared" si="49"/>
        <v>13.59872</v>
      </c>
      <c r="H560" s="30">
        <f t="shared" si="50"/>
        <v>134.033408</v>
      </c>
      <c r="J560" s="30" t="s">
        <v>472</v>
      </c>
      <c r="K560" s="3">
        <v>0.25</v>
      </c>
      <c r="L560" s="30">
        <v>0.65438</v>
      </c>
      <c r="M560" s="30">
        <v>0.5240584</v>
      </c>
      <c r="N560" s="30">
        <v>0.387234</v>
      </c>
      <c r="O560" s="30">
        <v>0.2845564</v>
      </c>
      <c r="P560" s="30">
        <v>0.27172</v>
      </c>
      <c r="Q560" s="30">
        <v>0.261445536</v>
      </c>
    </row>
    <row r="561">
      <c r="A561" s="3">
        <v>1000000.0</v>
      </c>
      <c r="B561" s="3" t="s">
        <v>463</v>
      </c>
      <c r="C561" s="3">
        <v>8192.0</v>
      </c>
      <c r="D561" s="3">
        <v>2831.0</v>
      </c>
      <c r="E561" s="3">
        <v>32047.0</v>
      </c>
      <c r="F561" s="30">
        <f t="shared" si="48"/>
        <v>122.0703125</v>
      </c>
      <c r="G561" s="69">
        <f t="shared" si="49"/>
        <v>23.191552</v>
      </c>
      <c r="H561" s="30">
        <f t="shared" si="50"/>
        <v>262.529024</v>
      </c>
      <c r="J561" s="30" t="s">
        <v>473</v>
      </c>
      <c r="K561" s="3">
        <v>0.5</v>
      </c>
      <c r="L561" s="30">
        <v>1.347832</v>
      </c>
      <c r="M561" s="30">
        <v>1.04644</v>
      </c>
      <c r="N561" s="30">
        <v>0.7677968</v>
      </c>
      <c r="O561" s="30">
        <v>0.56630768</v>
      </c>
      <c r="P561" s="30">
        <v>0.5406148</v>
      </c>
      <c r="Q561" s="30">
        <v>0.520174736</v>
      </c>
    </row>
    <row r="562">
      <c r="F562" s="3"/>
      <c r="G562" s="3"/>
      <c r="H562" s="3"/>
      <c r="J562" s="30" t="s">
        <v>427</v>
      </c>
      <c r="K562" s="3">
        <v>1.0</v>
      </c>
      <c r="L562" s="30">
        <v>2.658592</v>
      </c>
      <c r="M562" s="30">
        <v>2.0754176</v>
      </c>
      <c r="N562" s="30">
        <v>1.537888</v>
      </c>
      <c r="O562" s="30">
        <v>1.13114944</v>
      </c>
      <c r="P562" s="30">
        <v>1.07887184</v>
      </c>
      <c r="Q562" s="30">
        <v>1.038917472</v>
      </c>
    </row>
    <row r="563">
      <c r="A563" s="3" t="s">
        <v>459</v>
      </c>
      <c r="C563" s="3" t="s">
        <v>324</v>
      </c>
      <c r="D563" s="3" t="s">
        <v>448</v>
      </c>
      <c r="E563" s="3" t="s">
        <v>449</v>
      </c>
      <c r="F563" s="3" t="s">
        <v>460</v>
      </c>
      <c r="G563" s="3" t="s">
        <v>461</v>
      </c>
      <c r="H563" s="3" t="s">
        <v>462</v>
      </c>
      <c r="J563" s="30" t="s">
        <v>428</v>
      </c>
      <c r="K563" s="3">
        <v>2.0</v>
      </c>
      <c r="L563" s="30">
        <v>3.586048</v>
      </c>
      <c r="M563" s="30">
        <v>3.0848064</v>
      </c>
      <c r="N563" s="30">
        <v>2.556752</v>
      </c>
      <c r="O563" s="30">
        <v>2.14046336</v>
      </c>
      <c r="P563" s="30">
        <v>2.09896032</v>
      </c>
      <c r="Q563" s="30">
        <v>2.05832544</v>
      </c>
    </row>
    <row r="564">
      <c r="A564" s="3">
        <v>5000000.0</v>
      </c>
      <c r="B564" s="3" t="s">
        <v>463</v>
      </c>
      <c r="C564" s="3">
        <v>1.0</v>
      </c>
      <c r="D564" s="3">
        <v>659271.0</v>
      </c>
      <c r="E564" s="3">
        <v>663927.0</v>
      </c>
      <c r="F564" s="30">
        <f t="shared" ref="F564:F577" si="51">A564/C564</f>
        <v>5000000</v>
      </c>
      <c r="G564" s="30">
        <f t="shared" ref="G564:G577" si="52">D564/F564</f>
        <v>0.1318542</v>
      </c>
      <c r="H564" s="30">
        <f t="shared" ref="H564:H577" si="53">E564/F564</f>
        <v>0.1327854</v>
      </c>
      <c r="J564" s="30" t="s">
        <v>429</v>
      </c>
      <c r="K564" s="3">
        <v>4.0</v>
      </c>
      <c r="L564" s="30">
        <v>5.470528</v>
      </c>
      <c r="M564" s="30">
        <v>4.8928512</v>
      </c>
      <c r="N564" s="30">
        <v>4.5776896</v>
      </c>
      <c r="O564" s="30">
        <v>4.16005888</v>
      </c>
      <c r="P564" s="30">
        <v>4.12531264</v>
      </c>
      <c r="Q564" s="30">
        <v>4.098895616</v>
      </c>
    </row>
    <row r="565">
      <c r="A565" s="3">
        <v>5000000.0</v>
      </c>
      <c r="B565" s="3" t="s">
        <v>463</v>
      </c>
      <c r="C565" s="3">
        <v>2.0</v>
      </c>
      <c r="D565" s="3">
        <v>652357.0</v>
      </c>
      <c r="E565" s="3">
        <v>660452.0</v>
      </c>
      <c r="F565" s="30">
        <f t="shared" si="51"/>
        <v>2500000</v>
      </c>
      <c r="G565" s="30">
        <f t="shared" si="52"/>
        <v>0.2609428</v>
      </c>
      <c r="H565" s="30">
        <f t="shared" si="53"/>
        <v>0.2641808</v>
      </c>
      <c r="J565" s="30" t="s">
        <v>430</v>
      </c>
      <c r="K565" s="3">
        <v>8.0</v>
      </c>
      <c r="L565" s="30">
        <v>8.44864</v>
      </c>
      <c r="M565" s="30">
        <v>8.2267648</v>
      </c>
      <c r="N565" s="30">
        <v>8.5966976</v>
      </c>
      <c r="O565" s="30">
        <v>8.23188992</v>
      </c>
      <c r="P565" s="30">
        <v>8.2458368</v>
      </c>
      <c r="Q565" s="30">
        <v>8.187396352</v>
      </c>
    </row>
    <row r="566">
      <c r="A566" s="3">
        <v>5000000.0</v>
      </c>
      <c r="B566" s="3" t="s">
        <v>463</v>
      </c>
      <c r="C566" s="3">
        <v>4.0</v>
      </c>
      <c r="D566" s="3">
        <v>648323.0</v>
      </c>
      <c r="E566" s="3">
        <v>655073.0</v>
      </c>
      <c r="F566" s="30">
        <f t="shared" si="51"/>
        <v>1250000</v>
      </c>
      <c r="G566" s="30">
        <f t="shared" si="52"/>
        <v>0.5186584</v>
      </c>
      <c r="H566" s="30">
        <f t="shared" si="53"/>
        <v>0.5240584</v>
      </c>
      <c r="J566" s="30" t="s">
        <v>431</v>
      </c>
      <c r="K566" s="3">
        <v>16.0</v>
      </c>
      <c r="L566" s="30">
        <v>15.744256</v>
      </c>
      <c r="M566" s="30">
        <v>16.8759808</v>
      </c>
      <c r="N566" s="30">
        <v>16.6245888</v>
      </c>
      <c r="O566" s="30">
        <v>16.33906688</v>
      </c>
      <c r="P566" s="30">
        <v>16.27588608</v>
      </c>
      <c r="Q566" s="30">
        <v>16.3540992</v>
      </c>
    </row>
    <row r="567">
      <c r="A567" s="3">
        <v>5000000.0</v>
      </c>
      <c r="B567" s="3" t="s">
        <v>463</v>
      </c>
      <c r="C567" s="3">
        <v>8.0</v>
      </c>
      <c r="D567" s="3">
        <v>647808.0</v>
      </c>
      <c r="E567" s="3">
        <v>654025.0</v>
      </c>
      <c r="F567" s="30">
        <f t="shared" si="51"/>
        <v>625000</v>
      </c>
      <c r="G567" s="30">
        <f t="shared" si="52"/>
        <v>1.0364928</v>
      </c>
      <c r="H567" s="30">
        <f t="shared" si="53"/>
        <v>1.04644</v>
      </c>
      <c r="J567" s="30" t="s">
        <v>432</v>
      </c>
      <c r="K567" s="3">
        <v>32.0</v>
      </c>
      <c r="L567" s="30">
        <v>31.7824</v>
      </c>
      <c r="M567" s="30">
        <v>30.2493696</v>
      </c>
      <c r="N567" s="30">
        <v>32.6404608</v>
      </c>
      <c r="O567" s="30">
        <v>32.34254848</v>
      </c>
      <c r="P567" s="30">
        <v>32.65256448</v>
      </c>
      <c r="Q567" s="30">
        <v>32.671804416</v>
      </c>
    </row>
    <row r="568">
      <c r="A568" s="3">
        <v>5000000.0</v>
      </c>
      <c r="B568" s="3" t="s">
        <v>463</v>
      </c>
      <c r="C568" s="3">
        <v>16.0</v>
      </c>
      <c r="D568" s="3">
        <v>645810.0</v>
      </c>
      <c r="E568" s="3">
        <v>648568.0</v>
      </c>
      <c r="F568" s="30">
        <f t="shared" si="51"/>
        <v>312500</v>
      </c>
      <c r="G568" s="30">
        <f t="shared" si="52"/>
        <v>2.066592</v>
      </c>
      <c r="H568" s="30">
        <f t="shared" si="53"/>
        <v>2.0754176</v>
      </c>
      <c r="J568" s="30" t="s">
        <v>433</v>
      </c>
      <c r="K568" s="3">
        <v>64.0</v>
      </c>
      <c r="L568" s="30">
        <v>56.738816</v>
      </c>
      <c r="M568" s="30">
        <v>57.7087488</v>
      </c>
      <c r="N568" s="30">
        <v>64.9302016</v>
      </c>
      <c r="O568" s="30">
        <v>64.9484288</v>
      </c>
      <c r="P568" s="30">
        <v>65.06361856</v>
      </c>
      <c r="Q568" s="30">
        <v>65.3535744</v>
      </c>
    </row>
    <row r="569">
      <c r="A569" s="3">
        <v>5000000.0</v>
      </c>
      <c r="B569" s="3" t="s">
        <v>463</v>
      </c>
      <c r="C569" s="3">
        <v>32.0</v>
      </c>
      <c r="D569" s="3">
        <v>333065.0</v>
      </c>
      <c r="E569" s="3">
        <v>482001.0</v>
      </c>
      <c r="F569" s="30">
        <f t="shared" si="51"/>
        <v>156250</v>
      </c>
      <c r="G569" s="30">
        <f t="shared" si="52"/>
        <v>2.131616</v>
      </c>
      <c r="H569" s="30">
        <f t="shared" si="53"/>
        <v>3.0848064</v>
      </c>
      <c r="J569" s="30" t="s">
        <v>474</v>
      </c>
      <c r="K569" s="3">
        <v>128.0</v>
      </c>
      <c r="L569" s="30">
        <v>84.844544</v>
      </c>
      <c r="M569" s="30">
        <v>105.394176</v>
      </c>
      <c r="N569" s="30">
        <v>124.5165568</v>
      </c>
      <c r="O569" s="30">
        <v>129.38797056</v>
      </c>
      <c r="P569" s="30">
        <v>129.7343488</v>
      </c>
      <c r="Q569" s="30">
        <v>130.584498176</v>
      </c>
    </row>
    <row r="570">
      <c r="A570" s="3">
        <v>5000000.0</v>
      </c>
      <c r="B570" s="3" t="s">
        <v>463</v>
      </c>
      <c r="C570" s="3">
        <v>64.0</v>
      </c>
      <c r="D570" s="3">
        <v>177616.0</v>
      </c>
      <c r="E570" s="3">
        <v>382254.0</v>
      </c>
      <c r="F570" s="30">
        <f t="shared" si="51"/>
        <v>78125</v>
      </c>
      <c r="G570" s="30">
        <f t="shared" si="52"/>
        <v>2.2734848</v>
      </c>
      <c r="H570" s="30">
        <f t="shared" si="53"/>
        <v>4.8928512</v>
      </c>
      <c r="J570" s="30" t="s">
        <v>453</v>
      </c>
      <c r="K570" s="3">
        <v>256.0</v>
      </c>
      <c r="L570" s="30">
        <v>134.033408</v>
      </c>
      <c r="M570" s="30">
        <v>214.3084544</v>
      </c>
      <c r="N570" s="30">
        <v>245.6375296</v>
      </c>
      <c r="O570" s="30">
        <v>254.12624384</v>
      </c>
      <c r="P570" s="30">
        <v>259.99761408</v>
      </c>
      <c r="Q570" s="30">
        <v>261.228945408</v>
      </c>
    </row>
    <row r="571">
      <c r="A571" s="3">
        <v>5000000.0</v>
      </c>
      <c r="B571" s="3" t="s">
        <v>463</v>
      </c>
      <c r="C571" s="3">
        <v>128.0</v>
      </c>
      <c r="D571" s="3">
        <v>98157.0</v>
      </c>
      <c r="E571" s="3">
        <v>321358.0</v>
      </c>
      <c r="F571" s="30">
        <f t="shared" si="51"/>
        <v>39062.5</v>
      </c>
      <c r="G571" s="30">
        <f t="shared" si="52"/>
        <v>2.5128192</v>
      </c>
      <c r="H571" s="30">
        <f t="shared" si="53"/>
        <v>8.2267648</v>
      </c>
      <c r="J571" s="30" t="s">
        <v>475</v>
      </c>
      <c r="K571" s="3">
        <v>512.0</v>
      </c>
      <c r="L571" s="30">
        <v>262.529024</v>
      </c>
      <c r="M571" s="30">
        <v>479.485952</v>
      </c>
      <c r="N571" s="30">
        <v>509.7857024</v>
      </c>
      <c r="O571" s="30">
        <v>518.92174848</v>
      </c>
      <c r="P571" s="30">
        <v>517.44997376</v>
      </c>
      <c r="Q571" s="30">
        <v>521.955606528</v>
      </c>
    </row>
    <row r="572">
      <c r="A572" s="3">
        <v>5000000.0</v>
      </c>
      <c r="B572" s="3" t="s">
        <v>463</v>
      </c>
      <c r="C572" s="3">
        <v>256.0</v>
      </c>
      <c r="D572" s="3">
        <v>56667.0</v>
      </c>
      <c r="E572" s="3">
        <v>329609.0</v>
      </c>
      <c r="F572" s="30">
        <f t="shared" si="51"/>
        <v>19531.25</v>
      </c>
      <c r="G572" s="30">
        <f t="shared" si="52"/>
        <v>2.9013504</v>
      </c>
      <c r="H572" s="30">
        <f t="shared" si="53"/>
        <v>16.8759808</v>
      </c>
    </row>
    <row r="573">
      <c r="A573" s="3">
        <v>5000000.0</v>
      </c>
      <c r="B573" s="3" t="s">
        <v>463</v>
      </c>
      <c r="C573" s="3">
        <v>512.0</v>
      </c>
      <c r="D573" s="3">
        <v>37309.0</v>
      </c>
      <c r="E573" s="3">
        <v>295404.0</v>
      </c>
      <c r="F573" s="30">
        <f t="shared" si="51"/>
        <v>9765.625</v>
      </c>
      <c r="G573" s="30">
        <f t="shared" si="52"/>
        <v>3.8204416</v>
      </c>
      <c r="H573" s="30">
        <f t="shared" si="53"/>
        <v>30.2493696</v>
      </c>
    </row>
    <row r="574">
      <c r="A574" s="3">
        <v>5000000.0</v>
      </c>
      <c r="B574" s="3" t="s">
        <v>463</v>
      </c>
      <c r="C574" s="3">
        <v>1024.0</v>
      </c>
      <c r="D574" s="3">
        <v>27922.0</v>
      </c>
      <c r="E574" s="3">
        <v>281781.0</v>
      </c>
      <c r="F574" s="30">
        <f t="shared" si="51"/>
        <v>4882.8125</v>
      </c>
      <c r="G574" s="30">
        <f t="shared" si="52"/>
        <v>5.7184256</v>
      </c>
      <c r="H574" s="30">
        <f t="shared" si="53"/>
        <v>57.7087488</v>
      </c>
    </row>
    <row r="575">
      <c r="A575" s="3">
        <v>5000000.0</v>
      </c>
      <c r="B575" s="3" t="s">
        <v>463</v>
      </c>
      <c r="C575" s="3">
        <v>2048.0</v>
      </c>
      <c r="D575" s="3">
        <v>19023.0</v>
      </c>
      <c r="E575" s="3">
        <v>257310.0</v>
      </c>
      <c r="F575" s="30">
        <f t="shared" si="51"/>
        <v>2441.40625</v>
      </c>
      <c r="G575" s="30">
        <f t="shared" si="52"/>
        <v>7.7918208</v>
      </c>
      <c r="H575" s="30">
        <f t="shared" si="53"/>
        <v>105.394176</v>
      </c>
    </row>
    <row r="576">
      <c r="A576" s="3">
        <v>5000000.0</v>
      </c>
      <c r="B576" s="3" t="s">
        <v>463</v>
      </c>
      <c r="C576" s="3">
        <v>4096.0</v>
      </c>
      <c r="D576" s="3">
        <v>17216.0</v>
      </c>
      <c r="E576" s="3">
        <v>261607.0</v>
      </c>
      <c r="F576" s="30">
        <f t="shared" si="51"/>
        <v>1220.703125</v>
      </c>
      <c r="G576" s="30">
        <f t="shared" si="52"/>
        <v>14.1033472</v>
      </c>
      <c r="H576" s="30">
        <f t="shared" si="53"/>
        <v>214.3084544</v>
      </c>
    </row>
    <row r="577">
      <c r="A577" s="3">
        <v>5000000.0</v>
      </c>
      <c r="B577" s="3" t="s">
        <v>463</v>
      </c>
      <c r="C577" s="3">
        <v>8192.0</v>
      </c>
      <c r="D577" s="3">
        <v>16861.0</v>
      </c>
      <c r="E577" s="3">
        <v>292655.0</v>
      </c>
      <c r="F577" s="30">
        <f t="shared" si="51"/>
        <v>610.3515625</v>
      </c>
      <c r="G577" s="30">
        <f t="shared" si="52"/>
        <v>27.6250624</v>
      </c>
      <c r="H577" s="30">
        <f t="shared" si="53"/>
        <v>479.485952</v>
      </c>
    </row>
    <row r="579">
      <c r="A579" s="3" t="s">
        <v>459</v>
      </c>
      <c r="C579" s="3" t="s">
        <v>324</v>
      </c>
      <c r="D579" s="3" t="s">
        <v>448</v>
      </c>
      <c r="E579" s="3" t="s">
        <v>449</v>
      </c>
      <c r="F579" s="3" t="s">
        <v>460</v>
      </c>
      <c r="G579" s="3" t="s">
        <v>461</v>
      </c>
      <c r="H579" s="3" t="s">
        <v>462</v>
      </c>
    </row>
    <row r="580">
      <c r="A580" s="3">
        <v>1.0E7</v>
      </c>
      <c r="B580" s="3" t="s">
        <v>463</v>
      </c>
      <c r="C580" s="3">
        <v>1.0</v>
      </c>
      <c r="D580" s="3">
        <v>1339493.0</v>
      </c>
      <c r="E580" s="3">
        <v>983409.0</v>
      </c>
      <c r="F580" s="30">
        <f t="shared" ref="F580:F593" si="54">A580/C580</f>
        <v>10000000</v>
      </c>
      <c r="G580" s="30">
        <f t="shared" ref="G580:G593" si="55">D580/F580</f>
        <v>0.1339493</v>
      </c>
      <c r="H580" s="30">
        <f t="shared" ref="H580:H593" si="56">E580/F580</f>
        <v>0.0983409</v>
      </c>
    </row>
    <row r="581">
      <c r="A581" s="3">
        <v>1.0E7</v>
      </c>
      <c r="B581" s="3" t="s">
        <v>463</v>
      </c>
      <c r="C581" s="3">
        <v>2.0</v>
      </c>
      <c r="D581" s="3">
        <v>1334576.0</v>
      </c>
      <c r="E581" s="3">
        <v>978230.0</v>
      </c>
      <c r="F581" s="30">
        <f t="shared" si="54"/>
        <v>5000000</v>
      </c>
      <c r="G581" s="30">
        <f t="shared" si="55"/>
        <v>0.2669152</v>
      </c>
      <c r="H581" s="30">
        <f t="shared" si="56"/>
        <v>0.195646</v>
      </c>
    </row>
    <row r="582">
      <c r="A582" s="3">
        <v>1.0E7</v>
      </c>
      <c r="B582" s="3" t="s">
        <v>463</v>
      </c>
      <c r="C582" s="3">
        <v>4.0</v>
      </c>
      <c r="D582" s="3">
        <v>1298514.0</v>
      </c>
      <c r="E582" s="3">
        <v>968085.0</v>
      </c>
      <c r="F582" s="30">
        <f t="shared" si="54"/>
        <v>2500000</v>
      </c>
      <c r="G582" s="30">
        <f t="shared" si="55"/>
        <v>0.5194056</v>
      </c>
      <c r="H582" s="30">
        <f t="shared" si="56"/>
        <v>0.387234</v>
      </c>
    </row>
    <row r="583">
      <c r="A583" s="3">
        <v>1.0E7</v>
      </c>
      <c r="B583" s="3" t="s">
        <v>463</v>
      </c>
      <c r="C583" s="3">
        <v>8.0</v>
      </c>
      <c r="D583" s="3">
        <v>1291552.0</v>
      </c>
      <c r="E583" s="3">
        <v>959746.0</v>
      </c>
      <c r="F583" s="30">
        <f t="shared" si="54"/>
        <v>1250000</v>
      </c>
      <c r="G583" s="30">
        <f t="shared" si="55"/>
        <v>1.0332416</v>
      </c>
      <c r="H583" s="30">
        <f t="shared" si="56"/>
        <v>0.7677968</v>
      </c>
    </row>
    <row r="584">
      <c r="A584" s="3">
        <v>1.0E7</v>
      </c>
      <c r="B584" s="3" t="s">
        <v>463</v>
      </c>
      <c r="C584" s="3">
        <v>16.0</v>
      </c>
      <c r="D584" s="3">
        <v>1290301.0</v>
      </c>
      <c r="E584" s="3">
        <v>961180.0</v>
      </c>
      <c r="F584" s="30">
        <f t="shared" si="54"/>
        <v>625000</v>
      </c>
      <c r="G584" s="30">
        <f t="shared" si="55"/>
        <v>2.0644816</v>
      </c>
      <c r="H584" s="30">
        <f t="shared" si="56"/>
        <v>1.537888</v>
      </c>
    </row>
    <row r="585">
      <c r="A585" s="3">
        <v>1.0E7</v>
      </c>
      <c r="B585" s="3" t="s">
        <v>463</v>
      </c>
      <c r="C585" s="3">
        <v>32.0</v>
      </c>
      <c r="D585" s="3">
        <v>664979.0</v>
      </c>
      <c r="E585" s="3">
        <v>798985.0</v>
      </c>
      <c r="F585" s="30">
        <f t="shared" si="54"/>
        <v>312500</v>
      </c>
      <c r="G585" s="30">
        <f t="shared" si="55"/>
        <v>2.1279328</v>
      </c>
      <c r="H585" s="30">
        <f t="shared" si="56"/>
        <v>2.556752</v>
      </c>
    </row>
    <row r="586">
      <c r="A586" s="3">
        <v>1.0E7</v>
      </c>
      <c r="B586" s="3" t="s">
        <v>463</v>
      </c>
      <c r="C586" s="3">
        <v>64.0</v>
      </c>
      <c r="D586" s="3">
        <v>350093.0</v>
      </c>
      <c r="E586" s="3">
        <v>715264.0</v>
      </c>
      <c r="F586" s="30">
        <f t="shared" si="54"/>
        <v>156250</v>
      </c>
      <c r="G586" s="30">
        <f t="shared" si="55"/>
        <v>2.2405952</v>
      </c>
      <c r="H586" s="30">
        <f t="shared" si="56"/>
        <v>4.5776896</v>
      </c>
    </row>
    <row r="587">
      <c r="A587" s="3">
        <v>1.0E7</v>
      </c>
      <c r="B587" s="3" t="s">
        <v>463</v>
      </c>
      <c r="C587" s="3">
        <v>128.0</v>
      </c>
      <c r="D587" s="3">
        <v>192381.0</v>
      </c>
      <c r="E587" s="3">
        <v>671617.0</v>
      </c>
      <c r="F587" s="30">
        <f t="shared" si="54"/>
        <v>78125</v>
      </c>
      <c r="G587" s="30">
        <f t="shared" si="55"/>
        <v>2.4624768</v>
      </c>
      <c r="H587" s="30">
        <f t="shared" si="56"/>
        <v>8.5966976</v>
      </c>
    </row>
    <row r="588">
      <c r="A588" s="3">
        <v>1.0E7</v>
      </c>
      <c r="B588" s="3" t="s">
        <v>463</v>
      </c>
      <c r="C588" s="3">
        <v>256.0</v>
      </c>
      <c r="D588" s="3">
        <v>115124.0</v>
      </c>
      <c r="E588" s="3">
        <v>649398.0</v>
      </c>
      <c r="F588" s="30">
        <f t="shared" si="54"/>
        <v>39062.5</v>
      </c>
      <c r="G588" s="30">
        <f t="shared" si="55"/>
        <v>2.9471744</v>
      </c>
      <c r="H588" s="30">
        <f t="shared" si="56"/>
        <v>16.6245888</v>
      </c>
    </row>
    <row r="589">
      <c r="A589" s="3">
        <v>1.0E7</v>
      </c>
      <c r="B589" s="3" t="s">
        <v>463</v>
      </c>
      <c r="C589" s="3">
        <v>512.0</v>
      </c>
      <c r="D589" s="3">
        <v>74116.0</v>
      </c>
      <c r="E589" s="3">
        <v>637509.0</v>
      </c>
      <c r="F589" s="30">
        <f t="shared" si="54"/>
        <v>19531.25</v>
      </c>
      <c r="G589" s="30">
        <f t="shared" si="55"/>
        <v>3.7947392</v>
      </c>
      <c r="H589" s="30">
        <f t="shared" si="56"/>
        <v>32.6404608</v>
      </c>
    </row>
    <row r="590">
      <c r="A590" s="3">
        <v>1.0E7</v>
      </c>
      <c r="B590" s="3" t="s">
        <v>463</v>
      </c>
      <c r="C590" s="3">
        <v>1024.0</v>
      </c>
      <c r="D590" s="3">
        <v>55183.0</v>
      </c>
      <c r="E590" s="3">
        <v>634084.0</v>
      </c>
      <c r="F590" s="30">
        <f t="shared" si="54"/>
        <v>9765.625</v>
      </c>
      <c r="G590" s="30">
        <f t="shared" si="55"/>
        <v>5.6507392</v>
      </c>
      <c r="H590" s="30">
        <f t="shared" si="56"/>
        <v>64.9302016</v>
      </c>
    </row>
    <row r="591">
      <c r="A591" s="3">
        <v>1.0E7</v>
      </c>
      <c r="B591" s="3" t="s">
        <v>463</v>
      </c>
      <c r="C591" s="3">
        <v>2048.0</v>
      </c>
      <c r="D591" s="3">
        <v>43025.0</v>
      </c>
      <c r="E591" s="3">
        <v>607991.0</v>
      </c>
      <c r="F591" s="30">
        <f t="shared" si="54"/>
        <v>4882.8125</v>
      </c>
      <c r="G591" s="30">
        <f t="shared" si="55"/>
        <v>8.81152</v>
      </c>
      <c r="H591" s="30">
        <f t="shared" si="56"/>
        <v>124.5165568</v>
      </c>
    </row>
    <row r="592">
      <c r="A592" s="3">
        <v>1.0E7</v>
      </c>
      <c r="B592" s="3" t="s">
        <v>463</v>
      </c>
      <c r="C592" s="3">
        <v>4096.0</v>
      </c>
      <c r="D592" s="3">
        <v>36881.0</v>
      </c>
      <c r="E592" s="3">
        <v>599701.0</v>
      </c>
      <c r="F592" s="30">
        <f t="shared" si="54"/>
        <v>2441.40625</v>
      </c>
      <c r="G592" s="30">
        <f t="shared" si="55"/>
        <v>15.1064576</v>
      </c>
      <c r="H592" s="30">
        <f t="shared" si="56"/>
        <v>245.6375296</v>
      </c>
    </row>
    <row r="593">
      <c r="A593" s="3">
        <v>1.0E7</v>
      </c>
      <c r="B593" s="3" t="s">
        <v>463</v>
      </c>
      <c r="C593" s="3">
        <v>8192.0</v>
      </c>
      <c r="D593" s="3">
        <v>35062.0</v>
      </c>
      <c r="E593" s="3">
        <v>622297.0</v>
      </c>
      <c r="F593" s="30">
        <f t="shared" si="54"/>
        <v>1220.703125</v>
      </c>
      <c r="G593" s="30">
        <f t="shared" si="55"/>
        <v>28.7227904</v>
      </c>
      <c r="H593" s="30">
        <f t="shared" si="56"/>
        <v>509.7857024</v>
      </c>
    </row>
    <row r="595">
      <c r="A595" s="3" t="s">
        <v>459</v>
      </c>
      <c r="C595" s="3" t="s">
        <v>324</v>
      </c>
      <c r="D595" s="3" t="s">
        <v>448</v>
      </c>
      <c r="E595" s="3" t="s">
        <v>449</v>
      </c>
      <c r="F595" s="3" t="s">
        <v>460</v>
      </c>
      <c r="G595" s="3" t="s">
        <v>461</v>
      </c>
      <c r="H595" s="3" t="s">
        <v>462</v>
      </c>
    </row>
    <row r="596">
      <c r="A596" s="3">
        <v>5.0E7</v>
      </c>
      <c r="B596" s="3" t="s">
        <v>463</v>
      </c>
      <c r="C596" s="3">
        <v>1.0</v>
      </c>
      <c r="D596" s="3">
        <v>6533922.0</v>
      </c>
      <c r="E596" s="3">
        <v>3618938.0</v>
      </c>
      <c r="F596" s="30">
        <f t="shared" ref="F596:F609" si="57">A596/C596</f>
        <v>50000000</v>
      </c>
      <c r="G596" s="30">
        <f t="shared" ref="G596:G609" si="58">D596/F596</f>
        <v>0.13067844</v>
      </c>
      <c r="H596" s="30">
        <f t="shared" ref="H596:H609" si="59">E596/F596</f>
        <v>0.07237876</v>
      </c>
    </row>
    <row r="597">
      <c r="A597" s="3">
        <v>5.0E7</v>
      </c>
      <c r="B597" s="3" t="s">
        <v>463</v>
      </c>
      <c r="C597" s="3">
        <v>2.0</v>
      </c>
      <c r="D597" s="3">
        <v>6524401.0</v>
      </c>
      <c r="E597" s="3">
        <v>3615809.0</v>
      </c>
      <c r="F597" s="30">
        <f t="shared" si="57"/>
        <v>25000000</v>
      </c>
      <c r="G597" s="30">
        <f t="shared" si="58"/>
        <v>0.26097604</v>
      </c>
      <c r="H597" s="30">
        <f t="shared" si="59"/>
        <v>0.14463236</v>
      </c>
    </row>
    <row r="598">
      <c r="A598" s="3">
        <v>5.0E7</v>
      </c>
      <c r="B598" s="3" t="s">
        <v>463</v>
      </c>
      <c r="C598" s="3">
        <v>4.0</v>
      </c>
      <c r="D598" s="3">
        <v>6474111.0</v>
      </c>
      <c r="E598" s="3">
        <v>3556955.0</v>
      </c>
      <c r="F598" s="30">
        <f t="shared" si="57"/>
        <v>12500000</v>
      </c>
      <c r="G598" s="30">
        <f t="shared" si="58"/>
        <v>0.51792888</v>
      </c>
      <c r="H598" s="30">
        <f t="shared" si="59"/>
        <v>0.2845564</v>
      </c>
    </row>
    <row r="599">
      <c r="A599" s="3">
        <v>5.0E7</v>
      </c>
      <c r="B599" s="3" t="s">
        <v>463</v>
      </c>
      <c r="C599" s="3">
        <v>8.0</v>
      </c>
      <c r="D599" s="3">
        <v>6462760.0</v>
      </c>
      <c r="E599" s="3">
        <v>3539423.0</v>
      </c>
      <c r="F599" s="30">
        <f t="shared" si="57"/>
        <v>6250000</v>
      </c>
      <c r="G599" s="30">
        <f t="shared" si="58"/>
        <v>1.0340416</v>
      </c>
      <c r="H599" s="30">
        <f t="shared" si="59"/>
        <v>0.56630768</v>
      </c>
    </row>
    <row r="600">
      <c r="A600" s="3">
        <v>5.0E7</v>
      </c>
      <c r="B600" s="3" t="s">
        <v>463</v>
      </c>
      <c r="C600" s="3">
        <v>16.0</v>
      </c>
      <c r="D600" s="3">
        <v>6452525.0</v>
      </c>
      <c r="E600" s="3">
        <v>3534842.0</v>
      </c>
      <c r="F600" s="30">
        <f t="shared" si="57"/>
        <v>3125000</v>
      </c>
      <c r="G600" s="30">
        <f t="shared" si="58"/>
        <v>2.064808</v>
      </c>
      <c r="H600" s="30">
        <f t="shared" si="59"/>
        <v>1.13114944</v>
      </c>
    </row>
    <row r="601">
      <c r="A601" s="3">
        <v>5.0E7</v>
      </c>
      <c r="B601" s="3" t="s">
        <v>463</v>
      </c>
      <c r="C601" s="3">
        <v>32.0</v>
      </c>
      <c r="D601" s="3">
        <v>3315596.0</v>
      </c>
      <c r="E601" s="3">
        <v>3344474.0</v>
      </c>
      <c r="F601" s="30">
        <f t="shared" si="57"/>
        <v>1562500</v>
      </c>
      <c r="G601" s="30">
        <f t="shared" si="58"/>
        <v>2.12198144</v>
      </c>
      <c r="H601" s="30">
        <f t="shared" si="59"/>
        <v>2.14046336</v>
      </c>
    </row>
    <row r="602">
      <c r="A602" s="3">
        <v>5.0E7</v>
      </c>
      <c r="B602" s="3" t="s">
        <v>463</v>
      </c>
      <c r="C602" s="3">
        <v>64.0</v>
      </c>
      <c r="D602" s="3">
        <v>1740450.0</v>
      </c>
      <c r="E602" s="3">
        <v>3250046.0</v>
      </c>
      <c r="F602" s="30">
        <f t="shared" si="57"/>
        <v>781250</v>
      </c>
      <c r="G602" s="30">
        <f t="shared" si="58"/>
        <v>2.227776</v>
      </c>
      <c r="H602" s="30">
        <f t="shared" si="59"/>
        <v>4.16005888</v>
      </c>
    </row>
    <row r="603">
      <c r="A603" s="3">
        <v>5.0E7</v>
      </c>
      <c r="B603" s="3" t="s">
        <v>463</v>
      </c>
      <c r="C603" s="3">
        <v>128.0</v>
      </c>
      <c r="D603" s="3">
        <v>952735.0</v>
      </c>
      <c r="E603" s="3">
        <v>3215582.0</v>
      </c>
      <c r="F603" s="30">
        <f t="shared" si="57"/>
        <v>390625</v>
      </c>
      <c r="G603" s="30">
        <f t="shared" si="58"/>
        <v>2.4390016</v>
      </c>
      <c r="H603" s="30">
        <f t="shared" si="59"/>
        <v>8.23188992</v>
      </c>
    </row>
    <row r="604">
      <c r="A604" s="3">
        <v>5.0E7</v>
      </c>
      <c r="B604" s="3" t="s">
        <v>463</v>
      </c>
      <c r="C604" s="3">
        <v>256.0</v>
      </c>
      <c r="D604" s="3">
        <v>557531.0</v>
      </c>
      <c r="E604" s="3">
        <v>3191224.0</v>
      </c>
      <c r="F604" s="30">
        <f t="shared" si="57"/>
        <v>195312.5</v>
      </c>
      <c r="G604" s="30">
        <f t="shared" si="58"/>
        <v>2.85455872</v>
      </c>
      <c r="H604" s="30">
        <f t="shared" si="59"/>
        <v>16.33906688</v>
      </c>
    </row>
    <row r="605">
      <c r="A605" s="3">
        <v>5.0E7</v>
      </c>
      <c r="B605" s="3" t="s">
        <v>463</v>
      </c>
      <c r="C605" s="3">
        <v>512.0</v>
      </c>
      <c r="D605" s="3">
        <v>363785.0</v>
      </c>
      <c r="E605" s="3">
        <v>3158452.0</v>
      </c>
      <c r="F605" s="30">
        <f t="shared" si="57"/>
        <v>97656.25</v>
      </c>
      <c r="G605" s="30">
        <f t="shared" si="58"/>
        <v>3.7251584</v>
      </c>
      <c r="H605" s="30">
        <f t="shared" si="59"/>
        <v>32.34254848</v>
      </c>
    </row>
    <row r="606">
      <c r="A606" s="3">
        <v>5.0E7</v>
      </c>
      <c r="B606" s="3" t="s">
        <v>463</v>
      </c>
      <c r="C606" s="3">
        <v>1024.0</v>
      </c>
      <c r="D606" s="3">
        <v>266305.0</v>
      </c>
      <c r="E606" s="3">
        <v>3171310.0</v>
      </c>
      <c r="F606" s="30">
        <f t="shared" si="57"/>
        <v>48828.125</v>
      </c>
      <c r="G606" s="30">
        <f t="shared" si="58"/>
        <v>5.4539264</v>
      </c>
      <c r="H606" s="30">
        <f t="shared" si="59"/>
        <v>64.9484288</v>
      </c>
    </row>
    <row r="607">
      <c r="A607" s="3">
        <v>5.0E7</v>
      </c>
      <c r="B607" s="3" t="s">
        <v>463</v>
      </c>
      <c r="C607" s="3">
        <v>2048.0</v>
      </c>
      <c r="D607" s="3">
        <v>217741.0</v>
      </c>
      <c r="E607" s="3">
        <v>3158886.0</v>
      </c>
      <c r="F607" s="30">
        <f t="shared" si="57"/>
        <v>24414.0625</v>
      </c>
      <c r="G607" s="30">
        <f t="shared" si="58"/>
        <v>8.91867136</v>
      </c>
      <c r="H607" s="30">
        <f t="shared" si="59"/>
        <v>129.3879706</v>
      </c>
    </row>
    <row r="608">
      <c r="A608" s="3">
        <v>5.0E7</v>
      </c>
      <c r="B608" s="3" t="s">
        <v>463</v>
      </c>
      <c r="C608" s="3">
        <v>4096.0</v>
      </c>
      <c r="D608" s="3">
        <v>188254.0</v>
      </c>
      <c r="E608" s="3">
        <v>3102127.0</v>
      </c>
      <c r="F608" s="30">
        <f t="shared" si="57"/>
        <v>12207.03125</v>
      </c>
      <c r="G608" s="30">
        <f t="shared" si="58"/>
        <v>15.42176768</v>
      </c>
      <c r="H608" s="30">
        <f t="shared" si="59"/>
        <v>254.1262438</v>
      </c>
    </row>
    <row r="609">
      <c r="A609" s="3">
        <v>5.0E7</v>
      </c>
      <c r="B609" s="3" t="s">
        <v>463</v>
      </c>
      <c r="C609" s="3">
        <v>8192.0</v>
      </c>
      <c r="D609" s="3">
        <v>177068.0</v>
      </c>
      <c r="E609" s="3">
        <v>3167247.0</v>
      </c>
      <c r="F609" s="30">
        <f t="shared" si="57"/>
        <v>6103.515625</v>
      </c>
      <c r="G609" s="30">
        <f t="shared" si="58"/>
        <v>29.01082112</v>
      </c>
      <c r="H609" s="30">
        <f t="shared" si="59"/>
        <v>518.9217485</v>
      </c>
    </row>
    <row r="612">
      <c r="A612" s="3" t="s">
        <v>459</v>
      </c>
      <c r="C612" s="3" t="s">
        <v>324</v>
      </c>
      <c r="D612" s="3" t="s">
        <v>448</v>
      </c>
      <c r="E612" s="3" t="s">
        <v>449</v>
      </c>
      <c r="F612" s="3" t="s">
        <v>460</v>
      </c>
      <c r="G612" s="3" t="s">
        <v>461</v>
      </c>
      <c r="H612" s="3" t="s">
        <v>462</v>
      </c>
    </row>
    <row r="613">
      <c r="A613" s="3">
        <v>1.0E8</v>
      </c>
      <c r="B613" s="3" t="s">
        <v>463</v>
      </c>
      <c r="C613" s="3">
        <v>1.0</v>
      </c>
      <c r="D613" s="3">
        <v>1.3058939E7</v>
      </c>
      <c r="E613" s="3">
        <v>6912853.0</v>
      </c>
      <c r="F613" s="30">
        <f t="shared" ref="F613:F626" si="60">A613/C613</f>
        <v>100000000</v>
      </c>
      <c r="G613" s="30">
        <f t="shared" ref="G613:G626" si="61">D613/F613</f>
        <v>0.13058939</v>
      </c>
      <c r="H613" s="30">
        <f t="shared" ref="H613:H626" si="62">E613/F613</f>
        <v>0.06912853</v>
      </c>
    </row>
    <row r="614">
      <c r="A614" s="3">
        <v>1.0E8</v>
      </c>
      <c r="B614" s="3" t="s">
        <v>463</v>
      </c>
      <c r="C614" s="3">
        <v>2.0</v>
      </c>
      <c r="D614" s="3">
        <v>1.3019508E7</v>
      </c>
      <c r="E614" s="3">
        <v>6874974.0</v>
      </c>
      <c r="F614" s="30">
        <f t="shared" si="60"/>
        <v>50000000</v>
      </c>
      <c r="G614" s="30">
        <f t="shared" si="61"/>
        <v>0.26039016</v>
      </c>
      <c r="H614" s="30">
        <f t="shared" si="62"/>
        <v>0.13749948</v>
      </c>
      <c r="M614" s="3" t="s">
        <v>324</v>
      </c>
      <c r="N614" s="3" t="s">
        <v>448</v>
      </c>
      <c r="O614" s="3" t="s">
        <v>449</v>
      </c>
    </row>
    <row r="615">
      <c r="A615" s="3">
        <v>1.0E8</v>
      </c>
      <c r="B615" s="3" t="s">
        <v>463</v>
      </c>
      <c r="C615" s="3">
        <v>4.0</v>
      </c>
      <c r="D615" s="3">
        <v>1.2935173E7</v>
      </c>
      <c r="E615" s="3">
        <v>6793000.0</v>
      </c>
      <c r="F615" s="30">
        <f t="shared" si="60"/>
        <v>25000000</v>
      </c>
      <c r="G615" s="30">
        <f t="shared" si="61"/>
        <v>0.51740692</v>
      </c>
      <c r="H615" s="30">
        <f t="shared" si="62"/>
        <v>0.27172</v>
      </c>
      <c r="M615" s="3">
        <v>1.0</v>
      </c>
      <c r="N615" s="3">
        <v>1.3058939E7</v>
      </c>
      <c r="O615" s="3">
        <v>6912853.0</v>
      </c>
    </row>
    <row r="616">
      <c r="A616" s="3">
        <v>1.0E8</v>
      </c>
      <c r="B616" s="3" t="s">
        <v>463</v>
      </c>
      <c r="C616" s="3">
        <v>8.0</v>
      </c>
      <c r="D616" s="3">
        <v>1.2891315E7</v>
      </c>
      <c r="E616" s="3">
        <v>6757685.0</v>
      </c>
      <c r="F616" s="30">
        <f t="shared" si="60"/>
        <v>12500000</v>
      </c>
      <c r="G616" s="30">
        <f t="shared" si="61"/>
        <v>1.0313052</v>
      </c>
      <c r="H616" s="30">
        <f t="shared" si="62"/>
        <v>0.5406148</v>
      </c>
      <c r="M616" s="3">
        <v>2.0</v>
      </c>
      <c r="N616" s="3">
        <v>1.3019508E7</v>
      </c>
      <c r="O616" s="3">
        <v>6874974.0</v>
      </c>
    </row>
    <row r="617">
      <c r="A617" s="3">
        <v>1.0E8</v>
      </c>
      <c r="B617" s="3" t="s">
        <v>463</v>
      </c>
      <c r="C617" s="3">
        <v>16.0</v>
      </c>
      <c r="D617" s="3">
        <v>1.2879236E7</v>
      </c>
      <c r="E617" s="3">
        <v>6742949.0</v>
      </c>
      <c r="F617" s="30">
        <f t="shared" si="60"/>
        <v>6250000</v>
      </c>
      <c r="G617" s="30">
        <f t="shared" si="61"/>
        <v>2.06067776</v>
      </c>
      <c r="H617" s="30">
        <f t="shared" si="62"/>
        <v>1.07887184</v>
      </c>
      <c r="M617" s="3">
        <v>4.0</v>
      </c>
      <c r="N617" s="3">
        <v>1.2935173E7</v>
      </c>
      <c r="O617" s="3">
        <v>6793000.0</v>
      </c>
    </row>
    <row r="618">
      <c r="A618" s="3">
        <v>1.0E8</v>
      </c>
      <c r="B618" s="3" t="s">
        <v>463</v>
      </c>
      <c r="C618" s="3">
        <v>32.0</v>
      </c>
      <c r="D618" s="3">
        <v>6609380.0</v>
      </c>
      <c r="E618" s="3">
        <v>6559251.0</v>
      </c>
      <c r="F618" s="30">
        <f t="shared" si="60"/>
        <v>3125000</v>
      </c>
      <c r="G618" s="30">
        <f t="shared" si="61"/>
        <v>2.1150016</v>
      </c>
      <c r="H618" s="30">
        <f t="shared" si="62"/>
        <v>2.09896032</v>
      </c>
      <c r="M618" s="3">
        <v>8.0</v>
      </c>
      <c r="N618" s="3">
        <v>1.2891315E7</v>
      </c>
      <c r="O618" s="3">
        <v>6757685.0</v>
      </c>
    </row>
    <row r="619">
      <c r="A619" s="3">
        <v>1.0E8</v>
      </c>
      <c r="B619" s="3" t="s">
        <v>463</v>
      </c>
      <c r="C619" s="3">
        <v>64.0</v>
      </c>
      <c r="D619" s="3">
        <v>3474199.0</v>
      </c>
      <c r="E619" s="3">
        <v>6445801.0</v>
      </c>
      <c r="F619" s="30">
        <f t="shared" si="60"/>
        <v>1562500</v>
      </c>
      <c r="G619" s="30">
        <f t="shared" si="61"/>
        <v>2.22348736</v>
      </c>
      <c r="H619" s="30">
        <f t="shared" si="62"/>
        <v>4.12531264</v>
      </c>
      <c r="M619" s="3">
        <v>16.0</v>
      </c>
      <c r="N619" s="3">
        <v>1.2879236E7</v>
      </c>
      <c r="O619" s="3">
        <v>6742949.0</v>
      </c>
    </row>
    <row r="620">
      <c r="A620" s="3">
        <v>1.0E8</v>
      </c>
      <c r="B620" s="3" t="s">
        <v>463</v>
      </c>
      <c r="C620" s="3">
        <v>128.0</v>
      </c>
      <c r="D620" s="3">
        <v>1985516.0</v>
      </c>
      <c r="E620" s="3">
        <v>6442060.0</v>
      </c>
      <c r="F620" s="30">
        <f t="shared" si="60"/>
        <v>781250</v>
      </c>
      <c r="G620" s="30">
        <f t="shared" si="61"/>
        <v>2.54146048</v>
      </c>
      <c r="H620" s="30">
        <f t="shared" si="62"/>
        <v>8.2458368</v>
      </c>
      <c r="M620" s="3">
        <v>32.0</v>
      </c>
      <c r="N620" s="3">
        <v>6609380.0</v>
      </c>
      <c r="O620" s="3">
        <v>6559251.0</v>
      </c>
    </row>
    <row r="621">
      <c r="A621" s="3">
        <v>1.0E8</v>
      </c>
      <c r="B621" s="3" t="s">
        <v>463</v>
      </c>
      <c r="C621" s="3">
        <v>256.0</v>
      </c>
      <c r="D621" s="3">
        <v>1118506.0</v>
      </c>
      <c r="E621" s="3">
        <v>6357768.0</v>
      </c>
      <c r="F621" s="30">
        <f t="shared" si="60"/>
        <v>390625</v>
      </c>
      <c r="G621" s="30">
        <f t="shared" si="61"/>
        <v>2.86337536</v>
      </c>
      <c r="H621" s="30">
        <f t="shared" si="62"/>
        <v>16.27588608</v>
      </c>
      <c r="M621" s="3">
        <v>64.0</v>
      </c>
      <c r="N621" s="3">
        <v>3474199.0</v>
      </c>
      <c r="O621" s="3">
        <v>6445801.0</v>
      </c>
    </row>
    <row r="622">
      <c r="A622" s="3">
        <v>1.0E8</v>
      </c>
      <c r="B622" s="3" t="s">
        <v>463</v>
      </c>
      <c r="C622" s="3">
        <v>512.0</v>
      </c>
      <c r="D622" s="3">
        <v>730145.0</v>
      </c>
      <c r="E622" s="3">
        <v>6377454.0</v>
      </c>
      <c r="F622" s="30">
        <f t="shared" si="60"/>
        <v>195312.5</v>
      </c>
      <c r="G622" s="30">
        <f t="shared" si="61"/>
        <v>3.7383424</v>
      </c>
      <c r="H622" s="30">
        <f t="shared" si="62"/>
        <v>32.65256448</v>
      </c>
      <c r="M622" s="3">
        <v>128.0</v>
      </c>
      <c r="N622" s="3">
        <v>1985516.0</v>
      </c>
      <c r="O622" s="3">
        <v>6442060.0</v>
      </c>
    </row>
    <row r="623">
      <c r="A623" s="3">
        <v>1.0E8</v>
      </c>
      <c r="B623" s="3" t="s">
        <v>463</v>
      </c>
      <c r="C623" s="3">
        <v>1024.0</v>
      </c>
      <c r="D623" s="3">
        <v>531435.0</v>
      </c>
      <c r="E623" s="3">
        <v>6353869.0</v>
      </c>
      <c r="F623" s="30">
        <f t="shared" si="60"/>
        <v>97656.25</v>
      </c>
      <c r="G623" s="30">
        <f t="shared" si="61"/>
        <v>5.4418944</v>
      </c>
      <c r="H623" s="30">
        <f t="shared" si="62"/>
        <v>65.06361856</v>
      </c>
      <c r="M623" s="3">
        <v>256.0</v>
      </c>
      <c r="N623" s="3">
        <v>1118506.0</v>
      </c>
      <c r="O623" s="3">
        <v>6357768.0</v>
      </c>
    </row>
    <row r="624">
      <c r="A624" s="3">
        <v>1.0E8</v>
      </c>
      <c r="B624" s="3" t="s">
        <v>463</v>
      </c>
      <c r="C624" s="3">
        <v>2048.0</v>
      </c>
      <c r="D624" s="3">
        <v>432230.0</v>
      </c>
      <c r="E624" s="3">
        <v>6334685.0</v>
      </c>
      <c r="F624" s="30">
        <f t="shared" si="60"/>
        <v>48828.125</v>
      </c>
      <c r="G624" s="30">
        <f t="shared" si="61"/>
        <v>8.8520704</v>
      </c>
      <c r="H624" s="30">
        <f t="shared" si="62"/>
        <v>129.7343488</v>
      </c>
      <c r="M624" s="3">
        <v>512.0</v>
      </c>
      <c r="N624" s="3">
        <v>730145.0</v>
      </c>
      <c r="O624" s="3">
        <v>6377454.0</v>
      </c>
    </row>
    <row r="625">
      <c r="A625" s="3">
        <v>1.0E8</v>
      </c>
      <c r="B625" s="3" t="s">
        <v>463</v>
      </c>
      <c r="C625" s="3">
        <v>4096.0</v>
      </c>
      <c r="D625" s="3">
        <v>382032.0</v>
      </c>
      <c r="E625" s="3">
        <v>6347598.0</v>
      </c>
      <c r="F625" s="30">
        <f t="shared" si="60"/>
        <v>24414.0625</v>
      </c>
      <c r="G625" s="30">
        <f t="shared" si="61"/>
        <v>15.64803072</v>
      </c>
      <c r="H625" s="30">
        <f t="shared" si="62"/>
        <v>259.9976141</v>
      </c>
      <c r="M625" s="3">
        <v>1024.0</v>
      </c>
      <c r="N625" s="3">
        <v>531435.0</v>
      </c>
      <c r="O625" s="3">
        <v>6353869.0</v>
      </c>
    </row>
    <row r="626">
      <c r="A626" s="3">
        <v>1.0E8</v>
      </c>
      <c r="B626" s="3" t="s">
        <v>463</v>
      </c>
      <c r="C626" s="3">
        <v>8192.0</v>
      </c>
      <c r="D626" s="3">
        <v>353338.0</v>
      </c>
      <c r="E626" s="3">
        <v>6316528.0</v>
      </c>
      <c r="F626" s="30">
        <f t="shared" si="60"/>
        <v>12207.03125</v>
      </c>
      <c r="G626" s="30">
        <f t="shared" si="61"/>
        <v>28.94544896</v>
      </c>
      <c r="H626" s="30">
        <f t="shared" si="62"/>
        <v>517.4499738</v>
      </c>
      <c r="M626" s="3">
        <v>2048.0</v>
      </c>
      <c r="N626" s="3">
        <v>432230.0</v>
      </c>
      <c r="O626" s="3">
        <v>6334685.0</v>
      </c>
    </row>
    <row r="627">
      <c r="M627" s="3">
        <v>4096.0</v>
      </c>
      <c r="N627" s="3">
        <v>382032.0</v>
      </c>
      <c r="O627" s="3">
        <v>6347598.0</v>
      </c>
    </row>
    <row r="628">
      <c r="M628" s="3">
        <v>8192.0</v>
      </c>
      <c r="N628" s="3">
        <v>353338.0</v>
      </c>
      <c r="O628" s="3">
        <v>6316528.0</v>
      </c>
    </row>
    <row r="630">
      <c r="A630" s="3" t="s">
        <v>459</v>
      </c>
      <c r="C630" s="3" t="s">
        <v>324</v>
      </c>
      <c r="D630" s="3" t="s">
        <v>448</v>
      </c>
      <c r="E630" s="3" t="s">
        <v>449</v>
      </c>
      <c r="F630" s="3" t="s">
        <v>460</v>
      </c>
      <c r="G630" s="3" t="s">
        <v>461</v>
      </c>
      <c r="H630" s="3" t="s">
        <v>462</v>
      </c>
    </row>
    <row r="631">
      <c r="A631" s="3">
        <v>5.0E8</v>
      </c>
      <c r="B631" s="3" t="s">
        <v>463</v>
      </c>
      <c r="C631" s="3">
        <v>1.0</v>
      </c>
      <c r="D631" s="3">
        <v>6.5380044E7</v>
      </c>
      <c r="E631" s="3">
        <v>3.3323816E7</v>
      </c>
      <c r="F631" s="30">
        <f t="shared" ref="F631:F644" si="63">A631/C631</f>
        <v>500000000</v>
      </c>
      <c r="G631" s="30">
        <f t="shared" ref="G631:G644" si="64">D631/F631</f>
        <v>0.130760088</v>
      </c>
      <c r="H631" s="30">
        <f t="shared" ref="H631:H644" si="65">E631/F631</f>
        <v>0.066647632</v>
      </c>
    </row>
    <row r="632">
      <c r="A632" s="3">
        <v>5.0E8</v>
      </c>
      <c r="B632" s="3" t="s">
        <v>463</v>
      </c>
      <c r="C632" s="3">
        <v>2.0</v>
      </c>
      <c r="D632" s="3">
        <v>6.5137322E7</v>
      </c>
      <c r="E632" s="3">
        <v>3.3101498E7</v>
      </c>
      <c r="F632" s="30">
        <f t="shared" si="63"/>
        <v>250000000</v>
      </c>
      <c r="G632" s="30">
        <f t="shared" si="64"/>
        <v>0.260549288</v>
      </c>
      <c r="H632" s="30">
        <f t="shared" si="65"/>
        <v>0.132405992</v>
      </c>
      <c r="K632" s="3" t="s">
        <v>324</v>
      </c>
      <c r="L632" s="3">
        <v>1.0</v>
      </c>
      <c r="M632" s="3">
        <v>2.0</v>
      </c>
      <c r="N632" s="3">
        <v>4.0</v>
      </c>
      <c r="O632" s="3">
        <v>8.0</v>
      </c>
      <c r="P632" s="3">
        <v>16.0</v>
      </c>
      <c r="Q632" s="3">
        <v>32.0</v>
      </c>
      <c r="R632" s="3">
        <v>64.0</v>
      </c>
      <c r="S632" s="3">
        <v>128.0</v>
      </c>
      <c r="T632" s="3">
        <v>256.0</v>
      </c>
      <c r="U632" s="3">
        <v>512.0</v>
      </c>
      <c r="V632" s="3">
        <v>1024.0</v>
      </c>
      <c r="W632" s="3">
        <v>2048.0</v>
      </c>
      <c r="X632" s="3">
        <v>4096.0</v>
      </c>
      <c r="Y632" s="3">
        <v>8192.0</v>
      </c>
    </row>
    <row r="633">
      <c r="A633" s="3">
        <v>5.0E8</v>
      </c>
      <c r="B633" s="3" t="s">
        <v>463</v>
      </c>
      <c r="C633" s="3">
        <v>4.0</v>
      </c>
      <c r="D633" s="3">
        <v>6.4719054E7</v>
      </c>
      <c r="E633" s="3">
        <v>3.2680692E7</v>
      </c>
      <c r="F633" s="30">
        <f t="shared" si="63"/>
        <v>125000000</v>
      </c>
      <c r="G633" s="30">
        <f t="shared" si="64"/>
        <v>0.517752432</v>
      </c>
      <c r="H633" s="30">
        <f t="shared" si="65"/>
        <v>0.261445536</v>
      </c>
      <c r="K633" s="3" t="s">
        <v>448</v>
      </c>
      <c r="L633" s="3">
        <v>1.3058939E7</v>
      </c>
      <c r="M633" s="3">
        <v>1.3019508E7</v>
      </c>
      <c r="N633" s="3">
        <v>1.2935173E7</v>
      </c>
      <c r="O633" s="3">
        <v>1.2891315E7</v>
      </c>
      <c r="P633" s="3">
        <v>1.2879236E7</v>
      </c>
      <c r="Q633" s="3">
        <v>6609380.0</v>
      </c>
      <c r="R633" s="3">
        <v>3474199.0</v>
      </c>
      <c r="S633" s="3">
        <v>1985516.0</v>
      </c>
      <c r="T633" s="3">
        <v>1118506.0</v>
      </c>
      <c r="U633" s="3">
        <v>730145.0</v>
      </c>
      <c r="V633" s="3">
        <v>531435.0</v>
      </c>
      <c r="W633" s="3">
        <v>432230.0</v>
      </c>
      <c r="X633" s="3">
        <v>382032.0</v>
      </c>
      <c r="Y633" s="3">
        <v>353338.0</v>
      </c>
    </row>
    <row r="634">
      <c r="A634" s="3">
        <v>5.0E8</v>
      </c>
      <c r="B634" s="3" t="s">
        <v>463</v>
      </c>
      <c r="C634" s="3">
        <v>8.0</v>
      </c>
      <c r="D634" s="3">
        <v>6.4461492E7</v>
      </c>
      <c r="E634" s="3">
        <v>3.2510921E7</v>
      </c>
      <c r="F634" s="30">
        <f t="shared" si="63"/>
        <v>62500000</v>
      </c>
      <c r="G634" s="30">
        <f t="shared" si="64"/>
        <v>1.031383872</v>
      </c>
      <c r="H634" s="30">
        <f t="shared" si="65"/>
        <v>0.520174736</v>
      </c>
      <c r="K634" s="3" t="s">
        <v>449</v>
      </c>
      <c r="L634" s="3">
        <v>6912853.0</v>
      </c>
      <c r="M634" s="3">
        <v>6874974.0</v>
      </c>
      <c r="N634" s="3">
        <v>6793000.0</v>
      </c>
      <c r="O634" s="3">
        <v>6757685.0</v>
      </c>
      <c r="P634" s="3">
        <v>6742949.0</v>
      </c>
      <c r="Q634" s="3">
        <v>6559251.0</v>
      </c>
      <c r="R634" s="3">
        <v>6445801.0</v>
      </c>
      <c r="S634" s="3">
        <v>6442060.0</v>
      </c>
      <c r="T634" s="3">
        <v>6357768.0</v>
      </c>
      <c r="U634" s="3">
        <v>6377454.0</v>
      </c>
      <c r="V634" s="3">
        <v>6353869.0</v>
      </c>
      <c r="W634" s="3">
        <v>6334685.0</v>
      </c>
      <c r="X634" s="3">
        <v>6347598.0</v>
      </c>
      <c r="Y634" s="3">
        <v>6316528.0</v>
      </c>
    </row>
    <row r="635">
      <c r="A635" s="3">
        <v>5.0E8</v>
      </c>
      <c r="B635" s="3" t="s">
        <v>463</v>
      </c>
      <c r="C635" s="3">
        <v>16.0</v>
      </c>
      <c r="D635" s="3">
        <v>6.451448E7</v>
      </c>
      <c r="E635" s="3">
        <v>3.2466171E7</v>
      </c>
      <c r="F635" s="30">
        <f t="shared" si="63"/>
        <v>31250000</v>
      </c>
      <c r="G635" s="30">
        <f t="shared" si="64"/>
        <v>2.06446336</v>
      </c>
      <c r="H635" s="30">
        <f t="shared" si="65"/>
        <v>1.038917472</v>
      </c>
    </row>
    <row r="636">
      <c r="A636" s="3">
        <v>5.0E8</v>
      </c>
      <c r="B636" s="3" t="s">
        <v>463</v>
      </c>
      <c r="C636" s="3">
        <v>32.0</v>
      </c>
      <c r="D636" s="3">
        <v>3.3048249E7</v>
      </c>
      <c r="E636" s="3">
        <v>3.2161335E7</v>
      </c>
      <c r="F636" s="30">
        <f t="shared" si="63"/>
        <v>15625000</v>
      </c>
      <c r="G636" s="30">
        <f t="shared" si="64"/>
        <v>2.115087936</v>
      </c>
      <c r="H636" s="30">
        <f t="shared" si="65"/>
        <v>2.05832544</v>
      </c>
    </row>
    <row r="637">
      <c r="A637" s="3">
        <v>5.0E8</v>
      </c>
      <c r="B637" s="3" t="s">
        <v>463</v>
      </c>
      <c r="C637" s="3">
        <v>64.0</v>
      </c>
      <c r="D637" s="3">
        <v>1.7346527E7</v>
      </c>
      <c r="E637" s="3">
        <v>3.2022622E7</v>
      </c>
      <c r="F637" s="30">
        <f t="shared" si="63"/>
        <v>7812500</v>
      </c>
      <c r="G637" s="30">
        <f t="shared" si="64"/>
        <v>2.220355456</v>
      </c>
      <c r="H637" s="30">
        <f t="shared" si="65"/>
        <v>4.098895616</v>
      </c>
    </row>
    <row r="638">
      <c r="A638" s="3">
        <v>5.0E8</v>
      </c>
      <c r="B638" s="3" t="s">
        <v>463</v>
      </c>
      <c r="C638" s="3">
        <v>128.0</v>
      </c>
      <c r="D638" s="3">
        <v>9475102.0</v>
      </c>
      <c r="E638" s="3">
        <v>3.1982017E7</v>
      </c>
      <c r="F638" s="30">
        <f t="shared" si="63"/>
        <v>3906250</v>
      </c>
      <c r="G638" s="30">
        <f t="shared" si="64"/>
        <v>2.425626112</v>
      </c>
      <c r="H638" s="30">
        <f t="shared" si="65"/>
        <v>8.187396352</v>
      </c>
    </row>
    <row r="639">
      <c r="A639" s="3">
        <v>5.0E8</v>
      </c>
      <c r="B639" s="3" t="s">
        <v>463</v>
      </c>
      <c r="C639" s="3">
        <v>256.0</v>
      </c>
      <c r="D639" s="3">
        <v>5589674.0</v>
      </c>
      <c r="E639" s="3">
        <v>3.19416E7</v>
      </c>
      <c r="F639" s="30">
        <f t="shared" si="63"/>
        <v>1953125</v>
      </c>
      <c r="G639" s="30">
        <f t="shared" si="64"/>
        <v>2.861913088</v>
      </c>
      <c r="H639" s="30">
        <f t="shared" si="65"/>
        <v>16.3540992</v>
      </c>
    </row>
    <row r="640">
      <c r="A640" s="3">
        <v>5.0E8</v>
      </c>
      <c r="B640" s="3" t="s">
        <v>463</v>
      </c>
      <c r="C640" s="3">
        <v>512.0</v>
      </c>
      <c r="D640" s="3">
        <v>3627300.0</v>
      </c>
      <c r="E640" s="3">
        <v>3.1906059E7</v>
      </c>
      <c r="F640" s="30">
        <f t="shared" si="63"/>
        <v>976562.5</v>
      </c>
      <c r="G640" s="30">
        <f t="shared" si="64"/>
        <v>3.7143552</v>
      </c>
      <c r="H640" s="30">
        <f t="shared" si="65"/>
        <v>32.67180442</v>
      </c>
    </row>
    <row r="641">
      <c r="A641" s="3">
        <v>5.0E8</v>
      </c>
      <c r="B641" s="3" t="s">
        <v>463</v>
      </c>
      <c r="C641" s="3">
        <v>1024.0</v>
      </c>
      <c r="D641" s="3">
        <v>2651773.0</v>
      </c>
      <c r="E641" s="3">
        <v>3.1910925E7</v>
      </c>
      <c r="F641" s="30">
        <f t="shared" si="63"/>
        <v>488281.25</v>
      </c>
      <c r="G641" s="30">
        <f t="shared" si="64"/>
        <v>5.430831104</v>
      </c>
      <c r="H641" s="30">
        <f t="shared" si="65"/>
        <v>65.3535744</v>
      </c>
    </row>
    <row r="642">
      <c r="A642" s="3">
        <v>5.0E8</v>
      </c>
      <c r="B642" s="3" t="s">
        <v>463</v>
      </c>
      <c r="C642" s="3">
        <v>2048.0</v>
      </c>
      <c r="D642" s="3">
        <v>2208612.0</v>
      </c>
      <c r="E642" s="3">
        <v>3.1880981E7</v>
      </c>
      <c r="F642" s="30">
        <f t="shared" si="63"/>
        <v>244140.625</v>
      </c>
      <c r="G642" s="30">
        <f t="shared" si="64"/>
        <v>9.046474752</v>
      </c>
      <c r="H642" s="30">
        <f t="shared" si="65"/>
        <v>130.5844982</v>
      </c>
    </row>
    <row r="643">
      <c r="A643" s="3">
        <v>5.0E8</v>
      </c>
      <c r="B643" s="3" t="s">
        <v>463</v>
      </c>
      <c r="C643" s="3">
        <v>4096.0</v>
      </c>
      <c r="D643" s="3">
        <v>1909999.0</v>
      </c>
      <c r="E643" s="3">
        <v>3.1888299E7</v>
      </c>
      <c r="F643" s="30">
        <f t="shared" si="63"/>
        <v>122070.3125</v>
      </c>
      <c r="G643" s="30">
        <f t="shared" si="64"/>
        <v>15.64671181</v>
      </c>
      <c r="H643" s="30">
        <f t="shared" si="65"/>
        <v>261.2289454</v>
      </c>
    </row>
    <row r="644">
      <c r="A644" s="3">
        <v>5.0E8</v>
      </c>
      <c r="B644" s="3" t="s">
        <v>463</v>
      </c>
      <c r="C644" s="3">
        <v>8192.0</v>
      </c>
      <c r="D644" s="3">
        <v>1781185.0</v>
      </c>
      <c r="E644" s="3">
        <v>3.1857642E7</v>
      </c>
      <c r="F644" s="30">
        <f t="shared" si="63"/>
        <v>61035.15625</v>
      </c>
      <c r="G644" s="30">
        <f t="shared" si="64"/>
        <v>29.18293504</v>
      </c>
      <c r="H644" s="30">
        <f t="shared" si="65"/>
        <v>521.9556065</v>
      </c>
    </row>
    <row r="649">
      <c r="A649" s="3" t="s">
        <v>476</v>
      </c>
    </row>
    <row r="651">
      <c r="A651" s="3" t="s">
        <v>459</v>
      </c>
      <c r="C651" s="3" t="s">
        <v>324</v>
      </c>
      <c r="D651" s="3" t="s">
        <v>448</v>
      </c>
      <c r="E651" s="3" t="s">
        <v>449</v>
      </c>
      <c r="F651" s="3" t="s">
        <v>460</v>
      </c>
      <c r="G651" s="3" t="s">
        <v>461</v>
      </c>
      <c r="H651" s="3" t="s">
        <v>462</v>
      </c>
    </row>
    <row r="652">
      <c r="A652" s="3">
        <v>1000000.0</v>
      </c>
      <c r="B652" s="3" t="s">
        <v>477</v>
      </c>
      <c r="C652" s="3">
        <v>1.0</v>
      </c>
      <c r="D652" s="3">
        <v>139578.0</v>
      </c>
      <c r="E652" s="3">
        <v>89461.0</v>
      </c>
      <c r="F652" s="30">
        <f t="shared" ref="F652:F665" si="66">A652/C652</f>
        <v>1000000</v>
      </c>
      <c r="G652" s="30">
        <f t="shared" ref="G652:G665" si="67">D652/F652</f>
        <v>0.139578</v>
      </c>
      <c r="H652" s="30">
        <f t="shared" ref="H652:H665" si="68">E652/F652</f>
        <v>0.089461</v>
      </c>
    </row>
    <row r="653">
      <c r="A653" s="3">
        <v>1000000.0</v>
      </c>
      <c r="B653" s="3" t="s">
        <v>477</v>
      </c>
      <c r="C653" s="3">
        <v>2.0</v>
      </c>
      <c r="D653" s="3">
        <v>166806.0</v>
      </c>
      <c r="E653" s="3">
        <v>128595.0</v>
      </c>
      <c r="F653" s="30">
        <f t="shared" si="66"/>
        <v>500000</v>
      </c>
      <c r="G653" s="30">
        <f t="shared" si="67"/>
        <v>0.333612</v>
      </c>
      <c r="H653" s="30">
        <f t="shared" si="68"/>
        <v>0.25719</v>
      </c>
    </row>
    <row r="654">
      <c r="A654" s="3">
        <v>1000000.0</v>
      </c>
      <c r="B654" s="3" t="s">
        <v>477</v>
      </c>
      <c r="C654" s="3">
        <v>4.0</v>
      </c>
      <c r="D654" s="3">
        <v>155873.0</v>
      </c>
      <c r="E654" s="3">
        <v>109771.0</v>
      </c>
      <c r="F654" s="30">
        <f t="shared" si="66"/>
        <v>250000</v>
      </c>
      <c r="G654" s="30">
        <f t="shared" si="67"/>
        <v>0.623492</v>
      </c>
      <c r="H654" s="30">
        <f t="shared" si="68"/>
        <v>0.439084</v>
      </c>
      <c r="J654" s="3" t="s">
        <v>324</v>
      </c>
      <c r="K654" s="3" t="s">
        <v>464</v>
      </c>
      <c r="L654" s="3" t="s">
        <v>465</v>
      </c>
      <c r="M654" s="3" t="s">
        <v>466</v>
      </c>
      <c r="N654" s="3" t="s">
        <v>467</v>
      </c>
      <c r="O654" s="3" t="s">
        <v>468</v>
      </c>
      <c r="P654" s="3" t="s">
        <v>469</v>
      </c>
      <c r="Q654" s="3" t="s">
        <v>470</v>
      </c>
    </row>
    <row r="655">
      <c r="A655" s="3">
        <v>1000000.0</v>
      </c>
      <c r="B655" s="3" t="s">
        <v>477</v>
      </c>
      <c r="C655" s="3">
        <v>8.0</v>
      </c>
      <c r="D655" s="3">
        <v>141604.0</v>
      </c>
      <c r="E655" s="3">
        <v>86359.0</v>
      </c>
      <c r="F655" s="30">
        <f t="shared" si="66"/>
        <v>125000</v>
      </c>
      <c r="G655" s="30">
        <f t="shared" si="67"/>
        <v>1.132832</v>
      </c>
      <c r="H655" s="30">
        <f t="shared" si="68"/>
        <v>0.690872</v>
      </c>
      <c r="J655" s="30" t="s">
        <v>426</v>
      </c>
      <c r="K655" s="3">
        <v>0.0625</v>
      </c>
      <c r="L655" s="30">
        <v>0.089461</v>
      </c>
      <c r="M655" s="30">
        <v>0.07856</v>
      </c>
      <c r="N655" s="30">
        <v>0.072602</v>
      </c>
      <c r="O655" s="30">
        <v>0.06739856</v>
      </c>
      <c r="P655" s="30">
        <v>0.06641192</v>
      </c>
      <c r="Q655" s="30">
        <v>0.066101972</v>
      </c>
    </row>
    <row r="656">
      <c r="A656" s="3">
        <v>1000000.0</v>
      </c>
      <c r="B656" s="3" t="s">
        <v>477</v>
      </c>
      <c r="C656" s="3">
        <v>16.0</v>
      </c>
      <c r="D656" s="3">
        <v>136308.0</v>
      </c>
      <c r="E656" s="3">
        <v>83110.0</v>
      </c>
      <c r="F656" s="30">
        <f t="shared" si="66"/>
        <v>62500</v>
      </c>
      <c r="G656" s="30">
        <f t="shared" si="67"/>
        <v>2.180928</v>
      </c>
      <c r="H656" s="30">
        <f t="shared" si="68"/>
        <v>1.32976</v>
      </c>
      <c r="J656" s="30" t="s">
        <v>471</v>
      </c>
      <c r="K656" s="3">
        <v>0.125</v>
      </c>
      <c r="L656" s="30">
        <v>0.25719</v>
      </c>
      <c r="M656" s="30">
        <v>0.1442496</v>
      </c>
      <c r="N656" s="30">
        <v>0.141975</v>
      </c>
      <c r="O656" s="30">
        <v>0.13472648</v>
      </c>
      <c r="P656" s="30">
        <v>0.13261372</v>
      </c>
      <c r="Q656" s="30">
        <v>0.132478388</v>
      </c>
    </row>
    <row r="657">
      <c r="A657" s="3">
        <v>1000000.0</v>
      </c>
      <c r="B657" s="3" t="s">
        <v>477</v>
      </c>
      <c r="C657" s="3">
        <v>32.0</v>
      </c>
      <c r="D657" s="3">
        <v>73574.0</v>
      </c>
      <c r="E657" s="3">
        <v>77233.0</v>
      </c>
      <c r="F657" s="30">
        <f t="shared" si="66"/>
        <v>31250</v>
      </c>
      <c r="G657" s="30">
        <f t="shared" si="67"/>
        <v>2.354368</v>
      </c>
      <c r="H657" s="30">
        <f t="shared" si="68"/>
        <v>2.471456</v>
      </c>
      <c r="J657" s="30" t="s">
        <v>472</v>
      </c>
      <c r="K657" s="3">
        <v>0.25</v>
      </c>
      <c r="L657" s="30">
        <v>0.439084</v>
      </c>
      <c r="M657" s="30">
        <v>0.3413984</v>
      </c>
      <c r="N657" s="30">
        <v>0.2895508</v>
      </c>
      <c r="O657" s="30">
        <v>0.26860456</v>
      </c>
      <c r="P657" s="30">
        <v>0.26568228</v>
      </c>
      <c r="Q657" s="30">
        <v>0.264790632</v>
      </c>
    </row>
    <row r="658">
      <c r="A658" s="3">
        <v>1000000.0</v>
      </c>
      <c r="B658" s="3" t="s">
        <v>477</v>
      </c>
      <c r="C658" s="3">
        <v>64.0</v>
      </c>
      <c r="D658" s="3">
        <v>39971.0</v>
      </c>
      <c r="E658" s="3">
        <v>62640.0</v>
      </c>
      <c r="F658" s="30">
        <f t="shared" si="66"/>
        <v>15625</v>
      </c>
      <c r="G658" s="30">
        <f t="shared" si="67"/>
        <v>2.558144</v>
      </c>
      <c r="H658" s="30">
        <f t="shared" si="68"/>
        <v>4.00896</v>
      </c>
      <c r="J658" s="30" t="s">
        <v>473</v>
      </c>
      <c r="K658" s="3">
        <v>0.5</v>
      </c>
      <c r="L658" s="30">
        <v>0.690872</v>
      </c>
      <c r="M658" s="30">
        <v>0.6709296</v>
      </c>
      <c r="N658" s="30">
        <v>0.5624976</v>
      </c>
      <c r="O658" s="30">
        <v>0.53520224</v>
      </c>
      <c r="P658" s="30">
        <v>0.53255088</v>
      </c>
      <c r="Q658" s="30">
        <v>0.528772912</v>
      </c>
    </row>
    <row r="659">
      <c r="A659" s="3">
        <v>1000000.0</v>
      </c>
      <c r="B659" s="3" t="s">
        <v>477</v>
      </c>
      <c r="C659" s="3">
        <v>128.0</v>
      </c>
      <c r="D659" s="3">
        <v>22434.0</v>
      </c>
      <c r="E659" s="3">
        <v>53862.0</v>
      </c>
      <c r="F659" s="30">
        <f t="shared" si="66"/>
        <v>7812.5</v>
      </c>
      <c r="G659" s="30">
        <f t="shared" si="67"/>
        <v>2.871552</v>
      </c>
      <c r="H659" s="30">
        <f t="shared" si="68"/>
        <v>6.894336</v>
      </c>
      <c r="J659" s="30" t="s">
        <v>427</v>
      </c>
      <c r="K659" s="3">
        <v>1.0</v>
      </c>
      <c r="L659" s="30">
        <v>1.32976</v>
      </c>
      <c r="M659" s="30">
        <v>1.3140832</v>
      </c>
      <c r="N659" s="30">
        <v>1.1452368</v>
      </c>
      <c r="O659" s="30">
        <v>1.07167008</v>
      </c>
      <c r="P659" s="30">
        <v>1.0650672</v>
      </c>
      <c r="Q659" s="30">
        <v>1.05935264</v>
      </c>
    </row>
    <row r="660">
      <c r="A660" s="3">
        <v>1000000.0</v>
      </c>
      <c r="B660" s="3" t="s">
        <v>477</v>
      </c>
      <c r="C660" s="3">
        <v>256.0</v>
      </c>
      <c r="D660" s="3">
        <v>13191.0</v>
      </c>
      <c r="E660" s="3">
        <v>46268.0</v>
      </c>
      <c r="F660" s="30">
        <f t="shared" si="66"/>
        <v>3906.25</v>
      </c>
      <c r="G660" s="30">
        <f t="shared" si="67"/>
        <v>3.376896</v>
      </c>
      <c r="H660" s="30">
        <f t="shared" si="68"/>
        <v>11.844608</v>
      </c>
      <c r="J660" s="30" t="s">
        <v>428</v>
      </c>
      <c r="K660" s="3">
        <v>2.0</v>
      </c>
      <c r="L660" s="30">
        <v>2.471456</v>
      </c>
      <c r="M660" s="30">
        <v>1.98624</v>
      </c>
      <c r="N660" s="30">
        <v>2.1393184</v>
      </c>
      <c r="O660" s="30">
        <v>2.08979584</v>
      </c>
      <c r="P660" s="30">
        <v>2.08069248</v>
      </c>
      <c r="Q660" s="30">
        <v>2.078779776</v>
      </c>
    </row>
    <row r="661">
      <c r="A661" s="3">
        <v>1000000.0</v>
      </c>
      <c r="B661" s="3" t="s">
        <v>477</v>
      </c>
      <c r="C661" s="3">
        <v>512.0</v>
      </c>
      <c r="D661" s="3">
        <v>9027.0</v>
      </c>
      <c r="E661" s="3">
        <v>55224.0</v>
      </c>
      <c r="F661" s="30">
        <f t="shared" si="66"/>
        <v>1953.125</v>
      </c>
      <c r="G661" s="30">
        <f t="shared" si="67"/>
        <v>4.621824</v>
      </c>
      <c r="H661" s="30">
        <f t="shared" si="68"/>
        <v>28.274688</v>
      </c>
      <c r="J661" s="30" t="s">
        <v>429</v>
      </c>
      <c r="K661" s="3">
        <v>4.0</v>
      </c>
      <c r="L661" s="30">
        <v>4.00896</v>
      </c>
      <c r="M661" s="30">
        <v>4.1312384</v>
      </c>
      <c r="N661" s="30">
        <v>4.1097984</v>
      </c>
      <c r="O661" s="30">
        <v>4.0997376</v>
      </c>
      <c r="P661" s="30">
        <v>4.10046016</v>
      </c>
      <c r="Q661" s="30">
        <v>4.110084096</v>
      </c>
    </row>
    <row r="662">
      <c r="A662" s="3">
        <v>1000000.0</v>
      </c>
      <c r="B662" s="3" t="s">
        <v>477</v>
      </c>
      <c r="C662" s="3">
        <v>1024.0</v>
      </c>
      <c r="D662" s="3">
        <v>4975.0</v>
      </c>
      <c r="E662" s="3">
        <v>23776.0</v>
      </c>
      <c r="F662" s="30">
        <f t="shared" si="66"/>
        <v>976.5625</v>
      </c>
      <c r="G662" s="30">
        <f t="shared" si="67"/>
        <v>5.0944</v>
      </c>
      <c r="H662" s="30">
        <f t="shared" si="68"/>
        <v>24.346624</v>
      </c>
      <c r="J662" s="30" t="s">
        <v>430</v>
      </c>
      <c r="K662" s="3">
        <v>8.0</v>
      </c>
      <c r="L662" s="30">
        <v>6.894336</v>
      </c>
      <c r="M662" s="30">
        <v>7.8921216</v>
      </c>
      <c r="N662" s="30">
        <v>7.9054848</v>
      </c>
      <c r="O662" s="30">
        <v>8.15688704</v>
      </c>
      <c r="P662" s="30">
        <v>8.1899328</v>
      </c>
      <c r="Q662" s="30">
        <v>8.211431936</v>
      </c>
    </row>
    <row r="663">
      <c r="A663" s="3">
        <v>1000000.0</v>
      </c>
      <c r="B663" s="3" t="s">
        <v>477</v>
      </c>
      <c r="C663" s="3">
        <v>2048.0</v>
      </c>
      <c r="D663" s="3">
        <v>3860.0</v>
      </c>
      <c r="E663" s="3">
        <v>23507.0</v>
      </c>
      <c r="F663" s="30">
        <f t="shared" si="66"/>
        <v>488.28125</v>
      </c>
      <c r="G663" s="30">
        <f t="shared" si="67"/>
        <v>7.90528</v>
      </c>
      <c r="H663" s="30">
        <f t="shared" si="68"/>
        <v>48.142336</v>
      </c>
      <c r="J663" s="30" t="s">
        <v>431</v>
      </c>
      <c r="K663" s="3">
        <v>16.0</v>
      </c>
      <c r="L663" s="30">
        <v>11.844608</v>
      </c>
      <c r="M663" s="30">
        <v>16.0305664</v>
      </c>
      <c r="N663" s="30">
        <v>15.7102592</v>
      </c>
      <c r="O663" s="30">
        <v>16.19467776</v>
      </c>
      <c r="P663" s="30">
        <v>16.41378304</v>
      </c>
      <c r="Q663" s="30">
        <v>16.410704896</v>
      </c>
    </row>
    <row r="664">
      <c r="A664" s="3">
        <v>1000000.0</v>
      </c>
      <c r="B664" s="3" t="s">
        <v>477</v>
      </c>
      <c r="C664" s="3">
        <v>4096.0</v>
      </c>
      <c r="D664" s="3">
        <v>3546.0</v>
      </c>
      <c r="E664" s="3">
        <v>32461.0</v>
      </c>
      <c r="F664" s="30">
        <f t="shared" si="66"/>
        <v>244.140625</v>
      </c>
      <c r="G664" s="30">
        <f t="shared" si="67"/>
        <v>14.524416</v>
      </c>
      <c r="H664" s="30">
        <f t="shared" si="68"/>
        <v>132.960256</v>
      </c>
      <c r="J664" s="30" t="s">
        <v>432</v>
      </c>
      <c r="K664" s="3">
        <v>32.0</v>
      </c>
      <c r="L664" s="30">
        <v>28.274688</v>
      </c>
      <c r="M664" s="30">
        <v>29.6549376</v>
      </c>
      <c r="N664" s="30">
        <v>31.4517504</v>
      </c>
      <c r="O664" s="30">
        <v>32.77120512</v>
      </c>
      <c r="P664" s="30">
        <v>32.8034816</v>
      </c>
      <c r="Q664" s="30">
        <v>32.78596608</v>
      </c>
    </row>
    <row r="665">
      <c r="A665" s="3">
        <v>1000000.0</v>
      </c>
      <c r="B665" s="3" t="s">
        <v>477</v>
      </c>
      <c r="C665" s="3">
        <v>8192.0</v>
      </c>
      <c r="D665" s="3">
        <v>2936.0</v>
      </c>
      <c r="E665" s="3">
        <v>26633.0</v>
      </c>
      <c r="F665" s="30">
        <f t="shared" si="66"/>
        <v>122.0703125</v>
      </c>
      <c r="G665" s="30">
        <f t="shared" si="67"/>
        <v>24.051712</v>
      </c>
      <c r="H665" s="30">
        <f t="shared" si="68"/>
        <v>218.177536</v>
      </c>
      <c r="J665" s="30" t="s">
        <v>433</v>
      </c>
      <c r="K665" s="3">
        <v>64.0</v>
      </c>
      <c r="L665" s="30">
        <v>24.346624</v>
      </c>
      <c r="M665" s="30">
        <v>57.3745152</v>
      </c>
      <c r="N665" s="30">
        <v>64.1421312</v>
      </c>
      <c r="O665" s="30">
        <v>65.5679488</v>
      </c>
      <c r="P665" s="30">
        <v>65.32871168</v>
      </c>
      <c r="Q665" s="30">
        <v>65.572272128</v>
      </c>
    </row>
    <row r="666">
      <c r="F666" s="3"/>
      <c r="G666" s="3"/>
      <c r="H666" s="3"/>
      <c r="J666" s="30" t="s">
        <v>474</v>
      </c>
      <c r="K666" s="3">
        <v>128.0</v>
      </c>
      <c r="L666" s="30">
        <v>48.142336</v>
      </c>
      <c r="M666" s="30">
        <v>122.5633792</v>
      </c>
      <c r="N666" s="30">
        <v>125.4309888</v>
      </c>
      <c r="O666" s="30">
        <v>130.28151296</v>
      </c>
      <c r="P666" s="30">
        <v>130.2619136</v>
      </c>
      <c r="Q666" s="30">
        <v>130.7326464</v>
      </c>
    </row>
    <row r="667">
      <c r="A667" s="3" t="s">
        <v>459</v>
      </c>
      <c r="C667" s="3" t="s">
        <v>324</v>
      </c>
      <c r="D667" s="3" t="s">
        <v>448</v>
      </c>
      <c r="E667" s="3" t="s">
        <v>449</v>
      </c>
      <c r="F667" s="3" t="s">
        <v>460</v>
      </c>
      <c r="G667" s="3" t="s">
        <v>461</v>
      </c>
      <c r="H667" s="3" t="s">
        <v>462</v>
      </c>
      <c r="J667" s="30" t="s">
        <v>453</v>
      </c>
      <c r="K667" s="3">
        <v>256.0</v>
      </c>
      <c r="L667" s="30">
        <v>132.960256</v>
      </c>
      <c r="M667" s="30">
        <v>244.0257536</v>
      </c>
      <c r="N667" s="30">
        <v>247.441408</v>
      </c>
      <c r="O667" s="30">
        <v>260.42130432</v>
      </c>
      <c r="P667" s="30">
        <v>260.5871104</v>
      </c>
      <c r="Q667" s="30">
        <v>261.367504896</v>
      </c>
    </row>
    <row r="668">
      <c r="A668" s="3">
        <v>5000000.0</v>
      </c>
      <c r="B668" s="3" t="s">
        <v>477</v>
      </c>
      <c r="C668" s="3">
        <v>1.0</v>
      </c>
      <c r="D668" s="3">
        <v>682507.0</v>
      </c>
      <c r="E668" s="3">
        <v>392800.0</v>
      </c>
      <c r="F668" s="30">
        <f t="shared" ref="F668:F681" si="69">A668/C668</f>
        <v>5000000</v>
      </c>
      <c r="G668" s="30">
        <f t="shared" ref="G668:G681" si="70">D668/F668</f>
        <v>0.1365014</v>
      </c>
      <c r="H668" s="30">
        <f t="shared" ref="H668:H681" si="71">E668/F668</f>
        <v>0.07856</v>
      </c>
      <c r="J668" s="30" t="s">
        <v>475</v>
      </c>
      <c r="K668" s="3">
        <v>512.0</v>
      </c>
      <c r="L668" s="30">
        <v>218.177536</v>
      </c>
      <c r="M668" s="30">
        <v>490.5009152</v>
      </c>
      <c r="N668" s="30">
        <v>515.4332672</v>
      </c>
      <c r="O668" s="30">
        <v>519.73619712</v>
      </c>
      <c r="P668" s="30">
        <v>516.52829184</v>
      </c>
      <c r="Q668" s="30">
        <v>521.040707584</v>
      </c>
    </row>
    <row r="669">
      <c r="A669" s="3">
        <v>5000000.0</v>
      </c>
      <c r="B669" s="3" t="s">
        <v>477</v>
      </c>
      <c r="C669" s="3">
        <v>2.0</v>
      </c>
      <c r="D669" s="3">
        <v>696406.0</v>
      </c>
      <c r="E669" s="3">
        <v>360624.0</v>
      </c>
      <c r="F669" s="30">
        <f t="shared" si="69"/>
        <v>2500000</v>
      </c>
      <c r="G669" s="30">
        <f t="shared" si="70"/>
        <v>0.2785624</v>
      </c>
      <c r="H669" s="30">
        <f t="shared" si="71"/>
        <v>0.1442496</v>
      </c>
    </row>
    <row r="670">
      <c r="A670" s="3">
        <v>5000000.0</v>
      </c>
      <c r="B670" s="3" t="s">
        <v>477</v>
      </c>
      <c r="C670" s="3">
        <v>4.0</v>
      </c>
      <c r="D670" s="3">
        <v>713215.0</v>
      </c>
      <c r="E670" s="3">
        <v>426748.0</v>
      </c>
      <c r="F670" s="30">
        <f t="shared" si="69"/>
        <v>1250000</v>
      </c>
      <c r="G670" s="30">
        <f t="shared" si="70"/>
        <v>0.570572</v>
      </c>
      <c r="H670" s="30">
        <f t="shared" si="71"/>
        <v>0.3413984</v>
      </c>
    </row>
    <row r="671">
      <c r="A671" s="3">
        <v>5000000.0</v>
      </c>
      <c r="B671" s="3" t="s">
        <v>477</v>
      </c>
      <c r="C671" s="3">
        <v>8.0</v>
      </c>
      <c r="D671" s="3">
        <v>714959.0</v>
      </c>
      <c r="E671" s="3">
        <v>419331.0</v>
      </c>
      <c r="F671" s="30">
        <f t="shared" si="69"/>
        <v>625000</v>
      </c>
      <c r="G671" s="30">
        <f t="shared" si="70"/>
        <v>1.1439344</v>
      </c>
      <c r="H671" s="30">
        <f t="shared" si="71"/>
        <v>0.6709296</v>
      </c>
    </row>
    <row r="672">
      <c r="A672" s="3">
        <v>5000000.0</v>
      </c>
      <c r="B672" s="3" t="s">
        <v>477</v>
      </c>
      <c r="C672" s="3">
        <v>16.0</v>
      </c>
      <c r="D672" s="3">
        <v>713847.0</v>
      </c>
      <c r="E672" s="3">
        <v>410651.0</v>
      </c>
      <c r="F672" s="30">
        <f t="shared" si="69"/>
        <v>312500</v>
      </c>
      <c r="G672" s="30">
        <f t="shared" si="70"/>
        <v>2.2843104</v>
      </c>
      <c r="H672" s="30">
        <f t="shared" si="71"/>
        <v>1.3140832</v>
      </c>
    </row>
    <row r="673">
      <c r="A673" s="3">
        <v>5000000.0</v>
      </c>
      <c r="B673" s="3" t="s">
        <v>477</v>
      </c>
      <c r="C673" s="3">
        <v>32.0</v>
      </c>
      <c r="D673" s="3">
        <v>368861.0</v>
      </c>
      <c r="E673" s="3">
        <v>310350.0</v>
      </c>
      <c r="F673" s="30">
        <f t="shared" si="69"/>
        <v>156250</v>
      </c>
      <c r="G673" s="30">
        <f t="shared" si="70"/>
        <v>2.3607104</v>
      </c>
      <c r="H673" s="30">
        <f t="shared" si="71"/>
        <v>1.98624</v>
      </c>
    </row>
    <row r="674">
      <c r="A674" s="3">
        <v>5000000.0</v>
      </c>
      <c r="B674" s="3" t="s">
        <v>477</v>
      </c>
      <c r="C674" s="3">
        <v>64.0</v>
      </c>
      <c r="D674" s="3">
        <v>186660.0</v>
      </c>
      <c r="E674" s="3">
        <v>322753.0</v>
      </c>
      <c r="F674" s="30">
        <f t="shared" si="69"/>
        <v>78125</v>
      </c>
      <c r="G674" s="30">
        <f t="shared" si="70"/>
        <v>2.389248</v>
      </c>
      <c r="H674" s="30">
        <f t="shared" si="71"/>
        <v>4.1312384</v>
      </c>
    </row>
    <row r="675">
      <c r="A675" s="3">
        <v>5000000.0</v>
      </c>
      <c r="B675" s="3" t="s">
        <v>477</v>
      </c>
      <c r="C675" s="3">
        <v>128.0</v>
      </c>
      <c r="D675" s="3">
        <v>103991.0</v>
      </c>
      <c r="E675" s="3">
        <v>308286.0</v>
      </c>
      <c r="F675" s="30">
        <f t="shared" si="69"/>
        <v>39062.5</v>
      </c>
      <c r="G675" s="30">
        <f t="shared" si="70"/>
        <v>2.6621696</v>
      </c>
      <c r="H675" s="30">
        <f t="shared" si="71"/>
        <v>7.8921216</v>
      </c>
      <c r="AC675" s="65"/>
    </row>
    <row r="676">
      <c r="A676" s="3">
        <v>5000000.0</v>
      </c>
      <c r="B676" s="3" t="s">
        <v>477</v>
      </c>
      <c r="C676" s="3">
        <v>256.0</v>
      </c>
      <c r="D676" s="3">
        <v>63448.0</v>
      </c>
      <c r="E676" s="3">
        <v>313097.0</v>
      </c>
      <c r="F676" s="30">
        <f t="shared" si="69"/>
        <v>19531.25</v>
      </c>
      <c r="G676" s="30">
        <f t="shared" si="70"/>
        <v>3.2485376</v>
      </c>
      <c r="H676" s="30">
        <f t="shared" si="71"/>
        <v>16.0305664</v>
      </c>
      <c r="X676" s="72" t="s">
        <v>478</v>
      </c>
    </row>
    <row r="677">
      <c r="A677" s="3">
        <v>5000000.0</v>
      </c>
      <c r="B677" s="3" t="s">
        <v>477</v>
      </c>
      <c r="C677" s="3">
        <v>512.0</v>
      </c>
      <c r="D677" s="3">
        <v>42140.0</v>
      </c>
      <c r="E677" s="3">
        <v>289599.0</v>
      </c>
      <c r="F677" s="30">
        <f t="shared" si="69"/>
        <v>9765.625</v>
      </c>
      <c r="G677" s="30">
        <f t="shared" si="70"/>
        <v>4.315136</v>
      </c>
      <c r="H677" s="30">
        <f t="shared" si="71"/>
        <v>29.6549376</v>
      </c>
      <c r="X677" s="65"/>
      <c r="Y677" s="3" t="s">
        <v>479</v>
      </c>
      <c r="Z677" s="3" t="s">
        <v>480</v>
      </c>
      <c r="AA677" s="3" t="s">
        <v>476</v>
      </c>
      <c r="AB677" s="3" t="s">
        <v>481</v>
      </c>
    </row>
    <row r="678">
      <c r="A678" s="3">
        <v>5000000.0</v>
      </c>
      <c r="B678" s="3" t="s">
        <v>477</v>
      </c>
      <c r="C678" s="3">
        <v>1024.0</v>
      </c>
      <c r="D678" s="3">
        <v>31758.0</v>
      </c>
      <c r="E678" s="3">
        <v>280149.0</v>
      </c>
      <c r="F678" s="30">
        <f t="shared" si="69"/>
        <v>4882.8125</v>
      </c>
      <c r="G678" s="30">
        <f t="shared" si="70"/>
        <v>6.5040384</v>
      </c>
      <c r="H678" s="30">
        <f t="shared" si="71"/>
        <v>57.3745152</v>
      </c>
      <c r="X678" s="72" t="s">
        <v>322</v>
      </c>
      <c r="Y678" s="30">
        <v>1.25E7</v>
      </c>
      <c r="Z678" s="64">
        <v>1.3171678203125E7</v>
      </c>
      <c r="AA678" s="3">
        <v>1.3213849E7</v>
      </c>
      <c r="AB678" s="3">
        <v>1.3334331E7</v>
      </c>
    </row>
    <row r="679">
      <c r="A679" s="3">
        <v>5000000.0</v>
      </c>
      <c r="B679" s="3" t="s">
        <v>477</v>
      </c>
      <c r="C679" s="3">
        <v>2048.0</v>
      </c>
      <c r="D679" s="3">
        <v>26130.0</v>
      </c>
      <c r="E679" s="3">
        <v>299227.0</v>
      </c>
      <c r="F679" s="30">
        <f t="shared" si="69"/>
        <v>2441.40625</v>
      </c>
      <c r="G679" s="30">
        <f t="shared" si="70"/>
        <v>10.702848</v>
      </c>
      <c r="H679" s="30">
        <f t="shared" si="71"/>
        <v>122.5633792</v>
      </c>
      <c r="X679" s="72" t="s">
        <v>323</v>
      </c>
      <c r="Y679" s="30">
        <v>6250000.0</v>
      </c>
      <c r="Z679" s="64">
        <v>6832089.2</v>
      </c>
      <c r="AA679" s="3">
        <v>6641192.0</v>
      </c>
      <c r="AB679" s="3">
        <v>6727854.0</v>
      </c>
    </row>
    <row r="680">
      <c r="A680" s="3">
        <v>5000000.0</v>
      </c>
      <c r="B680" s="3" t="s">
        <v>477</v>
      </c>
      <c r="C680" s="3">
        <v>4096.0</v>
      </c>
      <c r="D680" s="3">
        <v>23519.0</v>
      </c>
      <c r="E680" s="3">
        <v>297883.0</v>
      </c>
      <c r="F680" s="30">
        <f t="shared" si="69"/>
        <v>1220.703125</v>
      </c>
      <c r="G680" s="30">
        <f t="shared" si="70"/>
        <v>19.2667648</v>
      </c>
      <c r="H680" s="30">
        <f t="shared" si="71"/>
        <v>244.0257536</v>
      </c>
      <c r="X680" s="72" t="s">
        <v>482</v>
      </c>
      <c r="Y680" s="30">
        <v>1.875E7</v>
      </c>
      <c r="Z680" s="30">
        <v>2.0003767403125E7</v>
      </c>
      <c r="AA680" s="30">
        <v>1.9855041E7</v>
      </c>
      <c r="AB680" s="30">
        <v>2.0062185E7</v>
      </c>
    </row>
    <row r="681">
      <c r="A681" s="3">
        <v>5000000.0</v>
      </c>
      <c r="B681" s="3" t="s">
        <v>477</v>
      </c>
      <c r="C681" s="3">
        <v>8192.0</v>
      </c>
      <c r="D681" s="3">
        <v>21526.0</v>
      </c>
      <c r="E681" s="3">
        <v>299378.0</v>
      </c>
      <c r="F681" s="30">
        <f t="shared" si="69"/>
        <v>610.3515625</v>
      </c>
      <c r="G681" s="30">
        <f t="shared" si="70"/>
        <v>35.2681984</v>
      </c>
      <c r="H681" s="30">
        <f t="shared" si="71"/>
        <v>490.5009152</v>
      </c>
      <c r="AC681" s="65"/>
    </row>
    <row r="683">
      <c r="A683" s="3" t="s">
        <v>459</v>
      </c>
      <c r="C683" s="3" t="s">
        <v>324</v>
      </c>
      <c r="D683" s="3" t="s">
        <v>448</v>
      </c>
      <c r="E683" s="3" t="s">
        <v>449</v>
      </c>
      <c r="F683" s="3" t="s">
        <v>460</v>
      </c>
      <c r="G683" s="3" t="s">
        <v>461</v>
      </c>
      <c r="H683" s="3" t="s">
        <v>462</v>
      </c>
    </row>
    <row r="684">
      <c r="A684" s="3">
        <v>1.0E7</v>
      </c>
      <c r="B684" s="3" t="s">
        <v>477</v>
      </c>
      <c r="C684" s="3">
        <v>1.0</v>
      </c>
      <c r="D684" s="3">
        <v>1342879.0</v>
      </c>
      <c r="E684" s="3">
        <v>726020.0</v>
      </c>
      <c r="F684" s="30">
        <f t="shared" ref="F684:F697" si="72">A684/C684</f>
        <v>10000000</v>
      </c>
      <c r="G684" s="30">
        <f t="shared" ref="G684:G697" si="73">D684/F684</f>
        <v>0.1342879</v>
      </c>
      <c r="H684" s="30">
        <f t="shared" ref="H684:H697" si="74">E684/F684</f>
        <v>0.072602</v>
      </c>
    </row>
    <row r="685">
      <c r="A685" s="3">
        <v>1.0E7</v>
      </c>
      <c r="B685" s="3" t="s">
        <v>477</v>
      </c>
      <c r="C685" s="3">
        <v>2.0</v>
      </c>
      <c r="D685" s="3">
        <v>1381914.0</v>
      </c>
      <c r="E685" s="3">
        <v>709875.0</v>
      </c>
      <c r="F685" s="30">
        <f t="shared" si="72"/>
        <v>5000000</v>
      </c>
      <c r="G685" s="30">
        <f t="shared" si="73"/>
        <v>0.2763828</v>
      </c>
      <c r="H685" s="30">
        <f t="shared" si="74"/>
        <v>0.141975</v>
      </c>
    </row>
    <row r="686">
      <c r="A686" s="3">
        <v>1.0E7</v>
      </c>
      <c r="B686" s="3" t="s">
        <v>477</v>
      </c>
      <c r="C686" s="3">
        <v>4.0</v>
      </c>
      <c r="D686" s="3">
        <v>1345505.0</v>
      </c>
      <c r="E686" s="3">
        <v>723877.0</v>
      </c>
      <c r="F686" s="30">
        <f t="shared" si="72"/>
        <v>2500000</v>
      </c>
      <c r="G686" s="30">
        <f t="shared" si="73"/>
        <v>0.538202</v>
      </c>
      <c r="H686" s="30">
        <f t="shared" si="74"/>
        <v>0.2895508</v>
      </c>
    </row>
    <row r="687">
      <c r="A687" s="3">
        <v>1.0E7</v>
      </c>
      <c r="B687" s="3" t="s">
        <v>477</v>
      </c>
      <c r="C687" s="3">
        <v>8.0</v>
      </c>
      <c r="D687" s="3">
        <v>1336598.0</v>
      </c>
      <c r="E687" s="3">
        <v>703122.0</v>
      </c>
      <c r="F687" s="30">
        <f t="shared" si="72"/>
        <v>1250000</v>
      </c>
      <c r="G687" s="30">
        <f t="shared" si="73"/>
        <v>1.0692784</v>
      </c>
      <c r="H687" s="30">
        <f t="shared" si="74"/>
        <v>0.5624976</v>
      </c>
    </row>
    <row r="688">
      <c r="A688" s="3">
        <v>1.0E7</v>
      </c>
      <c r="B688" s="3" t="s">
        <v>477</v>
      </c>
      <c r="C688" s="3">
        <v>16.0</v>
      </c>
      <c r="D688" s="3">
        <v>1338055.0</v>
      </c>
      <c r="E688" s="3">
        <v>715773.0</v>
      </c>
      <c r="F688" s="30">
        <f t="shared" si="72"/>
        <v>625000</v>
      </c>
      <c r="G688" s="30">
        <f t="shared" si="73"/>
        <v>2.140888</v>
      </c>
      <c r="H688" s="30">
        <f t="shared" si="74"/>
        <v>1.1452368</v>
      </c>
    </row>
    <row r="689">
      <c r="A689" s="3">
        <v>1.0E7</v>
      </c>
      <c r="B689" s="3" t="s">
        <v>477</v>
      </c>
      <c r="C689" s="3">
        <v>32.0</v>
      </c>
      <c r="D689" s="3">
        <v>691035.0</v>
      </c>
      <c r="E689" s="3">
        <v>668537.0</v>
      </c>
      <c r="F689" s="30">
        <f t="shared" si="72"/>
        <v>312500</v>
      </c>
      <c r="G689" s="30">
        <f t="shared" si="73"/>
        <v>2.211312</v>
      </c>
      <c r="H689" s="30">
        <f t="shared" si="74"/>
        <v>2.1393184</v>
      </c>
    </row>
    <row r="690">
      <c r="A690" s="3">
        <v>1.0E7</v>
      </c>
      <c r="B690" s="3" t="s">
        <v>477</v>
      </c>
      <c r="C690" s="3">
        <v>64.0</v>
      </c>
      <c r="D690" s="3">
        <v>366913.0</v>
      </c>
      <c r="E690" s="3">
        <v>642156.0</v>
      </c>
      <c r="F690" s="30">
        <f t="shared" si="72"/>
        <v>156250</v>
      </c>
      <c r="G690" s="30">
        <f t="shared" si="73"/>
        <v>2.3482432</v>
      </c>
      <c r="H690" s="30">
        <f t="shared" si="74"/>
        <v>4.1097984</v>
      </c>
    </row>
    <row r="691">
      <c r="A691" s="3">
        <v>1.0E7</v>
      </c>
      <c r="B691" s="3" t="s">
        <v>477</v>
      </c>
      <c r="C691" s="3">
        <v>128.0</v>
      </c>
      <c r="D691" s="3">
        <v>206317.0</v>
      </c>
      <c r="E691" s="3">
        <v>617616.0</v>
      </c>
      <c r="F691" s="30">
        <f t="shared" si="72"/>
        <v>78125</v>
      </c>
      <c r="G691" s="30">
        <f t="shared" si="73"/>
        <v>2.6408576</v>
      </c>
      <c r="H691" s="30">
        <f t="shared" si="74"/>
        <v>7.9054848</v>
      </c>
    </row>
    <row r="692">
      <c r="A692" s="3">
        <v>1.0E7</v>
      </c>
      <c r="B692" s="3" t="s">
        <v>477</v>
      </c>
      <c r="C692" s="3">
        <v>256.0</v>
      </c>
      <c r="D692" s="3">
        <v>125732.0</v>
      </c>
      <c r="E692" s="3">
        <v>613682.0</v>
      </c>
      <c r="F692" s="30">
        <f t="shared" si="72"/>
        <v>39062.5</v>
      </c>
      <c r="G692" s="30">
        <f t="shared" si="73"/>
        <v>3.2187392</v>
      </c>
      <c r="H692" s="30">
        <f t="shared" si="74"/>
        <v>15.7102592</v>
      </c>
    </row>
    <row r="693">
      <c r="A693" s="3">
        <v>1.0E7</v>
      </c>
      <c r="B693" s="3" t="s">
        <v>477</v>
      </c>
      <c r="C693" s="3">
        <v>512.0</v>
      </c>
      <c r="D693" s="3">
        <v>85954.0</v>
      </c>
      <c r="E693" s="3">
        <v>614292.0</v>
      </c>
      <c r="F693" s="30">
        <f t="shared" si="72"/>
        <v>19531.25</v>
      </c>
      <c r="G693" s="30">
        <f t="shared" si="73"/>
        <v>4.4008448</v>
      </c>
      <c r="H693" s="30">
        <f t="shared" si="74"/>
        <v>31.4517504</v>
      </c>
    </row>
    <row r="694">
      <c r="A694" s="3">
        <v>1.0E7</v>
      </c>
      <c r="B694" s="3" t="s">
        <v>477</v>
      </c>
      <c r="C694" s="3">
        <v>1024.0</v>
      </c>
      <c r="D694" s="3">
        <v>66224.0</v>
      </c>
      <c r="E694" s="3">
        <v>626388.0</v>
      </c>
      <c r="F694" s="30">
        <f t="shared" si="72"/>
        <v>9765.625</v>
      </c>
      <c r="G694" s="30">
        <f t="shared" si="73"/>
        <v>6.7813376</v>
      </c>
      <c r="H694" s="30">
        <f t="shared" si="74"/>
        <v>64.1421312</v>
      </c>
    </row>
    <row r="695">
      <c r="A695" s="3">
        <v>1.0E7</v>
      </c>
      <c r="B695" s="3" t="s">
        <v>477</v>
      </c>
      <c r="C695" s="3">
        <v>2048.0</v>
      </c>
      <c r="D695" s="3">
        <v>55191.0</v>
      </c>
      <c r="E695" s="3">
        <v>612456.0</v>
      </c>
      <c r="F695" s="30">
        <f t="shared" si="72"/>
        <v>4882.8125</v>
      </c>
      <c r="G695" s="30">
        <f t="shared" si="73"/>
        <v>11.3031168</v>
      </c>
      <c r="H695" s="30">
        <f t="shared" si="74"/>
        <v>125.4309888</v>
      </c>
    </row>
    <row r="696">
      <c r="A696" s="3">
        <v>1.0E7</v>
      </c>
      <c r="B696" s="3" t="s">
        <v>477</v>
      </c>
      <c r="C696" s="3">
        <v>4096.0</v>
      </c>
      <c r="D696" s="3">
        <v>47050.0</v>
      </c>
      <c r="E696" s="3">
        <v>604105.0</v>
      </c>
      <c r="F696" s="30">
        <f t="shared" si="72"/>
        <v>2441.40625</v>
      </c>
      <c r="G696" s="30">
        <f t="shared" si="73"/>
        <v>19.27168</v>
      </c>
      <c r="H696" s="30">
        <f t="shared" si="74"/>
        <v>247.441408</v>
      </c>
    </row>
    <row r="697">
      <c r="A697" s="3">
        <v>1.0E7</v>
      </c>
      <c r="B697" s="3" t="s">
        <v>477</v>
      </c>
      <c r="C697" s="3">
        <v>8192.0</v>
      </c>
      <c r="D697" s="3">
        <v>44864.0</v>
      </c>
      <c r="E697" s="3">
        <v>629191.0</v>
      </c>
      <c r="F697" s="30">
        <f t="shared" si="72"/>
        <v>1220.703125</v>
      </c>
      <c r="G697" s="30">
        <f t="shared" si="73"/>
        <v>36.7525888</v>
      </c>
      <c r="H697" s="30">
        <f t="shared" si="74"/>
        <v>515.4332672</v>
      </c>
    </row>
    <row r="699">
      <c r="A699" s="3" t="s">
        <v>459</v>
      </c>
      <c r="C699" s="3" t="s">
        <v>324</v>
      </c>
      <c r="D699" s="3" t="s">
        <v>448</v>
      </c>
      <c r="E699" s="3" t="s">
        <v>449</v>
      </c>
      <c r="F699" s="3" t="s">
        <v>460</v>
      </c>
      <c r="G699" s="3" t="s">
        <v>461</v>
      </c>
      <c r="H699" s="3" t="s">
        <v>462</v>
      </c>
    </row>
    <row r="700">
      <c r="A700" s="3">
        <v>5.0E7</v>
      </c>
      <c r="B700" s="3" t="s">
        <v>477</v>
      </c>
      <c r="C700" s="3">
        <v>1.0</v>
      </c>
      <c r="D700" s="3">
        <v>6609899.0</v>
      </c>
      <c r="E700" s="3">
        <v>3369928.0</v>
      </c>
      <c r="F700" s="30">
        <f t="shared" ref="F700:F713" si="75">A700/C700</f>
        <v>50000000</v>
      </c>
      <c r="G700" s="30">
        <f t="shared" ref="G700:G713" si="76">D700/F700</f>
        <v>0.13219798</v>
      </c>
      <c r="H700" s="30">
        <f t="shared" ref="H700:H713" si="77">E700/F700</f>
        <v>0.06739856</v>
      </c>
    </row>
    <row r="701">
      <c r="A701" s="3">
        <v>5.0E7</v>
      </c>
      <c r="B701" s="3" t="s">
        <v>477</v>
      </c>
      <c r="C701" s="3">
        <v>2.0</v>
      </c>
      <c r="D701" s="3">
        <v>6613735.0</v>
      </c>
      <c r="E701" s="3">
        <v>3368162.0</v>
      </c>
      <c r="F701" s="30">
        <f t="shared" si="75"/>
        <v>25000000</v>
      </c>
      <c r="G701" s="30">
        <f t="shared" si="76"/>
        <v>0.2645494</v>
      </c>
      <c r="H701" s="30">
        <f t="shared" si="77"/>
        <v>0.13472648</v>
      </c>
    </row>
    <row r="702">
      <c r="A702" s="3">
        <v>5.0E7</v>
      </c>
      <c r="B702" s="3" t="s">
        <v>477</v>
      </c>
      <c r="C702" s="3">
        <v>4.0</v>
      </c>
      <c r="D702" s="3">
        <v>6593997.0</v>
      </c>
      <c r="E702" s="3">
        <v>3357557.0</v>
      </c>
      <c r="F702" s="30">
        <f t="shared" si="75"/>
        <v>12500000</v>
      </c>
      <c r="G702" s="30">
        <f t="shared" si="76"/>
        <v>0.52751976</v>
      </c>
      <c r="H702" s="30">
        <f t="shared" si="77"/>
        <v>0.26860456</v>
      </c>
    </row>
    <row r="703">
      <c r="A703" s="3">
        <v>5.0E7</v>
      </c>
      <c r="B703" s="3" t="s">
        <v>477</v>
      </c>
      <c r="C703" s="3">
        <v>8.0</v>
      </c>
      <c r="D703" s="3">
        <v>6602842.0</v>
      </c>
      <c r="E703" s="3">
        <v>3345014.0</v>
      </c>
      <c r="F703" s="30">
        <f t="shared" si="75"/>
        <v>6250000</v>
      </c>
      <c r="G703" s="30">
        <f t="shared" si="76"/>
        <v>1.05645472</v>
      </c>
      <c r="H703" s="30">
        <f t="shared" si="77"/>
        <v>0.53520224</v>
      </c>
    </row>
    <row r="704">
      <c r="A704" s="3">
        <v>5.0E7</v>
      </c>
      <c r="B704" s="3" t="s">
        <v>477</v>
      </c>
      <c r="C704" s="3">
        <v>16.0</v>
      </c>
      <c r="D704" s="3">
        <v>6609770.0</v>
      </c>
      <c r="E704" s="3">
        <v>3348969.0</v>
      </c>
      <c r="F704" s="30">
        <f t="shared" si="75"/>
        <v>3125000</v>
      </c>
      <c r="G704" s="30">
        <f t="shared" si="76"/>
        <v>2.1151264</v>
      </c>
      <c r="H704" s="30">
        <f t="shared" si="77"/>
        <v>1.07167008</v>
      </c>
    </row>
    <row r="705">
      <c r="A705" s="3">
        <v>5.0E7</v>
      </c>
      <c r="B705" s="3" t="s">
        <v>477</v>
      </c>
      <c r="C705" s="3">
        <v>32.0</v>
      </c>
      <c r="D705" s="3">
        <v>3403345.0</v>
      </c>
      <c r="E705" s="3">
        <v>3265306.0</v>
      </c>
      <c r="F705" s="30">
        <f t="shared" si="75"/>
        <v>1562500</v>
      </c>
      <c r="G705" s="30">
        <f t="shared" si="76"/>
        <v>2.1781408</v>
      </c>
      <c r="H705" s="30">
        <f t="shared" si="77"/>
        <v>2.08979584</v>
      </c>
    </row>
    <row r="706">
      <c r="A706" s="3">
        <v>5.0E7</v>
      </c>
      <c r="B706" s="3" t="s">
        <v>477</v>
      </c>
      <c r="C706" s="3">
        <v>64.0</v>
      </c>
      <c r="D706" s="3">
        <v>1806258.0</v>
      </c>
      <c r="E706" s="3">
        <v>3202920.0</v>
      </c>
      <c r="F706" s="30">
        <f t="shared" si="75"/>
        <v>781250</v>
      </c>
      <c r="G706" s="30">
        <f t="shared" si="76"/>
        <v>2.31201024</v>
      </c>
      <c r="H706" s="30">
        <f t="shared" si="77"/>
        <v>4.0997376</v>
      </c>
    </row>
    <row r="707">
      <c r="A707" s="3">
        <v>5.0E7</v>
      </c>
      <c r="B707" s="3" t="s">
        <v>477</v>
      </c>
      <c r="C707" s="3">
        <v>128.0</v>
      </c>
      <c r="D707" s="3">
        <v>1013415.0</v>
      </c>
      <c r="E707" s="3">
        <v>3186284.0</v>
      </c>
      <c r="F707" s="30">
        <f t="shared" si="75"/>
        <v>390625</v>
      </c>
      <c r="G707" s="30">
        <f t="shared" si="76"/>
        <v>2.5943424</v>
      </c>
      <c r="H707" s="30">
        <f t="shared" si="77"/>
        <v>8.15688704</v>
      </c>
    </row>
    <row r="708">
      <c r="A708" s="3">
        <v>5.0E7</v>
      </c>
      <c r="B708" s="3" t="s">
        <v>477</v>
      </c>
      <c r="C708" s="3">
        <v>256.0</v>
      </c>
      <c r="D708" s="3">
        <v>618676.0</v>
      </c>
      <c r="E708" s="3">
        <v>3163023.0</v>
      </c>
      <c r="F708" s="30">
        <f t="shared" si="75"/>
        <v>195312.5</v>
      </c>
      <c r="G708" s="30">
        <f t="shared" si="76"/>
        <v>3.16762112</v>
      </c>
      <c r="H708" s="30">
        <f t="shared" si="77"/>
        <v>16.19467776</v>
      </c>
    </row>
    <row r="709">
      <c r="A709" s="3">
        <v>5.0E7</v>
      </c>
      <c r="B709" s="3" t="s">
        <v>477</v>
      </c>
      <c r="C709" s="3">
        <v>512.0</v>
      </c>
      <c r="D709" s="3">
        <v>423616.0</v>
      </c>
      <c r="E709" s="3">
        <v>3200313.0</v>
      </c>
      <c r="F709" s="30">
        <f t="shared" si="75"/>
        <v>97656.25</v>
      </c>
      <c r="G709" s="30">
        <f t="shared" si="76"/>
        <v>4.33782784</v>
      </c>
      <c r="H709" s="30">
        <f t="shared" si="77"/>
        <v>32.77120512</v>
      </c>
    </row>
    <row r="710">
      <c r="A710" s="3">
        <v>5.0E7</v>
      </c>
      <c r="B710" s="3" t="s">
        <v>477</v>
      </c>
      <c r="C710" s="3">
        <v>1024.0</v>
      </c>
      <c r="D710" s="3">
        <v>327009.0</v>
      </c>
      <c r="E710" s="3">
        <v>3201560.0</v>
      </c>
      <c r="F710" s="30">
        <f t="shared" si="75"/>
        <v>48828.125</v>
      </c>
      <c r="G710" s="30">
        <f t="shared" si="76"/>
        <v>6.69714432</v>
      </c>
      <c r="H710" s="30">
        <f t="shared" si="77"/>
        <v>65.5679488</v>
      </c>
    </row>
    <row r="711">
      <c r="A711" s="3">
        <v>5.0E7</v>
      </c>
      <c r="B711" s="3" t="s">
        <v>477</v>
      </c>
      <c r="C711" s="3">
        <v>2048.0</v>
      </c>
      <c r="D711" s="3">
        <v>261175.0</v>
      </c>
      <c r="E711" s="3">
        <v>3180701.0</v>
      </c>
      <c r="F711" s="30">
        <f t="shared" si="75"/>
        <v>24414.0625</v>
      </c>
      <c r="G711" s="30">
        <f t="shared" si="76"/>
        <v>10.697728</v>
      </c>
      <c r="H711" s="30">
        <f t="shared" si="77"/>
        <v>130.281513</v>
      </c>
    </row>
    <row r="712">
      <c r="A712" s="3">
        <v>5.0E7</v>
      </c>
      <c r="B712" s="3" t="s">
        <v>477</v>
      </c>
      <c r="C712" s="3">
        <v>4096.0</v>
      </c>
      <c r="D712" s="3">
        <v>235636.0</v>
      </c>
      <c r="E712" s="3">
        <v>3178971.0</v>
      </c>
      <c r="F712" s="30">
        <f t="shared" si="75"/>
        <v>12207.03125</v>
      </c>
      <c r="G712" s="30">
        <f t="shared" si="76"/>
        <v>19.30330112</v>
      </c>
      <c r="H712" s="30">
        <f t="shared" si="77"/>
        <v>260.4213043</v>
      </c>
    </row>
    <row r="713">
      <c r="A713" s="3">
        <v>5.0E7</v>
      </c>
      <c r="B713" s="3" t="s">
        <v>477</v>
      </c>
      <c r="C713" s="3">
        <v>8192.0</v>
      </c>
      <c r="D713" s="3">
        <v>217575.0</v>
      </c>
      <c r="E713" s="3">
        <v>3172218.0</v>
      </c>
      <c r="F713" s="30">
        <f t="shared" si="75"/>
        <v>6103.515625</v>
      </c>
      <c r="G713" s="30">
        <f t="shared" si="76"/>
        <v>35.647488</v>
      </c>
      <c r="H713" s="30">
        <f t="shared" si="77"/>
        <v>519.7361971</v>
      </c>
    </row>
    <row r="716">
      <c r="A716" s="3" t="s">
        <v>459</v>
      </c>
      <c r="C716" s="3" t="s">
        <v>324</v>
      </c>
      <c r="D716" s="3" t="s">
        <v>448</v>
      </c>
      <c r="E716" s="3" t="s">
        <v>449</v>
      </c>
      <c r="F716" s="3" t="s">
        <v>460</v>
      </c>
      <c r="G716" s="3" t="s">
        <v>461</v>
      </c>
      <c r="H716" s="3" t="s">
        <v>462</v>
      </c>
    </row>
    <row r="717">
      <c r="A717" s="3">
        <v>1.0E8</v>
      </c>
      <c r="B717" s="3" t="s">
        <v>477</v>
      </c>
      <c r="C717" s="3">
        <v>1.0</v>
      </c>
      <c r="D717" s="3">
        <v>1.3213849E7</v>
      </c>
      <c r="E717" s="3">
        <v>6641192.0</v>
      </c>
      <c r="F717" s="30">
        <f t="shared" ref="F717:F730" si="78">A717/C717</f>
        <v>100000000</v>
      </c>
      <c r="G717" s="30">
        <f t="shared" ref="G717:G730" si="79">D717/F717</f>
        <v>0.13213849</v>
      </c>
      <c r="H717" s="30">
        <f t="shared" ref="H717:H730" si="80">E717/F717</f>
        <v>0.06641192</v>
      </c>
    </row>
    <row r="718">
      <c r="A718" s="3">
        <v>1.0E8</v>
      </c>
      <c r="B718" s="3" t="s">
        <v>477</v>
      </c>
      <c r="C718" s="3">
        <v>2.0</v>
      </c>
      <c r="D718" s="3">
        <v>1.3183384E7</v>
      </c>
      <c r="E718" s="3">
        <v>6630686.0</v>
      </c>
      <c r="F718" s="30">
        <f t="shared" si="78"/>
        <v>50000000</v>
      </c>
      <c r="G718" s="30">
        <f t="shared" si="79"/>
        <v>0.26366768</v>
      </c>
      <c r="H718" s="30">
        <f t="shared" si="80"/>
        <v>0.13261372</v>
      </c>
    </row>
    <row r="719">
      <c r="A719" s="3">
        <v>1.0E8</v>
      </c>
      <c r="B719" s="3" t="s">
        <v>477</v>
      </c>
      <c r="C719" s="3">
        <v>4.0</v>
      </c>
      <c r="D719" s="3">
        <v>1.318475E7</v>
      </c>
      <c r="E719" s="3">
        <v>6642057.0</v>
      </c>
      <c r="F719" s="30">
        <f t="shared" si="78"/>
        <v>25000000</v>
      </c>
      <c r="G719" s="30">
        <f t="shared" si="79"/>
        <v>0.52739</v>
      </c>
      <c r="H719" s="30">
        <f t="shared" si="80"/>
        <v>0.26568228</v>
      </c>
    </row>
    <row r="720">
      <c r="A720" s="3">
        <v>1.0E8</v>
      </c>
      <c r="B720" s="3" t="s">
        <v>477</v>
      </c>
      <c r="C720" s="3">
        <v>8.0</v>
      </c>
      <c r="D720" s="3">
        <v>1.3181213E7</v>
      </c>
      <c r="E720" s="3">
        <v>6656886.0</v>
      </c>
      <c r="F720" s="30">
        <f t="shared" si="78"/>
        <v>12500000</v>
      </c>
      <c r="G720" s="30">
        <f t="shared" si="79"/>
        <v>1.05449704</v>
      </c>
      <c r="H720" s="30">
        <f t="shared" si="80"/>
        <v>0.53255088</v>
      </c>
    </row>
    <row r="721">
      <c r="A721" s="3">
        <v>1.0E8</v>
      </c>
      <c r="B721" s="3" t="s">
        <v>477</v>
      </c>
      <c r="C721" s="3">
        <v>16.0</v>
      </c>
      <c r="D721" s="3">
        <v>1.3181552E7</v>
      </c>
      <c r="E721" s="3">
        <v>6656670.0</v>
      </c>
      <c r="F721" s="30">
        <f t="shared" si="78"/>
        <v>6250000</v>
      </c>
      <c r="G721" s="30">
        <f t="shared" si="79"/>
        <v>2.10904832</v>
      </c>
      <c r="H721" s="30">
        <f t="shared" si="80"/>
        <v>1.0650672</v>
      </c>
    </row>
    <row r="722">
      <c r="A722" s="3">
        <v>1.0E8</v>
      </c>
      <c r="B722" s="3" t="s">
        <v>477</v>
      </c>
      <c r="C722" s="3">
        <v>32.0</v>
      </c>
      <c r="D722" s="3">
        <v>6794324.0</v>
      </c>
      <c r="E722" s="3">
        <v>6502164.0</v>
      </c>
      <c r="F722" s="30">
        <f t="shared" si="78"/>
        <v>3125000</v>
      </c>
      <c r="G722" s="30">
        <f t="shared" si="79"/>
        <v>2.17418368</v>
      </c>
      <c r="H722" s="30">
        <f t="shared" si="80"/>
        <v>2.08069248</v>
      </c>
    </row>
    <row r="723">
      <c r="A723" s="3">
        <v>1.0E8</v>
      </c>
      <c r="B723" s="3" t="s">
        <v>477</v>
      </c>
      <c r="C723" s="3">
        <v>64.0</v>
      </c>
      <c r="D723" s="3">
        <v>3599627.0</v>
      </c>
      <c r="E723" s="3">
        <v>6406969.0</v>
      </c>
      <c r="F723" s="30">
        <f t="shared" si="78"/>
        <v>1562500</v>
      </c>
      <c r="G723" s="30">
        <f t="shared" si="79"/>
        <v>2.30376128</v>
      </c>
      <c r="H723" s="30">
        <f t="shared" si="80"/>
        <v>4.10046016</v>
      </c>
    </row>
    <row r="724">
      <c r="A724" s="3">
        <v>1.0E8</v>
      </c>
      <c r="B724" s="3" t="s">
        <v>477</v>
      </c>
      <c r="C724" s="3">
        <v>128.0</v>
      </c>
      <c r="D724" s="3">
        <v>2035958.0</v>
      </c>
      <c r="E724" s="3">
        <v>6398385.0</v>
      </c>
      <c r="F724" s="30">
        <f t="shared" si="78"/>
        <v>781250</v>
      </c>
      <c r="G724" s="30">
        <f t="shared" si="79"/>
        <v>2.60602624</v>
      </c>
      <c r="H724" s="30">
        <f t="shared" si="80"/>
        <v>8.1899328</v>
      </c>
    </row>
    <row r="725">
      <c r="A725" s="3">
        <v>1.0E8</v>
      </c>
      <c r="B725" s="3" t="s">
        <v>477</v>
      </c>
      <c r="C725" s="3">
        <v>256.0</v>
      </c>
      <c r="D725" s="3">
        <v>1234110.0</v>
      </c>
      <c r="E725" s="3">
        <v>6411634.0</v>
      </c>
      <c r="F725" s="30">
        <f t="shared" si="78"/>
        <v>390625</v>
      </c>
      <c r="G725" s="30">
        <f t="shared" si="79"/>
        <v>3.1593216</v>
      </c>
      <c r="H725" s="30">
        <f t="shared" si="80"/>
        <v>16.41378304</v>
      </c>
    </row>
    <row r="726">
      <c r="A726" s="3">
        <v>1.0E8</v>
      </c>
      <c r="B726" s="3" t="s">
        <v>477</v>
      </c>
      <c r="C726" s="3">
        <v>512.0</v>
      </c>
      <c r="D726" s="3">
        <v>842232.0</v>
      </c>
      <c r="E726" s="3">
        <v>6406930.0</v>
      </c>
      <c r="F726" s="30">
        <f t="shared" si="78"/>
        <v>195312.5</v>
      </c>
      <c r="G726" s="30">
        <f t="shared" si="79"/>
        <v>4.31222784</v>
      </c>
      <c r="H726" s="30">
        <f t="shared" si="80"/>
        <v>32.8034816</v>
      </c>
    </row>
    <row r="727">
      <c r="A727" s="3">
        <v>1.0E8</v>
      </c>
      <c r="B727" s="3" t="s">
        <v>477</v>
      </c>
      <c r="C727" s="3">
        <v>1024.0</v>
      </c>
      <c r="D727" s="3">
        <v>644861.0</v>
      </c>
      <c r="E727" s="3">
        <v>6379757.0</v>
      </c>
      <c r="F727" s="30">
        <f t="shared" si="78"/>
        <v>97656.25</v>
      </c>
      <c r="G727" s="30">
        <f t="shared" si="79"/>
        <v>6.60337664</v>
      </c>
      <c r="H727" s="30">
        <f t="shared" si="80"/>
        <v>65.32871168</v>
      </c>
    </row>
    <row r="728">
      <c r="A728" s="3">
        <v>1.0E8</v>
      </c>
      <c r="B728" s="3" t="s">
        <v>477</v>
      </c>
      <c r="C728" s="3">
        <v>2048.0</v>
      </c>
      <c r="D728" s="3">
        <v>519292.0</v>
      </c>
      <c r="E728" s="3">
        <v>6360445.0</v>
      </c>
      <c r="F728" s="30">
        <f t="shared" si="78"/>
        <v>48828.125</v>
      </c>
      <c r="G728" s="30">
        <f t="shared" si="79"/>
        <v>10.63510016</v>
      </c>
      <c r="H728" s="30">
        <f t="shared" si="80"/>
        <v>130.2619136</v>
      </c>
    </row>
    <row r="729">
      <c r="A729" s="3">
        <v>1.0E8</v>
      </c>
      <c r="B729" s="3" t="s">
        <v>477</v>
      </c>
      <c r="C729" s="3">
        <v>4096.0</v>
      </c>
      <c r="D729" s="3">
        <v>471113.0</v>
      </c>
      <c r="E729" s="3">
        <v>6361990.0</v>
      </c>
      <c r="F729" s="30">
        <f t="shared" si="78"/>
        <v>24414.0625</v>
      </c>
      <c r="G729" s="30">
        <f t="shared" si="79"/>
        <v>19.29678848</v>
      </c>
      <c r="H729" s="30">
        <f t="shared" si="80"/>
        <v>260.5871104</v>
      </c>
    </row>
    <row r="730">
      <c r="A730" s="3">
        <v>1.0E8</v>
      </c>
      <c r="B730" s="3" t="s">
        <v>477</v>
      </c>
      <c r="C730" s="3">
        <v>8192.0</v>
      </c>
      <c r="D730" s="3">
        <v>431661.0</v>
      </c>
      <c r="E730" s="3">
        <v>6305277.0</v>
      </c>
      <c r="F730" s="30">
        <f t="shared" si="78"/>
        <v>12207.03125</v>
      </c>
      <c r="G730" s="30">
        <f t="shared" si="79"/>
        <v>35.36166912</v>
      </c>
      <c r="H730" s="30">
        <f t="shared" si="80"/>
        <v>516.5282918</v>
      </c>
    </row>
    <row r="734">
      <c r="A734" s="3" t="s">
        <v>459</v>
      </c>
      <c r="C734" s="3" t="s">
        <v>324</v>
      </c>
      <c r="D734" s="3" t="s">
        <v>448</v>
      </c>
      <c r="E734" s="3" t="s">
        <v>449</v>
      </c>
      <c r="F734" s="3" t="s">
        <v>460</v>
      </c>
      <c r="G734" s="3" t="s">
        <v>461</v>
      </c>
      <c r="H734" s="3" t="s">
        <v>462</v>
      </c>
    </row>
    <row r="735">
      <c r="A735" s="3">
        <v>5.0E8</v>
      </c>
      <c r="B735" s="3" t="s">
        <v>477</v>
      </c>
      <c r="C735" s="3">
        <v>1.0</v>
      </c>
      <c r="D735" s="3">
        <v>6.5826736E7</v>
      </c>
      <c r="E735" s="3">
        <v>3.3050986E7</v>
      </c>
      <c r="F735" s="30">
        <f t="shared" ref="F735:F748" si="81">A735/C735</f>
        <v>500000000</v>
      </c>
      <c r="G735" s="30">
        <f t="shared" ref="G735:G748" si="82">D735/F735</f>
        <v>0.131653472</v>
      </c>
      <c r="H735" s="30">
        <f t="shared" ref="H735:H748" si="83">E735/F735</f>
        <v>0.066101972</v>
      </c>
    </row>
    <row r="736">
      <c r="A736" s="3">
        <v>5.0E8</v>
      </c>
      <c r="B736" s="3" t="s">
        <v>477</v>
      </c>
      <c r="C736" s="3">
        <v>2.0</v>
      </c>
      <c r="D736" s="3">
        <v>6.5861095E7</v>
      </c>
      <c r="E736" s="3">
        <v>3.3119597E7</v>
      </c>
      <c r="F736" s="30">
        <f t="shared" si="81"/>
        <v>250000000</v>
      </c>
      <c r="G736" s="30">
        <f t="shared" si="82"/>
        <v>0.26344438</v>
      </c>
      <c r="H736" s="30">
        <f t="shared" si="83"/>
        <v>0.132478388</v>
      </c>
    </row>
    <row r="737">
      <c r="A737" s="3">
        <v>5.0E8</v>
      </c>
      <c r="B737" s="3" t="s">
        <v>477</v>
      </c>
      <c r="C737" s="3">
        <v>4.0</v>
      </c>
      <c r="D737" s="3">
        <v>6.5826106E7</v>
      </c>
      <c r="E737" s="3">
        <v>3.3098829E7</v>
      </c>
      <c r="F737" s="30">
        <f t="shared" si="81"/>
        <v>125000000</v>
      </c>
      <c r="G737" s="30">
        <f t="shared" si="82"/>
        <v>0.526608848</v>
      </c>
      <c r="H737" s="30">
        <f t="shared" si="83"/>
        <v>0.264790632</v>
      </c>
    </row>
    <row r="738">
      <c r="A738" s="3">
        <v>5.0E8</v>
      </c>
      <c r="B738" s="3" t="s">
        <v>477</v>
      </c>
      <c r="C738" s="3">
        <v>8.0</v>
      </c>
      <c r="D738" s="3">
        <v>6.581879E7</v>
      </c>
      <c r="E738" s="3">
        <v>3.3048307E7</v>
      </c>
      <c r="F738" s="30">
        <f t="shared" si="81"/>
        <v>62500000</v>
      </c>
      <c r="G738" s="30">
        <f t="shared" si="82"/>
        <v>1.05310064</v>
      </c>
      <c r="H738" s="30">
        <f t="shared" si="83"/>
        <v>0.528772912</v>
      </c>
    </row>
    <row r="739">
      <c r="A739" s="3">
        <v>5.0E8</v>
      </c>
      <c r="B739" s="3" t="s">
        <v>477</v>
      </c>
      <c r="C739" s="3">
        <v>16.0</v>
      </c>
      <c r="D739" s="3">
        <v>6.5843846E7</v>
      </c>
      <c r="E739" s="3">
        <v>3.310477E7</v>
      </c>
      <c r="F739" s="30">
        <f t="shared" si="81"/>
        <v>31250000</v>
      </c>
      <c r="G739" s="30">
        <f t="shared" si="82"/>
        <v>2.107003072</v>
      </c>
      <c r="H739" s="30">
        <f t="shared" si="83"/>
        <v>1.05935264</v>
      </c>
    </row>
    <row r="740">
      <c r="A740" s="3">
        <v>5.0E8</v>
      </c>
      <c r="B740" s="3" t="s">
        <v>477</v>
      </c>
      <c r="C740" s="3">
        <v>32.0</v>
      </c>
      <c r="D740" s="3">
        <v>3.3972444E7</v>
      </c>
      <c r="E740" s="3">
        <v>3.2480934E7</v>
      </c>
      <c r="F740" s="30">
        <f t="shared" si="81"/>
        <v>15625000</v>
      </c>
      <c r="G740" s="30">
        <f t="shared" si="82"/>
        <v>2.174236416</v>
      </c>
      <c r="H740" s="30">
        <f t="shared" si="83"/>
        <v>2.078779776</v>
      </c>
    </row>
    <row r="741">
      <c r="A741" s="3">
        <v>5.0E8</v>
      </c>
      <c r="B741" s="3" t="s">
        <v>477</v>
      </c>
      <c r="C741" s="3">
        <v>64.0</v>
      </c>
      <c r="D741" s="3">
        <v>1.7967496E7</v>
      </c>
      <c r="E741" s="3">
        <v>3.2110032E7</v>
      </c>
      <c r="F741" s="30">
        <f t="shared" si="81"/>
        <v>7812500</v>
      </c>
      <c r="G741" s="30">
        <f t="shared" si="82"/>
        <v>2.299839488</v>
      </c>
      <c r="H741" s="30">
        <f t="shared" si="83"/>
        <v>4.110084096</v>
      </c>
    </row>
    <row r="742">
      <c r="A742" s="3">
        <v>5.0E8</v>
      </c>
      <c r="B742" s="3" t="s">
        <v>477</v>
      </c>
      <c r="C742" s="3">
        <v>128.0</v>
      </c>
      <c r="D742" s="3">
        <v>1.0096841E7</v>
      </c>
      <c r="E742" s="3">
        <v>3.2075906E7</v>
      </c>
      <c r="F742" s="30">
        <f t="shared" si="81"/>
        <v>3906250</v>
      </c>
      <c r="G742" s="30">
        <f t="shared" si="82"/>
        <v>2.584791296</v>
      </c>
      <c r="H742" s="30">
        <f t="shared" si="83"/>
        <v>8.211431936</v>
      </c>
    </row>
    <row r="743">
      <c r="A743" s="3">
        <v>5.0E8</v>
      </c>
      <c r="B743" s="3" t="s">
        <v>477</v>
      </c>
      <c r="C743" s="3">
        <v>256.0</v>
      </c>
      <c r="D743" s="3">
        <v>6153115.0</v>
      </c>
      <c r="E743" s="3">
        <v>3.2052158E7</v>
      </c>
      <c r="F743" s="30">
        <f t="shared" si="81"/>
        <v>1953125</v>
      </c>
      <c r="G743" s="30">
        <f t="shared" si="82"/>
        <v>3.15039488</v>
      </c>
      <c r="H743" s="30">
        <f t="shared" si="83"/>
        <v>16.4107049</v>
      </c>
    </row>
    <row r="744">
      <c r="A744" s="3">
        <v>5.0E8</v>
      </c>
      <c r="B744" s="3" t="s">
        <v>477</v>
      </c>
      <c r="C744" s="3">
        <v>512.0</v>
      </c>
      <c r="D744" s="3">
        <v>4196879.0</v>
      </c>
      <c r="E744" s="3">
        <v>3.2017545E7</v>
      </c>
      <c r="F744" s="30">
        <f t="shared" si="81"/>
        <v>976562.5</v>
      </c>
      <c r="G744" s="30">
        <f t="shared" si="82"/>
        <v>4.297604096</v>
      </c>
      <c r="H744" s="30">
        <f t="shared" si="83"/>
        <v>32.78596608</v>
      </c>
    </row>
    <row r="745">
      <c r="A745" s="3">
        <v>5.0E8</v>
      </c>
      <c r="B745" s="3" t="s">
        <v>477</v>
      </c>
      <c r="C745" s="3">
        <v>1024.0</v>
      </c>
      <c r="D745" s="3">
        <v>3220271.0</v>
      </c>
      <c r="E745" s="3">
        <v>3.2017711E7</v>
      </c>
      <c r="F745" s="30">
        <f t="shared" si="81"/>
        <v>488281.25</v>
      </c>
      <c r="G745" s="30">
        <f t="shared" si="82"/>
        <v>6.595115008</v>
      </c>
      <c r="H745" s="30">
        <f t="shared" si="83"/>
        <v>65.57227213</v>
      </c>
    </row>
    <row r="746">
      <c r="A746" s="3">
        <v>5.0E8</v>
      </c>
      <c r="B746" s="3" t="s">
        <v>477</v>
      </c>
      <c r="C746" s="3">
        <v>2048.0</v>
      </c>
      <c r="D746" s="3">
        <v>2605626.0</v>
      </c>
      <c r="E746" s="3">
        <v>3.191715E7</v>
      </c>
      <c r="F746" s="30">
        <f t="shared" si="81"/>
        <v>244140.625</v>
      </c>
      <c r="G746" s="30">
        <f t="shared" si="82"/>
        <v>10.6726441</v>
      </c>
      <c r="H746" s="30">
        <f t="shared" si="83"/>
        <v>130.7326464</v>
      </c>
    </row>
    <row r="747">
      <c r="A747" s="3">
        <v>5.0E8</v>
      </c>
      <c r="B747" s="3" t="s">
        <v>477</v>
      </c>
      <c r="C747" s="3">
        <v>4096.0</v>
      </c>
      <c r="D747" s="3">
        <v>2386072.0</v>
      </c>
      <c r="E747" s="3">
        <v>3.1905213E7</v>
      </c>
      <c r="F747" s="30">
        <f t="shared" si="81"/>
        <v>122070.3125</v>
      </c>
      <c r="G747" s="30">
        <f t="shared" si="82"/>
        <v>19.54670182</v>
      </c>
      <c r="H747" s="30">
        <f t="shared" si="83"/>
        <v>261.3675049</v>
      </c>
    </row>
    <row r="748">
      <c r="A748" s="3">
        <v>5.0E8</v>
      </c>
      <c r="B748" s="3" t="s">
        <v>477</v>
      </c>
      <c r="C748" s="3">
        <v>8192.0</v>
      </c>
      <c r="D748" s="3">
        <v>2170004.0</v>
      </c>
      <c r="E748" s="3">
        <v>3.1801801E7</v>
      </c>
      <c r="F748" s="30">
        <f t="shared" si="81"/>
        <v>61035.15625</v>
      </c>
      <c r="G748" s="30">
        <f t="shared" si="82"/>
        <v>35.55334554</v>
      </c>
      <c r="H748" s="30">
        <f t="shared" si="83"/>
        <v>521.0407076</v>
      </c>
    </row>
    <row r="753">
      <c r="A753" s="3" t="s">
        <v>481</v>
      </c>
    </row>
    <row r="755">
      <c r="A755" s="3" t="s">
        <v>459</v>
      </c>
      <c r="C755" s="3" t="s">
        <v>324</v>
      </c>
      <c r="D755" s="3" t="s">
        <v>448</v>
      </c>
      <c r="E755" s="3" t="s">
        <v>449</v>
      </c>
      <c r="F755" s="3" t="s">
        <v>460</v>
      </c>
      <c r="G755" s="3" t="s">
        <v>461</v>
      </c>
      <c r="H755" s="3" t="s">
        <v>462</v>
      </c>
    </row>
    <row r="756">
      <c r="A756" s="3">
        <v>1000000.0</v>
      </c>
      <c r="B756" s="3" t="s">
        <v>463</v>
      </c>
      <c r="C756" s="3">
        <v>1.0</v>
      </c>
      <c r="D756" s="3">
        <v>139822.0</v>
      </c>
      <c r="E756" s="3">
        <v>70902.0</v>
      </c>
      <c r="F756" s="30">
        <f t="shared" ref="F756:F769" si="84">A756/C756</f>
        <v>1000000</v>
      </c>
      <c r="G756" s="30">
        <f t="shared" ref="G756:G769" si="85">D756/F756</f>
        <v>0.139822</v>
      </c>
      <c r="H756" s="30">
        <f t="shared" ref="H756:H769" si="86">E756/F756</f>
        <v>0.070902</v>
      </c>
    </row>
    <row r="757">
      <c r="A757" s="3">
        <v>1000000.0</v>
      </c>
      <c r="B757" s="3" t="s">
        <v>463</v>
      </c>
      <c r="C757" s="3">
        <v>2.0</v>
      </c>
      <c r="D757" s="3">
        <v>139599.0</v>
      </c>
      <c r="E757" s="3">
        <v>68344.0</v>
      </c>
      <c r="F757" s="30">
        <f t="shared" si="84"/>
        <v>500000</v>
      </c>
      <c r="G757" s="30">
        <f t="shared" si="85"/>
        <v>0.279198</v>
      </c>
      <c r="H757" s="30">
        <f t="shared" si="86"/>
        <v>0.136688</v>
      </c>
      <c r="J757" s="3" t="s">
        <v>324</v>
      </c>
      <c r="K757" s="3" t="s">
        <v>464</v>
      </c>
      <c r="L757" s="3" t="s">
        <v>465</v>
      </c>
      <c r="M757" s="3" t="s">
        <v>466</v>
      </c>
      <c r="N757" s="3" t="s">
        <v>467</v>
      </c>
      <c r="O757" s="3" t="s">
        <v>468</v>
      </c>
      <c r="P757" s="3" t="s">
        <v>469</v>
      </c>
      <c r="Q757" s="3" t="s">
        <v>470</v>
      </c>
    </row>
    <row r="758">
      <c r="A758" s="3">
        <v>1000000.0</v>
      </c>
      <c r="B758" s="3" t="s">
        <v>463</v>
      </c>
      <c r="C758" s="3">
        <v>4.0</v>
      </c>
      <c r="D758" s="3">
        <v>138192.0</v>
      </c>
      <c r="E758" s="3">
        <v>46354.0</v>
      </c>
      <c r="F758" s="30">
        <f t="shared" si="84"/>
        <v>250000</v>
      </c>
      <c r="G758" s="30">
        <f t="shared" si="85"/>
        <v>0.552768</v>
      </c>
      <c r="H758" s="30">
        <f t="shared" si="86"/>
        <v>0.185416</v>
      </c>
      <c r="J758" s="30" t="s">
        <v>426</v>
      </c>
      <c r="K758" s="3">
        <v>0.0625</v>
      </c>
      <c r="L758" s="30">
        <v>0.070902</v>
      </c>
      <c r="M758" s="30">
        <v>0.0762164</v>
      </c>
      <c r="N758" s="30">
        <v>0.0721798</v>
      </c>
      <c r="O758" s="30">
        <v>0.06819374</v>
      </c>
      <c r="P758" s="30">
        <v>0.06727854</v>
      </c>
      <c r="Q758" s="30">
        <v>0.069648934</v>
      </c>
    </row>
    <row r="759">
      <c r="A759" s="3">
        <v>1000000.0</v>
      </c>
      <c r="B759" s="3" t="s">
        <v>463</v>
      </c>
      <c r="C759" s="3">
        <v>8.0</v>
      </c>
      <c r="D759" s="3">
        <v>136632.0</v>
      </c>
      <c r="E759" s="3">
        <v>66954.0</v>
      </c>
      <c r="F759" s="30">
        <f t="shared" si="84"/>
        <v>125000</v>
      </c>
      <c r="G759" s="30">
        <f t="shared" si="85"/>
        <v>1.093056</v>
      </c>
      <c r="H759" s="30">
        <f t="shared" si="86"/>
        <v>0.535632</v>
      </c>
      <c r="J759" s="30" t="s">
        <v>471</v>
      </c>
      <c r="K759" s="3">
        <v>0.125</v>
      </c>
      <c r="L759" s="30">
        <v>0.136688</v>
      </c>
      <c r="M759" s="30">
        <v>0.1386684</v>
      </c>
      <c r="N759" s="30">
        <v>0.1391276</v>
      </c>
      <c r="O759" s="30">
        <v>0.1347718</v>
      </c>
      <c r="P759" s="30">
        <v>0.13477756</v>
      </c>
      <c r="Q759" s="30">
        <v>0.133917248</v>
      </c>
    </row>
    <row r="760">
      <c r="A760" s="3">
        <v>1000000.0</v>
      </c>
      <c r="B760" s="3" t="s">
        <v>463</v>
      </c>
      <c r="C760" s="3">
        <v>16.0</v>
      </c>
      <c r="D760" s="3">
        <v>138469.0</v>
      </c>
      <c r="E760" s="3">
        <v>66412.0</v>
      </c>
      <c r="F760" s="30">
        <f t="shared" si="84"/>
        <v>62500</v>
      </c>
      <c r="G760" s="30">
        <f t="shared" si="85"/>
        <v>2.215504</v>
      </c>
      <c r="H760" s="30">
        <f t="shared" si="86"/>
        <v>1.062592</v>
      </c>
      <c r="J760" s="30" t="s">
        <v>472</v>
      </c>
      <c r="K760" s="3">
        <v>0.25</v>
      </c>
      <c r="L760" s="30">
        <v>0.185416</v>
      </c>
      <c r="M760" s="30">
        <v>0.2854824</v>
      </c>
      <c r="N760" s="30">
        <v>0.280628</v>
      </c>
      <c r="O760" s="30">
        <v>0.2705292</v>
      </c>
      <c r="P760" s="30">
        <v>0.26835576</v>
      </c>
      <c r="Q760" s="30">
        <v>0.268098504</v>
      </c>
    </row>
    <row r="761">
      <c r="A761" s="3">
        <v>1000000.0</v>
      </c>
      <c r="B761" s="3" t="s">
        <v>463</v>
      </c>
      <c r="C761" s="3">
        <v>32.0</v>
      </c>
      <c r="D761" s="3">
        <v>119757.0</v>
      </c>
      <c r="E761" s="3">
        <v>64424.0</v>
      </c>
      <c r="F761" s="30">
        <f t="shared" si="84"/>
        <v>31250</v>
      </c>
      <c r="G761" s="30">
        <f t="shared" si="85"/>
        <v>3.832224</v>
      </c>
      <c r="H761" s="30">
        <f t="shared" si="86"/>
        <v>2.061568</v>
      </c>
      <c r="J761" s="30" t="s">
        <v>473</v>
      </c>
      <c r="K761" s="3">
        <v>0.5</v>
      </c>
      <c r="L761" s="30">
        <v>0.535632</v>
      </c>
      <c r="M761" s="30">
        <v>0.595616</v>
      </c>
      <c r="N761" s="30">
        <v>0.5679296</v>
      </c>
      <c r="O761" s="30">
        <v>0.539296</v>
      </c>
      <c r="P761" s="30">
        <v>0.53829992</v>
      </c>
      <c r="Q761" s="30">
        <v>0.535028896</v>
      </c>
    </row>
    <row r="762">
      <c r="A762" s="3">
        <v>1000000.0</v>
      </c>
      <c r="B762" s="3" t="s">
        <v>463</v>
      </c>
      <c r="C762" s="3">
        <v>64.0</v>
      </c>
      <c r="D762" s="3">
        <v>64213.0</v>
      </c>
      <c r="E762" s="3">
        <v>58508.0</v>
      </c>
      <c r="F762" s="30">
        <f t="shared" si="84"/>
        <v>15625</v>
      </c>
      <c r="G762" s="30">
        <f t="shared" si="85"/>
        <v>4.109632</v>
      </c>
      <c r="H762" s="30">
        <f t="shared" si="86"/>
        <v>3.744512</v>
      </c>
      <c r="J762" s="30" t="s">
        <v>427</v>
      </c>
      <c r="K762" s="3">
        <v>1.0</v>
      </c>
      <c r="L762" s="30">
        <v>1.062592</v>
      </c>
      <c r="M762" s="30">
        <v>1.1758176</v>
      </c>
      <c r="N762" s="30">
        <v>1.1226896</v>
      </c>
      <c r="O762" s="30">
        <v>1.0851984</v>
      </c>
      <c r="P762" s="30">
        <v>1.07452016</v>
      </c>
      <c r="Q762" s="30">
        <v>1.070428704</v>
      </c>
    </row>
    <row r="763">
      <c r="A763" s="3">
        <v>1000000.0</v>
      </c>
      <c r="B763" s="3" t="s">
        <v>463</v>
      </c>
      <c r="C763" s="3">
        <v>128.0</v>
      </c>
      <c r="D763" s="3">
        <v>20979.0</v>
      </c>
      <c r="E763" s="3">
        <v>50108.0</v>
      </c>
      <c r="F763" s="30">
        <f t="shared" si="84"/>
        <v>7812.5</v>
      </c>
      <c r="G763" s="30">
        <f t="shared" si="85"/>
        <v>2.685312</v>
      </c>
      <c r="H763" s="30">
        <f t="shared" si="86"/>
        <v>6.413824</v>
      </c>
      <c r="J763" s="30" t="s">
        <v>428</v>
      </c>
      <c r="K763" s="3">
        <v>2.0</v>
      </c>
      <c r="L763" s="30">
        <v>2.061568</v>
      </c>
      <c r="M763" s="30">
        <v>1.7379264</v>
      </c>
      <c r="N763" s="30">
        <v>2.1227168</v>
      </c>
      <c r="O763" s="30">
        <v>2.10989056</v>
      </c>
      <c r="P763" s="30">
        <v>2.10620384</v>
      </c>
      <c r="Q763" s="30">
        <v>2.100597248</v>
      </c>
    </row>
    <row r="764">
      <c r="A764" s="3">
        <v>1000000.0</v>
      </c>
      <c r="B764" s="3" t="s">
        <v>463</v>
      </c>
      <c r="C764" s="3">
        <v>256.0</v>
      </c>
      <c r="D764" s="3">
        <v>12236.0</v>
      </c>
      <c r="E764" s="3">
        <v>55842.0</v>
      </c>
      <c r="F764" s="30">
        <f t="shared" si="84"/>
        <v>3906.25</v>
      </c>
      <c r="G764" s="30">
        <f t="shared" si="85"/>
        <v>3.132416</v>
      </c>
      <c r="H764" s="30">
        <f t="shared" si="86"/>
        <v>14.295552</v>
      </c>
      <c r="J764" s="30" t="s">
        <v>429</v>
      </c>
      <c r="K764" s="3">
        <v>4.0</v>
      </c>
      <c r="L764" s="30">
        <v>3.744512</v>
      </c>
      <c r="M764" s="30">
        <v>4.1834112</v>
      </c>
      <c r="N764" s="30">
        <v>4.1712384</v>
      </c>
      <c r="O764" s="30">
        <v>4.13229184</v>
      </c>
      <c r="P764" s="30">
        <v>4.13824448</v>
      </c>
      <c r="Q764" s="30">
        <v>4.138769536</v>
      </c>
    </row>
    <row r="765">
      <c r="A765" s="3">
        <v>1000000.0</v>
      </c>
      <c r="B765" s="3" t="s">
        <v>463</v>
      </c>
      <c r="C765" s="3">
        <v>512.0</v>
      </c>
      <c r="D765" s="3">
        <v>8078.0</v>
      </c>
      <c r="E765" s="3">
        <v>51471.0</v>
      </c>
      <c r="F765" s="30">
        <f t="shared" si="84"/>
        <v>1953.125</v>
      </c>
      <c r="G765" s="30">
        <f t="shared" si="85"/>
        <v>4.135936</v>
      </c>
      <c r="H765" s="30">
        <f t="shared" si="86"/>
        <v>26.353152</v>
      </c>
      <c r="J765" s="30" t="s">
        <v>430</v>
      </c>
      <c r="K765" s="3">
        <v>8.0</v>
      </c>
      <c r="L765" s="30">
        <v>6.413824</v>
      </c>
      <c r="M765" s="30">
        <v>7.8281472</v>
      </c>
      <c r="N765" s="30">
        <v>8.0289408</v>
      </c>
      <c r="O765" s="30">
        <v>8.19330048</v>
      </c>
      <c r="P765" s="30">
        <v>8.23480832</v>
      </c>
      <c r="Q765" s="30">
        <v>8.254743552</v>
      </c>
    </row>
    <row r="766">
      <c r="A766" s="3">
        <v>1000000.0</v>
      </c>
      <c r="B766" s="3" t="s">
        <v>463</v>
      </c>
      <c r="C766" s="3">
        <v>1024.0</v>
      </c>
      <c r="D766" s="3">
        <v>5874.0</v>
      </c>
      <c r="E766" s="3">
        <v>52625.0</v>
      </c>
      <c r="F766" s="30">
        <f t="shared" si="84"/>
        <v>976.5625</v>
      </c>
      <c r="G766" s="30">
        <f t="shared" si="85"/>
        <v>6.014976</v>
      </c>
      <c r="H766" s="30">
        <f t="shared" si="86"/>
        <v>53.888</v>
      </c>
      <c r="J766" s="30" t="s">
        <v>431</v>
      </c>
      <c r="K766" s="3">
        <v>16.0</v>
      </c>
      <c r="L766" s="30">
        <v>14.295552</v>
      </c>
      <c r="M766" s="30">
        <v>15.7621248</v>
      </c>
      <c r="N766" s="30">
        <v>15.9925248</v>
      </c>
      <c r="O766" s="30">
        <v>16.4101632</v>
      </c>
      <c r="P766" s="30">
        <v>16.44501248</v>
      </c>
      <c r="Q766" s="30">
        <v>16.47999744</v>
      </c>
    </row>
    <row r="767">
      <c r="A767" s="3">
        <v>1000000.0</v>
      </c>
      <c r="B767" s="3" t="s">
        <v>463</v>
      </c>
      <c r="C767" s="3">
        <v>2048.0</v>
      </c>
      <c r="D767" s="3">
        <v>4393.0</v>
      </c>
      <c r="E767" s="3">
        <v>32429.0</v>
      </c>
      <c r="F767" s="30">
        <f t="shared" si="84"/>
        <v>488.28125</v>
      </c>
      <c r="G767" s="30">
        <f t="shared" si="85"/>
        <v>8.996864</v>
      </c>
      <c r="H767" s="30">
        <f t="shared" si="86"/>
        <v>66.414592</v>
      </c>
      <c r="J767" s="30" t="s">
        <v>432</v>
      </c>
      <c r="K767" s="3">
        <v>32.0</v>
      </c>
      <c r="L767" s="30">
        <v>26.353152</v>
      </c>
      <c r="M767" s="30">
        <v>30.6981888</v>
      </c>
      <c r="N767" s="30">
        <v>31.796736</v>
      </c>
      <c r="O767" s="30">
        <v>32.67972096</v>
      </c>
      <c r="P767" s="30">
        <v>32.86735872</v>
      </c>
      <c r="Q767" s="30">
        <v>32.936317952</v>
      </c>
    </row>
    <row r="768">
      <c r="A768" s="3">
        <v>1000000.0</v>
      </c>
      <c r="B768" s="3" t="s">
        <v>463</v>
      </c>
      <c r="C768" s="3">
        <v>4096.0</v>
      </c>
      <c r="D768" s="3">
        <v>3353.0</v>
      </c>
      <c r="E768" s="3">
        <v>30284.0</v>
      </c>
      <c r="F768" s="30">
        <f t="shared" si="84"/>
        <v>244.140625</v>
      </c>
      <c r="G768" s="30">
        <f t="shared" si="85"/>
        <v>13.733888</v>
      </c>
      <c r="H768" s="30">
        <f t="shared" si="86"/>
        <v>124.043264</v>
      </c>
      <c r="J768" s="30" t="s">
        <v>433</v>
      </c>
      <c r="K768" s="3">
        <v>64.0</v>
      </c>
      <c r="L768" s="30">
        <v>53.888</v>
      </c>
      <c r="M768" s="30">
        <v>61.089792</v>
      </c>
      <c r="N768" s="30">
        <v>63.371264</v>
      </c>
      <c r="O768" s="30">
        <v>65.28167936</v>
      </c>
      <c r="P768" s="30">
        <v>65.68542208</v>
      </c>
      <c r="Q768" s="30">
        <v>65.93211392</v>
      </c>
    </row>
    <row r="769">
      <c r="A769" s="3">
        <v>1000000.0</v>
      </c>
      <c r="B769" s="3" t="s">
        <v>463</v>
      </c>
      <c r="C769" s="3">
        <v>8192.0</v>
      </c>
      <c r="D769" s="3">
        <v>2866.0</v>
      </c>
      <c r="E769" s="3">
        <v>29926.0</v>
      </c>
      <c r="F769" s="30">
        <f t="shared" si="84"/>
        <v>122.0703125</v>
      </c>
      <c r="G769" s="30">
        <f t="shared" si="85"/>
        <v>23.478272</v>
      </c>
      <c r="H769" s="30">
        <f t="shared" si="86"/>
        <v>245.153792</v>
      </c>
      <c r="J769" s="30" t="s">
        <v>474</v>
      </c>
      <c r="K769" s="3">
        <v>128.0</v>
      </c>
      <c r="L769" s="30">
        <v>66.414592</v>
      </c>
      <c r="M769" s="30">
        <v>111.0970368</v>
      </c>
      <c r="N769" s="30">
        <v>122.679296</v>
      </c>
      <c r="O769" s="30">
        <v>129.05652224</v>
      </c>
      <c r="P769" s="30">
        <v>130.48035328</v>
      </c>
      <c r="Q769" s="30">
        <v>130.980511744</v>
      </c>
    </row>
    <row r="770">
      <c r="F770" s="3"/>
      <c r="G770" s="3"/>
      <c r="H770" s="3"/>
      <c r="J770" s="30" t="s">
        <v>453</v>
      </c>
      <c r="K770" s="3">
        <v>256.0</v>
      </c>
      <c r="L770" s="30">
        <v>124.043264</v>
      </c>
      <c r="M770" s="30">
        <v>211.1455232</v>
      </c>
      <c r="N770" s="30">
        <v>240.1329152</v>
      </c>
      <c r="O770" s="30">
        <v>258.37871104</v>
      </c>
      <c r="P770" s="30">
        <v>258.65404416</v>
      </c>
      <c r="Q770" s="30">
        <v>260.998299648</v>
      </c>
    </row>
    <row r="771">
      <c r="A771" s="3" t="s">
        <v>459</v>
      </c>
      <c r="C771" s="3" t="s">
        <v>324</v>
      </c>
      <c r="D771" s="3" t="s">
        <v>448</v>
      </c>
      <c r="E771" s="3" t="s">
        <v>449</v>
      </c>
      <c r="F771" s="3" t="s">
        <v>460</v>
      </c>
      <c r="G771" s="3" t="s">
        <v>461</v>
      </c>
      <c r="H771" s="3" t="s">
        <v>462</v>
      </c>
      <c r="J771" s="30" t="s">
        <v>475</v>
      </c>
      <c r="K771" s="3">
        <v>512.0</v>
      </c>
      <c r="L771" s="30">
        <v>245.153792</v>
      </c>
      <c r="M771" s="30">
        <v>404.3964416</v>
      </c>
      <c r="N771" s="30">
        <v>470.3420416</v>
      </c>
      <c r="O771" s="30">
        <v>511.12869888</v>
      </c>
      <c r="P771" s="30">
        <v>517.80411392</v>
      </c>
      <c r="Q771" s="30">
        <v>520.769257472</v>
      </c>
    </row>
    <row r="772">
      <c r="A772" s="3">
        <v>5000000.0</v>
      </c>
      <c r="B772" s="3" t="s">
        <v>463</v>
      </c>
      <c r="C772" s="3">
        <v>1.0</v>
      </c>
      <c r="D772" s="3">
        <v>679154.0</v>
      </c>
      <c r="E772" s="3">
        <v>381082.0</v>
      </c>
      <c r="F772" s="30">
        <f t="shared" ref="F772:F785" si="87">A772/C772</f>
        <v>5000000</v>
      </c>
      <c r="G772" s="30">
        <f t="shared" ref="G772:G785" si="88">D772/F772</f>
        <v>0.1358308</v>
      </c>
      <c r="H772" s="30">
        <f t="shared" ref="H772:H785" si="89">E772/F772</f>
        <v>0.0762164</v>
      </c>
    </row>
    <row r="773">
      <c r="A773" s="3">
        <v>5000000.0</v>
      </c>
      <c r="B773" s="3" t="s">
        <v>463</v>
      </c>
      <c r="C773" s="3">
        <v>2.0</v>
      </c>
      <c r="D773" s="3">
        <v>675141.0</v>
      </c>
      <c r="E773" s="3">
        <v>346671.0</v>
      </c>
      <c r="F773" s="30">
        <f t="shared" si="87"/>
        <v>2500000</v>
      </c>
      <c r="G773" s="30">
        <f t="shared" si="88"/>
        <v>0.2700564</v>
      </c>
      <c r="H773" s="30">
        <f t="shared" si="89"/>
        <v>0.1386684</v>
      </c>
    </row>
    <row r="774">
      <c r="A774" s="3">
        <v>5000000.0</v>
      </c>
      <c r="B774" s="3" t="s">
        <v>463</v>
      </c>
      <c r="C774" s="3">
        <v>4.0</v>
      </c>
      <c r="D774" s="3">
        <v>681430.0</v>
      </c>
      <c r="E774" s="3">
        <v>356853.0</v>
      </c>
      <c r="F774" s="30">
        <f t="shared" si="87"/>
        <v>1250000</v>
      </c>
      <c r="G774" s="30">
        <f t="shared" si="88"/>
        <v>0.545144</v>
      </c>
      <c r="H774" s="30">
        <f t="shared" si="89"/>
        <v>0.2854824</v>
      </c>
    </row>
    <row r="775">
      <c r="A775" s="3">
        <v>5000000.0</v>
      </c>
      <c r="B775" s="3" t="s">
        <v>463</v>
      </c>
      <c r="C775" s="3">
        <v>8.0</v>
      </c>
      <c r="D775" s="3">
        <v>677768.0</v>
      </c>
      <c r="E775" s="3">
        <v>372260.0</v>
      </c>
      <c r="F775" s="30">
        <f t="shared" si="87"/>
        <v>625000</v>
      </c>
      <c r="G775" s="30">
        <f t="shared" si="88"/>
        <v>1.0844288</v>
      </c>
      <c r="H775" s="30">
        <f t="shared" si="89"/>
        <v>0.595616</v>
      </c>
    </row>
    <row r="776">
      <c r="A776" s="3">
        <v>5000000.0</v>
      </c>
      <c r="B776" s="3" t="s">
        <v>463</v>
      </c>
      <c r="C776" s="3">
        <v>16.0</v>
      </c>
      <c r="D776" s="3">
        <v>682777.0</v>
      </c>
      <c r="E776" s="3">
        <v>367443.0</v>
      </c>
      <c r="F776" s="30">
        <f t="shared" si="87"/>
        <v>312500</v>
      </c>
      <c r="G776" s="30">
        <f t="shared" si="88"/>
        <v>2.1848864</v>
      </c>
      <c r="H776" s="30">
        <f t="shared" si="89"/>
        <v>1.1758176</v>
      </c>
    </row>
    <row r="777">
      <c r="A777" s="3">
        <v>5000000.0</v>
      </c>
      <c r="B777" s="3" t="s">
        <v>463</v>
      </c>
      <c r="C777" s="3">
        <v>32.0</v>
      </c>
      <c r="D777" s="3">
        <v>543193.0</v>
      </c>
      <c r="E777" s="3">
        <v>271551.0</v>
      </c>
      <c r="F777" s="30">
        <f t="shared" si="87"/>
        <v>156250</v>
      </c>
      <c r="G777" s="30">
        <f t="shared" si="88"/>
        <v>3.4764352</v>
      </c>
      <c r="H777" s="30">
        <f t="shared" si="89"/>
        <v>1.7379264</v>
      </c>
    </row>
    <row r="778">
      <c r="A778" s="3">
        <v>5000000.0</v>
      </c>
      <c r="B778" s="3" t="s">
        <v>463</v>
      </c>
      <c r="C778" s="3">
        <v>64.0</v>
      </c>
      <c r="D778" s="3">
        <v>294982.0</v>
      </c>
      <c r="E778" s="3">
        <v>326829.0</v>
      </c>
      <c r="F778" s="30">
        <f t="shared" si="87"/>
        <v>78125</v>
      </c>
      <c r="G778" s="30">
        <f t="shared" si="88"/>
        <v>3.7757696</v>
      </c>
      <c r="H778" s="30">
        <f t="shared" si="89"/>
        <v>4.1834112</v>
      </c>
    </row>
    <row r="779">
      <c r="A779" s="3">
        <v>5000000.0</v>
      </c>
      <c r="B779" s="3" t="s">
        <v>463</v>
      </c>
      <c r="C779" s="3">
        <v>128.0</v>
      </c>
      <c r="D779" s="3">
        <v>104096.0</v>
      </c>
      <c r="E779" s="3">
        <v>305787.0</v>
      </c>
      <c r="F779" s="30">
        <f t="shared" si="87"/>
        <v>39062.5</v>
      </c>
      <c r="G779" s="30">
        <f t="shared" si="88"/>
        <v>2.6648576</v>
      </c>
      <c r="H779" s="30">
        <f t="shared" si="89"/>
        <v>7.8281472</v>
      </c>
    </row>
    <row r="780">
      <c r="A780" s="3">
        <v>5000000.0</v>
      </c>
      <c r="B780" s="3" t="s">
        <v>463</v>
      </c>
      <c r="C780" s="3">
        <v>256.0</v>
      </c>
      <c r="D780" s="3">
        <v>66071.0</v>
      </c>
      <c r="E780" s="3">
        <v>307854.0</v>
      </c>
      <c r="F780" s="30">
        <f t="shared" si="87"/>
        <v>19531.25</v>
      </c>
      <c r="G780" s="30">
        <f t="shared" si="88"/>
        <v>3.3828352</v>
      </c>
      <c r="H780" s="30">
        <f t="shared" si="89"/>
        <v>15.7621248</v>
      </c>
    </row>
    <row r="781">
      <c r="A781" s="3">
        <v>5000000.0</v>
      </c>
      <c r="B781" s="3" t="s">
        <v>463</v>
      </c>
      <c r="C781" s="3">
        <v>512.0</v>
      </c>
      <c r="D781" s="3">
        <v>45572.0</v>
      </c>
      <c r="E781" s="3">
        <v>299787.0</v>
      </c>
      <c r="F781" s="30">
        <f t="shared" si="87"/>
        <v>9765.625</v>
      </c>
      <c r="G781" s="30">
        <f t="shared" si="88"/>
        <v>4.6665728</v>
      </c>
      <c r="H781" s="30">
        <f t="shared" si="89"/>
        <v>30.6981888</v>
      </c>
    </row>
    <row r="782">
      <c r="A782" s="3">
        <v>5000000.0</v>
      </c>
      <c r="B782" s="3" t="s">
        <v>463</v>
      </c>
      <c r="C782" s="3">
        <v>1024.0</v>
      </c>
      <c r="D782" s="3">
        <v>33196.0</v>
      </c>
      <c r="E782" s="3">
        <v>298290.0</v>
      </c>
      <c r="F782" s="30">
        <f t="shared" si="87"/>
        <v>4882.8125</v>
      </c>
      <c r="G782" s="30">
        <f t="shared" si="88"/>
        <v>6.7985408</v>
      </c>
      <c r="H782" s="30">
        <f t="shared" si="89"/>
        <v>61.089792</v>
      </c>
    </row>
    <row r="783">
      <c r="A783" s="3">
        <v>5000000.0</v>
      </c>
      <c r="B783" s="3" t="s">
        <v>463</v>
      </c>
      <c r="C783" s="3">
        <v>2048.0</v>
      </c>
      <c r="D783" s="3">
        <v>25544.0</v>
      </c>
      <c r="E783" s="3">
        <v>271233.0</v>
      </c>
      <c r="F783" s="30">
        <f t="shared" si="87"/>
        <v>2441.40625</v>
      </c>
      <c r="G783" s="30">
        <f t="shared" si="88"/>
        <v>10.4628224</v>
      </c>
      <c r="H783" s="30">
        <f t="shared" si="89"/>
        <v>111.0970368</v>
      </c>
    </row>
    <row r="784">
      <c r="A784" s="3">
        <v>5000000.0</v>
      </c>
      <c r="B784" s="3" t="s">
        <v>463</v>
      </c>
      <c r="C784" s="3">
        <v>4096.0</v>
      </c>
      <c r="D784" s="3">
        <v>21396.0</v>
      </c>
      <c r="E784" s="3">
        <v>257746.0</v>
      </c>
      <c r="F784" s="30">
        <f t="shared" si="87"/>
        <v>1220.703125</v>
      </c>
      <c r="G784" s="30">
        <f t="shared" si="88"/>
        <v>17.5276032</v>
      </c>
      <c r="H784" s="30">
        <f t="shared" si="89"/>
        <v>211.1455232</v>
      </c>
    </row>
    <row r="785">
      <c r="A785" s="3">
        <v>5000000.0</v>
      </c>
      <c r="B785" s="3" t="s">
        <v>463</v>
      </c>
      <c r="C785" s="3">
        <v>8192.0</v>
      </c>
      <c r="D785" s="3">
        <v>19800.0</v>
      </c>
      <c r="E785" s="3">
        <v>246824.0</v>
      </c>
      <c r="F785" s="30">
        <f t="shared" si="87"/>
        <v>610.3515625</v>
      </c>
      <c r="G785" s="30">
        <f t="shared" si="88"/>
        <v>32.44032</v>
      </c>
      <c r="H785" s="30">
        <f t="shared" si="89"/>
        <v>404.3964416</v>
      </c>
    </row>
    <row r="787">
      <c r="A787" s="3" t="s">
        <v>459</v>
      </c>
      <c r="C787" s="3" t="s">
        <v>324</v>
      </c>
      <c r="D787" s="3" t="s">
        <v>448</v>
      </c>
      <c r="E787" s="3" t="s">
        <v>449</v>
      </c>
      <c r="F787" s="3" t="s">
        <v>460</v>
      </c>
      <c r="G787" s="3" t="s">
        <v>461</v>
      </c>
      <c r="H787" s="3" t="s">
        <v>462</v>
      </c>
    </row>
    <row r="788">
      <c r="A788" s="3">
        <v>1.0E7</v>
      </c>
      <c r="B788" s="3" t="s">
        <v>463</v>
      </c>
      <c r="C788" s="3">
        <v>1.0</v>
      </c>
      <c r="D788" s="3">
        <v>1350477.0</v>
      </c>
      <c r="E788" s="3">
        <v>721798.0</v>
      </c>
      <c r="F788" s="30">
        <f t="shared" ref="F788:F801" si="90">A788/C788</f>
        <v>10000000</v>
      </c>
      <c r="G788" s="30">
        <f t="shared" ref="G788:G801" si="91">D788/F788</f>
        <v>0.1350477</v>
      </c>
      <c r="H788" s="30">
        <f t="shared" ref="H788:H801" si="92">E788/F788</f>
        <v>0.0721798</v>
      </c>
    </row>
    <row r="789">
      <c r="A789" s="3">
        <v>1.0E7</v>
      </c>
      <c r="B789" s="3" t="s">
        <v>463</v>
      </c>
      <c r="C789" s="3">
        <v>2.0</v>
      </c>
      <c r="D789" s="3">
        <v>1348815.0</v>
      </c>
      <c r="E789" s="3">
        <v>695638.0</v>
      </c>
      <c r="F789" s="30">
        <f t="shared" si="90"/>
        <v>5000000</v>
      </c>
      <c r="G789" s="30">
        <f t="shared" si="91"/>
        <v>0.269763</v>
      </c>
      <c r="H789" s="30">
        <f t="shared" si="92"/>
        <v>0.1391276</v>
      </c>
    </row>
    <row r="790">
      <c r="A790" s="3">
        <v>1.0E7</v>
      </c>
      <c r="B790" s="3" t="s">
        <v>463</v>
      </c>
      <c r="C790" s="3">
        <v>4.0</v>
      </c>
      <c r="D790" s="3">
        <v>1348550.0</v>
      </c>
      <c r="E790" s="3">
        <v>701570.0</v>
      </c>
      <c r="F790" s="30">
        <f t="shared" si="90"/>
        <v>2500000</v>
      </c>
      <c r="G790" s="30">
        <f t="shared" si="91"/>
        <v>0.53942</v>
      </c>
      <c r="H790" s="30">
        <f t="shared" si="92"/>
        <v>0.280628</v>
      </c>
    </row>
    <row r="791">
      <c r="A791" s="3">
        <v>1.0E7</v>
      </c>
      <c r="B791" s="3" t="s">
        <v>463</v>
      </c>
      <c r="C791" s="3">
        <v>8.0</v>
      </c>
      <c r="D791" s="3">
        <v>1348556.0</v>
      </c>
      <c r="E791" s="3">
        <v>709912.0</v>
      </c>
      <c r="F791" s="30">
        <f t="shared" si="90"/>
        <v>1250000</v>
      </c>
      <c r="G791" s="30">
        <f t="shared" si="91"/>
        <v>1.0788448</v>
      </c>
      <c r="H791" s="30">
        <f t="shared" si="92"/>
        <v>0.5679296</v>
      </c>
    </row>
    <row r="792">
      <c r="A792" s="3">
        <v>1.0E7</v>
      </c>
      <c r="B792" s="3" t="s">
        <v>463</v>
      </c>
      <c r="C792" s="3">
        <v>16.0</v>
      </c>
      <c r="D792" s="3">
        <v>1344777.0</v>
      </c>
      <c r="E792" s="3">
        <v>701681.0</v>
      </c>
      <c r="F792" s="30">
        <f t="shared" si="90"/>
        <v>625000</v>
      </c>
      <c r="G792" s="30">
        <f t="shared" si="91"/>
        <v>2.1516432</v>
      </c>
      <c r="H792" s="30">
        <f t="shared" si="92"/>
        <v>1.1226896</v>
      </c>
    </row>
    <row r="793">
      <c r="A793" s="3">
        <v>1.0E7</v>
      </c>
      <c r="B793" s="3" t="s">
        <v>463</v>
      </c>
      <c r="C793" s="3">
        <v>32.0</v>
      </c>
      <c r="D793" s="3">
        <v>1048956.0</v>
      </c>
      <c r="E793" s="3">
        <v>663349.0</v>
      </c>
      <c r="F793" s="30">
        <f t="shared" si="90"/>
        <v>312500</v>
      </c>
      <c r="G793" s="30">
        <f t="shared" si="91"/>
        <v>3.3566592</v>
      </c>
      <c r="H793" s="30">
        <f t="shared" si="92"/>
        <v>2.1227168</v>
      </c>
    </row>
    <row r="794">
      <c r="A794" s="3">
        <v>1.0E7</v>
      </c>
      <c r="B794" s="3" t="s">
        <v>463</v>
      </c>
      <c r="C794" s="3">
        <v>64.0</v>
      </c>
      <c r="D794" s="3">
        <v>577675.0</v>
      </c>
      <c r="E794" s="3">
        <v>651756.0</v>
      </c>
      <c r="F794" s="30">
        <f t="shared" si="90"/>
        <v>156250</v>
      </c>
      <c r="G794" s="30">
        <f t="shared" si="91"/>
        <v>3.69712</v>
      </c>
      <c r="H794" s="30">
        <f t="shared" si="92"/>
        <v>4.1712384</v>
      </c>
    </row>
    <row r="795">
      <c r="A795" s="3">
        <v>1.0E7</v>
      </c>
      <c r="B795" s="3" t="s">
        <v>463</v>
      </c>
      <c r="C795" s="3">
        <v>128.0</v>
      </c>
      <c r="D795" s="3">
        <v>209435.0</v>
      </c>
      <c r="E795" s="3">
        <v>627261.0</v>
      </c>
      <c r="F795" s="30">
        <f t="shared" si="90"/>
        <v>78125</v>
      </c>
      <c r="G795" s="30">
        <f t="shared" si="91"/>
        <v>2.680768</v>
      </c>
      <c r="H795" s="30">
        <f t="shared" si="92"/>
        <v>8.0289408</v>
      </c>
    </row>
    <row r="796">
      <c r="A796" s="3">
        <v>1.0E7</v>
      </c>
      <c r="B796" s="3" t="s">
        <v>463</v>
      </c>
      <c r="C796" s="3">
        <v>256.0</v>
      </c>
      <c r="D796" s="3">
        <v>128833.0</v>
      </c>
      <c r="E796" s="3">
        <v>624708.0</v>
      </c>
      <c r="F796" s="30">
        <f t="shared" si="90"/>
        <v>39062.5</v>
      </c>
      <c r="G796" s="30">
        <f t="shared" si="91"/>
        <v>3.2981248</v>
      </c>
      <c r="H796" s="30">
        <f t="shared" si="92"/>
        <v>15.9925248</v>
      </c>
    </row>
    <row r="797">
      <c r="A797" s="3">
        <v>1.0E7</v>
      </c>
      <c r="B797" s="3" t="s">
        <v>463</v>
      </c>
      <c r="C797" s="3">
        <v>512.0</v>
      </c>
      <c r="D797" s="3">
        <v>89359.0</v>
      </c>
      <c r="E797" s="3">
        <v>621030.0</v>
      </c>
      <c r="F797" s="30">
        <f t="shared" si="90"/>
        <v>19531.25</v>
      </c>
      <c r="G797" s="30">
        <f t="shared" si="91"/>
        <v>4.5751808</v>
      </c>
      <c r="H797" s="30">
        <f t="shared" si="92"/>
        <v>31.796736</v>
      </c>
    </row>
    <row r="798">
      <c r="A798" s="3">
        <v>1.0E7</v>
      </c>
      <c r="B798" s="3" t="s">
        <v>463</v>
      </c>
      <c r="C798" s="3">
        <v>1024.0</v>
      </c>
      <c r="D798" s="3">
        <v>68605.0</v>
      </c>
      <c r="E798" s="3">
        <v>618860.0</v>
      </c>
      <c r="F798" s="30">
        <f t="shared" si="90"/>
        <v>9765.625</v>
      </c>
      <c r="G798" s="30">
        <f t="shared" si="91"/>
        <v>7.025152</v>
      </c>
      <c r="H798" s="30">
        <f t="shared" si="92"/>
        <v>63.371264</v>
      </c>
    </row>
    <row r="799">
      <c r="A799" s="3">
        <v>1.0E7</v>
      </c>
      <c r="B799" s="3" t="s">
        <v>463</v>
      </c>
      <c r="C799" s="3">
        <v>2048.0</v>
      </c>
      <c r="D799" s="3">
        <v>53694.0</v>
      </c>
      <c r="E799" s="3">
        <v>599020.0</v>
      </c>
      <c r="F799" s="30">
        <f t="shared" si="90"/>
        <v>4882.8125</v>
      </c>
      <c r="G799" s="30">
        <f t="shared" si="91"/>
        <v>10.9965312</v>
      </c>
      <c r="H799" s="30">
        <f t="shared" si="92"/>
        <v>122.679296</v>
      </c>
    </row>
    <row r="800">
      <c r="A800" s="3">
        <v>1.0E7</v>
      </c>
      <c r="B800" s="3" t="s">
        <v>463</v>
      </c>
      <c r="C800" s="3">
        <v>4096.0</v>
      </c>
      <c r="D800" s="3">
        <v>47006.0</v>
      </c>
      <c r="E800" s="3">
        <v>586262.0</v>
      </c>
      <c r="F800" s="30">
        <f t="shared" si="90"/>
        <v>2441.40625</v>
      </c>
      <c r="G800" s="30">
        <f t="shared" si="91"/>
        <v>19.2536576</v>
      </c>
      <c r="H800" s="30">
        <f t="shared" si="92"/>
        <v>240.1329152</v>
      </c>
    </row>
    <row r="801">
      <c r="A801" s="3">
        <v>1.0E7</v>
      </c>
      <c r="B801" s="3" t="s">
        <v>463</v>
      </c>
      <c r="C801" s="3">
        <v>8192.0</v>
      </c>
      <c r="D801" s="3">
        <v>43229.0</v>
      </c>
      <c r="E801" s="3">
        <v>574148.0</v>
      </c>
      <c r="F801" s="30">
        <f t="shared" si="90"/>
        <v>1220.703125</v>
      </c>
      <c r="G801" s="30">
        <f t="shared" si="91"/>
        <v>35.4131968</v>
      </c>
      <c r="H801" s="30">
        <f t="shared" si="92"/>
        <v>470.3420416</v>
      </c>
    </row>
    <row r="803">
      <c r="A803" s="3" t="s">
        <v>459</v>
      </c>
      <c r="C803" s="3" t="s">
        <v>324</v>
      </c>
      <c r="D803" s="3" t="s">
        <v>448</v>
      </c>
      <c r="E803" s="3" t="s">
        <v>449</v>
      </c>
      <c r="F803" s="3" t="s">
        <v>460</v>
      </c>
      <c r="G803" s="3" t="s">
        <v>461</v>
      </c>
      <c r="H803" s="3" t="s">
        <v>462</v>
      </c>
    </row>
    <row r="804">
      <c r="A804" s="3">
        <v>5.0E7</v>
      </c>
      <c r="B804" s="3" t="s">
        <v>463</v>
      </c>
      <c r="C804" s="3">
        <v>1.0</v>
      </c>
      <c r="D804" s="3">
        <v>6689132.0</v>
      </c>
      <c r="E804" s="3">
        <v>3409687.0</v>
      </c>
      <c r="F804" s="30">
        <f t="shared" ref="F804:F817" si="93">A804/C804</f>
        <v>50000000</v>
      </c>
      <c r="G804" s="30">
        <f t="shared" ref="G804:G817" si="94">D804/F804</f>
        <v>0.13378264</v>
      </c>
      <c r="H804" s="30">
        <f t="shared" ref="H804:H817" si="95">E804/F804</f>
        <v>0.06819374</v>
      </c>
    </row>
    <row r="805">
      <c r="A805" s="3">
        <v>5.0E7</v>
      </c>
      <c r="B805" s="3" t="s">
        <v>463</v>
      </c>
      <c r="C805" s="3">
        <v>2.0</v>
      </c>
      <c r="D805" s="3">
        <v>6659873.0</v>
      </c>
      <c r="E805" s="3">
        <v>3369295.0</v>
      </c>
      <c r="F805" s="30">
        <f t="shared" si="93"/>
        <v>25000000</v>
      </c>
      <c r="G805" s="30">
        <f t="shared" si="94"/>
        <v>0.26639492</v>
      </c>
      <c r="H805" s="30">
        <f t="shared" si="95"/>
        <v>0.1347718</v>
      </c>
    </row>
    <row r="806">
      <c r="A806" s="3">
        <v>5.0E7</v>
      </c>
      <c r="B806" s="3" t="s">
        <v>463</v>
      </c>
      <c r="C806" s="3">
        <v>4.0</v>
      </c>
      <c r="D806" s="3">
        <v>6673815.0</v>
      </c>
      <c r="E806" s="3">
        <v>3381615.0</v>
      </c>
      <c r="F806" s="30">
        <f t="shared" si="93"/>
        <v>12500000</v>
      </c>
      <c r="G806" s="30">
        <f t="shared" si="94"/>
        <v>0.5339052</v>
      </c>
      <c r="H806" s="30">
        <f t="shared" si="95"/>
        <v>0.2705292</v>
      </c>
    </row>
    <row r="807">
      <c r="A807" s="3">
        <v>5.0E7</v>
      </c>
      <c r="B807" s="3" t="s">
        <v>463</v>
      </c>
      <c r="C807" s="3">
        <v>8.0</v>
      </c>
      <c r="D807" s="3">
        <v>6676585.0</v>
      </c>
      <c r="E807" s="3">
        <v>3370600.0</v>
      </c>
      <c r="F807" s="30">
        <f t="shared" si="93"/>
        <v>6250000</v>
      </c>
      <c r="G807" s="30">
        <f t="shared" si="94"/>
        <v>1.0682536</v>
      </c>
      <c r="H807" s="30">
        <f t="shared" si="95"/>
        <v>0.539296</v>
      </c>
    </row>
    <row r="808">
      <c r="A808" s="3">
        <v>5.0E7</v>
      </c>
      <c r="B808" s="3" t="s">
        <v>463</v>
      </c>
      <c r="C808" s="3">
        <v>16.0</v>
      </c>
      <c r="D808" s="3">
        <v>6657777.0</v>
      </c>
      <c r="E808" s="3">
        <v>3391245.0</v>
      </c>
      <c r="F808" s="30">
        <f t="shared" si="93"/>
        <v>3125000</v>
      </c>
      <c r="G808" s="30">
        <f t="shared" si="94"/>
        <v>2.13048864</v>
      </c>
      <c r="H808" s="30">
        <f t="shared" si="95"/>
        <v>1.0851984</v>
      </c>
    </row>
    <row r="809">
      <c r="A809" s="3">
        <v>5.0E7</v>
      </c>
      <c r="B809" s="3" t="s">
        <v>463</v>
      </c>
      <c r="C809" s="3">
        <v>32.0</v>
      </c>
      <c r="D809" s="3">
        <v>5075640.0</v>
      </c>
      <c r="E809" s="3">
        <v>3296704.0</v>
      </c>
      <c r="F809" s="30">
        <f t="shared" si="93"/>
        <v>1562500</v>
      </c>
      <c r="G809" s="30">
        <f t="shared" si="94"/>
        <v>3.2484096</v>
      </c>
      <c r="H809" s="30">
        <f t="shared" si="95"/>
        <v>2.10989056</v>
      </c>
    </row>
    <row r="810">
      <c r="A810" s="3">
        <v>5.0E7</v>
      </c>
      <c r="B810" s="3" t="s">
        <v>463</v>
      </c>
      <c r="C810" s="3">
        <v>64.0</v>
      </c>
      <c r="D810" s="3">
        <v>2796477.0</v>
      </c>
      <c r="E810" s="3">
        <v>3228353.0</v>
      </c>
      <c r="F810" s="30">
        <f t="shared" si="93"/>
        <v>781250</v>
      </c>
      <c r="G810" s="30">
        <f t="shared" si="94"/>
        <v>3.57949056</v>
      </c>
      <c r="H810" s="30">
        <f t="shared" si="95"/>
        <v>4.13229184</v>
      </c>
    </row>
    <row r="811">
      <c r="A811" s="3">
        <v>5.0E7</v>
      </c>
      <c r="B811" s="3" t="s">
        <v>463</v>
      </c>
      <c r="C811" s="3">
        <v>128.0</v>
      </c>
      <c r="D811" s="3">
        <v>1040728.0</v>
      </c>
      <c r="E811" s="3">
        <v>3200508.0</v>
      </c>
      <c r="F811" s="30">
        <f t="shared" si="93"/>
        <v>390625</v>
      </c>
      <c r="G811" s="30">
        <f t="shared" si="94"/>
        <v>2.66426368</v>
      </c>
      <c r="H811" s="30">
        <f t="shared" si="95"/>
        <v>8.19330048</v>
      </c>
    </row>
    <row r="812">
      <c r="A812" s="3">
        <v>5.0E7</v>
      </c>
      <c r="B812" s="3" t="s">
        <v>463</v>
      </c>
      <c r="C812" s="3">
        <v>256.0</v>
      </c>
      <c r="D812" s="3">
        <v>647835.0</v>
      </c>
      <c r="E812" s="3">
        <v>3205110.0</v>
      </c>
      <c r="F812" s="30">
        <f t="shared" si="93"/>
        <v>195312.5</v>
      </c>
      <c r="G812" s="30">
        <f t="shared" si="94"/>
        <v>3.3169152</v>
      </c>
      <c r="H812" s="30">
        <f t="shared" si="95"/>
        <v>16.4101632</v>
      </c>
    </row>
    <row r="813">
      <c r="A813" s="3">
        <v>5.0E7</v>
      </c>
      <c r="B813" s="3" t="s">
        <v>463</v>
      </c>
      <c r="C813" s="3">
        <v>512.0</v>
      </c>
      <c r="D813" s="3">
        <v>449770.0</v>
      </c>
      <c r="E813" s="3">
        <v>3191379.0</v>
      </c>
      <c r="F813" s="30">
        <f t="shared" si="93"/>
        <v>97656.25</v>
      </c>
      <c r="G813" s="30">
        <f t="shared" si="94"/>
        <v>4.6056448</v>
      </c>
      <c r="H813" s="30">
        <f t="shared" si="95"/>
        <v>32.67972096</v>
      </c>
    </row>
    <row r="814">
      <c r="A814" s="3">
        <v>5.0E7</v>
      </c>
      <c r="B814" s="3" t="s">
        <v>463</v>
      </c>
      <c r="C814" s="3">
        <v>1024.0</v>
      </c>
      <c r="D814" s="3">
        <v>348719.0</v>
      </c>
      <c r="E814" s="3">
        <v>3187582.0</v>
      </c>
      <c r="F814" s="30">
        <f t="shared" si="93"/>
        <v>48828.125</v>
      </c>
      <c r="G814" s="30">
        <f t="shared" si="94"/>
        <v>7.14176512</v>
      </c>
      <c r="H814" s="30">
        <f t="shared" si="95"/>
        <v>65.28167936</v>
      </c>
    </row>
    <row r="815">
      <c r="A815" s="3">
        <v>5.0E7</v>
      </c>
      <c r="B815" s="3" t="s">
        <v>463</v>
      </c>
      <c r="C815" s="3">
        <v>2048.0</v>
      </c>
      <c r="D815" s="3">
        <v>280221.0</v>
      </c>
      <c r="E815" s="3">
        <v>3150794.0</v>
      </c>
      <c r="F815" s="30">
        <f t="shared" si="93"/>
        <v>24414.0625</v>
      </c>
      <c r="G815" s="30">
        <f t="shared" si="94"/>
        <v>11.47785216</v>
      </c>
      <c r="H815" s="30">
        <f t="shared" si="95"/>
        <v>129.0565222</v>
      </c>
    </row>
    <row r="816">
      <c r="A816" s="3">
        <v>5.0E7</v>
      </c>
      <c r="B816" s="3" t="s">
        <v>463</v>
      </c>
      <c r="C816" s="3">
        <v>4096.0</v>
      </c>
      <c r="D816" s="3">
        <v>246195.0</v>
      </c>
      <c r="E816" s="3">
        <v>3154037.0</v>
      </c>
      <c r="F816" s="30">
        <f t="shared" si="93"/>
        <v>12207.03125</v>
      </c>
      <c r="G816" s="30">
        <f t="shared" si="94"/>
        <v>20.1682944</v>
      </c>
      <c r="H816" s="30">
        <f t="shared" si="95"/>
        <v>258.378711</v>
      </c>
    </row>
    <row r="817">
      <c r="A817" s="3">
        <v>5.0E7</v>
      </c>
      <c r="B817" s="3" t="s">
        <v>463</v>
      </c>
      <c r="C817" s="3">
        <v>8192.0</v>
      </c>
      <c r="D817" s="3">
        <v>231235.0</v>
      </c>
      <c r="E817" s="3">
        <v>3119682.0</v>
      </c>
      <c r="F817" s="30">
        <f t="shared" si="93"/>
        <v>6103.515625</v>
      </c>
      <c r="G817" s="30">
        <f t="shared" si="94"/>
        <v>37.8855424</v>
      </c>
      <c r="H817" s="30">
        <f t="shared" si="95"/>
        <v>511.1286989</v>
      </c>
    </row>
    <row r="820">
      <c r="A820" s="3" t="s">
        <v>459</v>
      </c>
      <c r="C820" s="3" t="s">
        <v>324</v>
      </c>
      <c r="D820" s="3" t="s">
        <v>448</v>
      </c>
      <c r="E820" s="3" t="s">
        <v>449</v>
      </c>
      <c r="F820" s="3" t="s">
        <v>460</v>
      </c>
      <c r="G820" s="3" t="s">
        <v>461</v>
      </c>
      <c r="H820" s="3" t="s">
        <v>462</v>
      </c>
    </row>
    <row r="821">
      <c r="A821" s="3">
        <v>1.0E8</v>
      </c>
      <c r="B821" s="3" t="s">
        <v>463</v>
      </c>
      <c r="C821" s="3">
        <v>1.0</v>
      </c>
      <c r="D821" s="3">
        <v>1.3334331E7</v>
      </c>
      <c r="E821" s="3">
        <v>6727854.0</v>
      </c>
      <c r="F821" s="30">
        <f t="shared" ref="F821:F834" si="96">A821/C821</f>
        <v>100000000</v>
      </c>
      <c r="G821" s="30">
        <f t="shared" ref="G821:G834" si="97">D821/F821</f>
        <v>0.13334331</v>
      </c>
      <c r="H821" s="30">
        <f t="shared" ref="H821:H834" si="98">E821/F821</f>
        <v>0.06727854</v>
      </c>
    </row>
    <row r="822">
      <c r="A822" s="3">
        <v>1.0E8</v>
      </c>
      <c r="B822" s="3" t="s">
        <v>463</v>
      </c>
      <c r="C822" s="3">
        <v>2.0</v>
      </c>
      <c r="D822" s="3">
        <v>1.3317934E7</v>
      </c>
      <c r="E822" s="3">
        <v>6738878.0</v>
      </c>
      <c r="F822" s="30">
        <f t="shared" si="96"/>
        <v>50000000</v>
      </c>
      <c r="G822" s="30">
        <f t="shared" si="97"/>
        <v>0.26635868</v>
      </c>
      <c r="H822" s="30">
        <f t="shared" si="98"/>
        <v>0.13477756</v>
      </c>
    </row>
    <row r="823">
      <c r="A823" s="3">
        <v>1.0E8</v>
      </c>
      <c r="B823" s="3" t="s">
        <v>463</v>
      </c>
      <c r="C823" s="3">
        <v>4.0</v>
      </c>
      <c r="D823" s="3">
        <v>1.3300053E7</v>
      </c>
      <c r="E823" s="3">
        <v>6708894.0</v>
      </c>
      <c r="F823" s="30">
        <f t="shared" si="96"/>
        <v>25000000</v>
      </c>
      <c r="G823" s="30">
        <f t="shared" si="97"/>
        <v>0.53200212</v>
      </c>
      <c r="H823" s="30">
        <f t="shared" si="98"/>
        <v>0.26835576</v>
      </c>
    </row>
    <row r="824">
      <c r="A824" s="3">
        <v>1.0E8</v>
      </c>
      <c r="B824" s="3" t="s">
        <v>463</v>
      </c>
      <c r="C824" s="3">
        <v>8.0</v>
      </c>
      <c r="D824" s="3">
        <v>1.3301505E7</v>
      </c>
      <c r="E824" s="3">
        <v>6728749.0</v>
      </c>
      <c r="F824" s="30">
        <f t="shared" si="96"/>
        <v>12500000</v>
      </c>
      <c r="G824" s="30">
        <f t="shared" si="97"/>
        <v>1.0641204</v>
      </c>
      <c r="H824" s="30">
        <f t="shared" si="98"/>
        <v>0.53829992</v>
      </c>
    </row>
    <row r="825">
      <c r="A825" s="3">
        <v>1.0E8</v>
      </c>
      <c r="B825" s="3" t="s">
        <v>463</v>
      </c>
      <c r="C825" s="3">
        <v>16.0</v>
      </c>
      <c r="D825" s="3">
        <v>1.3304979E7</v>
      </c>
      <c r="E825" s="3">
        <v>6715751.0</v>
      </c>
      <c r="F825" s="30">
        <f t="shared" si="96"/>
        <v>6250000</v>
      </c>
      <c r="G825" s="30">
        <f t="shared" si="97"/>
        <v>2.12879664</v>
      </c>
      <c r="H825" s="30">
        <f t="shared" si="98"/>
        <v>1.07452016</v>
      </c>
    </row>
    <row r="826">
      <c r="A826" s="3">
        <v>1.0E8</v>
      </c>
      <c r="B826" s="3" t="s">
        <v>463</v>
      </c>
      <c r="C826" s="3">
        <v>32.0</v>
      </c>
      <c r="D826" s="3">
        <v>1.0179277E7</v>
      </c>
      <c r="E826" s="3">
        <v>6581887.0</v>
      </c>
      <c r="F826" s="30">
        <f t="shared" si="96"/>
        <v>3125000</v>
      </c>
      <c r="G826" s="30">
        <f t="shared" si="97"/>
        <v>3.25736864</v>
      </c>
      <c r="H826" s="30">
        <f t="shared" si="98"/>
        <v>2.10620384</v>
      </c>
    </row>
    <row r="827">
      <c r="A827" s="3">
        <v>1.0E8</v>
      </c>
      <c r="B827" s="3" t="s">
        <v>463</v>
      </c>
      <c r="C827" s="3">
        <v>64.0</v>
      </c>
      <c r="D827" s="3">
        <v>5569840.0</v>
      </c>
      <c r="E827" s="3">
        <v>6466007.0</v>
      </c>
      <c r="F827" s="30">
        <f t="shared" si="96"/>
        <v>1562500</v>
      </c>
      <c r="G827" s="30">
        <f t="shared" si="97"/>
        <v>3.5646976</v>
      </c>
      <c r="H827" s="30">
        <f t="shared" si="98"/>
        <v>4.13824448</v>
      </c>
    </row>
    <row r="828">
      <c r="A828" s="3">
        <v>1.0E8</v>
      </c>
      <c r="B828" s="3" t="s">
        <v>463</v>
      </c>
      <c r="C828" s="3">
        <v>128.0</v>
      </c>
      <c r="D828" s="3">
        <v>2087531.0</v>
      </c>
      <c r="E828" s="3">
        <v>6433444.0</v>
      </c>
      <c r="F828" s="30">
        <f t="shared" si="96"/>
        <v>781250</v>
      </c>
      <c r="G828" s="30">
        <f t="shared" si="97"/>
        <v>2.67203968</v>
      </c>
      <c r="H828" s="30">
        <f t="shared" si="98"/>
        <v>8.23480832</v>
      </c>
    </row>
    <row r="829">
      <c r="A829" s="3">
        <v>1.0E8</v>
      </c>
      <c r="B829" s="3" t="s">
        <v>463</v>
      </c>
      <c r="C829" s="3">
        <v>256.0</v>
      </c>
      <c r="D829" s="3">
        <v>1293069.0</v>
      </c>
      <c r="E829" s="3">
        <v>6423833.0</v>
      </c>
      <c r="F829" s="30">
        <f t="shared" si="96"/>
        <v>390625</v>
      </c>
      <c r="G829" s="30">
        <f t="shared" si="97"/>
        <v>3.31025664</v>
      </c>
      <c r="H829" s="30">
        <f t="shared" si="98"/>
        <v>16.44501248</v>
      </c>
    </row>
    <row r="830">
      <c r="A830" s="3">
        <v>1.0E8</v>
      </c>
      <c r="B830" s="3" t="s">
        <v>463</v>
      </c>
      <c r="C830" s="3">
        <v>512.0</v>
      </c>
      <c r="D830" s="3">
        <v>908282.0</v>
      </c>
      <c r="E830" s="3">
        <v>6419406.0</v>
      </c>
      <c r="F830" s="30">
        <f t="shared" si="96"/>
        <v>195312.5</v>
      </c>
      <c r="G830" s="30">
        <f t="shared" si="97"/>
        <v>4.65040384</v>
      </c>
      <c r="H830" s="30">
        <f t="shared" si="98"/>
        <v>32.86735872</v>
      </c>
    </row>
    <row r="831">
      <c r="A831" s="3">
        <v>1.0E8</v>
      </c>
      <c r="B831" s="3" t="s">
        <v>463</v>
      </c>
      <c r="C831" s="3">
        <v>1024.0</v>
      </c>
      <c r="D831" s="3">
        <v>696861.0</v>
      </c>
      <c r="E831" s="3">
        <v>6414592.0</v>
      </c>
      <c r="F831" s="30">
        <f t="shared" si="96"/>
        <v>97656.25</v>
      </c>
      <c r="G831" s="30">
        <f t="shared" si="97"/>
        <v>7.13585664</v>
      </c>
      <c r="H831" s="30">
        <f t="shared" si="98"/>
        <v>65.68542208</v>
      </c>
    </row>
    <row r="832">
      <c r="A832" s="3">
        <v>1.0E8</v>
      </c>
      <c r="B832" s="3" t="s">
        <v>463</v>
      </c>
      <c r="C832" s="3">
        <v>2048.0</v>
      </c>
      <c r="D832" s="3">
        <v>565405.0</v>
      </c>
      <c r="E832" s="3">
        <v>6371111.0</v>
      </c>
      <c r="F832" s="30">
        <f t="shared" si="96"/>
        <v>48828.125</v>
      </c>
      <c r="G832" s="30">
        <f t="shared" si="97"/>
        <v>11.5794944</v>
      </c>
      <c r="H832" s="30">
        <f t="shared" si="98"/>
        <v>130.4803533</v>
      </c>
    </row>
    <row r="833">
      <c r="A833" s="3">
        <v>1.0E8</v>
      </c>
      <c r="B833" s="3" t="s">
        <v>463</v>
      </c>
      <c r="C833" s="3">
        <v>4096.0</v>
      </c>
      <c r="D833" s="3">
        <v>492829.0</v>
      </c>
      <c r="E833" s="3">
        <v>6314796.0</v>
      </c>
      <c r="F833" s="30">
        <f t="shared" si="96"/>
        <v>24414.0625</v>
      </c>
      <c r="G833" s="30">
        <f t="shared" si="97"/>
        <v>20.18627584</v>
      </c>
      <c r="H833" s="30">
        <f t="shared" si="98"/>
        <v>258.6540442</v>
      </c>
    </row>
    <row r="834">
      <c r="A834" s="3">
        <v>1.0E8</v>
      </c>
      <c r="B834" s="3" t="s">
        <v>463</v>
      </c>
      <c r="C834" s="3">
        <v>8192.0</v>
      </c>
      <c r="D834" s="3">
        <v>458555.0</v>
      </c>
      <c r="E834" s="3">
        <v>6320851.0</v>
      </c>
      <c r="F834" s="30">
        <f t="shared" si="96"/>
        <v>12207.03125</v>
      </c>
      <c r="G834" s="30">
        <f t="shared" si="97"/>
        <v>37.5648256</v>
      </c>
      <c r="H834" s="30">
        <f t="shared" si="98"/>
        <v>517.8041139</v>
      </c>
    </row>
    <row r="838">
      <c r="A838" s="3" t="s">
        <v>459</v>
      </c>
      <c r="C838" s="3" t="s">
        <v>324</v>
      </c>
      <c r="D838" s="3" t="s">
        <v>448</v>
      </c>
      <c r="E838" s="3" t="s">
        <v>449</v>
      </c>
      <c r="F838" s="3" t="s">
        <v>460</v>
      </c>
      <c r="G838" s="3" t="s">
        <v>461</v>
      </c>
      <c r="H838" s="3" t="s">
        <v>462</v>
      </c>
    </row>
    <row r="839">
      <c r="A839" s="3">
        <v>5.0E8</v>
      </c>
      <c r="B839" s="3" t="s">
        <v>463</v>
      </c>
      <c r="C839" s="3">
        <v>1.0</v>
      </c>
      <c r="D839" s="3">
        <v>6.8011348E7</v>
      </c>
      <c r="E839" s="3">
        <v>3.4824467E7</v>
      </c>
      <c r="F839" s="30">
        <f t="shared" ref="F839:F852" si="99">A839/C839</f>
        <v>500000000</v>
      </c>
      <c r="G839" s="30">
        <f t="shared" ref="G839:G852" si="100">D839/F839</f>
        <v>0.136022696</v>
      </c>
      <c r="H839" s="30">
        <f t="shared" ref="H839:H852" si="101">E839/F839</f>
        <v>0.069648934</v>
      </c>
      <c r="J839" s="30">
        <f t="shared" ref="J839:J852" si="102">E839*64</f>
        <v>2228765888</v>
      </c>
      <c r="K839" s="30">
        <f t="shared" ref="K839:K852" si="103">J839/4</f>
        <v>557191472</v>
      </c>
      <c r="L839" s="30">
        <f t="shared" ref="L839:L852" si="104">K839-A839</f>
        <v>57191472</v>
      </c>
    </row>
    <row r="840">
      <c r="A840" s="3">
        <v>5.0E8</v>
      </c>
      <c r="B840" s="3" t="s">
        <v>463</v>
      </c>
      <c r="C840" s="3">
        <v>2.0</v>
      </c>
      <c r="D840" s="3">
        <v>6.6448203E7</v>
      </c>
      <c r="E840" s="3">
        <v>3.3479312E7</v>
      </c>
      <c r="F840" s="30">
        <f t="shared" si="99"/>
        <v>250000000</v>
      </c>
      <c r="G840" s="30">
        <f t="shared" si="100"/>
        <v>0.265792812</v>
      </c>
      <c r="H840" s="30">
        <f t="shared" si="101"/>
        <v>0.133917248</v>
      </c>
      <c r="J840" s="30">
        <f t="shared" si="102"/>
        <v>2142675968</v>
      </c>
      <c r="K840" s="30">
        <f t="shared" si="103"/>
        <v>535668992</v>
      </c>
      <c r="L840" s="30">
        <f t="shared" si="104"/>
        <v>35668992</v>
      </c>
    </row>
    <row r="841">
      <c r="A841" s="3">
        <v>5.0E8</v>
      </c>
      <c r="B841" s="3" t="s">
        <v>463</v>
      </c>
      <c r="C841" s="3">
        <v>4.0</v>
      </c>
      <c r="D841" s="3">
        <v>6.6489761E7</v>
      </c>
      <c r="E841" s="3">
        <v>3.3512313E7</v>
      </c>
      <c r="F841" s="30">
        <f t="shared" si="99"/>
        <v>125000000</v>
      </c>
      <c r="G841" s="30">
        <f t="shared" si="100"/>
        <v>0.531918088</v>
      </c>
      <c r="H841" s="30">
        <f t="shared" si="101"/>
        <v>0.268098504</v>
      </c>
      <c r="J841" s="30">
        <f t="shared" si="102"/>
        <v>2144788032</v>
      </c>
      <c r="K841" s="30">
        <f t="shared" si="103"/>
        <v>536197008</v>
      </c>
      <c r="L841" s="30">
        <f t="shared" si="104"/>
        <v>36197008</v>
      </c>
    </row>
    <row r="842">
      <c r="A842" s="3">
        <v>5.0E8</v>
      </c>
      <c r="B842" s="3" t="s">
        <v>463</v>
      </c>
      <c r="C842" s="3">
        <v>8.0</v>
      </c>
      <c r="D842" s="3">
        <v>6.6381434E7</v>
      </c>
      <c r="E842" s="3">
        <v>3.3439306E7</v>
      </c>
      <c r="F842" s="30">
        <f t="shared" si="99"/>
        <v>62500000</v>
      </c>
      <c r="G842" s="30">
        <f t="shared" si="100"/>
        <v>1.062102944</v>
      </c>
      <c r="H842" s="30">
        <f t="shared" si="101"/>
        <v>0.535028896</v>
      </c>
      <c r="J842" s="30">
        <f t="shared" si="102"/>
        <v>2140115584</v>
      </c>
      <c r="K842" s="30">
        <f t="shared" si="103"/>
        <v>535028896</v>
      </c>
      <c r="L842" s="30">
        <f t="shared" si="104"/>
        <v>35028896</v>
      </c>
    </row>
    <row r="843">
      <c r="A843" s="3">
        <v>5.0E8</v>
      </c>
      <c r="B843" s="3" t="s">
        <v>463</v>
      </c>
      <c r="C843" s="3">
        <v>16.0</v>
      </c>
      <c r="D843" s="3">
        <v>6.638972E7</v>
      </c>
      <c r="E843" s="3">
        <v>3.3450897E7</v>
      </c>
      <c r="F843" s="30">
        <f t="shared" si="99"/>
        <v>31250000</v>
      </c>
      <c r="G843" s="30">
        <f t="shared" si="100"/>
        <v>2.12447104</v>
      </c>
      <c r="H843" s="30">
        <f t="shared" si="101"/>
        <v>1.070428704</v>
      </c>
      <c r="J843" s="30">
        <f t="shared" si="102"/>
        <v>2140857408</v>
      </c>
      <c r="K843" s="30">
        <f t="shared" si="103"/>
        <v>535214352</v>
      </c>
      <c r="L843" s="30">
        <f t="shared" si="104"/>
        <v>35214352</v>
      </c>
    </row>
    <row r="844">
      <c r="A844" s="3">
        <v>5.0E8</v>
      </c>
      <c r="B844" s="3" t="s">
        <v>463</v>
      </c>
      <c r="C844" s="3">
        <v>32.0</v>
      </c>
      <c r="D844" s="3">
        <v>4.9728424E7</v>
      </c>
      <c r="E844" s="3">
        <v>3.2821832E7</v>
      </c>
      <c r="F844" s="30">
        <f t="shared" si="99"/>
        <v>15625000</v>
      </c>
      <c r="G844" s="30">
        <f t="shared" si="100"/>
        <v>3.182619136</v>
      </c>
      <c r="H844" s="30">
        <f t="shared" si="101"/>
        <v>2.100597248</v>
      </c>
      <c r="J844" s="30">
        <f t="shared" si="102"/>
        <v>2100597248</v>
      </c>
      <c r="K844" s="30">
        <f t="shared" si="103"/>
        <v>525149312</v>
      </c>
      <c r="L844" s="30">
        <f t="shared" si="104"/>
        <v>25149312</v>
      </c>
    </row>
    <row r="845">
      <c r="A845" s="3">
        <v>5.0E8</v>
      </c>
      <c r="B845" s="3" t="s">
        <v>463</v>
      </c>
      <c r="C845" s="3">
        <v>64.0</v>
      </c>
      <c r="D845" s="3">
        <v>2.7734381E7</v>
      </c>
      <c r="E845" s="3">
        <v>3.2334137E7</v>
      </c>
      <c r="F845" s="30">
        <f t="shared" si="99"/>
        <v>7812500</v>
      </c>
      <c r="G845" s="30">
        <f t="shared" si="100"/>
        <v>3.550000768</v>
      </c>
      <c r="H845" s="30">
        <f t="shared" si="101"/>
        <v>4.138769536</v>
      </c>
      <c r="J845" s="30">
        <f t="shared" si="102"/>
        <v>2069384768</v>
      </c>
      <c r="K845" s="30">
        <f t="shared" si="103"/>
        <v>517346192</v>
      </c>
      <c r="L845" s="30">
        <f t="shared" si="104"/>
        <v>17346192</v>
      </c>
    </row>
    <row r="846">
      <c r="A846" s="3">
        <v>5.0E8</v>
      </c>
      <c r="B846" s="3" t="s">
        <v>463</v>
      </c>
      <c r="C846" s="3">
        <v>128.0</v>
      </c>
      <c r="D846" s="3">
        <v>1.0419189E7</v>
      </c>
      <c r="E846" s="3">
        <v>3.2245092E7</v>
      </c>
      <c r="F846" s="30">
        <f t="shared" si="99"/>
        <v>3906250</v>
      </c>
      <c r="G846" s="30">
        <f t="shared" si="100"/>
        <v>2.667312384</v>
      </c>
      <c r="H846" s="30">
        <f t="shared" si="101"/>
        <v>8.254743552</v>
      </c>
      <c r="J846" s="30">
        <f t="shared" si="102"/>
        <v>2063685888</v>
      </c>
      <c r="K846" s="30">
        <f t="shared" si="103"/>
        <v>515921472</v>
      </c>
      <c r="L846" s="30">
        <f t="shared" si="104"/>
        <v>15921472</v>
      </c>
    </row>
    <row r="847">
      <c r="A847" s="3">
        <v>5.0E8</v>
      </c>
      <c r="B847" s="3" t="s">
        <v>463</v>
      </c>
      <c r="C847" s="3">
        <v>256.0</v>
      </c>
      <c r="D847" s="3">
        <v>6475269.0</v>
      </c>
      <c r="E847" s="3">
        <v>3.2187495E7</v>
      </c>
      <c r="F847" s="30">
        <f t="shared" si="99"/>
        <v>1953125</v>
      </c>
      <c r="G847" s="30">
        <f t="shared" si="100"/>
        <v>3.315337728</v>
      </c>
      <c r="H847" s="30">
        <f t="shared" si="101"/>
        <v>16.47999744</v>
      </c>
      <c r="J847" s="30">
        <f t="shared" si="102"/>
        <v>2059999680</v>
      </c>
      <c r="K847" s="30">
        <f t="shared" si="103"/>
        <v>514999920</v>
      </c>
      <c r="L847" s="30">
        <f t="shared" si="104"/>
        <v>14999920</v>
      </c>
    </row>
    <row r="848">
      <c r="A848" s="3">
        <v>5.0E8</v>
      </c>
      <c r="B848" s="3" t="s">
        <v>463</v>
      </c>
      <c r="C848" s="3">
        <v>512.0</v>
      </c>
      <c r="D848" s="3">
        <v>4482752.0</v>
      </c>
      <c r="E848" s="3">
        <v>3.2164373E7</v>
      </c>
      <c r="F848" s="30">
        <f t="shared" si="99"/>
        <v>976562.5</v>
      </c>
      <c r="G848" s="30">
        <f t="shared" si="100"/>
        <v>4.590338048</v>
      </c>
      <c r="H848" s="30">
        <f t="shared" si="101"/>
        <v>32.93631795</v>
      </c>
      <c r="J848" s="30">
        <f t="shared" si="102"/>
        <v>2058519872</v>
      </c>
      <c r="K848" s="30">
        <f t="shared" si="103"/>
        <v>514629968</v>
      </c>
      <c r="L848" s="30">
        <f t="shared" si="104"/>
        <v>14629968</v>
      </c>
    </row>
    <row r="849">
      <c r="A849" s="3">
        <v>5.0E8</v>
      </c>
      <c r="B849" s="3" t="s">
        <v>463</v>
      </c>
      <c r="C849" s="3">
        <v>1024.0</v>
      </c>
      <c r="D849" s="3">
        <v>3487917.0</v>
      </c>
      <c r="E849" s="3">
        <v>3.2193415E7</v>
      </c>
      <c r="F849" s="30">
        <f t="shared" si="99"/>
        <v>488281.25</v>
      </c>
      <c r="G849" s="30">
        <f t="shared" si="100"/>
        <v>7.143254016</v>
      </c>
      <c r="H849" s="30">
        <f t="shared" si="101"/>
        <v>65.93211392</v>
      </c>
      <c r="J849" s="30">
        <f t="shared" si="102"/>
        <v>2060378560</v>
      </c>
      <c r="K849" s="30">
        <f t="shared" si="103"/>
        <v>515094640</v>
      </c>
      <c r="L849" s="30">
        <f t="shared" si="104"/>
        <v>15094640</v>
      </c>
    </row>
    <row r="850">
      <c r="A850" s="3">
        <v>5.0E8</v>
      </c>
      <c r="B850" s="3" t="s">
        <v>463</v>
      </c>
      <c r="C850" s="3">
        <v>2048.0</v>
      </c>
      <c r="D850" s="3">
        <v>2816514.0</v>
      </c>
      <c r="E850" s="3">
        <v>3.1977664E7</v>
      </c>
      <c r="F850" s="30">
        <f t="shared" si="99"/>
        <v>244140.625</v>
      </c>
      <c r="G850" s="30">
        <f t="shared" si="100"/>
        <v>11.53644134</v>
      </c>
      <c r="H850" s="30">
        <f t="shared" si="101"/>
        <v>130.9805117</v>
      </c>
      <c r="J850" s="30">
        <f t="shared" si="102"/>
        <v>2046570496</v>
      </c>
      <c r="K850" s="30">
        <f t="shared" si="103"/>
        <v>511642624</v>
      </c>
      <c r="L850" s="30">
        <f t="shared" si="104"/>
        <v>11642624</v>
      </c>
    </row>
    <row r="851">
      <c r="A851" s="3">
        <v>5.0E8</v>
      </c>
      <c r="B851" s="3" t="s">
        <v>463</v>
      </c>
      <c r="C851" s="3">
        <v>4096.0</v>
      </c>
      <c r="D851" s="3">
        <v>2470496.0</v>
      </c>
      <c r="E851" s="3">
        <v>3.1860144E7</v>
      </c>
      <c r="F851" s="30">
        <f t="shared" si="99"/>
        <v>122070.3125</v>
      </c>
      <c r="G851" s="30">
        <f t="shared" si="100"/>
        <v>20.23830323</v>
      </c>
      <c r="H851" s="30">
        <f t="shared" si="101"/>
        <v>260.9982996</v>
      </c>
      <c r="J851" s="30">
        <f t="shared" si="102"/>
        <v>2039049216</v>
      </c>
      <c r="K851" s="30">
        <f t="shared" si="103"/>
        <v>509762304</v>
      </c>
      <c r="L851" s="30">
        <f t="shared" si="104"/>
        <v>9762304</v>
      </c>
    </row>
    <row r="852">
      <c r="A852" s="3">
        <v>5.0E8</v>
      </c>
      <c r="B852" s="3" t="s">
        <v>463</v>
      </c>
      <c r="C852" s="3">
        <v>8192.0</v>
      </c>
      <c r="D852" s="3">
        <v>2312305.0</v>
      </c>
      <c r="E852" s="3">
        <v>3.1785233E7</v>
      </c>
      <c r="F852" s="30">
        <f t="shared" si="99"/>
        <v>61035.15625</v>
      </c>
      <c r="G852" s="30">
        <f t="shared" si="100"/>
        <v>37.88480512</v>
      </c>
      <c r="H852" s="30">
        <f t="shared" si="101"/>
        <v>520.7692575</v>
      </c>
      <c r="J852" s="30">
        <f t="shared" si="102"/>
        <v>2034254912</v>
      </c>
      <c r="K852" s="30">
        <f t="shared" si="103"/>
        <v>508563728</v>
      </c>
      <c r="L852" s="30">
        <f t="shared" si="104"/>
        <v>8563728</v>
      </c>
    </row>
    <row r="854">
      <c r="C854" s="3">
        <v>8192.0</v>
      </c>
      <c r="D854" s="3">
        <v>16.0</v>
      </c>
      <c r="E854" s="30">
        <f>C854/D854</f>
        <v>512</v>
      </c>
    </row>
    <row r="855">
      <c r="N855" s="3">
        <v>2048.0</v>
      </c>
    </row>
    <row r="856">
      <c r="N856" s="3">
        <v>4096.0</v>
      </c>
    </row>
    <row r="857">
      <c r="N857" s="3">
        <v>8192.0</v>
      </c>
    </row>
    <row r="858">
      <c r="N858" s="30">
        <f t="shared" ref="N858:N870" si="105">N857*2</f>
        <v>16384</v>
      </c>
    </row>
    <row r="859">
      <c r="F859" s="30">
        <f>POWER(2,100)</f>
        <v>1.26765E+30</v>
      </c>
      <c r="N859" s="30">
        <f t="shared" si="105"/>
        <v>32768</v>
      </c>
    </row>
    <row r="860">
      <c r="N860" s="30">
        <f t="shared" si="105"/>
        <v>65536</v>
      </c>
    </row>
    <row r="861">
      <c r="N861" s="30">
        <f t="shared" si="105"/>
        <v>131072</v>
      </c>
    </row>
    <row r="862">
      <c r="B862" s="3" t="s">
        <v>463</v>
      </c>
      <c r="C862" s="3">
        <v>2.0</v>
      </c>
      <c r="D862" s="3">
        <v>9281.0</v>
      </c>
      <c r="E862" s="3">
        <v>159924.0</v>
      </c>
      <c r="N862" s="30">
        <f t="shared" si="105"/>
        <v>262144</v>
      </c>
    </row>
    <row r="863">
      <c r="B863" s="3" t="s">
        <v>463</v>
      </c>
      <c r="C863" s="3">
        <v>4.0</v>
      </c>
      <c r="D863" s="3">
        <v>5670.0</v>
      </c>
      <c r="E863" s="3">
        <v>94872.0</v>
      </c>
      <c r="N863" s="30">
        <f t="shared" si="105"/>
        <v>524288</v>
      </c>
    </row>
    <row r="864">
      <c r="B864" s="3" t="s">
        <v>463</v>
      </c>
      <c r="C864" s="3">
        <v>8.0</v>
      </c>
      <c r="D864" s="3">
        <v>3969.0</v>
      </c>
      <c r="E864" s="3">
        <v>62594.0</v>
      </c>
      <c r="N864" s="30">
        <f t="shared" si="105"/>
        <v>1048576</v>
      </c>
    </row>
    <row r="865">
      <c r="B865" s="3" t="s">
        <v>463</v>
      </c>
      <c r="C865" s="3">
        <v>16.0</v>
      </c>
      <c r="D865" s="3">
        <v>3881.0</v>
      </c>
      <c r="E865" s="3">
        <v>58992.0</v>
      </c>
      <c r="N865" s="30">
        <f t="shared" si="105"/>
        <v>2097152</v>
      </c>
    </row>
    <row r="866">
      <c r="B866" s="3" t="s">
        <v>463</v>
      </c>
      <c r="C866" s="3">
        <v>32.0</v>
      </c>
      <c r="D866" s="3">
        <v>2001.0</v>
      </c>
      <c r="E866" s="3">
        <v>30708.0</v>
      </c>
      <c r="N866" s="30">
        <f t="shared" si="105"/>
        <v>4194304</v>
      </c>
    </row>
    <row r="867">
      <c r="B867" s="3" t="s">
        <v>463</v>
      </c>
      <c r="C867" s="3">
        <v>64.0</v>
      </c>
      <c r="D867" s="3">
        <v>85.0</v>
      </c>
      <c r="E867" s="3">
        <v>84.0</v>
      </c>
      <c r="N867" s="30">
        <f t="shared" si="105"/>
        <v>8388608</v>
      </c>
    </row>
    <row r="868">
      <c r="B868" s="3" t="s">
        <v>463</v>
      </c>
      <c r="C868" s="3">
        <v>128.0</v>
      </c>
      <c r="D868" s="3">
        <v>1946.0</v>
      </c>
      <c r="E868" s="3">
        <v>29202.0</v>
      </c>
      <c r="N868" s="30">
        <f t="shared" si="105"/>
        <v>16777216</v>
      </c>
    </row>
    <row r="869">
      <c r="B869" s="3" t="s">
        <v>463</v>
      </c>
      <c r="C869" s="3">
        <v>256.0</v>
      </c>
      <c r="D869" s="3">
        <v>54.0</v>
      </c>
      <c r="E869" s="3">
        <v>52.0</v>
      </c>
      <c r="N869" s="30">
        <f t="shared" si="105"/>
        <v>33554432</v>
      </c>
    </row>
    <row r="870">
      <c r="B870" s="3" t="s">
        <v>463</v>
      </c>
      <c r="C870" s="3">
        <v>512.0</v>
      </c>
      <c r="D870" s="3">
        <v>1927.0</v>
      </c>
      <c r="E870" s="3">
        <v>30308.0</v>
      </c>
      <c r="N870" s="30">
        <f t="shared" si="105"/>
        <v>67108864</v>
      </c>
    </row>
    <row r="873">
      <c r="B873" s="3" t="s">
        <v>463</v>
      </c>
      <c r="C873" s="3">
        <v>2.0</v>
      </c>
      <c r="D873" s="3">
        <v>9464.0</v>
      </c>
      <c r="E873" s="3">
        <v>156452.0</v>
      </c>
      <c r="O873" s="73">
        <v>2048.0</v>
      </c>
      <c r="P873" s="3">
        <v>2048.0</v>
      </c>
      <c r="Q873" s="3">
        <v>4096.0</v>
      </c>
      <c r="R873" s="3">
        <v>8192.0</v>
      </c>
      <c r="S873" s="30">
        <f t="shared" ref="S873:AE873" si="106">R873*2</f>
        <v>16384</v>
      </c>
      <c r="T873" s="30">
        <f t="shared" si="106"/>
        <v>32768</v>
      </c>
      <c r="U873" s="30">
        <f t="shared" si="106"/>
        <v>65536</v>
      </c>
      <c r="V873" s="30">
        <f t="shared" si="106"/>
        <v>131072</v>
      </c>
      <c r="W873" s="30">
        <f t="shared" si="106"/>
        <v>262144</v>
      </c>
      <c r="X873" s="30">
        <f t="shared" si="106"/>
        <v>524288</v>
      </c>
      <c r="Y873" s="30">
        <f t="shared" si="106"/>
        <v>1048576</v>
      </c>
      <c r="Z873" s="30">
        <f t="shared" si="106"/>
        <v>2097152</v>
      </c>
      <c r="AA873" s="30">
        <f t="shared" si="106"/>
        <v>4194304</v>
      </c>
      <c r="AB873" s="30">
        <f t="shared" si="106"/>
        <v>8388608</v>
      </c>
      <c r="AC873" s="30">
        <f t="shared" si="106"/>
        <v>16777216</v>
      </c>
      <c r="AD873" s="30">
        <f t="shared" si="106"/>
        <v>33554432</v>
      </c>
      <c r="AE873" s="30">
        <f t="shared" si="106"/>
        <v>67108864</v>
      </c>
    </row>
    <row r="874">
      <c r="B874" s="3" t="s">
        <v>463</v>
      </c>
      <c r="C874" s="3">
        <v>4.0</v>
      </c>
      <c r="D874" s="3">
        <v>4010.0</v>
      </c>
      <c r="E874" s="3">
        <v>59528.0</v>
      </c>
      <c r="O874" s="73">
        <v>4096.0</v>
      </c>
    </row>
    <row r="875">
      <c r="B875" s="3" t="s">
        <v>463</v>
      </c>
      <c r="C875" s="3">
        <v>8.0</v>
      </c>
      <c r="D875" s="3">
        <v>4068.0</v>
      </c>
      <c r="E875" s="3">
        <v>61180.0</v>
      </c>
      <c r="O875" s="73">
        <v>8192.0</v>
      </c>
    </row>
    <row r="876">
      <c r="B876" s="3" t="s">
        <v>463</v>
      </c>
      <c r="C876" s="3">
        <v>16.0</v>
      </c>
      <c r="D876" s="3">
        <v>4035.0</v>
      </c>
      <c r="E876" s="3">
        <v>58672.0</v>
      </c>
      <c r="O876" s="30">
        <v>16384.0</v>
      </c>
    </row>
    <row r="877">
      <c r="B877" s="3" t="s">
        <v>463</v>
      </c>
      <c r="C877" s="3">
        <v>32.0</v>
      </c>
      <c r="D877" s="3">
        <v>2023.0</v>
      </c>
      <c r="E877" s="3">
        <v>30349.0</v>
      </c>
      <c r="O877" s="30">
        <v>32768.0</v>
      </c>
    </row>
    <row r="878">
      <c r="B878" s="3" t="s">
        <v>463</v>
      </c>
      <c r="C878" s="3">
        <v>64.0</v>
      </c>
      <c r="D878" s="3">
        <v>2039.0</v>
      </c>
      <c r="E878" s="3">
        <v>30375.0</v>
      </c>
      <c r="O878" s="30">
        <v>65536.0</v>
      </c>
    </row>
    <row r="879">
      <c r="B879" s="3" t="s">
        <v>463</v>
      </c>
      <c r="C879" s="3">
        <v>128.0</v>
      </c>
      <c r="D879" s="3">
        <v>2001.0</v>
      </c>
      <c r="E879" s="3">
        <v>30289.0</v>
      </c>
      <c r="O879" s="30">
        <v>131072.0</v>
      </c>
    </row>
    <row r="880">
      <c r="B880" s="3" t="s">
        <v>463</v>
      </c>
      <c r="C880" s="3">
        <v>256.0</v>
      </c>
      <c r="D880" s="3">
        <v>128.0</v>
      </c>
      <c r="E880" s="3">
        <v>177.0</v>
      </c>
      <c r="O880" s="30">
        <v>262144.0</v>
      </c>
    </row>
    <row r="881">
      <c r="B881" s="3" t="s">
        <v>463</v>
      </c>
      <c r="C881" s="3">
        <v>512.0</v>
      </c>
      <c r="D881" s="3">
        <v>2006.0</v>
      </c>
      <c r="E881" s="3">
        <v>29404.0</v>
      </c>
      <c r="O881" s="30">
        <v>524288.0</v>
      </c>
    </row>
    <row r="882">
      <c r="O882" s="30">
        <v>1048576.0</v>
      </c>
    </row>
    <row r="883">
      <c r="O883" s="30">
        <v>2097152.0</v>
      </c>
    </row>
    <row r="884">
      <c r="O884" s="30">
        <v>4194304.0</v>
      </c>
    </row>
    <row r="885">
      <c r="B885" s="3" t="s">
        <v>459</v>
      </c>
      <c r="D885" s="3" t="s">
        <v>324</v>
      </c>
      <c r="E885" s="3" t="s">
        <v>448</v>
      </c>
      <c r="F885" s="3" t="s">
        <v>449</v>
      </c>
      <c r="G885" s="3" t="s">
        <v>460</v>
      </c>
      <c r="H885" s="3" t="s">
        <v>461</v>
      </c>
      <c r="I885" s="3" t="s">
        <v>462</v>
      </c>
      <c r="O885" s="30">
        <v>8388608.0</v>
      </c>
    </row>
    <row r="886">
      <c r="B886" s="3">
        <v>1.0E7</v>
      </c>
      <c r="C886" s="3" t="s">
        <v>463</v>
      </c>
      <c r="D886" s="3">
        <v>1.0</v>
      </c>
      <c r="E886" s="3">
        <v>1339493.0</v>
      </c>
      <c r="F886" s="3">
        <v>983409.0</v>
      </c>
      <c r="G886" s="30">
        <f t="shared" ref="G886:G899" si="107">B886/D886</f>
        <v>10000000</v>
      </c>
      <c r="H886" s="30">
        <f t="shared" ref="H886:H899" si="108">E886/G886</f>
        <v>0.1339493</v>
      </c>
      <c r="I886" s="30">
        <f t="shared" ref="I886:I899" si="109">F886/G886</f>
        <v>0.0983409</v>
      </c>
      <c r="J886" s="30">
        <f t="shared" ref="J886:J899" si="110">D886/16</f>
        <v>0.0625</v>
      </c>
      <c r="K886" s="30">
        <f t="shared" ref="K886:K899" si="111">F886*64</f>
        <v>62938176</v>
      </c>
      <c r="L886" s="30">
        <f t="shared" ref="L886:L899" si="112">K886/4</f>
        <v>15734544</v>
      </c>
      <c r="M886" s="74"/>
      <c r="O886" s="30">
        <v>1.6777216E7</v>
      </c>
    </row>
    <row r="887">
      <c r="B887" s="3">
        <v>1.0E7</v>
      </c>
      <c r="C887" s="3" t="s">
        <v>463</v>
      </c>
      <c r="D887" s="3">
        <v>2.0</v>
      </c>
      <c r="E887" s="3">
        <v>1334576.0</v>
      </c>
      <c r="F887" s="3">
        <v>978230.0</v>
      </c>
      <c r="G887" s="30">
        <f t="shared" si="107"/>
        <v>5000000</v>
      </c>
      <c r="H887" s="30">
        <f t="shared" si="108"/>
        <v>0.2669152</v>
      </c>
      <c r="I887" s="30">
        <f t="shared" si="109"/>
        <v>0.195646</v>
      </c>
      <c r="J887" s="30">
        <f t="shared" si="110"/>
        <v>0.125</v>
      </c>
      <c r="K887" s="30">
        <f t="shared" si="111"/>
        <v>62606720</v>
      </c>
      <c r="L887" s="30">
        <f t="shared" si="112"/>
        <v>15651680</v>
      </c>
      <c r="M887" s="74"/>
      <c r="O887" s="30">
        <v>3.3554432E7</v>
      </c>
    </row>
    <row r="888">
      <c r="B888" s="3">
        <v>1.0E7</v>
      </c>
      <c r="C888" s="3" t="s">
        <v>463</v>
      </c>
      <c r="D888" s="3">
        <v>4.0</v>
      </c>
      <c r="E888" s="3">
        <v>1298514.0</v>
      </c>
      <c r="F888" s="3">
        <v>968085.0</v>
      </c>
      <c r="G888" s="30">
        <f t="shared" si="107"/>
        <v>2500000</v>
      </c>
      <c r="H888" s="30">
        <f t="shared" si="108"/>
        <v>0.5194056</v>
      </c>
      <c r="I888" s="30">
        <f t="shared" si="109"/>
        <v>0.387234</v>
      </c>
      <c r="J888" s="30">
        <f t="shared" si="110"/>
        <v>0.25</v>
      </c>
      <c r="K888" s="30">
        <f t="shared" si="111"/>
        <v>61957440</v>
      </c>
      <c r="L888" s="30">
        <f t="shared" si="112"/>
        <v>15489360</v>
      </c>
      <c r="M888" s="74"/>
      <c r="O888" s="30">
        <v>6.7108864E7</v>
      </c>
    </row>
    <row r="889">
      <c r="B889" s="3">
        <v>1.0E7</v>
      </c>
      <c r="C889" s="3" t="s">
        <v>463</v>
      </c>
      <c r="D889" s="3">
        <v>8.0</v>
      </c>
      <c r="E889" s="3">
        <v>1291552.0</v>
      </c>
      <c r="F889" s="3">
        <v>959746.0</v>
      </c>
      <c r="G889" s="30">
        <f t="shared" si="107"/>
        <v>1250000</v>
      </c>
      <c r="H889" s="30">
        <f t="shared" si="108"/>
        <v>1.0332416</v>
      </c>
      <c r="I889" s="30">
        <f t="shared" si="109"/>
        <v>0.7677968</v>
      </c>
      <c r="J889" s="30">
        <f t="shared" si="110"/>
        <v>0.5</v>
      </c>
      <c r="K889" s="30">
        <f t="shared" si="111"/>
        <v>61423744</v>
      </c>
      <c r="L889" s="30">
        <f t="shared" si="112"/>
        <v>15355936</v>
      </c>
      <c r="M889" s="74"/>
    </row>
    <row r="890">
      <c r="B890" s="3">
        <v>1.0E7</v>
      </c>
      <c r="C890" s="3" t="s">
        <v>463</v>
      </c>
      <c r="D890" s="3">
        <v>16.0</v>
      </c>
      <c r="E890" s="3">
        <v>1290301.0</v>
      </c>
      <c r="F890" s="3">
        <v>961180.0</v>
      </c>
      <c r="G890" s="30">
        <f t="shared" si="107"/>
        <v>625000</v>
      </c>
      <c r="H890" s="30">
        <f t="shared" si="108"/>
        <v>2.0644816</v>
      </c>
      <c r="I890" s="30">
        <f t="shared" si="109"/>
        <v>1.537888</v>
      </c>
      <c r="J890" s="30">
        <f t="shared" si="110"/>
        <v>1</v>
      </c>
      <c r="K890" s="30">
        <f t="shared" si="111"/>
        <v>61515520</v>
      </c>
      <c r="L890" s="30">
        <f t="shared" si="112"/>
        <v>15378880</v>
      </c>
      <c r="M890" s="74"/>
    </row>
    <row r="891">
      <c r="B891" s="3">
        <v>1.0E7</v>
      </c>
      <c r="C891" s="3" t="s">
        <v>463</v>
      </c>
      <c r="D891" s="3">
        <v>32.0</v>
      </c>
      <c r="E891" s="3">
        <v>664979.0</v>
      </c>
      <c r="F891" s="3">
        <v>798985.0</v>
      </c>
      <c r="G891" s="30">
        <f t="shared" si="107"/>
        <v>312500</v>
      </c>
      <c r="H891" s="30">
        <f t="shared" si="108"/>
        <v>2.1279328</v>
      </c>
      <c r="I891" s="30">
        <f t="shared" si="109"/>
        <v>2.556752</v>
      </c>
      <c r="J891" s="30">
        <f t="shared" si="110"/>
        <v>2</v>
      </c>
      <c r="K891" s="30">
        <f t="shared" si="111"/>
        <v>51135040</v>
      </c>
      <c r="L891" s="30">
        <f t="shared" si="112"/>
        <v>12783760</v>
      </c>
      <c r="M891" s="74"/>
    </row>
    <row r="892">
      <c r="B892" s="3">
        <v>1.0E7</v>
      </c>
      <c r="C892" s="3" t="s">
        <v>463</v>
      </c>
      <c r="D892" s="3">
        <v>64.0</v>
      </c>
      <c r="E892" s="3">
        <v>350093.0</v>
      </c>
      <c r="F892" s="3">
        <v>715264.0</v>
      </c>
      <c r="G892" s="30">
        <f t="shared" si="107"/>
        <v>156250</v>
      </c>
      <c r="H892" s="30">
        <f t="shared" si="108"/>
        <v>2.2405952</v>
      </c>
      <c r="I892" s="30">
        <f t="shared" si="109"/>
        <v>4.5776896</v>
      </c>
      <c r="J892" s="30">
        <f t="shared" si="110"/>
        <v>4</v>
      </c>
      <c r="K892" s="30">
        <f t="shared" si="111"/>
        <v>45776896</v>
      </c>
      <c r="L892" s="30">
        <f t="shared" si="112"/>
        <v>11444224</v>
      </c>
      <c r="M892" s="74"/>
    </row>
    <row r="893">
      <c r="B893" s="3">
        <v>1.0E7</v>
      </c>
      <c r="C893" s="3" t="s">
        <v>463</v>
      </c>
      <c r="D893" s="3">
        <v>128.0</v>
      </c>
      <c r="E893" s="3">
        <v>192381.0</v>
      </c>
      <c r="F893" s="3">
        <v>671617.0</v>
      </c>
      <c r="G893" s="30">
        <f t="shared" si="107"/>
        <v>78125</v>
      </c>
      <c r="H893" s="30">
        <f t="shared" si="108"/>
        <v>2.4624768</v>
      </c>
      <c r="I893" s="30">
        <f t="shared" si="109"/>
        <v>8.5966976</v>
      </c>
      <c r="J893" s="30">
        <f t="shared" si="110"/>
        <v>8</v>
      </c>
      <c r="K893" s="30">
        <f t="shared" si="111"/>
        <v>42983488</v>
      </c>
      <c r="L893" s="30">
        <f t="shared" si="112"/>
        <v>10745872</v>
      </c>
      <c r="M893" s="74"/>
    </row>
    <row r="894">
      <c r="B894" s="3">
        <v>1.0E7</v>
      </c>
      <c r="C894" s="3" t="s">
        <v>463</v>
      </c>
      <c r="D894" s="3">
        <v>256.0</v>
      </c>
      <c r="E894" s="3">
        <v>115124.0</v>
      </c>
      <c r="F894" s="3">
        <v>649398.0</v>
      </c>
      <c r="G894" s="30">
        <f t="shared" si="107"/>
        <v>39062.5</v>
      </c>
      <c r="H894" s="30">
        <f t="shared" si="108"/>
        <v>2.9471744</v>
      </c>
      <c r="I894" s="30">
        <f t="shared" si="109"/>
        <v>16.6245888</v>
      </c>
      <c r="J894" s="30">
        <f t="shared" si="110"/>
        <v>16</v>
      </c>
      <c r="K894" s="30">
        <f t="shared" si="111"/>
        <v>41561472</v>
      </c>
      <c r="L894" s="30">
        <f t="shared" si="112"/>
        <v>10390368</v>
      </c>
      <c r="M894" s="74"/>
    </row>
    <row r="895">
      <c r="B895" s="3">
        <v>1.0E7</v>
      </c>
      <c r="C895" s="3" t="s">
        <v>463</v>
      </c>
      <c r="D895" s="3">
        <v>512.0</v>
      </c>
      <c r="E895" s="3">
        <v>74116.0</v>
      </c>
      <c r="F895" s="3">
        <v>637509.0</v>
      </c>
      <c r="G895" s="30">
        <f t="shared" si="107"/>
        <v>19531.25</v>
      </c>
      <c r="H895" s="30">
        <f t="shared" si="108"/>
        <v>3.7947392</v>
      </c>
      <c r="I895" s="30">
        <f t="shared" si="109"/>
        <v>32.6404608</v>
      </c>
      <c r="J895" s="30">
        <f t="shared" si="110"/>
        <v>32</v>
      </c>
      <c r="K895" s="30">
        <f t="shared" si="111"/>
        <v>40800576</v>
      </c>
      <c r="L895" s="30">
        <f t="shared" si="112"/>
        <v>10200144</v>
      </c>
      <c r="M895" s="74"/>
    </row>
    <row r="896">
      <c r="B896" s="3">
        <v>1.0E7</v>
      </c>
      <c r="C896" s="3" t="s">
        <v>463</v>
      </c>
      <c r="D896" s="3">
        <v>1024.0</v>
      </c>
      <c r="E896" s="3">
        <v>55183.0</v>
      </c>
      <c r="F896" s="3">
        <v>634084.0</v>
      </c>
      <c r="G896" s="30">
        <f t="shared" si="107"/>
        <v>9765.625</v>
      </c>
      <c r="H896" s="30">
        <f t="shared" si="108"/>
        <v>5.6507392</v>
      </c>
      <c r="I896" s="30">
        <f t="shared" si="109"/>
        <v>64.9302016</v>
      </c>
      <c r="J896" s="30">
        <f t="shared" si="110"/>
        <v>64</v>
      </c>
      <c r="K896" s="30">
        <f t="shared" si="111"/>
        <v>40581376</v>
      </c>
      <c r="L896" s="30">
        <f t="shared" si="112"/>
        <v>10145344</v>
      </c>
      <c r="M896" s="74"/>
    </row>
    <row r="897">
      <c r="B897" s="3">
        <v>1.0E7</v>
      </c>
      <c r="C897" s="3" t="s">
        <v>463</v>
      </c>
      <c r="D897" s="3">
        <v>2048.0</v>
      </c>
      <c r="E897" s="3">
        <v>43025.0</v>
      </c>
      <c r="F897" s="3">
        <v>607991.0</v>
      </c>
      <c r="G897" s="30">
        <f t="shared" si="107"/>
        <v>4882.8125</v>
      </c>
      <c r="H897" s="30">
        <f t="shared" si="108"/>
        <v>8.81152</v>
      </c>
      <c r="I897" s="30">
        <f t="shared" si="109"/>
        <v>124.5165568</v>
      </c>
      <c r="J897" s="30">
        <f t="shared" si="110"/>
        <v>128</v>
      </c>
      <c r="K897" s="30">
        <f t="shared" si="111"/>
        <v>38911424</v>
      </c>
      <c r="L897" s="30">
        <f t="shared" si="112"/>
        <v>9727856</v>
      </c>
      <c r="M897" s="74"/>
    </row>
    <row r="898">
      <c r="B898" s="3">
        <v>1.0E7</v>
      </c>
      <c r="C898" s="3" t="s">
        <v>463</v>
      </c>
      <c r="D898" s="3">
        <v>4096.0</v>
      </c>
      <c r="E898" s="3">
        <v>36881.0</v>
      </c>
      <c r="F898" s="3">
        <v>599701.0</v>
      </c>
      <c r="G898" s="30">
        <f t="shared" si="107"/>
        <v>2441.40625</v>
      </c>
      <c r="H898" s="30">
        <f t="shared" si="108"/>
        <v>15.1064576</v>
      </c>
      <c r="I898" s="30">
        <f t="shared" si="109"/>
        <v>245.6375296</v>
      </c>
      <c r="J898" s="30">
        <f t="shared" si="110"/>
        <v>256</v>
      </c>
      <c r="K898" s="30">
        <f t="shared" si="111"/>
        <v>38380864</v>
      </c>
      <c r="L898" s="30">
        <f t="shared" si="112"/>
        <v>9595216</v>
      </c>
      <c r="M898" s="74"/>
    </row>
    <row r="899">
      <c r="B899" s="3">
        <v>1.0E7</v>
      </c>
      <c r="C899" s="3" t="s">
        <v>463</v>
      </c>
      <c r="D899" s="3">
        <v>8192.0</v>
      </c>
      <c r="E899" s="3">
        <v>35062.0</v>
      </c>
      <c r="F899" s="3">
        <v>622297.0</v>
      </c>
      <c r="G899" s="30">
        <f t="shared" si="107"/>
        <v>1220.703125</v>
      </c>
      <c r="H899" s="30">
        <f t="shared" si="108"/>
        <v>28.7227904</v>
      </c>
      <c r="I899" s="30">
        <f t="shared" si="109"/>
        <v>509.7857024</v>
      </c>
      <c r="J899" s="30">
        <f t="shared" si="110"/>
        <v>512</v>
      </c>
      <c r="K899" s="30">
        <f t="shared" si="111"/>
        <v>39827008</v>
      </c>
      <c r="L899" s="30">
        <f t="shared" si="112"/>
        <v>9956752</v>
      </c>
      <c r="M899" s="74"/>
    </row>
    <row r="902">
      <c r="D902" s="3" t="s">
        <v>324</v>
      </c>
      <c r="E902" s="75" t="s">
        <v>448</v>
      </c>
      <c r="F902" s="76" t="s">
        <v>449</v>
      </c>
      <c r="G902" s="3" t="s">
        <v>460</v>
      </c>
      <c r="H902" s="3" t="s">
        <v>461</v>
      </c>
      <c r="I902" s="3" t="s">
        <v>462</v>
      </c>
    </row>
    <row r="903">
      <c r="B903" s="3">
        <v>5000000.0</v>
      </c>
      <c r="C903" s="3" t="s">
        <v>463</v>
      </c>
      <c r="D903" s="3">
        <v>1.0</v>
      </c>
      <c r="E903" s="75">
        <v>652801.0</v>
      </c>
      <c r="F903" s="76">
        <v>661581.0</v>
      </c>
      <c r="G903" s="30">
        <f t="shared" ref="G903:G916" si="113">B903/D903</f>
        <v>5000000</v>
      </c>
      <c r="H903" s="30">
        <f t="shared" ref="H903:H916" si="114">E903/G903</f>
        <v>0.1305602</v>
      </c>
      <c r="I903" s="30">
        <f t="shared" ref="I903:I916" si="115">F903/G903</f>
        <v>0.1323162</v>
      </c>
      <c r="K903" s="30">
        <f t="shared" ref="K903:K916" si="116">F903*64</f>
        <v>42341184</v>
      </c>
      <c r="L903" s="30">
        <f t="shared" ref="L903:L916" si="117">K903/4</f>
        <v>10585296</v>
      </c>
      <c r="M903" s="74">
        <f t="shared" ref="M903:M909" si="118">G903*D903/8</f>
        <v>625000</v>
      </c>
    </row>
    <row r="904">
      <c r="B904" s="3">
        <v>5000000.0</v>
      </c>
      <c r="C904" s="3" t="s">
        <v>463</v>
      </c>
      <c r="D904" s="3">
        <v>2.0</v>
      </c>
      <c r="E904" s="75">
        <v>658317.0</v>
      </c>
      <c r="F904" s="76">
        <v>675069.0</v>
      </c>
      <c r="G904" s="30">
        <f t="shared" si="113"/>
        <v>2500000</v>
      </c>
      <c r="H904" s="30">
        <f t="shared" si="114"/>
        <v>0.2633268</v>
      </c>
      <c r="I904" s="30">
        <f t="shared" si="115"/>
        <v>0.2700276</v>
      </c>
      <c r="K904" s="30">
        <f t="shared" si="116"/>
        <v>43204416</v>
      </c>
      <c r="L904" s="30">
        <f t="shared" si="117"/>
        <v>10801104</v>
      </c>
      <c r="M904" s="74">
        <f t="shared" si="118"/>
        <v>625000</v>
      </c>
    </row>
    <row r="905">
      <c r="B905" s="3">
        <v>5000000.0</v>
      </c>
      <c r="C905" s="3" t="s">
        <v>463</v>
      </c>
      <c r="D905" s="3">
        <v>4.0</v>
      </c>
      <c r="E905" s="75">
        <v>648522.0</v>
      </c>
      <c r="F905" s="76">
        <v>673248.0</v>
      </c>
      <c r="G905" s="30">
        <f t="shared" si="113"/>
        <v>1250000</v>
      </c>
      <c r="H905" s="30">
        <f t="shared" si="114"/>
        <v>0.5188176</v>
      </c>
      <c r="I905" s="30">
        <f t="shared" si="115"/>
        <v>0.5385984</v>
      </c>
      <c r="K905" s="30">
        <f t="shared" si="116"/>
        <v>43087872</v>
      </c>
      <c r="L905" s="30">
        <f t="shared" si="117"/>
        <v>10771968</v>
      </c>
      <c r="M905" s="74">
        <f t="shared" si="118"/>
        <v>625000</v>
      </c>
    </row>
    <row r="906">
      <c r="B906" s="3">
        <v>5000000.0</v>
      </c>
      <c r="C906" s="3" t="s">
        <v>463</v>
      </c>
      <c r="D906" s="3">
        <v>8.0</v>
      </c>
      <c r="E906" s="75">
        <v>652238.0</v>
      </c>
      <c r="F906" s="76">
        <v>676668.0</v>
      </c>
      <c r="G906" s="30">
        <f t="shared" si="113"/>
        <v>625000</v>
      </c>
      <c r="H906" s="30">
        <f t="shared" si="114"/>
        <v>1.0435808</v>
      </c>
      <c r="I906" s="30">
        <f t="shared" si="115"/>
        <v>1.0826688</v>
      </c>
      <c r="K906" s="30">
        <f t="shared" si="116"/>
        <v>43306752</v>
      </c>
      <c r="L906" s="30">
        <f t="shared" si="117"/>
        <v>10826688</v>
      </c>
      <c r="M906" s="74">
        <f t="shared" si="118"/>
        <v>625000</v>
      </c>
    </row>
    <row r="907">
      <c r="B907" s="3">
        <v>5000000.0</v>
      </c>
      <c r="C907" s="3" t="s">
        <v>463</v>
      </c>
      <c r="D907" s="3">
        <v>16.0</v>
      </c>
      <c r="E907" s="75">
        <v>649689.0</v>
      </c>
      <c r="F907" s="76">
        <v>662243.0</v>
      </c>
      <c r="G907" s="30">
        <f t="shared" si="113"/>
        <v>312500</v>
      </c>
      <c r="H907" s="30">
        <f t="shared" si="114"/>
        <v>2.0790048</v>
      </c>
      <c r="I907" s="30">
        <f t="shared" si="115"/>
        <v>2.1191776</v>
      </c>
      <c r="K907" s="30">
        <f t="shared" si="116"/>
        <v>42383552</v>
      </c>
      <c r="L907" s="30">
        <f t="shared" si="117"/>
        <v>10595888</v>
      </c>
      <c r="M907" s="74">
        <f t="shared" si="118"/>
        <v>625000</v>
      </c>
    </row>
    <row r="908">
      <c r="B908" s="3">
        <v>5000000.0</v>
      </c>
      <c r="C908" s="3" t="s">
        <v>463</v>
      </c>
      <c r="D908" s="3">
        <v>32.0</v>
      </c>
      <c r="E908" s="75">
        <v>637168.0</v>
      </c>
      <c r="F908" s="76">
        <v>634353.0</v>
      </c>
      <c r="G908" s="30">
        <f t="shared" si="113"/>
        <v>156250</v>
      </c>
      <c r="H908" s="30">
        <f t="shared" si="114"/>
        <v>4.0778752</v>
      </c>
      <c r="I908" s="30">
        <f t="shared" si="115"/>
        <v>4.0598592</v>
      </c>
      <c r="K908" s="30">
        <f t="shared" si="116"/>
        <v>40598592</v>
      </c>
      <c r="L908" s="30">
        <f t="shared" si="117"/>
        <v>10149648</v>
      </c>
      <c r="M908" s="74">
        <f t="shared" si="118"/>
        <v>625000</v>
      </c>
    </row>
    <row r="909">
      <c r="B909" s="3">
        <v>5000000.0</v>
      </c>
      <c r="C909" s="3" t="s">
        <v>463</v>
      </c>
      <c r="D909" s="3">
        <v>64.0</v>
      </c>
      <c r="E909" s="75">
        <v>391971.0</v>
      </c>
      <c r="F909" s="76">
        <v>549520.0</v>
      </c>
      <c r="G909" s="30">
        <f t="shared" si="113"/>
        <v>78125</v>
      </c>
      <c r="H909" s="30">
        <f t="shared" si="114"/>
        <v>5.0172288</v>
      </c>
      <c r="I909" s="30">
        <f t="shared" si="115"/>
        <v>7.033856</v>
      </c>
      <c r="K909" s="30">
        <f t="shared" si="116"/>
        <v>35169280</v>
      </c>
      <c r="L909" s="30">
        <f t="shared" si="117"/>
        <v>8792320</v>
      </c>
      <c r="M909" s="74">
        <f t="shared" si="118"/>
        <v>625000</v>
      </c>
    </row>
    <row r="910">
      <c r="B910" s="3">
        <v>5000000.0</v>
      </c>
      <c r="C910" s="3" t="s">
        <v>463</v>
      </c>
      <c r="D910" s="3">
        <v>128.0</v>
      </c>
      <c r="E910" s="75">
        <v>100852.0</v>
      </c>
      <c r="F910" s="76">
        <v>335151.0</v>
      </c>
      <c r="G910" s="30">
        <f t="shared" si="113"/>
        <v>39062.5</v>
      </c>
      <c r="H910" s="30">
        <f t="shared" si="114"/>
        <v>2.5818112</v>
      </c>
      <c r="I910" s="30">
        <f t="shared" si="115"/>
        <v>8.5798656</v>
      </c>
      <c r="K910" s="30">
        <f t="shared" si="116"/>
        <v>21449664</v>
      </c>
      <c r="L910" s="30">
        <f t="shared" si="117"/>
        <v>5362416</v>
      </c>
      <c r="M910" s="74">
        <f t="shared" ref="M910:M916" si="119">G910*D910/16</f>
        <v>312500</v>
      </c>
    </row>
    <row r="911">
      <c r="B911" s="3">
        <v>5000000.0</v>
      </c>
      <c r="C911" s="3" t="s">
        <v>463</v>
      </c>
      <c r="D911" s="3">
        <v>256.0</v>
      </c>
      <c r="E911" s="75">
        <v>59263.0</v>
      </c>
      <c r="F911" s="76">
        <v>345897.0</v>
      </c>
      <c r="G911" s="30">
        <f t="shared" si="113"/>
        <v>19531.25</v>
      </c>
      <c r="H911" s="30">
        <f t="shared" si="114"/>
        <v>3.0342656</v>
      </c>
      <c r="I911" s="30">
        <f t="shared" si="115"/>
        <v>17.7099264</v>
      </c>
      <c r="K911" s="30">
        <f t="shared" si="116"/>
        <v>22137408</v>
      </c>
      <c r="L911" s="30">
        <f t="shared" si="117"/>
        <v>5534352</v>
      </c>
      <c r="M911" s="74">
        <f t="shared" si="119"/>
        <v>312500</v>
      </c>
    </row>
    <row r="912">
      <c r="B912" s="3">
        <v>5000000.0</v>
      </c>
      <c r="C912" s="3" t="s">
        <v>463</v>
      </c>
      <c r="D912" s="3">
        <v>512.0</v>
      </c>
      <c r="E912" s="75">
        <v>39691.0</v>
      </c>
      <c r="F912" s="76">
        <v>327108.0</v>
      </c>
      <c r="G912" s="30">
        <f t="shared" si="113"/>
        <v>9765.625</v>
      </c>
      <c r="H912" s="30">
        <f t="shared" si="114"/>
        <v>4.0643584</v>
      </c>
      <c r="I912" s="30">
        <f t="shared" si="115"/>
        <v>33.4958592</v>
      </c>
      <c r="K912" s="30">
        <f t="shared" si="116"/>
        <v>20934912</v>
      </c>
      <c r="L912" s="30">
        <f t="shared" si="117"/>
        <v>5233728</v>
      </c>
      <c r="M912" s="74">
        <f t="shared" si="119"/>
        <v>312500</v>
      </c>
    </row>
    <row r="913">
      <c r="B913" s="3">
        <v>5000000.0</v>
      </c>
      <c r="C913" s="3" t="s">
        <v>463</v>
      </c>
      <c r="D913" s="3">
        <v>1024.0</v>
      </c>
      <c r="E913" s="75">
        <v>27999.0</v>
      </c>
      <c r="F913" s="76">
        <v>295590.0</v>
      </c>
      <c r="G913" s="30">
        <f t="shared" si="113"/>
        <v>4882.8125</v>
      </c>
      <c r="H913" s="30">
        <f t="shared" si="114"/>
        <v>5.7341952</v>
      </c>
      <c r="I913" s="30">
        <f t="shared" si="115"/>
        <v>60.536832</v>
      </c>
      <c r="K913" s="30">
        <f t="shared" si="116"/>
        <v>18917760</v>
      </c>
      <c r="L913" s="30">
        <f t="shared" si="117"/>
        <v>4729440</v>
      </c>
      <c r="M913" s="74">
        <f t="shared" si="119"/>
        <v>312500</v>
      </c>
    </row>
    <row r="914">
      <c r="B914" s="3">
        <v>5000000.0</v>
      </c>
      <c r="C914" s="3" t="s">
        <v>463</v>
      </c>
      <c r="D914" s="3">
        <v>2048.0</v>
      </c>
      <c r="E914" s="75">
        <v>21526.0</v>
      </c>
      <c r="F914" s="76">
        <v>281457.0</v>
      </c>
      <c r="G914" s="30">
        <f t="shared" si="113"/>
        <v>2441.40625</v>
      </c>
      <c r="H914" s="30">
        <f t="shared" si="114"/>
        <v>8.8170496</v>
      </c>
      <c r="I914" s="30">
        <f t="shared" si="115"/>
        <v>115.2847872</v>
      </c>
      <c r="K914" s="30">
        <f t="shared" si="116"/>
        <v>18013248</v>
      </c>
      <c r="L914" s="30">
        <f t="shared" si="117"/>
        <v>4503312</v>
      </c>
      <c r="M914" s="74">
        <f t="shared" si="119"/>
        <v>312500</v>
      </c>
    </row>
    <row r="915">
      <c r="B915" s="3">
        <v>5000000.0</v>
      </c>
      <c r="C915" s="3" t="s">
        <v>463</v>
      </c>
      <c r="D915" s="3">
        <v>4096.0</v>
      </c>
      <c r="E915" s="75">
        <v>19440.0</v>
      </c>
      <c r="F915" s="76">
        <v>293775.0</v>
      </c>
      <c r="G915" s="30">
        <f t="shared" si="113"/>
        <v>1220.703125</v>
      </c>
      <c r="H915" s="30">
        <f t="shared" si="114"/>
        <v>15.925248</v>
      </c>
      <c r="I915" s="30">
        <f t="shared" si="115"/>
        <v>240.66048</v>
      </c>
      <c r="K915" s="30">
        <f t="shared" si="116"/>
        <v>18801600</v>
      </c>
      <c r="L915" s="30">
        <f t="shared" si="117"/>
        <v>4700400</v>
      </c>
      <c r="M915" s="74">
        <f t="shared" si="119"/>
        <v>312500</v>
      </c>
    </row>
    <row r="916">
      <c r="B916" s="3">
        <v>5000000.0</v>
      </c>
      <c r="C916" s="3" t="s">
        <v>463</v>
      </c>
      <c r="D916" s="3">
        <v>8192.0</v>
      </c>
      <c r="E916" s="75">
        <v>20064.0</v>
      </c>
      <c r="F916" s="76">
        <v>324342.0</v>
      </c>
      <c r="G916" s="30">
        <f t="shared" si="113"/>
        <v>610.3515625</v>
      </c>
      <c r="H916" s="30">
        <f t="shared" si="114"/>
        <v>32.8728576</v>
      </c>
      <c r="I916" s="30">
        <f t="shared" si="115"/>
        <v>531.4019328</v>
      </c>
      <c r="K916" s="30">
        <f t="shared" si="116"/>
        <v>20757888</v>
      </c>
      <c r="L916" s="30">
        <f t="shared" si="117"/>
        <v>5189472</v>
      </c>
      <c r="M916" s="74">
        <f t="shared" si="119"/>
        <v>312500</v>
      </c>
    </row>
    <row r="922">
      <c r="D922" s="3" t="s">
        <v>324</v>
      </c>
      <c r="E922" s="75" t="s">
        <v>448</v>
      </c>
      <c r="F922" s="76" t="s">
        <v>449</v>
      </c>
      <c r="G922" s="3" t="s">
        <v>460</v>
      </c>
      <c r="H922" s="3" t="s">
        <v>461</v>
      </c>
      <c r="I922" s="3" t="s">
        <v>462</v>
      </c>
    </row>
    <row r="923">
      <c r="B923" s="3">
        <v>1.0E7</v>
      </c>
      <c r="C923" s="3" t="s">
        <v>463</v>
      </c>
      <c r="D923" s="3">
        <v>1.0</v>
      </c>
      <c r="E923" s="3">
        <v>1900673.0</v>
      </c>
      <c r="F923" s="3">
        <v>1118411.0</v>
      </c>
      <c r="G923" s="30">
        <f t="shared" ref="G923:G936" si="120">B923/D923</f>
        <v>10000000</v>
      </c>
      <c r="I923" s="30">
        <f t="shared" ref="I923:I936" si="121">F923/G923</f>
        <v>0.1118411</v>
      </c>
      <c r="J923" s="30">
        <f t="shared" ref="J923:J936" si="122">E923/F923</f>
        <v>1.699440546</v>
      </c>
    </row>
    <row r="924">
      <c r="B924" s="3">
        <v>1.0E7</v>
      </c>
      <c r="C924" s="3" t="s">
        <v>463</v>
      </c>
      <c r="D924" s="3">
        <v>2.0</v>
      </c>
      <c r="E924" s="3">
        <v>1898489.0</v>
      </c>
      <c r="F924" s="3">
        <v>1059341.0</v>
      </c>
      <c r="G924" s="30">
        <f t="shared" si="120"/>
        <v>5000000</v>
      </c>
      <c r="I924" s="30">
        <f t="shared" si="121"/>
        <v>0.2118682</v>
      </c>
      <c r="J924" s="30">
        <f t="shared" si="122"/>
        <v>1.792141529</v>
      </c>
    </row>
    <row r="925">
      <c r="B925" s="3">
        <v>1.0E7</v>
      </c>
      <c r="C925" s="3" t="s">
        <v>463</v>
      </c>
      <c r="D925" s="3">
        <v>4.0</v>
      </c>
      <c r="E925" s="3">
        <v>1897833.0</v>
      </c>
      <c r="F925" s="3">
        <v>1058908.0</v>
      </c>
      <c r="G925" s="30">
        <f t="shared" si="120"/>
        <v>2500000</v>
      </c>
      <c r="I925" s="30">
        <f t="shared" si="121"/>
        <v>0.4235632</v>
      </c>
      <c r="J925" s="30">
        <f t="shared" si="122"/>
        <v>1.792254851</v>
      </c>
    </row>
    <row r="926">
      <c r="B926" s="3">
        <v>1.0E7</v>
      </c>
      <c r="C926" s="3" t="s">
        <v>463</v>
      </c>
      <c r="D926" s="3">
        <v>8.0</v>
      </c>
      <c r="E926" s="3">
        <v>1895251.0</v>
      </c>
      <c r="F926" s="3">
        <v>1006840.0</v>
      </c>
      <c r="G926" s="30">
        <f t="shared" si="120"/>
        <v>1250000</v>
      </c>
      <c r="I926" s="30">
        <f t="shared" si="121"/>
        <v>0.805472</v>
      </c>
      <c r="J926" s="30">
        <f t="shared" si="122"/>
        <v>1.882375551</v>
      </c>
    </row>
    <row r="927">
      <c r="B927" s="3">
        <v>1.0E7</v>
      </c>
      <c r="C927" s="3" t="s">
        <v>463</v>
      </c>
      <c r="D927" s="3">
        <v>16.0</v>
      </c>
      <c r="E927" s="3">
        <v>1895263.0</v>
      </c>
      <c r="F927" s="3">
        <v>956412.0</v>
      </c>
      <c r="G927" s="30">
        <f t="shared" si="120"/>
        <v>625000</v>
      </c>
      <c r="I927" s="30">
        <f t="shared" si="121"/>
        <v>1.5302592</v>
      </c>
      <c r="J927" s="30">
        <f t="shared" si="122"/>
        <v>1.981638666</v>
      </c>
    </row>
    <row r="928">
      <c r="B928" s="3">
        <v>1.0E7</v>
      </c>
      <c r="C928" s="3" t="s">
        <v>463</v>
      </c>
      <c r="D928" s="3">
        <v>32.0</v>
      </c>
      <c r="E928" s="3">
        <v>947330.0</v>
      </c>
      <c r="F928" s="3">
        <v>519288.0</v>
      </c>
      <c r="G928" s="30">
        <f t="shared" si="120"/>
        <v>312500</v>
      </c>
      <c r="I928" s="30">
        <f t="shared" si="121"/>
        <v>1.6617216</v>
      </c>
      <c r="J928" s="30">
        <f t="shared" si="122"/>
        <v>1.824286331</v>
      </c>
    </row>
    <row r="929">
      <c r="B929" s="3">
        <v>1.0E7</v>
      </c>
      <c r="C929" s="3" t="s">
        <v>463</v>
      </c>
      <c r="D929" s="3">
        <v>64.0</v>
      </c>
      <c r="E929" s="3">
        <v>474017.0</v>
      </c>
      <c r="F929" s="3">
        <v>281227.0</v>
      </c>
      <c r="G929" s="30">
        <f t="shared" si="120"/>
        <v>156250</v>
      </c>
      <c r="I929" s="30">
        <f t="shared" si="121"/>
        <v>1.7998528</v>
      </c>
      <c r="J929" s="30">
        <f t="shared" si="122"/>
        <v>1.685531617</v>
      </c>
    </row>
    <row r="930">
      <c r="B930" s="3">
        <v>1.0E7</v>
      </c>
      <c r="C930" s="3" t="s">
        <v>463</v>
      </c>
      <c r="D930" s="3">
        <v>128.0</v>
      </c>
      <c r="E930" s="3">
        <v>237634.0</v>
      </c>
      <c r="F930" s="3">
        <v>118828.0</v>
      </c>
      <c r="G930" s="30">
        <f t="shared" si="120"/>
        <v>78125</v>
      </c>
      <c r="I930" s="30">
        <f t="shared" si="121"/>
        <v>1.5209984</v>
      </c>
      <c r="J930" s="30">
        <f t="shared" si="122"/>
        <v>1.999814858</v>
      </c>
    </row>
    <row r="931">
      <c r="B931" s="3">
        <v>1.0E7</v>
      </c>
      <c r="C931" s="3" t="s">
        <v>463</v>
      </c>
      <c r="D931" s="3">
        <v>256.0</v>
      </c>
      <c r="E931" s="3">
        <v>118510.0</v>
      </c>
      <c r="F931" s="3">
        <v>59411.0</v>
      </c>
      <c r="G931" s="30">
        <f t="shared" si="120"/>
        <v>39062.5</v>
      </c>
      <c r="I931" s="30">
        <f t="shared" si="121"/>
        <v>1.5209216</v>
      </c>
      <c r="J931" s="30">
        <f t="shared" si="122"/>
        <v>1.994748447</v>
      </c>
    </row>
    <row r="932">
      <c r="B932" s="3">
        <v>1.0E7</v>
      </c>
      <c r="C932" s="3" t="s">
        <v>463</v>
      </c>
      <c r="D932" s="3">
        <v>512.0</v>
      </c>
      <c r="E932" s="3">
        <v>60855.0</v>
      </c>
      <c r="F932" s="3">
        <v>31341.0</v>
      </c>
      <c r="G932" s="30">
        <f t="shared" si="120"/>
        <v>19531.25</v>
      </c>
      <c r="I932" s="30">
        <f t="shared" si="121"/>
        <v>1.6046592</v>
      </c>
      <c r="J932" s="30">
        <f t="shared" si="122"/>
        <v>1.941705753</v>
      </c>
    </row>
    <row r="933">
      <c r="B933" s="3">
        <v>1.0E7</v>
      </c>
      <c r="C933" s="3" t="s">
        <v>463</v>
      </c>
      <c r="D933" s="3">
        <v>1024.0</v>
      </c>
      <c r="E933" s="3">
        <v>30626.0</v>
      </c>
      <c r="F933" s="3">
        <v>17224.0</v>
      </c>
      <c r="G933" s="30">
        <f t="shared" si="120"/>
        <v>9765.625</v>
      </c>
      <c r="I933" s="30">
        <f t="shared" si="121"/>
        <v>1.7637376</v>
      </c>
      <c r="J933" s="30">
        <f t="shared" si="122"/>
        <v>1.778100325</v>
      </c>
    </row>
    <row r="934">
      <c r="B934" s="3">
        <v>1.0E7</v>
      </c>
      <c r="C934" s="3" t="s">
        <v>463</v>
      </c>
      <c r="D934" s="3">
        <v>2048.0</v>
      </c>
      <c r="E934" s="3">
        <v>15450.0</v>
      </c>
      <c r="F934" s="3">
        <v>8152.0</v>
      </c>
      <c r="G934" s="30">
        <f t="shared" si="120"/>
        <v>4882.8125</v>
      </c>
      <c r="I934" s="30">
        <f t="shared" si="121"/>
        <v>1.6695296</v>
      </c>
      <c r="J934" s="30">
        <f t="shared" si="122"/>
        <v>1.895240432</v>
      </c>
    </row>
    <row r="935">
      <c r="B935" s="3">
        <v>1.0E7</v>
      </c>
      <c r="C935" s="3" t="s">
        <v>463</v>
      </c>
      <c r="D935" s="3">
        <v>4096.0</v>
      </c>
      <c r="E935" s="3">
        <v>8081.0</v>
      </c>
      <c r="F935" s="3">
        <v>5187.0</v>
      </c>
      <c r="G935" s="30">
        <f t="shared" si="120"/>
        <v>2441.40625</v>
      </c>
      <c r="I935" s="30">
        <f t="shared" si="121"/>
        <v>2.1245952</v>
      </c>
      <c r="J935" s="30">
        <f t="shared" si="122"/>
        <v>1.557933295</v>
      </c>
    </row>
    <row r="936">
      <c r="B936" s="3">
        <v>1.0E7</v>
      </c>
      <c r="C936" s="3" t="s">
        <v>463</v>
      </c>
      <c r="D936" s="3">
        <v>8192.0</v>
      </c>
      <c r="E936" s="3">
        <v>4267.0</v>
      </c>
      <c r="F936" s="3">
        <v>3721.0</v>
      </c>
      <c r="G936" s="30">
        <f t="shared" si="120"/>
        <v>1220.703125</v>
      </c>
      <c r="I936" s="30">
        <f t="shared" si="121"/>
        <v>3.0482432</v>
      </c>
      <c r="J936" s="30">
        <f t="shared" si="122"/>
        <v>1.146734749</v>
      </c>
    </row>
    <row r="938">
      <c r="D938" s="3" t="s">
        <v>324</v>
      </c>
      <c r="E938" s="75" t="s">
        <v>448</v>
      </c>
      <c r="F938" s="76" t="s">
        <v>449</v>
      </c>
      <c r="G938" s="3" t="s">
        <v>460</v>
      </c>
      <c r="H938" s="3" t="s">
        <v>461</v>
      </c>
      <c r="I938" s="3" t="s">
        <v>462</v>
      </c>
    </row>
    <row r="939">
      <c r="B939" s="3">
        <v>1.0E7</v>
      </c>
      <c r="C939" s="3" t="s">
        <v>463</v>
      </c>
      <c r="D939" s="3">
        <v>1.0</v>
      </c>
      <c r="E939" s="3">
        <v>1886067.0</v>
      </c>
      <c r="F939" s="3">
        <v>972012.0</v>
      </c>
      <c r="G939" s="30">
        <f t="shared" ref="G939:G952" si="123">B939/D939</f>
        <v>10000000</v>
      </c>
      <c r="I939" s="30">
        <f t="shared" ref="I939:I952" si="124">F939/G939</f>
        <v>0.0972012</v>
      </c>
      <c r="J939" s="30">
        <f t="shared" ref="J939:J952" si="125">E939/F939</f>
        <v>1.940374193</v>
      </c>
    </row>
    <row r="940">
      <c r="B940" s="3">
        <v>1.0E7</v>
      </c>
      <c r="C940" s="3" t="s">
        <v>463</v>
      </c>
      <c r="D940" s="3">
        <v>2.0</v>
      </c>
      <c r="E940" s="3">
        <v>1884418.0</v>
      </c>
      <c r="F940" s="3">
        <v>981718.0</v>
      </c>
      <c r="G940" s="30">
        <f t="shared" si="123"/>
        <v>5000000</v>
      </c>
      <c r="I940" s="30">
        <f t="shared" si="124"/>
        <v>0.1963436</v>
      </c>
      <c r="J940" s="30">
        <f t="shared" si="125"/>
        <v>1.919510491</v>
      </c>
    </row>
    <row r="941">
      <c r="B941" s="3">
        <v>1.0E7</v>
      </c>
      <c r="C941" s="3" t="s">
        <v>463</v>
      </c>
      <c r="D941" s="3">
        <v>4.0</v>
      </c>
      <c r="E941" s="3">
        <v>1890465.0</v>
      </c>
      <c r="F941" s="3">
        <v>979978.0</v>
      </c>
      <c r="G941" s="30">
        <f t="shared" si="123"/>
        <v>2500000</v>
      </c>
      <c r="I941" s="30">
        <f t="shared" si="124"/>
        <v>0.3919912</v>
      </c>
      <c r="J941" s="30">
        <f t="shared" si="125"/>
        <v>1.929089224</v>
      </c>
    </row>
    <row r="942">
      <c r="B942" s="3">
        <v>1.0E7</v>
      </c>
      <c r="C942" s="3" t="s">
        <v>463</v>
      </c>
      <c r="D942" s="3">
        <v>8.0</v>
      </c>
      <c r="E942" s="3">
        <v>1882523.0</v>
      </c>
      <c r="F942" s="3">
        <v>984535.0</v>
      </c>
      <c r="G942" s="30">
        <f t="shared" si="123"/>
        <v>1250000</v>
      </c>
      <c r="I942" s="30">
        <f t="shared" si="124"/>
        <v>0.787628</v>
      </c>
      <c r="J942" s="30">
        <f t="shared" si="125"/>
        <v>1.912093526</v>
      </c>
    </row>
    <row r="943">
      <c r="B943" s="3">
        <v>1.0E7</v>
      </c>
      <c r="C943" s="3" t="s">
        <v>463</v>
      </c>
      <c r="D943" s="3">
        <v>16.0</v>
      </c>
      <c r="E943" s="3">
        <v>1885288.0</v>
      </c>
      <c r="F943" s="3">
        <v>923315.0</v>
      </c>
      <c r="G943" s="30">
        <f t="shared" si="123"/>
        <v>625000</v>
      </c>
      <c r="I943" s="30">
        <f t="shared" si="124"/>
        <v>1.477304</v>
      </c>
      <c r="J943" s="30">
        <f t="shared" si="125"/>
        <v>2.041868701</v>
      </c>
    </row>
    <row r="944">
      <c r="B944" s="3">
        <v>1.0E7</v>
      </c>
      <c r="C944" s="3" t="s">
        <v>463</v>
      </c>
      <c r="D944" s="3">
        <v>32.0</v>
      </c>
      <c r="E944" s="3">
        <v>1864834.0</v>
      </c>
      <c r="F944" s="3">
        <v>851375.0</v>
      </c>
      <c r="G944" s="30">
        <f t="shared" si="123"/>
        <v>312500</v>
      </c>
      <c r="I944" s="30">
        <f t="shared" si="124"/>
        <v>2.7244</v>
      </c>
      <c r="J944" s="30">
        <f t="shared" si="125"/>
        <v>2.190379093</v>
      </c>
    </row>
    <row r="945">
      <c r="B945" s="3">
        <v>1.0E7</v>
      </c>
      <c r="C945" s="3" t="s">
        <v>463</v>
      </c>
      <c r="D945" s="3">
        <v>64.0</v>
      </c>
      <c r="E945" s="3">
        <v>1398792.0</v>
      </c>
      <c r="F945" s="3">
        <v>579761.0</v>
      </c>
      <c r="G945" s="30">
        <f t="shared" si="123"/>
        <v>156250</v>
      </c>
      <c r="I945" s="30">
        <f t="shared" si="124"/>
        <v>3.7104704</v>
      </c>
      <c r="J945" s="30">
        <f t="shared" si="125"/>
        <v>2.412704545</v>
      </c>
    </row>
    <row r="946">
      <c r="B946" s="3">
        <v>1.0E7</v>
      </c>
      <c r="C946" s="3" t="s">
        <v>463</v>
      </c>
      <c r="D946" s="3">
        <v>128.0</v>
      </c>
      <c r="E946" s="3">
        <v>239509.0</v>
      </c>
      <c r="F946" s="3">
        <v>118757.0</v>
      </c>
      <c r="G946" s="30">
        <f t="shared" si="123"/>
        <v>78125</v>
      </c>
      <c r="I946" s="30">
        <f t="shared" si="124"/>
        <v>1.5200896</v>
      </c>
      <c r="J946" s="30">
        <f t="shared" si="125"/>
        <v>2.01679901</v>
      </c>
    </row>
    <row r="947">
      <c r="B947" s="3">
        <v>1.0E7</v>
      </c>
      <c r="C947" s="3" t="s">
        <v>463</v>
      </c>
      <c r="D947" s="3">
        <v>256.0</v>
      </c>
      <c r="E947" s="3">
        <v>119591.0</v>
      </c>
      <c r="F947" s="3">
        <v>63715.0</v>
      </c>
      <c r="G947" s="30">
        <f t="shared" si="123"/>
        <v>39062.5</v>
      </c>
      <c r="I947" s="30">
        <f t="shared" si="124"/>
        <v>1.631104</v>
      </c>
      <c r="J947" s="30">
        <f t="shared" si="125"/>
        <v>1.876967747</v>
      </c>
    </row>
    <row r="948">
      <c r="B948" s="3">
        <v>1.0E7</v>
      </c>
      <c r="C948" s="3" t="s">
        <v>463</v>
      </c>
      <c r="D948" s="3">
        <v>512.0</v>
      </c>
      <c r="E948" s="3">
        <v>60011.0</v>
      </c>
      <c r="F948" s="3">
        <v>30576.0</v>
      </c>
      <c r="G948" s="30">
        <f t="shared" si="123"/>
        <v>19531.25</v>
      </c>
      <c r="I948" s="30">
        <f t="shared" si="124"/>
        <v>1.5654912</v>
      </c>
      <c r="J948" s="30">
        <f t="shared" si="125"/>
        <v>1.96268315</v>
      </c>
    </row>
    <row r="949">
      <c r="B949" s="3">
        <v>1.0E7</v>
      </c>
      <c r="C949" s="3" t="s">
        <v>463</v>
      </c>
      <c r="D949" s="3">
        <v>1024.0</v>
      </c>
      <c r="E949" s="3">
        <v>30823.0</v>
      </c>
      <c r="F949" s="3">
        <v>15959.0</v>
      </c>
      <c r="G949" s="30">
        <f t="shared" si="123"/>
        <v>9765.625</v>
      </c>
      <c r="I949" s="30">
        <f t="shared" si="124"/>
        <v>1.6342016</v>
      </c>
      <c r="J949" s="30">
        <f t="shared" si="125"/>
        <v>1.931386678</v>
      </c>
    </row>
    <row r="950">
      <c r="B950" s="3">
        <v>1.0E7</v>
      </c>
      <c r="C950" s="3" t="s">
        <v>463</v>
      </c>
      <c r="D950" s="3">
        <v>2048.0</v>
      </c>
      <c r="E950" s="3">
        <v>16279.0</v>
      </c>
      <c r="F950" s="3">
        <v>9906.0</v>
      </c>
      <c r="G950" s="30">
        <f t="shared" si="123"/>
        <v>4882.8125</v>
      </c>
      <c r="I950" s="30">
        <f t="shared" si="124"/>
        <v>2.0287488</v>
      </c>
      <c r="J950" s="30">
        <f t="shared" si="125"/>
        <v>1.643347466</v>
      </c>
    </row>
    <row r="951">
      <c r="B951" s="3">
        <v>1.0E7</v>
      </c>
      <c r="C951" s="3" t="s">
        <v>463</v>
      </c>
      <c r="D951" s="3">
        <v>4096.0</v>
      </c>
      <c r="E951" s="3">
        <v>8537.0</v>
      </c>
      <c r="F951" s="3">
        <v>6155.0</v>
      </c>
      <c r="G951" s="30">
        <f t="shared" si="123"/>
        <v>2441.40625</v>
      </c>
      <c r="I951" s="30">
        <f t="shared" si="124"/>
        <v>2.521088</v>
      </c>
      <c r="J951" s="30">
        <f t="shared" si="125"/>
        <v>1.387002437</v>
      </c>
    </row>
    <row r="952">
      <c r="B952" s="3">
        <v>1.0E7</v>
      </c>
      <c r="C952" s="3" t="s">
        <v>463</v>
      </c>
      <c r="D952" s="3">
        <v>8192.0</v>
      </c>
      <c r="E952" s="3">
        <v>4228.0</v>
      </c>
      <c r="F952" s="3">
        <v>3784.0</v>
      </c>
      <c r="G952" s="30">
        <f t="shared" si="123"/>
        <v>1220.703125</v>
      </c>
      <c r="I952" s="30">
        <f t="shared" si="124"/>
        <v>3.0998528</v>
      </c>
      <c r="J952" s="30">
        <f t="shared" si="125"/>
        <v>1.117336152</v>
      </c>
    </row>
    <row r="956">
      <c r="B956" s="3" t="s">
        <v>483</v>
      </c>
    </row>
    <row r="957">
      <c r="B957" s="3" t="s">
        <v>484</v>
      </c>
    </row>
    <row r="958">
      <c r="B958" s="3" t="s">
        <v>463</v>
      </c>
      <c r="C958" s="3">
        <v>1.0</v>
      </c>
      <c r="D958" s="3">
        <v>1317385.0</v>
      </c>
      <c r="E958" s="3">
        <v>987458.0</v>
      </c>
    </row>
    <row r="959">
      <c r="B959" s="3" t="s">
        <v>463</v>
      </c>
      <c r="C959" s="3">
        <v>2.0</v>
      </c>
      <c r="D959" s="3">
        <v>1331101.0</v>
      </c>
      <c r="E959" s="3">
        <v>967796.0</v>
      </c>
    </row>
    <row r="960">
      <c r="B960" s="3" t="s">
        <v>463</v>
      </c>
      <c r="C960" s="3">
        <v>4.0</v>
      </c>
      <c r="D960" s="3">
        <v>1297217.0</v>
      </c>
      <c r="E960" s="3">
        <v>969387.0</v>
      </c>
    </row>
    <row r="961">
      <c r="B961" s="3" t="s">
        <v>463</v>
      </c>
      <c r="C961" s="3">
        <v>8.0</v>
      </c>
      <c r="D961" s="3">
        <v>1299730.0</v>
      </c>
      <c r="E961" s="3">
        <v>971480.0</v>
      </c>
    </row>
    <row r="962">
      <c r="B962" s="3" t="s">
        <v>463</v>
      </c>
      <c r="C962" s="3">
        <v>16.0</v>
      </c>
      <c r="D962" s="3">
        <v>1308896.0</v>
      </c>
      <c r="E962" s="3">
        <v>938869.0</v>
      </c>
    </row>
    <row r="963">
      <c r="B963" s="3" t="s">
        <v>463</v>
      </c>
      <c r="C963" s="3">
        <v>32.0</v>
      </c>
      <c r="D963" s="3">
        <v>673330.0</v>
      </c>
      <c r="E963" s="3">
        <v>794887.0</v>
      </c>
    </row>
    <row r="964">
      <c r="B964" s="3" t="s">
        <v>463</v>
      </c>
      <c r="C964" s="3">
        <v>64.0</v>
      </c>
      <c r="D964" s="3">
        <v>351469.0</v>
      </c>
      <c r="E964" s="3">
        <v>702817.0</v>
      </c>
    </row>
    <row r="965">
      <c r="B965" s="3" t="s">
        <v>463</v>
      </c>
      <c r="C965" s="3">
        <v>128.0</v>
      </c>
      <c r="D965" s="3">
        <v>194348.0</v>
      </c>
      <c r="E965" s="3">
        <v>614340.0</v>
      </c>
    </row>
    <row r="966">
      <c r="B966" s="3" t="s">
        <v>463</v>
      </c>
      <c r="C966" s="3">
        <v>256.0</v>
      </c>
      <c r="D966" s="3">
        <v>112881.0</v>
      </c>
      <c r="E966" s="3">
        <v>621405.0</v>
      </c>
    </row>
    <row r="967">
      <c r="B967" s="3" t="s">
        <v>463</v>
      </c>
      <c r="C967" s="3">
        <v>512.0</v>
      </c>
      <c r="D967" s="3">
        <v>74329.0</v>
      </c>
      <c r="E967" s="3">
        <v>635277.0</v>
      </c>
    </row>
    <row r="968">
      <c r="B968" s="3" t="s">
        <v>463</v>
      </c>
      <c r="C968" s="3">
        <v>1024.0</v>
      </c>
      <c r="D968" s="3">
        <v>53950.0</v>
      </c>
      <c r="E968" s="3">
        <v>602426.0</v>
      </c>
    </row>
    <row r="969">
      <c r="B969" s="3" t="s">
        <v>463</v>
      </c>
      <c r="C969" s="3">
        <v>2048.0</v>
      </c>
      <c r="D969" s="3">
        <v>42820.0</v>
      </c>
      <c r="E969" s="3">
        <v>606229.0</v>
      </c>
    </row>
    <row r="970">
      <c r="B970" s="3" t="s">
        <v>463</v>
      </c>
      <c r="C970" s="3">
        <v>4096.0</v>
      </c>
      <c r="D970" s="3">
        <v>36527.0</v>
      </c>
      <c r="E970" s="3">
        <v>599336.0</v>
      </c>
    </row>
    <row r="971">
      <c r="B971" s="3" t="s">
        <v>463</v>
      </c>
      <c r="C971" s="3">
        <v>8192.0</v>
      </c>
      <c r="D971" s="3">
        <v>33646.0</v>
      </c>
      <c r="E971" s="3">
        <v>593721.0</v>
      </c>
    </row>
    <row r="973">
      <c r="B973" s="3" t="s">
        <v>485</v>
      </c>
    </row>
    <row r="975">
      <c r="B975" s="3" t="s">
        <v>484</v>
      </c>
    </row>
    <row r="976">
      <c r="B976" s="3" t="s">
        <v>463</v>
      </c>
      <c r="C976" s="3">
        <v>1.0</v>
      </c>
      <c r="D976" s="3">
        <v>1307226.0</v>
      </c>
      <c r="E976" s="3">
        <v>1000453.0</v>
      </c>
    </row>
    <row r="977">
      <c r="B977" s="3" t="s">
        <v>463</v>
      </c>
      <c r="C977" s="3">
        <v>2.0</v>
      </c>
      <c r="D977" s="3">
        <v>1301841.0</v>
      </c>
      <c r="E977" s="3">
        <v>992377.0</v>
      </c>
    </row>
    <row r="978">
      <c r="B978" s="3" t="s">
        <v>463</v>
      </c>
      <c r="C978" s="3">
        <v>4.0</v>
      </c>
      <c r="D978" s="3">
        <v>1301647.0</v>
      </c>
      <c r="E978" s="3">
        <v>985581.0</v>
      </c>
    </row>
    <row r="979">
      <c r="B979" s="3" t="s">
        <v>463</v>
      </c>
      <c r="C979" s="3">
        <v>8.0</v>
      </c>
      <c r="D979" s="3">
        <v>1301729.0</v>
      </c>
      <c r="E979" s="3">
        <v>996138.0</v>
      </c>
    </row>
    <row r="980">
      <c r="B980" s="3" t="s">
        <v>463</v>
      </c>
      <c r="C980" s="3">
        <v>16.0</v>
      </c>
      <c r="D980" s="3">
        <v>1302186.0</v>
      </c>
      <c r="E980" s="3">
        <v>990659.0</v>
      </c>
    </row>
    <row r="981">
      <c r="B981" s="3" t="s">
        <v>463</v>
      </c>
      <c r="C981" s="3">
        <v>32.0</v>
      </c>
      <c r="D981" s="3">
        <v>1242269.0</v>
      </c>
      <c r="E981" s="3">
        <v>935979.0</v>
      </c>
    </row>
    <row r="982">
      <c r="B982" s="3" t="s">
        <v>463</v>
      </c>
      <c r="C982" s="3">
        <v>64.0</v>
      </c>
      <c r="D982" s="3">
        <v>773852.0</v>
      </c>
      <c r="E982" s="3">
        <v>830666.0</v>
      </c>
    </row>
    <row r="983">
      <c r="B983" s="3" t="s">
        <v>463</v>
      </c>
      <c r="C983" s="3">
        <v>128.0</v>
      </c>
      <c r="D983" s="3">
        <v>196010.0</v>
      </c>
      <c r="E983" s="3">
        <v>667245.0</v>
      </c>
    </row>
    <row r="984">
      <c r="B984" s="3" t="s">
        <v>463</v>
      </c>
      <c r="C984" s="3">
        <v>256.0</v>
      </c>
      <c r="D984" s="3">
        <v>119026.0</v>
      </c>
      <c r="E984" s="3">
        <v>648897.0</v>
      </c>
    </row>
    <row r="985">
      <c r="B985" s="3" t="s">
        <v>463</v>
      </c>
      <c r="C985" s="3">
        <v>512.0</v>
      </c>
      <c r="D985" s="3">
        <v>79125.0</v>
      </c>
      <c r="E985" s="3">
        <v>637190.0</v>
      </c>
    </row>
    <row r="986">
      <c r="B986" s="3" t="s">
        <v>463</v>
      </c>
      <c r="C986" s="3">
        <v>1024.0</v>
      </c>
      <c r="D986" s="3">
        <v>58996.0</v>
      </c>
      <c r="E986" s="3">
        <v>628238.0</v>
      </c>
    </row>
    <row r="987">
      <c r="B987" s="3" t="s">
        <v>463</v>
      </c>
      <c r="C987" s="3">
        <v>2048.0</v>
      </c>
      <c r="D987" s="3">
        <v>46842.0</v>
      </c>
      <c r="E987" s="3">
        <v>610100.0</v>
      </c>
    </row>
    <row r="988">
      <c r="B988" s="3" t="s">
        <v>463</v>
      </c>
      <c r="C988" s="3">
        <v>4096.0</v>
      </c>
      <c r="D988" s="3">
        <v>38842.0</v>
      </c>
      <c r="E988" s="3">
        <v>595217.0</v>
      </c>
    </row>
    <row r="989">
      <c r="B989" s="3" t="s">
        <v>463</v>
      </c>
      <c r="C989" s="3">
        <v>8192.0</v>
      </c>
      <c r="D989" s="3">
        <v>36805.0</v>
      </c>
      <c r="E989" s="3">
        <v>593865.0</v>
      </c>
    </row>
    <row r="991">
      <c r="E991" s="3"/>
    </row>
    <row r="992">
      <c r="E992" s="3"/>
    </row>
    <row r="993">
      <c r="D993" s="3" t="s">
        <v>324</v>
      </c>
      <c r="E993" s="3" t="s">
        <v>448</v>
      </c>
      <c r="F993" s="3" t="s">
        <v>449</v>
      </c>
      <c r="G993" s="3" t="s">
        <v>324</v>
      </c>
      <c r="H993" s="3" t="s">
        <v>449</v>
      </c>
    </row>
    <row r="994">
      <c r="C994" s="3" t="s">
        <v>463</v>
      </c>
      <c r="D994" s="3">
        <v>2048.0</v>
      </c>
      <c r="E994" s="3">
        <v>4611992.0</v>
      </c>
      <c r="F994" s="3">
        <v>6.4190674E7</v>
      </c>
      <c r="G994" s="30" t="str">
        <f t="shared" ref="G994:G1009" si="126">C994&amp;D994</f>
        <v>stride:2048</v>
      </c>
      <c r="H994" s="30">
        <f t="shared" ref="H994:H1009" si="127">F994</f>
        <v>64190674</v>
      </c>
    </row>
    <row r="995">
      <c r="C995" s="3" t="s">
        <v>463</v>
      </c>
      <c r="D995" s="3">
        <v>4096.0</v>
      </c>
      <c r="E995" s="3">
        <v>4101639.0</v>
      </c>
      <c r="F995" s="3">
        <v>6.3792581E7</v>
      </c>
      <c r="G995" s="30" t="str">
        <f t="shared" si="126"/>
        <v>stride:4096</v>
      </c>
      <c r="H995" s="30">
        <f t="shared" si="127"/>
        <v>63792581</v>
      </c>
    </row>
    <row r="996">
      <c r="C996" s="3" t="s">
        <v>463</v>
      </c>
      <c r="D996" s="3">
        <v>8192.0</v>
      </c>
      <c r="E996" s="3">
        <v>3824312.0</v>
      </c>
      <c r="F996" s="3">
        <v>6.3836665E7</v>
      </c>
      <c r="G996" s="30" t="str">
        <f t="shared" si="126"/>
        <v>stride:8192</v>
      </c>
      <c r="H996" s="30">
        <f t="shared" si="127"/>
        <v>63836665</v>
      </c>
    </row>
    <row r="997">
      <c r="C997" s="3" t="s">
        <v>463</v>
      </c>
      <c r="D997" s="3">
        <v>16384.0</v>
      </c>
      <c r="E997" s="3">
        <v>3756999.0</v>
      </c>
      <c r="F997" s="3">
        <v>6.3835903E7</v>
      </c>
      <c r="G997" s="30" t="str">
        <f t="shared" si="126"/>
        <v>stride:16384</v>
      </c>
      <c r="H997" s="30">
        <f t="shared" si="127"/>
        <v>63835903</v>
      </c>
    </row>
    <row r="998">
      <c r="C998" s="3" t="s">
        <v>463</v>
      </c>
      <c r="D998" s="3">
        <v>32768.0</v>
      </c>
      <c r="E998" s="3">
        <v>3676247.0</v>
      </c>
      <c r="F998" s="3">
        <v>6.3778733E7</v>
      </c>
      <c r="G998" s="30" t="str">
        <f t="shared" si="126"/>
        <v>stride:32768</v>
      </c>
      <c r="H998" s="30">
        <f t="shared" si="127"/>
        <v>63778733</v>
      </c>
    </row>
    <row r="999">
      <c r="C999" s="3" t="s">
        <v>463</v>
      </c>
      <c r="D999" s="3">
        <v>65536.0</v>
      </c>
      <c r="E999" s="3">
        <v>3647557.0</v>
      </c>
      <c r="F999" s="3">
        <v>6.3830221E7</v>
      </c>
      <c r="G999" s="30" t="str">
        <f t="shared" si="126"/>
        <v>stride:65536</v>
      </c>
      <c r="H999" s="30">
        <f t="shared" si="127"/>
        <v>63830221</v>
      </c>
    </row>
    <row r="1000">
      <c r="C1000" s="3" t="s">
        <v>463</v>
      </c>
      <c r="D1000" s="3">
        <v>131072.0</v>
      </c>
      <c r="E1000" s="3">
        <v>3647969.0</v>
      </c>
      <c r="F1000" s="3">
        <v>6.3845475E7</v>
      </c>
      <c r="G1000" s="30" t="str">
        <f t="shared" si="126"/>
        <v>stride:131072</v>
      </c>
      <c r="H1000" s="30">
        <f t="shared" si="127"/>
        <v>63845475</v>
      </c>
    </row>
    <row r="1001">
      <c r="C1001" s="3" t="s">
        <v>463</v>
      </c>
      <c r="D1001" s="3">
        <v>262144.0</v>
      </c>
      <c r="E1001" s="3">
        <v>3566303.0</v>
      </c>
      <c r="F1001" s="3">
        <v>6.3805422E7</v>
      </c>
      <c r="G1001" s="30" t="str">
        <f t="shared" si="126"/>
        <v>stride:262144</v>
      </c>
      <c r="H1001" s="30">
        <f t="shared" si="127"/>
        <v>63805422</v>
      </c>
    </row>
    <row r="1002">
      <c r="C1002" s="3" t="s">
        <v>463</v>
      </c>
      <c r="D1002" s="2">
        <v>524288.0</v>
      </c>
      <c r="E1002" s="3">
        <v>3540882.0</v>
      </c>
      <c r="F1002" s="3">
        <v>6.377558E7</v>
      </c>
      <c r="G1002" s="30" t="str">
        <f t="shared" si="126"/>
        <v>stride:524288</v>
      </c>
      <c r="H1002" s="30">
        <f t="shared" si="127"/>
        <v>63775580</v>
      </c>
    </row>
    <row r="1003">
      <c r="C1003" s="3" t="s">
        <v>463</v>
      </c>
      <c r="D1003" s="3">
        <v>1048576.0</v>
      </c>
      <c r="E1003" s="3">
        <v>1807973.0</v>
      </c>
      <c r="F1003" s="3">
        <v>3.1896848E7</v>
      </c>
      <c r="G1003" s="30" t="str">
        <f t="shared" si="126"/>
        <v>stride:1048576</v>
      </c>
      <c r="H1003" s="30">
        <f t="shared" si="127"/>
        <v>31896848</v>
      </c>
    </row>
    <row r="1004">
      <c r="C1004" s="3" t="s">
        <v>463</v>
      </c>
      <c r="D1004" s="3">
        <v>2097152.0</v>
      </c>
      <c r="E1004" s="3">
        <v>896702.0</v>
      </c>
      <c r="F1004" s="3">
        <v>1.591596E7</v>
      </c>
      <c r="G1004" s="30" t="str">
        <f t="shared" si="126"/>
        <v>stride:2097152</v>
      </c>
      <c r="H1004" s="30">
        <f t="shared" si="127"/>
        <v>15915960</v>
      </c>
    </row>
    <row r="1005">
      <c r="C1005" s="3" t="s">
        <v>463</v>
      </c>
      <c r="D1005" s="3">
        <v>4194304.0</v>
      </c>
      <c r="E1005" s="3">
        <v>447637.0</v>
      </c>
      <c r="F1005" s="3">
        <v>7951020.0</v>
      </c>
      <c r="G1005" s="30" t="str">
        <f t="shared" si="126"/>
        <v>stride:4194304</v>
      </c>
      <c r="H1005" s="30">
        <f t="shared" si="127"/>
        <v>7951020</v>
      </c>
    </row>
    <row r="1006">
      <c r="C1006" s="3" t="s">
        <v>463</v>
      </c>
      <c r="D1006" s="3">
        <v>8388608.0</v>
      </c>
      <c r="E1006" s="3">
        <v>221408.0</v>
      </c>
      <c r="F1006" s="3">
        <v>3962874.0</v>
      </c>
      <c r="G1006" s="30" t="str">
        <f t="shared" si="126"/>
        <v>stride:8388608</v>
      </c>
      <c r="H1006" s="30">
        <f t="shared" si="127"/>
        <v>3962874</v>
      </c>
    </row>
    <row r="1007">
      <c r="C1007" s="3" t="s">
        <v>463</v>
      </c>
      <c r="D1007" s="3">
        <v>1.6777216E7</v>
      </c>
      <c r="E1007" s="3">
        <v>117623.0</v>
      </c>
      <c r="F1007" s="3">
        <v>1943259.0</v>
      </c>
      <c r="G1007" s="30" t="str">
        <f t="shared" si="126"/>
        <v>stride:16777216</v>
      </c>
      <c r="H1007" s="30">
        <f t="shared" si="127"/>
        <v>1943259</v>
      </c>
    </row>
    <row r="1008">
      <c r="C1008" s="3" t="s">
        <v>463</v>
      </c>
      <c r="D1008" s="3">
        <v>3.3554432E7</v>
      </c>
      <c r="E1008" s="3">
        <v>54379.0</v>
      </c>
      <c r="F1008" s="3">
        <v>953913.0</v>
      </c>
      <c r="G1008" s="30" t="str">
        <f t="shared" si="126"/>
        <v>stride:33554432</v>
      </c>
      <c r="H1008" s="30">
        <f t="shared" si="127"/>
        <v>953913</v>
      </c>
    </row>
    <row r="1009">
      <c r="C1009" s="3" t="s">
        <v>463</v>
      </c>
      <c r="D1009" s="3">
        <v>6.7108864E7</v>
      </c>
      <c r="E1009" s="3">
        <v>25865.0</v>
      </c>
      <c r="F1009" s="3">
        <v>453560.0</v>
      </c>
      <c r="G1009" s="30" t="str">
        <f t="shared" si="126"/>
        <v>stride:67108864</v>
      </c>
      <c r="H1009" s="30">
        <f t="shared" si="127"/>
        <v>453560</v>
      </c>
    </row>
    <row r="1010">
      <c r="E1010" s="3"/>
    </row>
    <row r="1011">
      <c r="E1011" s="3"/>
    </row>
    <row r="1012">
      <c r="E1012" s="3"/>
    </row>
    <row r="1013">
      <c r="E1013" s="3"/>
    </row>
    <row r="1014">
      <c r="D1014" s="30">
        <f>A1017*2</f>
        <v>1000000000</v>
      </c>
      <c r="E1014" s="3">
        <f>D1014*4</f>
        <v>4000000000</v>
      </c>
      <c r="F1014" s="30">
        <f>E1014/64</f>
        <v>62500000</v>
      </c>
      <c r="G1014" s="30">
        <f>F1014/2</f>
        <v>31250000</v>
      </c>
    </row>
    <row r="1015">
      <c r="E1015" s="3"/>
    </row>
    <row r="1016">
      <c r="A1016" s="3" t="s">
        <v>459</v>
      </c>
      <c r="C1016" s="3" t="s">
        <v>324</v>
      </c>
      <c r="D1016" s="3" t="s">
        <v>448</v>
      </c>
      <c r="E1016" s="3" t="s">
        <v>449</v>
      </c>
      <c r="F1016" s="3" t="s">
        <v>460</v>
      </c>
      <c r="G1016" s="3" t="s">
        <v>461</v>
      </c>
      <c r="H1016" s="3" t="s">
        <v>462</v>
      </c>
      <c r="I1016" s="3" t="s">
        <v>324</v>
      </c>
      <c r="J1016" s="3" t="s">
        <v>486</v>
      </c>
      <c r="K1016" s="3" t="s">
        <v>449</v>
      </c>
    </row>
    <row r="1017">
      <c r="A1017" s="3">
        <v>5.0E8</v>
      </c>
      <c r="B1017" s="3" t="s">
        <v>463</v>
      </c>
      <c r="C1017" s="3">
        <v>1.0</v>
      </c>
      <c r="D1017" s="3">
        <v>6.5380044E7</v>
      </c>
      <c r="E1017" s="3">
        <v>3.3323816E7</v>
      </c>
      <c r="F1017" s="30">
        <f t="shared" ref="F1017:F1030" si="129">A1017/C1017</f>
        <v>500000000</v>
      </c>
      <c r="G1017" s="30">
        <f t="shared" ref="G1017:G1030" si="130">D1017/F1017</f>
        <v>0.130760088</v>
      </c>
      <c r="H1017" s="30">
        <f t="shared" ref="H1017:H1030" si="131">E1017/F1017</f>
        <v>0.066647632</v>
      </c>
      <c r="I1017" s="30" t="str">
        <f t="shared" ref="I1017:I1030" si="132">B1017&amp;C1017</f>
        <v>stride:1</v>
      </c>
      <c r="J1017" s="30">
        <f t="shared" ref="J1017:K1017" si="128">D1017</f>
        <v>65380044</v>
      </c>
      <c r="K1017" s="30">
        <f t="shared" si="128"/>
        <v>33323816</v>
      </c>
    </row>
    <row r="1018">
      <c r="A1018" s="3">
        <v>5.0E8</v>
      </c>
      <c r="B1018" s="3" t="s">
        <v>463</v>
      </c>
      <c r="C1018" s="3">
        <v>2.0</v>
      </c>
      <c r="D1018" s="3">
        <v>6.5137322E7</v>
      </c>
      <c r="E1018" s="3">
        <v>3.3101498E7</v>
      </c>
      <c r="F1018" s="30">
        <f t="shared" si="129"/>
        <v>250000000</v>
      </c>
      <c r="G1018" s="30">
        <f t="shared" si="130"/>
        <v>0.260549288</v>
      </c>
      <c r="H1018" s="30">
        <f t="shared" si="131"/>
        <v>0.132405992</v>
      </c>
      <c r="I1018" s="30" t="str">
        <f t="shared" si="132"/>
        <v>stride:2</v>
      </c>
      <c r="J1018" s="30">
        <f t="shared" ref="J1018:K1018" si="133">D1018</f>
        <v>65137322</v>
      </c>
      <c r="K1018" s="30">
        <f t="shared" si="133"/>
        <v>33101498</v>
      </c>
    </row>
    <row r="1019">
      <c r="A1019" s="3">
        <v>5.0E8</v>
      </c>
      <c r="B1019" s="3" t="s">
        <v>463</v>
      </c>
      <c r="C1019" s="3">
        <v>4.0</v>
      </c>
      <c r="D1019" s="3">
        <v>6.4719054E7</v>
      </c>
      <c r="E1019" s="3">
        <v>3.2680692E7</v>
      </c>
      <c r="F1019" s="30">
        <f t="shared" si="129"/>
        <v>125000000</v>
      </c>
      <c r="G1019" s="30">
        <f t="shared" si="130"/>
        <v>0.517752432</v>
      </c>
      <c r="H1019" s="30">
        <f t="shared" si="131"/>
        <v>0.261445536</v>
      </c>
      <c r="I1019" s="30" t="str">
        <f t="shared" si="132"/>
        <v>stride:4</v>
      </c>
      <c r="J1019" s="30">
        <f t="shared" ref="J1019:K1019" si="134">D1019</f>
        <v>64719054</v>
      </c>
      <c r="K1019" s="30">
        <f t="shared" si="134"/>
        <v>32680692</v>
      </c>
    </row>
    <row r="1020">
      <c r="A1020" s="3">
        <v>5.0E8</v>
      </c>
      <c r="B1020" s="3" t="s">
        <v>463</v>
      </c>
      <c r="C1020" s="3">
        <v>8.0</v>
      </c>
      <c r="D1020" s="3">
        <v>6.4461492E7</v>
      </c>
      <c r="E1020" s="3">
        <v>3.2510921E7</v>
      </c>
      <c r="F1020" s="30">
        <f t="shared" si="129"/>
        <v>62500000</v>
      </c>
      <c r="G1020" s="30">
        <f t="shared" si="130"/>
        <v>1.031383872</v>
      </c>
      <c r="H1020" s="30">
        <f t="shared" si="131"/>
        <v>0.520174736</v>
      </c>
      <c r="I1020" s="30" t="str">
        <f t="shared" si="132"/>
        <v>stride:8</v>
      </c>
      <c r="J1020" s="30">
        <f t="shared" ref="J1020:K1020" si="135">D1020</f>
        <v>64461492</v>
      </c>
      <c r="K1020" s="30">
        <f t="shared" si="135"/>
        <v>32510921</v>
      </c>
    </row>
    <row r="1021">
      <c r="A1021" s="3">
        <v>5.0E8</v>
      </c>
      <c r="B1021" s="3" t="s">
        <v>463</v>
      </c>
      <c r="C1021" s="3">
        <v>16.0</v>
      </c>
      <c r="D1021" s="3">
        <v>6.451448E7</v>
      </c>
      <c r="E1021" s="3">
        <v>3.2466171E7</v>
      </c>
      <c r="F1021" s="30">
        <f t="shared" si="129"/>
        <v>31250000</v>
      </c>
      <c r="G1021" s="30">
        <f t="shared" si="130"/>
        <v>2.06446336</v>
      </c>
      <c r="H1021" s="30">
        <f t="shared" si="131"/>
        <v>1.038917472</v>
      </c>
      <c r="I1021" s="30" t="str">
        <f t="shared" si="132"/>
        <v>stride:16</v>
      </c>
      <c r="J1021" s="30">
        <f t="shared" ref="J1021:K1021" si="136">D1021</f>
        <v>64514480</v>
      </c>
      <c r="K1021" s="30">
        <f t="shared" si="136"/>
        <v>32466171</v>
      </c>
    </row>
    <row r="1022">
      <c r="A1022" s="3">
        <v>5.0E8</v>
      </c>
      <c r="B1022" s="3" t="s">
        <v>463</v>
      </c>
      <c r="C1022" s="3">
        <v>32.0</v>
      </c>
      <c r="D1022" s="3">
        <v>3.3048249E7</v>
      </c>
      <c r="E1022" s="3">
        <v>3.2161335E7</v>
      </c>
      <c r="F1022" s="30">
        <f t="shared" si="129"/>
        <v>15625000</v>
      </c>
      <c r="G1022" s="30">
        <f t="shared" si="130"/>
        <v>2.115087936</v>
      </c>
      <c r="H1022" s="30">
        <f t="shared" si="131"/>
        <v>2.05832544</v>
      </c>
      <c r="I1022" s="30" t="str">
        <f t="shared" si="132"/>
        <v>stride:32</v>
      </c>
      <c r="J1022" s="30">
        <f t="shared" ref="J1022:K1022" si="137">D1022</f>
        <v>33048249</v>
      </c>
      <c r="K1022" s="30">
        <f t="shared" si="137"/>
        <v>32161335</v>
      </c>
    </row>
    <row r="1023">
      <c r="A1023" s="3">
        <v>5.0E8</v>
      </c>
      <c r="B1023" s="3" t="s">
        <v>463</v>
      </c>
      <c r="C1023" s="3">
        <v>64.0</v>
      </c>
      <c r="D1023" s="3">
        <v>1.7346527E7</v>
      </c>
      <c r="E1023" s="3">
        <v>3.2022622E7</v>
      </c>
      <c r="F1023" s="30">
        <f t="shared" si="129"/>
        <v>7812500</v>
      </c>
      <c r="G1023" s="30">
        <f t="shared" si="130"/>
        <v>2.220355456</v>
      </c>
      <c r="H1023" s="30">
        <f t="shared" si="131"/>
        <v>4.098895616</v>
      </c>
      <c r="I1023" s="30" t="str">
        <f t="shared" si="132"/>
        <v>stride:64</v>
      </c>
      <c r="J1023" s="30">
        <f t="shared" ref="J1023:K1023" si="138">D1023</f>
        <v>17346527</v>
      </c>
      <c r="K1023" s="30">
        <f t="shared" si="138"/>
        <v>32022622</v>
      </c>
    </row>
    <row r="1024">
      <c r="A1024" s="3">
        <v>5.0E8</v>
      </c>
      <c r="B1024" s="3" t="s">
        <v>463</v>
      </c>
      <c r="C1024" s="3">
        <v>128.0</v>
      </c>
      <c r="D1024" s="3">
        <v>9475102.0</v>
      </c>
      <c r="E1024" s="3">
        <v>3.1982017E7</v>
      </c>
      <c r="F1024" s="30">
        <f t="shared" si="129"/>
        <v>3906250</v>
      </c>
      <c r="G1024" s="30">
        <f t="shared" si="130"/>
        <v>2.425626112</v>
      </c>
      <c r="H1024" s="30">
        <f t="shared" si="131"/>
        <v>8.187396352</v>
      </c>
      <c r="I1024" s="30" t="str">
        <f t="shared" si="132"/>
        <v>stride:128</v>
      </c>
      <c r="J1024" s="30">
        <f t="shared" ref="J1024:K1024" si="139">D1024</f>
        <v>9475102</v>
      </c>
      <c r="K1024" s="30">
        <f t="shared" si="139"/>
        <v>31982017</v>
      </c>
    </row>
    <row r="1025">
      <c r="A1025" s="3">
        <v>5.0E8</v>
      </c>
      <c r="B1025" s="3" t="s">
        <v>463</v>
      </c>
      <c r="C1025" s="3">
        <v>256.0</v>
      </c>
      <c r="D1025" s="3">
        <v>5589674.0</v>
      </c>
      <c r="E1025" s="3">
        <v>3.19416E7</v>
      </c>
      <c r="F1025" s="30">
        <f t="shared" si="129"/>
        <v>1953125</v>
      </c>
      <c r="G1025" s="30">
        <f t="shared" si="130"/>
        <v>2.861913088</v>
      </c>
      <c r="H1025" s="30">
        <f t="shared" si="131"/>
        <v>16.3540992</v>
      </c>
      <c r="I1025" s="30" t="str">
        <f t="shared" si="132"/>
        <v>stride:256</v>
      </c>
      <c r="J1025" s="30">
        <f t="shared" ref="J1025:K1025" si="140">D1025</f>
        <v>5589674</v>
      </c>
      <c r="K1025" s="30">
        <f t="shared" si="140"/>
        <v>31941600</v>
      </c>
    </row>
    <row r="1026">
      <c r="A1026" s="3">
        <v>5.0E8</v>
      </c>
      <c r="B1026" s="3" t="s">
        <v>463</v>
      </c>
      <c r="C1026" s="3">
        <v>512.0</v>
      </c>
      <c r="D1026" s="3">
        <v>3627300.0</v>
      </c>
      <c r="E1026" s="3">
        <v>3.1906059E7</v>
      </c>
      <c r="F1026" s="30">
        <f t="shared" si="129"/>
        <v>976562.5</v>
      </c>
      <c r="G1026" s="30">
        <f t="shared" si="130"/>
        <v>3.7143552</v>
      </c>
      <c r="H1026" s="30">
        <f t="shared" si="131"/>
        <v>32.67180442</v>
      </c>
      <c r="I1026" s="30" t="str">
        <f t="shared" si="132"/>
        <v>stride:512</v>
      </c>
      <c r="J1026" s="30">
        <f t="shared" ref="J1026:K1026" si="141">D1026</f>
        <v>3627300</v>
      </c>
      <c r="K1026" s="30">
        <f t="shared" si="141"/>
        <v>31906059</v>
      </c>
    </row>
    <row r="1027">
      <c r="A1027" s="3">
        <v>5.0E8</v>
      </c>
      <c r="B1027" s="3" t="s">
        <v>463</v>
      </c>
      <c r="C1027" s="3">
        <v>1024.0</v>
      </c>
      <c r="D1027" s="3">
        <v>2651773.0</v>
      </c>
      <c r="E1027" s="3">
        <v>3.1910925E7</v>
      </c>
      <c r="F1027" s="30">
        <f t="shared" si="129"/>
        <v>488281.25</v>
      </c>
      <c r="G1027" s="30">
        <f t="shared" si="130"/>
        <v>5.430831104</v>
      </c>
      <c r="H1027" s="30">
        <f t="shared" si="131"/>
        <v>65.3535744</v>
      </c>
      <c r="I1027" s="30" t="str">
        <f t="shared" si="132"/>
        <v>stride:1024</v>
      </c>
      <c r="J1027" s="30">
        <f t="shared" ref="J1027:K1027" si="142">D1027</f>
        <v>2651773</v>
      </c>
      <c r="K1027" s="30">
        <f t="shared" si="142"/>
        <v>31910925</v>
      </c>
    </row>
    <row r="1028">
      <c r="A1028" s="3">
        <v>5.0E8</v>
      </c>
      <c r="B1028" s="3" t="s">
        <v>463</v>
      </c>
      <c r="C1028" s="3">
        <v>2048.0</v>
      </c>
      <c r="D1028" s="3">
        <v>2208612.0</v>
      </c>
      <c r="E1028" s="3">
        <v>3.1880981E7</v>
      </c>
      <c r="F1028" s="30">
        <f t="shared" si="129"/>
        <v>244140.625</v>
      </c>
      <c r="G1028" s="30">
        <f t="shared" si="130"/>
        <v>9.046474752</v>
      </c>
      <c r="H1028" s="30">
        <f t="shared" si="131"/>
        <v>130.5844982</v>
      </c>
      <c r="I1028" s="30" t="str">
        <f t="shared" si="132"/>
        <v>stride:2048</v>
      </c>
      <c r="J1028" s="30">
        <f t="shared" ref="J1028:K1028" si="143">D1028</f>
        <v>2208612</v>
      </c>
      <c r="K1028" s="30">
        <f t="shared" si="143"/>
        <v>31880981</v>
      </c>
    </row>
    <row r="1029">
      <c r="A1029" s="3">
        <v>5.0E8</v>
      </c>
      <c r="B1029" s="3" t="s">
        <v>463</v>
      </c>
      <c r="C1029" s="3">
        <v>4096.0</v>
      </c>
      <c r="D1029" s="3">
        <v>1909999.0</v>
      </c>
      <c r="E1029" s="3">
        <v>3.1888299E7</v>
      </c>
      <c r="F1029" s="30">
        <f t="shared" si="129"/>
        <v>122070.3125</v>
      </c>
      <c r="G1029" s="30">
        <f t="shared" si="130"/>
        <v>15.64671181</v>
      </c>
      <c r="H1029" s="30">
        <f t="shared" si="131"/>
        <v>261.2289454</v>
      </c>
      <c r="I1029" s="30" t="str">
        <f t="shared" si="132"/>
        <v>stride:4096</v>
      </c>
      <c r="J1029" s="30">
        <f t="shared" ref="J1029:K1029" si="144">D1029</f>
        <v>1909999</v>
      </c>
      <c r="K1029" s="30">
        <f t="shared" si="144"/>
        <v>31888299</v>
      </c>
    </row>
    <row r="1030">
      <c r="A1030" s="3">
        <v>5.0E8</v>
      </c>
      <c r="B1030" s="3" t="s">
        <v>463</v>
      </c>
      <c r="C1030" s="3">
        <v>8192.0</v>
      </c>
      <c r="D1030" s="3">
        <v>1781185.0</v>
      </c>
      <c r="E1030" s="3">
        <v>3.1857642E7</v>
      </c>
      <c r="F1030" s="30">
        <f t="shared" si="129"/>
        <v>61035.15625</v>
      </c>
      <c r="G1030" s="30">
        <f t="shared" si="130"/>
        <v>29.18293504</v>
      </c>
      <c r="H1030" s="30">
        <f t="shared" si="131"/>
        <v>521.9556065</v>
      </c>
      <c r="I1030" s="30" t="str">
        <f t="shared" si="132"/>
        <v>stride:8192</v>
      </c>
      <c r="J1030" s="30">
        <f t="shared" ref="J1030:K1030" si="145">D1030</f>
        <v>1781185</v>
      </c>
      <c r="K1030" s="30">
        <f t="shared" si="145"/>
        <v>31857642</v>
      </c>
    </row>
    <row r="1031">
      <c r="E1031" s="3"/>
    </row>
    <row r="1032">
      <c r="A1032" s="3" t="s">
        <v>459</v>
      </c>
      <c r="C1032" s="3" t="s">
        <v>324</v>
      </c>
      <c r="D1032" s="3" t="s">
        <v>448</v>
      </c>
      <c r="E1032" s="3" t="s">
        <v>449</v>
      </c>
      <c r="F1032" s="3" t="s">
        <v>460</v>
      </c>
      <c r="G1032" s="3" t="s">
        <v>461</v>
      </c>
      <c r="H1032" s="3" t="s">
        <v>462</v>
      </c>
      <c r="I1032" s="3" t="s">
        <v>324</v>
      </c>
      <c r="J1032" s="3" t="s">
        <v>486</v>
      </c>
      <c r="K1032" s="3" t="s">
        <v>449</v>
      </c>
    </row>
    <row r="1033">
      <c r="A1033" s="3">
        <v>5.0E8</v>
      </c>
      <c r="B1033" s="3" t="s">
        <v>463</v>
      </c>
      <c r="C1033" s="3">
        <v>1.0</v>
      </c>
      <c r="D1033" s="3">
        <v>9.5096032E7</v>
      </c>
      <c r="E1033" s="3">
        <v>3.2795417E7</v>
      </c>
      <c r="F1033" s="30">
        <f t="shared" ref="F1033:F1046" si="147">A1033/C1033</f>
        <v>500000000</v>
      </c>
      <c r="G1033" s="30">
        <f t="shared" ref="G1033:G1046" si="148">D1033/F1033</f>
        <v>0.190192064</v>
      </c>
      <c r="H1033" s="30">
        <f t="shared" ref="H1033:H1046" si="149">E1033/F1033</f>
        <v>0.065590834</v>
      </c>
      <c r="I1033" s="30" t="str">
        <f t="shared" ref="I1033:I1046" si="150">B1033&amp;C1033</f>
        <v>stride:1</v>
      </c>
      <c r="J1033" s="30">
        <f t="shared" ref="J1033:K1033" si="146">D1033</f>
        <v>95096032</v>
      </c>
      <c r="K1033" s="30">
        <f t="shared" si="146"/>
        <v>32795417</v>
      </c>
    </row>
    <row r="1034">
      <c r="A1034" s="3">
        <v>5.0E8</v>
      </c>
      <c r="B1034" s="3" t="s">
        <v>463</v>
      </c>
      <c r="C1034" s="3">
        <v>2.0</v>
      </c>
      <c r="D1034" s="3">
        <v>9.4854667E7</v>
      </c>
      <c r="E1034" s="3">
        <v>3.2568573E7</v>
      </c>
      <c r="F1034" s="30">
        <f t="shared" si="147"/>
        <v>250000000</v>
      </c>
      <c r="G1034" s="30">
        <f t="shared" si="148"/>
        <v>0.379418668</v>
      </c>
      <c r="H1034" s="30">
        <f t="shared" si="149"/>
        <v>0.130274292</v>
      </c>
      <c r="I1034" s="30" t="str">
        <f t="shared" si="150"/>
        <v>stride:2</v>
      </c>
      <c r="J1034" s="30">
        <f t="shared" ref="J1034:K1034" si="151">D1034</f>
        <v>94854667</v>
      </c>
      <c r="K1034" s="30">
        <f t="shared" si="151"/>
        <v>32568573</v>
      </c>
    </row>
    <row r="1035">
      <c r="A1035" s="3">
        <v>5.0E8</v>
      </c>
      <c r="B1035" s="3" t="s">
        <v>463</v>
      </c>
      <c r="C1035" s="3">
        <v>4.0</v>
      </c>
      <c r="D1035" s="3">
        <v>9.4794684E7</v>
      </c>
      <c r="E1035" s="3">
        <v>3.2412027E7</v>
      </c>
      <c r="F1035" s="30">
        <f t="shared" si="147"/>
        <v>125000000</v>
      </c>
      <c r="G1035" s="30">
        <f t="shared" si="148"/>
        <v>0.758357472</v>
      </c>
      <c r="H1035" s="30">
        <f t="shared" si="149"/>
        <v>0.259296216</v>
      </c>
      <c r="I1035" s="30" t="str">
        <f t="shared" si="150"/>
        <v>stride:4</v>
      </c>
      <c r="J1035" s="30">
        <f t="shared" ref="J1035:K1035" si="152">D1035</f>
        <v>94794684</v>
      </c>
      <c r="K1035" s="30">
        <f t="shared" si="152"/>
        <v>32412027</v>
      </c>
    </row>
    <row r="1036">
      <c r="A1036" s="3">
        <v>5.0E8</v>
      </c>
      <c r="B1036" s="3" t="s">
        <v>463</v>
      </c>
      <c r="C1036" s="3">
        <v>8.0</v>
      </c>
      <c r="D1036" s="3">
        <v>9.476229E7</v>
      </c>
      <c r="E1036" s="3">
        <v>3.2481545E7</v>
      </c>
      <c r="F1036" s="30">
        <f t="shared" si="147"/>
        <v>62500000</v>
      </c>
      <c r="G1036" s="30">
        <f t="shared" si="148"/>
        <v>1.51619664</v>
      </c>
      <c r="H1036" s="30">
        <f t="shared" si="149"/>
        <v>0.51970472</v>
      </c>
      <c r="I1036" s="30" t="str">
        <f t="shared" si="150"/>
        <v>stride:8</v>
      </c>
      <c r="J1036" s="30">
        <f t="shared" ref="J1036:K1036" si="153">D1036</f>
        <v>94762290</v>
      </c>
      <c r="K1036" s="30">
        <f t="shared" si="153"/>
        <v>32481545</v>
      </c>
    </row>
    <row r="1037">
      <c r="A1037" s="3">
        <v>5.0E8</v>
      </c>
      <c r="B1037" s="3" t="s">
        <v>463</v>
      </c>
      <c r="C1037" s="3">
        <v>16.0</v>
      </c>
      <c r="D1037" s="3">
        <v>9.4749534E7</v>
      </c>
      <c r="E1037" s="3">
        <v>3.2375031E7</v>
      </c>
      <c r="F1037" s="30">
        <f t="shared" si="147"/>
        <v>31250000</v>
      </c>
      <c r="G1037" s="30">
        <f t="shared" si="148"/>
        <v>3.031985088</v>
      </c>
      <c r="H1037" s="30">
        <f t="shared" si="149"/>
        <v>1.036000992</v>
      </c>
      <c r="I1037" s="30" t="str">
        <f t="shared" si="150"/>
        <v>stride:16</v>
      </c>
      <c r="J1037" s="30">
        <f t="shared" ref="J1037:K1037" si="154">D1037</f>
        <v>94749534</v>
      </c>
      <c r="K1037" s="30">
        <f t="shared" si="154"/>
        <v>32375031</v>
      </c>
    </row>
    <row r="1038">
      <c r="A1038" s="3">
        <v>5.0E8</v>
      </c>
      <c r="B1038" s="3" t="s">
        <v>463</v>
      </c>
      <c r="C1038" s="3">
        <v>32.0</v>
      </c>
      <c r="D1038" s="3">
        <v>4.7332587E7</v>
      </c>
      <c r="E1038" s="3">
        <v>1.6234319E7</v>
      </c>
      <c r="F1038" s="30">
        <f t="shared" si="147"/>
        <v>15625000</v>
      </c>
      <c r="G1038" s="30">
        <f t="shared" si="148"/>
        <v>3.029285568</v>
      </c>
      <c r="H1038" s="30">
        <f t="shared" si="149"/>
        <v>1.038996416</v>
      </c>
      <c r="I1038" s="30" t="str">
        <f t="shared" si="150"/>
        <v>stride:32</v>
      </c>
      <c r="J1038" s="30">
        <f t="shared" ref="J1038:K1038" si="155">D1038</f>
        <v>47332587</v>
      </c>
      <c r="K1038" s="30">
        <f t="shared" si="155"/>
        <v>16234319</v>
      </c>
    </row>
    <row r="1039">
      <c r="A1039" s="3">
        <v>5.0E8</v>
      </c>
      <c r="B1039" s="3" t="s">
        <v>463</v>
      </c>
      <c r="C1039" s="3">
        <v>64.0</v>
      </c>
      <c r="D1039" s="3">
        <v>2.3620261E7</v>
      </c>
      <c r="E1039" s="3">
        <v>8085510.0</v>
      </c>
      <c r="F1039" s="30">
        <f t="shared" si="147"/>
        <v>7812500</v>
      </c>
      <c r="G1039" s="30">
        <f t="shared" si="148"/>
        <v>3.023393408</v>
      </c>
      <c r="H1039" s="30">
        <f t="shared" si="149"/>
        <v>1.03494528</v>
      </c>
      <c r="I1039" s="30" t="str">
        <f t="shared" si="150"/>
        <v>stride:64</v>
      </c>
      <c r="J1039" s="30">
        <f t="shared" ref="J1039:K1039" si="156">D1039</f>
        <v>23620261</v>
      </c>
      <c r="K1039" s="30">
        <f t="shared" si="156"/>
        <v>8085510</v>
      </c>
    </row>
    <row r="1040">
      <c r="A1040" s="3">
        <v>5.0E8</v>
      </c>
      <c r="B1040" s="3" t="s">
        <v>463</v>
      </c>
      <c r="C1040" s="3">
        <v>128.0</v>
      </c>
      <c r="D1040" s="3">
        <v>1.1811849E7</v>
      </c>
      <c r="E1040" s="3">
        <v>4046707.0</v>
      </c>
      <c r="F1040" s="30">
        <f t="shared" si="147"/>
        <v>3906250</v>
      </c>
      <c r="G1040" s="30">
        <f t="shared" si="148"/>
        <v>3.023833344</v>
      </c>
      <c r="H1040" s="30">
        <f t="shared" si="149"/>
        <v>1.035956992</v>
      </c>
      <c r="I1040" s="30" t="str">
        <f t="shared" si="150"/>
        <v>stride:128</v>
      </c>
      <c r="J1040" s="30">
        <f t="shared" ref="J1040:K1040" si="157">D1040</f>
        <v>11811849</v>
      </c>
      <c r="K1040" s="30">
        <f t="shared" si="157"/>
        <v>4046707</v>
      </c>
    </row>
    <row r="1041">
      <c r="A1041" s="3">
        <v>5.0E8</v>
      </c>
      <c r="B1041" s="3" t="s">
        <v>463</v>
      </c>
      <c r="C1041" s="3">
        <v>256.0</v>
      </c>
      <c r="D1041" s="3">
        <v>6016970.0</v>
      </c>
      <c r="E1041" s="3">
        <v>2116022.0</v>
      </c>
      <c r="F1041" s="30">
        <f t="shared" si="147"/>
        <v>1953125</v>
      </c>
      <c r="G1041" s="30">
        <f t="shared" si="148"/>
        <v>3.08068864</v>
      </c>
      <c r="H1041" s="30">
        <f t="shared" si="149"/>
        <v>1.083403264</v>
      </c>
      <c r="I1041" s="30" t="str">
        <f t="shared" si="150"/>
        <v>stride:256</v>
      </c>
      <c r="J1041" s="30">
        <f t="shared" ref="J1041:K1041" si="158">D1041</f>
        <v>6016970</v>
      </c>
      <c r="K1041" s="30">
        <f t="shared" si="158"/>
        <v>2116022</v>
      </c>
    </row>
    <row r="1042">
      <c r="A1042" s="3">
        <v>5.0E8</v>
      </c>
      <c r="B1042" s="3" t="s">
        <v>463</v>
      </c>
      <c r="C1042" s="3">
        <v>512.0</v>
      </c>
      <c r="D1042" s="3">
        <v>2959146.0</v>
      </c>
      <c r="E1042" s="3">
        <v>1016951.0</v>
      </c>
      <c r="F1042" s="30">
        <f t="shared" si="147"/>
        <v>976562.5</v>
      </c>
      <c r="G1042" s="30">
        <f t="shared" si="148"/>
        <v>3.030165504</v>
      </c>
      <c r="H1042" s="30">
        <f t="shared" si="149"/>
        <v>1.041357824</v>
      </c>
      <c r="I1042" s="30" t="str">
        <f t="shared" si="150"/>
        <v>stride:512</v>
      </c>
      <c r="J1042" s="30">
        <f t="shared" ref="J1042:K1042" si="159">D1042</f>
        <v>2959146</v>
      </c>
      <c r="K1042" s="30">
        <f t="shared" si="159"/>
        <v>1016951</v>
      </c>
    </row>
    <row r="1043">
      <c r="A1043" s="3">
        <v>5.0E8</v>
      </c>
      <c r="B1043" s="3" t="s">
        <v>463</v>
      </c>
      <c r="C1043" s="3">
        <v>1024.0</v>
      </c>
      <c r="D1043" s="3">
        <v>1481325.0</v>
      </c>
      <c r="E1043" s="3">
        <v>510146.0</v>
      </c>
      <c r="F1043" s="30">
        <f t="shared" si="147"/>
        <v>488281.25</v>
      </c>
      <c r="G1043" s="30">
        <f t="shared" si="148"/>
        <v>3.0337536</v>
      </c>
      <c r="H1043" s="30">
        <f t="shared" si="149"/>
        <v>1.044779008</v>
      </c>
      <c r="I1043" s="30" t="str">
        <f t="shared" si="150"/>
        <v>stride:1024</v>
      </c>
      <c r="J1043" s="30">
        <f t="shared" ref="J1043:K1043" si="160">D1043</f>
        <v>1481325</v>
      </c>
      <c r="K1043" s="30">
        <f t="shared" si="160"/>
        <v>510146</v>
      </c>
    </row>
    <row r="1044">
      <c r="A1044" s="3">
        <v>5.0E8</v>
      </c>
      <c r="B1044" s="3" t="s">
        <v>463</v>
      </c>
      <c r="C1044" s="3">
        <v>2048.0</v>
      </c>
      <c r="D1044" s="3">
        <v>743100.0</v>
      </c>
      <c r="E1044" s="3">
        <v>257767.0</v>
      </c>
      <c r="F1044" s="30">
        <f t="shared" si="147"/>
        <v>244140.625</v>
      </c>
      <c r="G1044" s="30">
        <f t="shared" si="148"/>
        <v>3.0437376</v>
      </c>
      <c r="H1044" s="30">
        <f t="shared" si="149"/>
        <v>1.055813632</v>
      </c>
      <c r="I1044" s="30" t="str">
        <f t="shared" si="150"/>
        <v>stride:2048</v>
      </c>
      <c r="J1044" s="30">
        <f t="shared" ref="J1044:K1044" si="161">D1044</f>
        <v>743100</v>
      </c>
      <c r="K1044" s="30">
        <f t="shared" si="161"/>
        <v>257767</v>
      </c>
    </row>
    <row r="1045">
      <c r="A1045" s="3">
        <v>5.0E8</v>
      </c>
      <c r="B1045" s="3" t="s">
        <v>463</v>
      </c>
      <c r="C1045" s="3">
        <v>4096.0</v>
      </c>
      <c r="D1045" s="3">
        <v>373174.0</v>
      </c>
      <c r="E1045" s="3">
        <v>132420.0</v>
      </c>
      <c r="F1045" s="30">
        <f t="shared" si="147"/>
        <v>122070.3125</v>
      </c>
      <c r="G1045" s="30">
        <f t="shared" si="148"/>
        <v>3.057041408</v>
      </c>
      <c r="H1045" s="30">
        <f t="shared" si="149"/>
        <v>1.08478464</v>
      </c>
      <c r="I1045" s="30" t="str">
        <f t="shared" si="150"/>
        <v>stride:4096</v>
      </c>
      <c r="J1045" s="30">
        <f t="shared" ref="J1045:K1045" si="162">D1045</f>
        <v>373174</v>
      </c>
      <c r="K1045" s="30">
        <f t="shared" si="162"/>
        <v>132420</v>
      </c>
    </row>
    <row r="1046">
      <c r="A1046" s="3">
        <v>5.0E8</v>
      </c>
      <c r="B1046" s="3" t="s">
        <v>463</v>
      </c>
      <c r="C1046" s="3">
        <v>8192.0</v>
      </c>
      <c r="D1046" s="3">
        <v>188464.0</v>
      </c>
      <c r="E1046" s="3">
        <v>68704.0</v>
      </c>
      <c r="F1046" s="30">
        <f t="shared" si="147"/>
        <v>61035.15625</v>
      </c>
      <c r="G1046" s="30">
        <f t="shared" si="148"/>
        <v>3.087794176</v>
      </c>
      <c r="H1046" s="30">
        <f t="shared" si="149"/>
        <v>1.125646336</v>
      </c>
      <c r="I1046" s="30" t="str">
        <f t="shared" si="150"/>
        <v>stride:8192</v>
      </c>
      <c r="J1046" s="30">
        <f t="shared" ref="J1046:K1046" si="163">D1046</f>
        <v>188464</v>
      </c>
      <c r="K1046" s="30">
        <f t="shared" si="163"/>
        <v>68704</v>
      </c>
    </row>
    <row r="1047">
      <c r="E1047" s="3"/>
    </row>
    <row r="1048">
      <c r="E1048" s="3"/>
    </row>
    <row r="1049">
      <c r="E1049" s="3"/>
    </row>
    <row r="1050">
      <c r="E1050" s="3"/>
    </row>
    <row r="1051">
      <c r="E1051" s="3"/>
    </row>
    <row r="1052">
      <c r="E1052" s="3"/>
    </row>
    <row r="1053">
      <c r="E1053" s="3"/>
    </row>
    <row r="1054">
      <c r="E1054" s="3"/>
    </row>
    <row r="1057">
      <c r="E1057" s="3"/>
    </row>
    <row r="1058">
      <c r="E1058" s="3"/>
    </row>
    <row r="1059">
      <c r="E1059" s="3"/>
    </row>
    <row r="1060">
      <c r="E1060" s="3"/>
      <c r="K1060" s="3">
        <v>5.415219695E9</v>
      </c>
    </row>
    <row r="1061">
      <c r="E1061" s="3"/>
    </row>
    <row r="1062">
      <c r="E1062" s="3"/>
      <c r="K1062" s="3" t="s">
        <v>487</v>
      </c>
      <c r="L1062" s="3" t="s">
        <v>488</v>
      </c>
      <c r="M1062" s="3" t="s">
        <v>489</v>
      </c>
    </row>
    <row r="1063">
      <c r="E1063" s="3"/>
    </row>
    <row r="1064">
      <c r="E1064" s="3"/>
    </row>
    <row r="1065">
      <c r="E1065" s="3"/>
    </row>
    <row r="1066">
      <c r="E1066" s="3"/>
    </row>
    <row r="1067">
      <c r="E1067" s="3"/>
    </row>
    <row r="1068">
      <c r="E1068" s="3"/>
    </row>
    <row r="1069">
      <c r="E1069" s="3"/>
      <c r="F1069" s="3" t="s">
        <v>448</v>
      </c>
      <c r="G1069" s="3">
        <v>9.5096032E7</v>
      </c>
      <c r="H1069" s="3">
        <v>9.4854667E7</v>
      </c>
      <c r="I1069" s="3">
        <v>9.4794684E7</v>
      </c>
      <c r="J1069" s="3">
        <v>9.476229E7</v>
      </c>
      <c r="K1069" s="3">
        <v>9.4749534E7</v>
      </c>
      <c r="L1069" s="3">
        <v>4.7332587E7</v>
      </c>
      <c r="M1069" s="3">
        <v>2.3620261E7</v>
      </c>
      <c r="N1069" s="3">
        <v>1.1811849E7</v>
      </c>
      <c r="O1069" s="3">
        <v>6016970.0</v>
      </c>
      <c r="P1069" s="3">
        <v>2959146.0</v>
      </c>
      <c r="Q1069" s="3">
        <v>1481325.0</v>
      </c>
      <c r="R1069" s="3">
        <v>743100.0</v>
      </c>
      <c r="S1069" s="3">
        <v>373174.0</v>
      </c>
      <c r="T1069" s="3">
        <v>188464.0</v>
      </c>
    </row>
    <row r="1070">
      <c r="E1070" s="3"/>
      <c r="F1070" s="3" t="s">
        <v>449</v>
      </c>
      <c r="G1070" s="3">
        <v>3.2795417E7</v>
      </c>
      <c r="H1070" s="3">
        <v>3.2568573E7</v>
      </c>
      <c r="I1070" s="3">
        <v>3.2412027E7</v>
      </c>
      <c r="J1070" s="3">
        <v>3.2481545E7</v>
      </c>
      <c r="K1070" s="3">
        <v>3.2375031E7</v>
      </c>
      <c r="L1070" s="3">
        <v>1.6234319E7</v>
      </c>
      <c r="M1070" s="3">
        <v>8085510.0</v>
      </c>
      <c r="N1070" s="3">
        <v>4046707.0</v>
      </c>
      <c r="O1070" s="3">
        <v>2116022.0</v>
      </c>
      <c r="P1070" s="3">
        <v>1016951.0</v>
      </c>
      <c r="Q1070" s="3">
        <v>510146.0</v>
      </c>
      <c r="R1070" s="3">
        <v>257767.0</v>
      </c>
      <c r="S1070" s="3">
        <v>132420.0</v>
      </c>
      <c r="T1070" s="3">
        <v>68704.0</v>
      </c>
    </row>
    <row r="1071">
      <c r="E1071" s="3"/>
    </row>
    <row r="1072">
      <c r="E1072" s="3"/>
    </row>
    <row r="1073">
      <c r="E1073" s="3"/>
      <c r="K1073" s="3" t="s">
        <v>490</v>
      </c>
    </row>
    <row r="1074">
      <c r="D1074" s="3" t="s">
        <v>491</v>
      </c>
      <c r="E1074" s="3"/>
      <c r="G1074" s="3" t="s">
        <v>448</v>
      </c>
      <c r="H1074" s="3" t="s">
        <v>449</v>
      </c>
      <c r="L1074" s="3" t="s">
        <v>448</v>
      </c>
      <c r="M1074" s="3" t="s">
        <v>449</v>
      </c>
      <c r="O1074" s="3" t="s">
        <v>324</v>
      </c>
      <c r="P1074" s="3" t="s">
        <v>448</v>
      </c>
      <c r="Q1074" s="3" t="s">
        <v>492</v>
      </c>
      <c r="R1074" s="3" t="s">
        <v>449</v>
      </c>
      <c r="S1074" s="3" t="s">
        <v>493</v>
      </c>
    </row>
    <row r="1075">
      <c r="D1075" s="3">
        <v>1.0E8</v>
      </c>
      <c r="E1075" s="3" t="s">
        <v>463</v>
      </c>
      <c r="F1075" s="3">
        <v>1.0</v>
      </c>
      <c r="G1075" s="3">
        <v>1.2959083E7</v>
      </c>
      <c r="H1075" s="3">
        <v>6810151.0</v>
      </c>
      <c r="J1075" s="3" t="s">
        <v>463</v>
      </c>
      <c r="K1075" s="3">
        <v>1.0</v>
      </c>
      <c r="L1075" s="3">
        <v>1.315918E7</v>
      </c>
      <c r="M1075" s="3">
        <v>6932222.0</v>
      </c>
      <c r="O1075" s="3">
        <v>1.0</v>
      </c>
      <c r="P1075" s="3">
        <v>1.315918E7</v>
      </c>
      <c r="R1075" s="3">
        <v>6932222.0</v>
      </c>
    </row>
    <row r="1076">
      <c r="D1076" s="3">
        <v>1.0E8</v>
      </c>
      <c r="E1076" s="3" t="s">
        <v>463</v>
      </c>
      <c r="F1076" s="3">
        <v>2.0</v>
      </c>
      <c r="G1076" s="3">
        <v>1.2919283E7</v>
      </c>
      <c r="H1076" s="3">
        <v>6769421.0</v>
      </c>
      <c r="J1076" s="3" t="s">
        <v>463</v>
      </c>
      <c r="K1076" s="3">
        <v>2.0</v>
      </c>
      <c r="L1076" s="3">
        <v>1.3034186E7</v>
      </c>
      <c r="M1076" s="3">
        <v>6871207.0</v>
      </c>
      <c r="O1076" s="3">
        <v>2.0</v>
      </c>
      <c r="P1076" s="3">
        <v>1.3034186E7</v>
      </c>
      <c r="Q1076" s="77">
        <f t="shared" ref="Q1076:Q1101" si="164">P1075/P1076</f>
        <v>1.009589705</v>
      </c>
      <c r="R1076" s="3">
        <v>6871207.0</v>
      </c>
      <c r="S1076" s="77">
        <f t="shared" ref="S1076:S1101" si="165">R1075/R1076</f>
        <v>1.008879808</v>
      </c>
    </row>
    <row r="1077">
      <c r="D1077" s="3">
        <v>1.0E8</v>
      </c>
      <c r="E1077" s="3" t="s">
        <v>463</v>
      </c>
      <c r="F1077" s="3">
        <v>4.0</v>
      </c>
      <c r="G1077" s="3">
        <v>1.2902727E7</v>
      </c>
      <c r="H1077" s="3">
        <v>6756843.0</v>
      </c>
      <c r="J1077" s="3" t="s">
        <v>463</v>
      </c>
      <c r="K1077" s="3">
        <v>4.0</v>
      </c>
      <c r="L1077" s="3">
        <v>1.2938265E7</v>
      </c>
      <c r="M1077" s="3">
        <v>6798102.0</v>
      </c>
      <c r="O1077" s="3">
        <v>4.0</v>
      </c>
      <c r="P1077" s="3">
        <v>1.2938265E7</v>
      </c>
      <c r="Q1077" s="77">
        <f t="shared" si="164"/>
        <v>1.007413745</v>
      </c>
      <c r="R1077" s="3">
        <v>6798102.0</v>
      </c>
      <c r="S1077" s="77">
        <f t="shared" si="165"/>
        <v>1.010753737</v>
      </c>
    </row>
    <row r="1078">
      <c r="D1078" s="3">
        <v>1.0E8</v>
      </c>
      <c r="E1078" s="3" t="s">
        <v>463</v>
      </c>
      <c r="F1078" s="3">
        <v>8.0</v>
      </c>
      <c r="G1078" s="3">
        <v>1.2898788E7</v>
      </c>
      <c r="H1078" s="3">
        <v>6761755.0</v>
      </c>
      <c r="J1078" s="3" t="s">
        <v>463</v>
      </c>
      <c r="K1078" s="3">
        <v>8.0</v>
      </c>
      <c r="L1078" s="3">
        <v>1.2891037E7</v>
      </c>
      <c r="M1078" s="3">
        <v>6758055.0</v>
      </c>
      <c r="O1078" s="3">
        <v>8.0</v>
      </c>
      <c r="P1078" s="3">
        <v>1.2891037E7</v>
      </c>
      <c r="Q1078" s="77">
        <f t="shared" si="164"/>
        <v>1.003663631</v>
      </c>
      <c r="R1078" s="3">
        <v>6758055.0</v>
      </c>
      <c r="S1078" s="77">
        <f t="shared" si="165"/>
        <v>1.005925817</v>
      </c>
    </row>
    <row r="1079">
      <c r="D1079" s="3">
        <v>1.0E8</v>
      </c>
      <c r="E1079" s="3" t="s">
        <v>463</v>
      </c>
      <c r="F1079" s="3">
        <v>16.0</v>
      </c>
      <c r="G1079" s="3">
        <v>1.2904748E7</v>
      </c>
      <c r="H1079" s="3">
        <v>6762840.0</v>
      </c>
      <c r="J1079" s="3" t="s">
        <v>463</v>
      </c>
      <c r="K1079" s="3">
        <v>16.0</v>
      </c>
      <c r="L1079" s="3">
        <v>1.2906523E7</v>
      </c>
      <c r="M1079" s="3">
        <v>6774366.0</v>
      </c>
      <c r="O1079" s="3">
        <v>16.0</v>
      </c>
      <c r="P1079" s="3">
        <v>1.2906523E7</v>
      </c>
      <c r="Q1079" s="77">
        <f t="shared" si="164"/>
        <v>0.9988001416</v>
      </c>
      <c r="R1079" s="3">
        <v>6774366.0</v>
      </c>
      <c r="S1079" s="77">
        <f t="shared" si="165"/>
        <v>0.997592247</v>
      </c>
    </row>
    <row r="1080">
      <c r="D1080" s="3">
        <v>1.0E8</v>
      </c>
      <c r="E1080" s="3" t="s">
        <v>463</v>
      </c>
      <c r="F1080" s="3">
        <v>32.0</v>
      </c>
      <c r="G1080" s="3">
        <v>1.2332178E7</v>
      </c>
      <c r="H1080" s="3">
        <v>6692095.0</v>
      </c>
      <c r="J1080" s="3" t="s">
        <v>463</v>
      </c>
      <c r="K1080" s="3">
        <v>32.0</v>
      </c>
      <c r="L1080" s="3">
        <v>6616530.0</v>
      </c>
      <c r="M1080" s="3">
        <v>6535310.0</v>
      </c>
      <c r="O1080" s="3">
        <v>32.0</v>
      </c>
      <c r="P1080" s="3">
        <v>6616530.0</v>
      </c>
      <c r="Q1080" s="77">
        <f t="shared" si="164"/>
        <v>1.950648301</v>
      </c>
      <c r="R1080" s="3">
        <v>6535310.0</v>
      </c>
      <c r="S1080" s="77">
        <f t="shared" si="165"/>
        <v>1.036579137</v>
      </c>
      <c r="V1080" s="3">
        <v>3468820.0</v>
      </c>
      <c r="W1080" s="3">
        <v>1907931.0</v>
      </c>
      <c r="X1080" s="3">
        <v>1120988.0</v>
      </c>
      <c r="Y1080" s="3">
        <v>722937.0</v>
      </c>
      <c r="Z1080" s="3">
        <v>528230.0</v>
      </c>
      <c r="AA1080" s="3">
        <v>430157.0</v>
      </c>
      <c r="AB1080" s="3">
        <v>376966.0</v>
      </c>
      <c r="AC1080" s="3">
        <v>364022.0</v>
      </c>
      <c r="AD1080" s="3">
        <v>345926.0</v>
      </c>
      <c r="AE1080" s="3">
        <v>337696.0</v>
      </c>
      <c r="AF1080" s="3">
        <v>334612.0</v>
      </c>
      <c r="AG1080" s="3">
        <v>332902.0</v>
      </c>
      <c r="AH1080" s="3">
        <v>334644.0</v>
      </c>
      <c r="AI1080" s="3">
        <v>329619.0</v>
      </c>
      <c r="AJ1080" s="3">
        <v>170707.0</v>
      </c>
      <c r="AK1080" s="3">
        <v>81720.0</v>
      </c>
      <c r="AL1080" s="3">
        <v>39529.0</v>
      </c>
      <c r="AM1080" s="3">
        <v>18746.0</v>
      </c>
      <c r="AN1080" s="3">
        <v>8556.0</v>
      </c>
      <c r="AO1080" s="3">
        <v>3492.0</v>
      </c>
      <c r="AP1080" s="3">
        <v>1773.0</v>
      </c>
    </row>
    <row r="1081">
      <c r="D1081" s="3">
        <v>1.0E8</v>
      </c>
      <c r="E1081" s="3" t="s">
        <v>463</v>
      </c>
      <c r="F1081" s="3">
        <v>64.0</v>
      </c>
      <c r="G1081" s="3">
        <v>8041268.0</v>
      </c>
      <c r="H1081" s="3">
        <v>6550141.0</v>
      </c>
      <c r="J1081" s="3" t="s">
        <v>463</v>
      </c>
      <c r="K1081" s="3">
        <v>64.0</v>
      </c>
      <c r="L1081" s="3">
        <v>3468820.0</v>
      </c>
      <c r="M1081" s="3">
        <v>6462811.0</v>
      </c>
      <c r="O1081" s="3">
        <v>64.0</v>
      </c>
      <c r="P1081" s="3">
        <v>3468820.0</v>
      </c>
      <c r="Q1081" s="77">
        <f t="shared" si="164"/>
        <v>1.907429616</v>
      </c>
      <c r="R1081" s="3">
        <v>6462811.0</v>
      </c>
      <c r="S1081" s="77">
        <f t="shared" si="165"/>
        <v>1.011217874</v>
      </c>
      <c r="V1081" s="3">
        <v>6462811.0</v>
      </c>
      <c r="W1081" s="3">
        <v>6406911.0</v>
      </c>
      <c r="X1081" s="3">
        <v>6386789.0</v>
      </c>
      <c r="Y1081" s="3">
        <v>6361076.0</v>
      </c>
      <c r="Z1081" s="3">
        <v>6331793.0</v>
      </c>
      <c r="AA1081" s="3">
        <v>6328232.0</v>
      </c>
      <c r="AB1081" s="3">
        <v>6321227.0</v>
      </c>
      <c r="AC1081" s="3">
        <v>6347827.0</v>
      </c>
      <c r="AD1081" s="3">
        <v>6346390.0</v>
      </c>
      <c r="AE1081" s="3">
        <v>6337854.0</v>
      </c>
      <c r="AF1081" s="3">
        <v>6343776.0</v>
      </c>
      <c r="AG1081" s="3">
        <v>6344102.0</v>
      </c>
      <c r="AH1081" s="3">
        <v>6344325.0</v>
      </c>
      <c r="AI1081" s="3">
        <v>6308766.0</v>
      </c>
      <c r="AJ1081" s="3">
        <v>3163299.0</v>
      </c>
      <c r="AK1081" s="3">
        <v>1534614.0</v>
      </c>
      <c r="AL1081" s="3">
        <v>736773.0</v>
      </c>
      <c r="AM1081" s="3">
        <v>357127.0</v>
      </c>
      <c r="AN1081" s="3">
        <v>162377.0</v>
      </c>
      <c r="AO1081" s="3">
        <v>63110.0</v>
      </c>
      <c r="AP1081" s="3">
        <v>24575.0</v>
      </c>
    </row>
    <row r="1082">
      <c r="D1082" s="3">
        <v>1.0E8</v>
      </c>
      <c r="E1082" s="3" t="s">
        <v>463</v>
      </c>
      <c r="F1082" s="3">
        <v>128.0</v>
      </c>
      <c r="G1082" s="3">
        <v>1933513.0</v>
      </c>
      <c r="H1082" s="3">
        <v>6390571.0</v>
      </c>
      <c r="J1082" s="3" t="s">
        <v>463</v>
      </c>
      <c r="K1082" s="3">
        <v>128.0</v>
      </c>
      <c r="L1082" s="3">
        <v>1907931.0</v>
      </c>
      <c r="M1082" s="3">
        <v>6406911.0</v>
      </c>
      <c r="O1082" s="3">
        <v>128.0</v>
      </c>
      <c r="P1082" s="3">
        <v>1907931.0</v>
      </c>
      <c r="Q1082" s="77">
        <f t="shared" si="164"/>
        <v>1.818105581</v>
      </c>
      <c r="R1082" s="3">
        <v>6406911.0</v>
      </c>
      <c r="S1082" s="77">
        <f t="shared" si="165"/>
        <v>1.008724953</v>
      </c>
    </row>
    <row r="1083">
      <c r="D1083" s="3">
        <v>1.0E8</v>
      </c>
      <c r="E1083" s="3" t="s">
        <v>463</v>
      </c>
      <c r="F1083" s="3">
        <v>256.0</v>
      </c>
      <c r="G1083" s="3">
        <v>1145951.0</v>
      </c>
      <c r="H1083" s="3">
        <v>6379540.0</v>
      </c>
      <c r="J1083" s="3" t="s">
        <v>463</v>
      </c>
      <c r="K1083" s="3">
        <v>256.0</v>
      </c>
      <c r="L1083" s="3">
        <v>1120988.0</v>
      </c>
      <c r="M1083" s="3">
        <v>6386789.0</v>
      </c>
      <c r="O1083" s="3">
        <v>256.0</v>
      </c>
      <c r="P1083" s="3">
        <v>1120988.0</v>
      </c>
      <c r="Q1083" s="78">
        <f t="shared" si="164"/>
        <v>1.702008407</v>
      </c>
      <c r="R1083" s="3">
        <v>6386789.0</v>
      </c>
      <c r="S1083" s="77">
        <f t="shared" si="165"/>
        <v>1.003150566</v>
      </c>
    </row>
    <row r="1084">
      <c r="D1084" s="3">
        <v>1.0E8</v>
      </c>
      <c r="E1084" s="3" t="s">
        <v>463</v>
      </c>
      <c r="F1084" s="3">
        <v>512.0</v>
      </c>
      <c r="G1084" s="3">
        <v>748236.0</v>
      </c>
      <c r="H1084" s="3">
        <v>6363557.0</v>
      </c>
      <c r="J1084" s="3" t="s">
        <v>463</v>
      </c>
      <c r="K1084" s="3">
        <v>512.0</v>
      </c>
      <c r="L1084" s="3">
        <v>722937.0</v>
      </c>
      <c r="M1084" s="3">
        <v>6361076.0</v>
      </c>
      <c r="O1084" s="3">
        <v>512.0</v>
      </c>
      <c r="P1084" s="3">
        <v>722937.0</v>
      </c>
      <c r="Q1084" s="78">
        <f t="shared" si="164"/>
        <v>1.550602611</v>
      </c>
      <c r="R1084" s="3">
        <v>6361076.0</v>
      </c>
      <c r="S1084" s="77">
        <f t="shared" si="165"/>
        <v>1.004042241</v>
      </c>
    </row>
    <row r="1085">
      <c r="D1085" s="3">
        <v>1.0E8</v>
      </c>
      <c r="E1085" s="3" t="s">
        <v>463</v>
      </c>
      <c r="F1085" s="3">
        <v>1024.0</v>
      </c>
      <c r="G1085" s="3">
        <v>556137.0</v>
      </c>
      <c r="H1085" s="3">
        <v>6370635.0</v>
      </c>
      <c r="J1085" s="3" t="s">
        <v>463</v>
      </c>
      <c r="K1085" s="3">
        <v>1024.0</v>
      </c>
      <c r="L1085" s="3">
        <v>528230.0</v>
      </c>
      <c r="M1085" s="3">
        <v>6331793.0</v>
      </c>
      <c r="O1085" s="3">
        <v>1024.0</v>
      </c>
      <c r="P1085" s="3">
        <v>528230.0</v>
      </c>
      <c r="Q1085" s="78">
        <f t="shared" si="164"/>
        <v>1.368602692</v>
      </c>
      <c r="R1085" s="3">
        <v>6331793.0</v>
      </c>
      <c r="S1085" s="77">
        <f t="shared" si="165"/>
        <v>1.004624756</v>
      </c>
    </row>
    <row r="1086">
      <c r="D1086" s="3">
        <v>1.0E8</v>
      </c>
      <c r="E1086" s="3" t="s">
        <v>463</v>
      </c>
      <c r="F1086" s="3">
        <v>2048.0</v>
      </c>
      <c r="G1086" s="3">
        <v>455652.0</v>
      </c>
      <c r="H1086" s="3">
        <v>6314946.0</v>
      </c>
      <c r="J1086" s="3" t="s">
        <v>463</v>
      </c>
      <c r="K1086" s="3">
        <v>2048.0</v>
      </c>
      <c r="L1086" s="3">
        <v>430157.0</v>
      </c>
      <c r="M1086" s="3">
        <v>6328232.0</v>
      </c>
      <c r="O1086" s="3">
        <v>2048.0</v>
      </c>
      <c r="P1086" s="3">
        <v>430157.0</v>
      </c>
      <c r="Q1086" s="78">
        <f t="shared" si="164"/>
        <v>1.2279935</v>
      </c>
      <c r="R1086" s="3">
        <v>6328232.0</v>
      </c>
      <c r="S1086" s="77">
        <f t="shared" si="165"/>
        <v>1.000562716</v>
      </c>
    </row>
    <row r="1087">
      <c r="D1087" s="3">
        <v>1.0E8</v>
      </c>
      <c r="E1087" s="3" t="s">
        <v>463</v>
      </c>
      <c r="F1087" s="3">
        <v>4096.0</v>
      </c>
      <c r="G1087" s="3">
        <v>410271.0</v>
      </c>
      <c r="H1087" s="3">
        <v>6352228.0</v>
      </c>
      <c r="J1087" s="3" t="s">
        <v>463</v>
      </c>
      <c r="K1087" s="3">
        <v>4096.0</v>
      </c>
      <c r="L1087" s="3">
        <v>376966.0</v>
      </c>
      <c r="M1087" s="3">
        <v>6321227.0</v>
      </c>
      <c r="O1087" s="3">
        <v>4096.0</v>
      </c>
      <c r="P1087" s="3">
        <v>376966.0</v>
      </c>
      <c r="Q1087" s="78">
        <f t="shared" si="164"/>
        <v>1.141102911</v>
      </c>
      <c r="R1087" s="3">
        <v>6321227.0</v>
      </c>
      <c r="S1087" s="77">
        <f t="shared" si="165"/>
        <v>1.001108171</v>
      </c>
    </row>
    <row r="1088">
      <c r="D1088" s="3">
        <v>1.0E8</v>
      </c>
      <c r="E1088" s="3" t="s">
        <v>463</v>
      </c>
      <c r="F1088" s="3">
        <v>8192.0</v>
      </c>
      <c r="G1088" s="3">
        <v>383331.0</v>
      </c>
      <c r="H1088" s="3">
        <v>6344483.0</v>
      </c>
      <c r="I1088" s="30">
        <f t="shared" ref="I1088:I1101" si="166">D1088/F1088</f>
        <v>12207.03125</v>
      </c>
      <c r="J1088" s="3" t="s">
        <v>463</v>
      </c>
      <c r="K1088" s="3">
        <v>8192.0</v>
      </c>
      <c r="L1088" s="3">
        <v>364022.0</v>
      </c>
      <c r="M1088" s="3">
        <v>6347827.0</v>
      </c>
      <c r="O1088" s="3">
        <v>8192.0</v>
      </c>
      <c r="P1088" s="3">
        <v>364022.0</v>
      </c>
      <c r="Q1088" s="78">
        <f t="shared" si="164"/>
        <v>1.03555829</v>
      </c>
      <c r="R1088" s="3">
        <v>6347827.0</v>
      </c>
      <c r="S1088" s="77">
        <f t="shared" si="165"/>
        <v>0.9958095896</v>
      </c>
    </row>
    <row r="1089">
      <c r="D1089" s="3">
        <v>1.0E8</v>
      </c>
      <c r="E1089" s="3" t="s">
        <v>463</v>
      </c>
      <c r="F1089" s="3">
        <v>16384.0</v>
      </c>
      <c r="G1089" s="3">
        <v>379650.0</v>
      </c>
      <c r="H1089" s="3">
        <v>6350067.0</v>
      </c>
      <c r="I1089" s="30">
        <f t="shared" si="166"/>
        <v>6103.515625</v>
      </c>
      <c r="J1089" s="3" t="s">
        <v>463</v>
      </c>
      <c r="K1089" s="3">
        <v>16384.0</v>
      </c>
      <c r="L1089" s="3">
        <v>345926.0</v>
      </c>
      <c r="M1089" s="3">
        <v>6346390.0</v>
      </c>
      <c r="O1089" s="3">
        <v>16384.0</v>
      </c>
      <c r="P1089" s="3">
        <v>345926.0</v>
      </c>
      <c r="Q1089" s="78">
        <f t="shared" si="164"/>
        <v>1.052311766</v>
      </c>
      <c r="R1089" s="3">
        <v>6346390.0</v>
      </c>
      <c r="S1089" s="77">
        <f t="shared" si="165"/>
        <v>1.000226428</v>
      </c>
    </row>
    <row r="1090">
      <c r="D1090" s="3">
        <v>1.0E8</v>
      </c>
      <c r="E1090" s="3" t="s">
        <v>463</v>
      </c>
      <c r="F1090" s="3">
        <v>32768.0</v>
      </c>
      <c r="G1090" s="3">
        <v>371440.0</v>
      </c>
      <c r="H1090" s="3">
        <v>6343315.0</v>
      </c>
      <c r="I1090" s="30">
        <f t="shared" si="166"/>
        <v>3051.757813</v>
      </c>
      <c r="J1090" s="3" t="s">
        <v>463</v>
      </c>
      <c r="K1090" s="3">
        <v>32768.0</v>
      </c>
      <c r="L1090" s="3">
        <v>337696.0</v>
      </c>
      <c r="M1090" s="3">
        <v>6337854.0</v>
      </c>
      <c r="O1090" s="3">
        <v>32768.0</v>
      </c>
      <c r="P1090" s="3">
        <v>337696.0</v>
      </c>
      <c r="Q1090" s="78">
        <f t="shared" si="164"/>
        <v>1.024371032</v>
      </c>
      <c r="R1090" s="3">
        <v>6337854.0</v>
      </c>
      <c r="S1090" s="77">
        <f t="shared" si="165"/>
        <v>1.001346828</v>
      </c>
    </row>
    <row r="1091">
      <c r="D1091" s="3">
        <v>1.0E8</v>
      </c>
      <c r="E1091" s="3" t="s">
        <v>463</v>
      </c>
      <c r="F1091" s="3">
        <v>65536.0</v>
      </c>
      <c r="G1091" s="3">
        <v>375630.0</v>
      </c>
      <c r="H1091" s="3">
        <v>6324412.0</v>
      </c>
      <c r="I1091" s="30">
        <f t="shared" si="166"/>
        <v>1525.878906</v>
      </c>
      <c r="J1091" s="3" t="s">
        <v>463</v>
      </c>
      <c r="K1091" s="3">
        <v>65536.0</v>
      </c>
      <c r="L1091" s="3">
        <v>334612.0</v>
      </c>
      <c r="M1091" s="3">
        <v>6343776.0</v>
      </c>
      <c r="O1091" s="3">
        <v>65536.0</v>
      </c>
      <c r="P1091" s="3">
        <v>334612.0</v>
      </c>
      <c r="Q1091" s="78">
        <f t="shared" si="164"/>
        <v>1.009216645</v>
      </c>
      <c r="R1091" s="3">
        <v>6343776.0</v>
      </c>
      <c r="S1091" s="77">
        <f t="shared" si="165"/>
        <v>0.9990664866</v>
      </c>
    </row>
    <row r="1092">
      <c r="D1092" s="3">
        <v>1.0E8</v>
      </c>
      <c r="E1092" s="3" t="s">
        <v>463</v>
      </c>
      <c r="F1092" s="3">
        <v>131072.0</v>
      </c>
      <c r="G1092" s="3">
        <v>359555.0</v>
      </c>
      <c r="H1092" s="3">
        <v>6342024.0</v>
      </c>
      <c r="I1092" s="30">
        <f t="shared" si="166"/>
        <v>762.9394531</v>
      </c>
      <c r="J1092" s="3" t="s">
        <v>463</v>
      </c>
      <c r="K1092" s="3">
        <v>131072.0</v>
      </c>
      <c r="L1092" s="3">
        <v>332902.0</v>
      </c>
      <c r="M1092" s="3">
        <v>6344102.0</v>
      </c>
      <c r="O1092" s="3">
        <v>131072.0</v>
      </c>
      <c r="P1092" s="3">
        <v>332902.0</v>
      </c>
      <c r="Q1092" s="78">
        <f t="shared" si="164"/>
        <v>1.005136647</v>
      </c>
      <c r="R1092" s="3">
        <v>6344102.0</v>
      </c>
      <c r="S1092" s="77">
        <f t="shared" si="165"/>
        <v>0.9999486137</v>
      </c>
    </row>
    <row r="1093">
      <c r="D1093" s="3">
        <v>1.0E8</v>
      </c>
      <c r="E1093" s="3" t="s">
        <v>463</v>
      </c>
      <c r="F1093" s="3">
        <v>262144.0</v>
      </c>
      <c r="G1093" s="3">
        <v>364233.0</v>
      </c>
      <c r="H1093" s="3">
        <v>6336080.0</v>
      </c>
      <c r="I1093" s="30">
        <f t="shared" si="166"/>
        <v>381.4697266</v>
      </c>
      <c r="J1093" s="3" t="s">
        <v>463</v>
      </c>
      <c r="K1093" s="3">
        <v>262144.0</v>
      </c>
      <c r="L1093" s="3">
        <v>334644.0</v>
      </c>
      <c r="M1093" s="3">
        <v>6344325.0</v>
      </c>
      <c r="O1093" s="3">
        <v>262144.0</v>
      </c>
      <c r="P1093" s="3">
        <v>334644.0</v>
      </c>
      <c r="Q1093" s="78">
        <f t="shared" si="164"/>
        <v>0.9947944682</v>
      </c>
      <c r="R1093" s="3">
        <v>6344325.0</v>
      </c>
      <c r="S1093" s="77">
        <f t="shared" si="165"/>
        <v>0.9999648505</v>
      </c>
    </row>
    <row r="1094">
      <c r="D1094" s="3">
        <v>1.0E8</v>
      </c>
      <c r="E1094" s="3" t="s">
        <v>463</v>
      </c>
      <c r="F1094" s="3">
        <v>524288.0</v>
      </c>
      <c r="G1094" s="3">
        <v>357222.0</v>
      </c>
      <c r="H1094" s="3">
        <v>6319889.0</v>
      </c>
      <c r="I1094" s="30">
        <f t="shared" si="166"/>
        <v>190.7348633</v>
      </c>
      <c r="J1094" s="3" t="s">
        <v>463</v>
      </c>
      <c r="K1094" s="3">
        <v>524288.0</v>
      </c>
      <c r="L1094" s="3">
        <v>329619.0</v>
      </c>
      <c r="M1094" s="3">
        <v>6308766.0</v>
      </c>
      <c r="O1094" s="3">
        <v>524288.0</v>
      </c>
      <c r="P1094" s="3">
        <v>329619.0</v>
      </c>
      <c r="Q1094" s="78">
        <f t="shared" si="164"/>
        <v>1.015244874</v>
      </c>
      <c r="R1094" s="3">
        <v>6308766.0</v>
      </c>
      <c r="S1094" s="77">
        <f t="shared" si="165"/>
        <v>1.005636443</v>
      </c>
    </row>
    <row r="1095">
      <c r="D1095" s="3">
        <v>1.0E8</v>
      </c>
      <c r="E1095" s="3" t="s">
        <v>463</v>
      </c>
      <c r="F1095" s="3">
        <v>1048576.0</v>
      </c>
      <c r="G1095" s="3">
        <v>176823.0</v>
      </c>
      <c r="H1095" s="3">
        <v>3162908.0</v>
      </c>
      <c r="I1095" s="30">
        <f t="shared" si="166"/>
        <v>95.36743164</v>
      </c>
      <c r="J1095" s="3" t="s">
        <v>463</v>
      </c>
      <c r="K1095" s="3">
        <v>1048576.0</v>
      </c>
      <c r="L1095" s="3">
        <v>170707.0</v>
      </c>
      <c r="M1095" s="3">
        <v>3163299.0</v>
      </c>
      <c r="O1095" s="3">
        <v>1048576.0</v>
      </c>
      <c r="P1095" s="3">
        <v>170707.0</v>
      </c>
      <c r="Q1095" s="78">
        <f t="shared" si="164"/>
        <v>1.930905001</v>
      </c>
      <c r="R1095" s="3">
        <v>3163299.0</v>
      </c>
      <c r="S1095" s="77">
        <f t="shared" si="165"/>
        <v>1.994362847</v>
      </c>
    </row>
    <row r="1096">
      <c r="D1096" s="3">
        <v>1.0E8</v>
      </c>
      <c r="E1096" s="3" t="s">
        <v>463</v>
      </c>
      <c r="F1096" s="3">
        <v>2097152.0</v>
      </c>
      <c r="G1096" s="3">
        <v>91798.0</v>
      </c>
      <c r="H1096" s="3">
        <v>1561251.0</v>
      </c>
      <c r="I1096" s="30">
        <f t="shared" si="166"/>
        <v>47.68371582</v>
      </c>
      <c r="J1096" s="3" t="s">
        <v>463</v>
      </c>
      <c r="K1096" s="3">
        <v>2097152.0</v>
      </c>
      <c r="L1096" s="3">
        <v>81720.0</v>
      </c>
      <c r="M1096" s="3">
        <v>1534614.0</v>
      </c>
      <c r="O1096" s="3">
        <v>2097152.0</v>
      </c>
      <c r="P1096" s="3">
        <v>81720.0</v>
      </c>
      <c r="Q1096" s="77">
        <f t="shared" si="164"/>
        <v>2.0889256</v>
      </c>
      <c r="R1096" s="3">
        <v>1534614.0</v>
      </c>
      <c r="S1096" s="77">
        <f t="shared" si="165"/>
        <v>2.061299454</v>
      </c>
    </row>
    <row r="1097">
      <c r="D1097" s="3">
        <v>1.0E8</v>
      </c>
      <c r="E1097" s="3" t="s">
        <v>463</v>
      </c>
      <c r="F1097" s="3">
        <v>4194304.0</v>
      </c>
      <c r="G1097" s="3">
        <v>42924.0</v>
      </c>
      <c r="H1097" s="3">
        <v>755448.0</v>
      </c>
      <c r="I1097" s="30">
        <f t="shared" si="166"/>
        <v>23.84185791</v>
      </c>
      <c r="J1097" s="3" t="s">
        <v>463</v>
      </c>
      <c r="K1097" s="3">
        <v>4194304.0</v>
      </c>
      <c r="L1097" s="3">
        <v>39529.0</v>
      </c>
      <c r="M1097" s="3">
        <v>736773.0</v>
      </c>
      <c r="O1097" s="3">
        <v>4194304.0</v>
      </c>
      <c r="P1097" s="3">
        <v>39529.0</v>
      </c>
      <c r="Q1097" s="77">
        <f t="shared" si="164"/>
        <v>2.067342963</v>
      </c>
      <c r="R1097" s="3">
        <v>736773.0</v>
      </c>
      <c r="S1097" s="77">
        <f t="shared" si="165"/>
        <v>2.082885774</v>
      </c>
    </row>
    <row r="1098">
      <c r="D1098" s="3">
        <v>1.0E8</v>
      </c>
      <c r="E1098" s="3" t="s">
        <v>463</v>
      </c>
      <c r="F1098" s="3">
        <v>8388608.0</v>
      </c>
      <c r="G1098" s="3">
        <v>23070.0</v>
      </c>
      <c r="H1098" s="3">
        <v>359941.0</v>
      </c>
      <c r="I1098" s="30">
        <f t="shared" si="166"/>
        <v>11.92092896</v>
      </c>
      <c r="J1098" s="3" t="s">
        <v>463</v>
      </c>
      <c r="K1098" s="3">
        <v>8388608.0</v>
      </c>
      <c r="L1098" s="3">
        <v>18746.0</v>
      </c>
      <c r="M1098" s="3">
        <v>357127.0</v>
      </c>
      <c r="O1098" s="3">
        <v>8388608.0</v>
      </c>
      <c r="P1098" s="3">
        <v>18746.0</v>
      </c>
      <c r="Q1098" s="77">
        <f t="shared" si="164"/>
        <v>2.108663181</v>
      </c>
      <c r="R1098" s="3">
        <v>357127.0</v>
      </c>
      <c r="S1098" s="77">
        <f t="shared" si="165"/>
        <v>2.063056</v>
      </c>
    </row>
    <row r="1099">
      <c r="D1099" s="3">
        <v>1.0E8</v>
      </c>
      <c r="E1099" s="3" t="s">
        <v>463</v>
      </c>
      <c r="F1099" s="3">
        <v>1.6777216E7</v>
      </c>
      <c r="G1099" s="3">
        <v>9425.0</v>
      </c>
      <c r="H1099" s="3">
        <v>160736.0</v>
      </c>
      <c r="I1099" s="30">
        <f t="shared" si="166"/>
        <v>5.960464478</v>
      </c>
      <c r="J1099" s="3" t="s">
        <v>463</v>
      </c>
      <c r="K1099" s="3">
        <v>1.6777216E7</v>
      </c>
      <c r="L1099" s="3">
        <v>8556.0</v>
      </c>
      <c r="M1099" s="3">
        <v>162377.0</v>
      </c>
      <c r="O1099" s="3">
        <v>1.6777216E7</v>
      </c>
      <c r="P1099" s="3">
        <v>8556.0</v>
      </c>
      <c r="Q1099" s="77">
        <f t="shared" si="164"/>
        <v>2.190977092</v>
      </c>
      <c r="R1099" s="3">
        <v>162377.0</v>
      </c>
      <c r="S1099" s="77">
        <f t="shared" si="165"/>
        <v>2.199369369</v>
      </c>
    </row>
    <row r="1100">
      <c r="D1100" s="3">
        <v>1.0E8</v>
      </c>
      <c r="E1100" s="3" t="s">
        <v>463</v>
      </c>
      <c r="F1100" s="3">
        <v>3.3554432E7</v>
      </c>
      <c r="G1100" s="3">
        <v>3862.0</v>
      </c>
      <c r="H1100" s="3">
        <v>53189.0</v>
      </c>
      <c r="I1100" s="30">
        <f t="shared" si="166"/>
        <v>2.980232239</v>
      </c>
      <c r="J1100" s="3" t="s">
        <v>463</v>
      </c>
      <c r="K1100" s="3">
        <v>3.3554432E7</v>
      </c>
      <c r="L1100" s="3">
        <v>3492.0</v>
      </c>
      <c r="M1100" s="3">
        <v>63110.0</v>
      </c>
      <c r="O1100" s="3">
        <v>3.3554432E7</v>
      </c>
      <c r="P1100" s="3">
        <v>3492.0</v>
      </c>
      <c r="Q1100" s="77">
        <f t="shared" si="164"/>
        <v>2.450171821</v>
      </c>
      <c r="R1100" s="3">
        <v>63110.0</v>
      </c>
      <c r="S1100" s="77">
        <f t="shared" si="165"/>
        <v>2.572920298</v>
      </c>
    </row>
    <row r="1101">
      <c r="D1101" s="3">
        <v>1.0E8</v>
      </c>
      <c r="E1101" s="3" t="s">
        <v>463</v>
      </c>
      <c r="F1101" s="3">
        <v>6.7108864E7</v>
      </c>
      <c r="G1101" s="3">
        <v>2046.0</v>
      </c>
      <c r="H1101" s="3">
        <v>29941.0</v>
      </c>
      <c r="I1101" s="30">
        <f t="shared" si="166"/>
        <v>1.490116119</v>
      </c>
      <c r="J1101" s="3" t="s">
        <v>463</v>
      </c>
      <c r="K1101" s="3">
        <v>6.7108864E7</v>
      </c>
      <c r="L1101" s="3">
        <v>1773.0</v>
      </c>
      <c r="M1101" s="3">
        <v>24575.0</v>
      </c>
      <c r="O1101" s="3">
        <v>6.7108864E7</v>
      </c>
      <c r="P1101" s="3">
        <v>1773.0</v>
      </c>
      <c r="Q1101" s="77">
        <f t="shared" si="164"/>
        <v>1.969543147</v>
      </c>
      <c r="R1101" s="3">
        <v>24575.0</v>
      </c>
      <c r="S1101" s="77">
        <f t="shared" si="165"/>
        <v>2.568056968</v>
      </c>
    </row>
    <row r="1102">
      <c r="E1102" s="3"/>
    </row>
    <row r="1103">
      <c r="E1103" s="3"/>
      <c r="O1103" s="2" t="s">
        <v>494</v>
      </c>
    </row>
    <row r="1104">
      <c r="E1104" s="3"/>
    </row>
    <row r="1105">
      <c r="D1105" s="3" t="s">
        <v>495</v>
      </c>
      <c r="E1105" s="3"/>
      <c r="O1105" s="79"/>
      <c r="R1105" s="79"/>
    </row>
    <row r="1106">
      <c r="E1106" s="3"/>
      <c r="G1106" s="3" t="s">
        <v>448</v>
      </c>
      <c r="H1106" s="3" t="s">
        <v>449</v>
      </c>
      <c r="I1106" s="3" t="s">
        <v>496</v>
      </c>
      <c r="N1106" s="3" t="s">
        <v>324</v>
      </c>
      <c r="O1106" s="3" t="s">
        <v>448</v>
      </c>
      <c r="P1106" s="3" t="s">
        <v>497</v>
      </c>
      <c r="Q1106" s="3" t="s">
        <v>498</v>
      </c>
      <c r="R1106" s="3" t="s">
        <v>449</v>
      </c>
      <c r="S1106" s="3" t="s">
        <v>499</v>
      </c>
      <c r="T1106" s="3" t="s">
        <v>498</v>
      </c>
      <c r="U1106" s="30" t="str">
        <f t="shared" ref="U1106:AA1106" si="167">N1106</f>
        <v>Stride</v>
      </c>
      <c r="V1106" s="30" t="str">
        <f t="shared" si="167"/>
        <v>Read</v>
      </c>
      <c r="W1106" s="30" t="str">
        <f t="shared" si="167"/>
        <v>Predict R</v>
      </c>
      <c r="X1106" s="30" t="str">
        <f t="shared" si="167"/>
        <v>Accuracy</v>
      </c>
      <c r="Y1106" s="30" t="str">
        <f t="shared" si="167"/>
        <v>Write</v>
      </c>
      <c r="Z1106" s="30" t="str">
        <f t="shared" si="167"/>
        <v>Predict W</v>
      </c>
      <c r="AA1106" s="30" t="str">
        <f t="shared" si="167"/>
        <v>Accuracy</v>
      </c>
    </row>
    <row r="1107">
      <c r="D1107" s="3">
        <v>1.0E8</v>
      </c>
      <c r="E1107" s="3" t="s">
        <v>463</v>
      </c>
      <c r="F1107" s="3">
        <v>1.0</v>
      </c>
      <c r="G1107" s="3">
        <v>1.8861923E7</v>
      </c>
      <c r="H1107" s="3">
        <v>6665144.0</v>
      </c>
      <c r="I1107" s="30">
        <f t="shared" ref="I1107:I1120" si="170">D1107/F1107</f>
        <v>100000000</v>
      </c>
      <c r="J1107" s="30">
        <f>I1107/64*4</f>
        <v>6250000</v>
      </c>
      <c r="K1107" s="30">
        <f t="shared" ref="K1107:K1112" si="171">J1107*3</f>
        <v>18750000</v>
      </c>
      <c r="L1107" s="30">
        <f t="shared" ref="L1107:L1120" si="172">100-((G1107-K1107)/G1107*100)</f>
        <v>99.40661936</v>
      </c>
      <c r="N1107" s="3">
        <v>1.0</v>
      </c>
      <c r="O1107" s="72">
        <v>1.8861923E7</v>
      </c>
      <c r="P1107" s="65">
        <v>1.875E7</v>
      </c>
      <c r="Q1107" s="38">
        <f t="shared" ref="Q1107:Q1120" si="173">100-ABS((O1107-P1107)/O1107*100)</f>
        <v>99.40661936</v>
      </c>
      <c r="R1107" s="72">
        <v>6665144.0</v>
      </c>
      <c r="S1107" s="65">
        <v>6250000.0</v>
      </c>
      <c r="T1107" s="38">
        <f t="shared" ref="T1107:T1120" si="174">100-ABS((R1107-S1107)/R1107*100)</f>
        <v>93.77141739</v>
      </c>
      <c r="U1107" s="30">
        <f t="shared" ref="U1107:U1120" si="175">N1107</f>
        <v>1</v>
      </c>
      <c r="V1107" s="80">
        <f t="shared" ref="V1107:W1107" si="168">O1107/1000000</f>
        <v>18.861923</v>
      </c>
      <c r="W1107" s="80">
        <f t="shared" si="168"/>
        <v>18.75</v>
      </c>
      <c r="X1107" s="38">
        <f t="shared" ref="X1107:X1120" si="177">Q1107</f>
        <v>99.40661936</v>
      </c>
      <c r="Y1107" s="80">
        <f t="shared" ref="Y1107:Z1107" si="169">R1107/1000000</f>
        <v>6.665144</v>
      </c>
      <c r="Z1107" s="80">
        <f t="shared" si="169"/>
        <v>6.25</v>
      </c>
      <c r="AA1107" s="38">
        <f t="shared" ref="AA1107:AA1120" si="179">T1107</f>
        <v>93.77141739</v>
      </c>
    </row>
    <row r="1108">
      <c r="D1108" s="3">
        <v>1.0E8</v>
      </c>
      <c r="E1108" s="3" t="s">
        <v>463</v>
      </c>
      <c r="F1108" s="3">
        <v>2.0</v>
      </c>
      <c r="G1108" s="3">
        <v>1.8813995E7</v>
      </c>
      <c r="H1108" s="3">
        <v>6625435.0</v>
      </c>
      <c r="I1108" s="30">
        <f t="shared" si="170"/>
        <v>50000000</v>
      </c>
      <c r="J1108" s="30">
        <v>6250000.0</v>
      </c>
      <c r="K1108" s="30">
        <f t="shared" si="171"/>
        <v>18750000</v>
      </c>
      <c r="L1108" s="30">
        <f t="shared" si="172"/>
        <v>99.65985427</v>
      </c>
      <c r="N1108" s="3">
        <v>2.0</v>
      </c>
      <c r="O1108" s="72">
        <v>1.8813995E7</v>
      </c>
      <c r="P1108" s="65">
        <v>1.875E7</v>
      </c>
      <c r="Q1108" s="38">
        <f t="shared" si="173"/>
        <v>99.65985427</v>
      </c>
      <c r="R1108" s="72">
        <v>6625435.0</v>
      </c>
      <c r="S1108" s="65">
        <v>6250000.0</v>
      </c>
      <c r="T1108" s="38">
        <f t="shared" si="174"/>
        <v>94.33342867</v>
      </c>
      <c r="U1108" s="30">
        <f t="shared" si="175"/>
        <v>2</v>
      </c>
      <c r="V1108" s="80">
        <f t="shared" ref="V1108:W1108" si="176">O1108/1000000</f>
        <v>18.813995</v>
      </c>
      <c r="W1108" s="80">
        <f t="shared" si="176"/>
        <v>18.75</v>
      </c>
      <c r="X1108" s="38">
        <f t="shared" si="177"/>
        <v>99.65985427</v>
      </c>
      <c r="Y1108" s="80">
        <f t="shared" ref="Y1108:Z1108" si="178">R1108/1000000</f>
        <v>6.625435</v>
      </c>
      <c r="Z1108" s="80">
        <f t="shared" si="178"/>
        <v>6.25</v>
      </c>
      <c r="AA1108" s="38">
        <f t="shared" si="179"/>
        <v>94.33342867</v>
      </c>
    </row>
    <row r="1109">
      <c r="D1109" s="3">
        <v>1.0E8</v>
      </c>
      <c r="E1109" s="3" t="s">
        <v>463</v>
      </c>
      <c r="F1109" s="3">
        <v>4.0</v>
      </c>
      <c r="G1109" s="3">
        <v>1.8800278E7</v>
      </c>
      <c r="H1109" s="3">
        <v>6662691.0</v>
      </c>
      <c r="I1109" s="30">
        <f t="shared" si="170"/>
        <v>25000000</v>
      </c>
      <c r="J1109" s="30">
        <v>6250000.0</v>
      </c>
      <c r="K1109" s="30">
        <f t="shared" si="171"/>
        <v>18750000</v>
      </c>
      <c r="L1109" s="30">
        <f t="shared" si="172"/>
        <v>99.73256778</v>
      </c>
      <c r="N1109" s="3">
        <v>4.0</v>
      </c>
      <c r="O1109" s="72">
        <v>1.8800278E7</v>
      </c>
      <c r="P1109" s="65">
        <v>1.875E7</v>
      </c>
      <c r="Q1109" s="38">
        <f t="shared" si="173"/>
        <v>99.73256778</v>
      </c>
      <c r="R1109" s="72">
        <v>6662691.0</v>
      </c>
      <c r="S1109" s="65">
        <v>6250000.0</v>
      </c>
      <c r="T1109" s="38">
        <f t="shared" si="174"/>
        <v>93.80594117</v>
      </c>
      <c r="U1109" s="30">
        <f t="shared" si="175"/>
        <v>4</v>
      </c>
      <c r="V1109" s="80">
        <f t="shared" ref="V1109:W1109" si="180">O1109/1000000</f>
        <v>18.800278</v>
      </c>
      <c r="W1109" s="80">
        <f t="shared" si="180"/>
        <v>18.75</v>
      </c>
      <c r="X1109" s="38">
        <f t="shared" si="177"/>
        <v>99.73256778</v>
      </c>
      <c r="Y1109" s="80">
        <f t="shared" ref="Y1109:Z1109" si="181">R1109/1000000</f>
        <v>6.662691</v>
      </c>
      <c r="Z1109" s="80">
        <f t="shared" si="181"/>
        <v>6.25</v>
      </c>
      <c r="AA1109" s="38">
        <f t="shared" si="179"/>
        <v>93.80594117</v>
      </c>
    </row>
    <row r="1110">
      <c r="D1110" s="3">
        <v>1.0E8</v>
      </c>
      <c r="E1110" s="3" t="s">
        <v>463</v>
      </c>
      <c r="F1110" s="3">
        <v>8.0</v>
      </c>
      <c r="G1110" s="3">
        <v>1.880363E7</v>
      </c>
      <c r="H1110" s="3">
        <v>6637524.0</v>
      </c>
      <c r="I1110" s="30">
        <f t="shared" si="170"/>
        <v>12500000</v>
      </c>
      <c r="J1110" s="30">
        <v>6250000.0</v>
      </c>
      <c r="K1110" s="30">
        <f t="shared" si="171"/>
        <v>18750000</v>
      </c>
      <c r="L1110" s="30">
        <f t="shared" si="172"/>
        <v>99.71478911</v>
      </c>
      <c r="N1110" s="3">
        <v>8.0</v>
      </c>
      <c r="O1110" s="72">
        <v>1.880363E7</v>
      </c>
      <c r="P1110" s="65">
        <v>1.875E7</v>
      </c>
      <c r="Q1110" s="38">
        <f t="shared" si="173"/>
        <v>99.71478911</v>
      </c>
      <c r="R1110" s="72">
        <v>6637524.0</v>
      </c>
      <c r="S1110" s="65">
        <v>6250000.0</v>
      </c>
      <c r="T1110" s="38">
        <f t="shared" si="174"/>
        <v>94.1616181</v>
      </c>
      <c r="U1110" s="30">
        <f t="shared" si="175"/>
        <v>8</v>
      </c>
      <c r="V1110" s="80">
        <f t="shared" ref="V1110:W1110" si="182">O1110/1000000</f>
        <v>18.80363</v>
      </c>
      <c r="W1110" s="80">
        <f t="shared" si="182"/>
        <v>18.75</v>
      </c>
      <c r="X1110" s="38">
        <f t="shared" si="177"/>
        <v>99.71478911</v>
      </c>
      <c r="Y1110" s="80">
        <f t="shared" ref="Y1110:Z1110" si="183">R1110/1000000</f>
        <v>6.637524</v>
      </c>
      <c r="Z1110" s="80">
        <f t="shared" si="183"/>
        <v>6.25</v>
      </c>
      <c r="AA1110" s="38">
        <f t="shared" si="179"/>
        <v>94.1616181</v>
      </c>
    </row>
    <row r="1111">
      <c r="D1111" s="3">
        <v>1.0E8</v>
      </c>
      <c r="E1111" s="3" t="s">
        <v>463</v>
      </c>
      <c r="F1111" s="3">
        <v>16.0</v>
      </c>
      <c r="G1111" s="3">
        <v>1.8803353E7</v>
      </c>
      <c r="H1111" s="3">
        <v>6645248.0</v>
      </c>
      <c r="I1111" s="30">
        <f t="shared" si="170"/>
        <v>6250000</v>
      </c>
      <c r="J1111" s="30">
        <v>6250000.0</v>
      </c>
      <c r="K1111" s="30">
        <f t="shared" si="171"/>
        <v>18750000</v>
      </c>
      <c r="L1111" s="30">
        <f t="shared" si="172"/>
        <v>99.71625805</v>
      </c>
      <c r="N1111" s="3">
        <v>16.0</v>
      </c>
      <c r="O1111" s="72">
        <v>1.8803353E7</v>
      </c>
      <c r="P1111" s="65">
        <v>1.875E7</v>
      </c>
      <c r="Q1111" s="38">
        <f t="shared" si="173"/>
        <v>99.71625805</v>
      </c>
      <c r="R1111" s="72">
        <v>6645248.0</v>
      </c>
      <c r="S1111" s="65">
        <v>6250000.0</v>
      </c>
      <c r="T1111" s="38">
        <f t="shared" si="174"/>
        <v>94.05217081</v>
      </c>
      <c r="U1111" s="30">
        <f t="shared" si="175"/>
        <v>16</v>
      </c>
      <c r="V1111" s="80">
        <f t="shared" ref="V1111:W1111" si="184">O1111/1000000</f>
        <v>18.803353</v>
      </c>
      <c r="W1111" s="80">
        <f t="shared" si="184"/>
        <v>18.75</v>
      </c>
      <c r="X1111" s="38">
        <f t="shared" si="177"/>
        <v>99.71625805</v>
      </c>
      <c r="Y1111" s="80">
        <f t="shared" ref="Y1111:Z1111" si="185">R1111/1000000</f>
        <v>6.645248</v>
      </c>
      <c r="Z1111" s="80">
        <f t="shared" si="185"/>
        <v>6.25</v>
      </c>
      <c r="AA1111" s="38">
        <f t="shared" si="179"/>
        <v>94.05217081</v>
      </c>
    </row>
    <row r="1112">
      <c r="D1112" s="3">
        <v>1.0E8</v>
      </c>
      <c r="E1112" s="3" t="s">
        <v>463</v>
      </c>
      <c r="F1112" s="3">
        <v>32.0</v>
      </c>
      <c r="G1112" s="3">
        <v>1.8590975E7</v>
      </c>
      <c r="H1112" s="3">
        <v>3644694.0</v>
      </c>
      <c r="I1112" s="30">
        <f t="shared" si="170"/>
        <v>3125000</v>
      </c>
      <c r="J1112" s="30">
        <v>6250000.0</v>
      </c>
      <c r="K1112" s="30">
        <f t="shared" si="171"/>
        <v>18750000</v>
      </c>
      <c r="L1112" s="30">
        <f t="shared" si="172"/>
        <v>100.8553882</v>
      </c>
      <c r="N1112" s="3">
        <v>32.0</v>
      </c>
      <c r="O1112" s="72">
        <v>1.8590975E7</v>
      </c>
      <c r="P1112" s="65">
        <v>1.875E7</v>
      </c>
      <c r="Q1112" s="38">
        <f t="shared" si="173"/>
        <v>99.14461183</v>
      </c>
      <c r="R1112" s="72">
        <v>3644694.0</v>
      </c>
      <c r="S1112" s="65">
        <f t="shared" ref="S1112:S1120" si="189">S1111/2</f>
        <v>3125000</v>
      </c>
      <c r="T1112" s="38">
        <f t="shared" si="174"/>
        <v>85.74108005</v>
      </c>
      <c r="U1112" s="30">
        <f t="shared" si="175"/>
        <v>32</v>
      </c>
      <c r="V1112" s="80">
        <f t="shared" ref="V1112:W1112" si="186">O1112/1000000</f>
        <v>18.590975</v>
      </c>
      <c r="W1112" s="80">
        <f t="shared" si="186"/>
        <v>18.75</v>
      </c>
      <c r="X1112" s="38">
        <f t="shared" si="177"/>
        <v>99.14461183</v>
      </c>
      <c r="Y1112" s="80">
        <f t="shared" ref="Y1112:Z1112" si="187">R1112/1000000</f>
        <v>3.644694</v>
      </c>
      <c r="Z1112" s="80">
        <f t="shared" si="187"/>
        <v>3.125</v>
      </c>
      <c r="AA1112" s="38">
        <f t="shared" si="179"/>
        <v>85.74108005</v>
      </c>
    </row>
    <row r="1113">
      <c r="D1113" s="3">
        <v>1.0E8</v>
      </c>
      <c r="E1113" s="3" t="s">
        <v>463</v>
      </c>
      <c r="F1113" s="3">
        <v>64.0</v>
      </c>
      <c r="G1113" s="3">
        <v>1.4190254E7</v>
      </c>
      <c r="H1113" s="3">
        <v>2029784.0</v>
      </c>
      <c r="I1113" s="30">
        <f t="shared" si="170"/>
        <v>1562500</v>
      </c>
      <c r="J1113" s="30">
        <f t="shared" ref="J1113:K1113" si="188">I1113*3</f>
        <v>4687500</v>
      </c>
      <c r="K1113" s="30">
        <f t="shared" si="188"/>
        <v>14062500</v>
      </c>
      <c r="L1113" s="30">
        <f t="shared" si="172"/>
        <v>99.09970604</v>
      </c>
      <c r="N1113" s="3">
        <v>64.0</v>
      </c>
      <c r="O1113" s="72">
        <v>1.4190254E7</v>
      </c>
      <c r="P1113" s="65">
        <v>1.40625E7</v>
      </c>
      <c r="Q1113" s="38">
        <f t="shared" si="173"/>
        <v>99.09970604</v>
      </c>
      <c r="R1113" s="72">
        <v>2029784.0</v>
      </c>
      <c r="S1113" s="65">
        <f t="shared" si="189"/>
        <v>1562500</v>
      </c>
      <c r="T1113" s="38">
        <f t="shared" si="174"/>
        <v>76.97863418</v>
      </c>
      <c r="U1113" s="30">
        <f t="shared" si="175"/>
        <v>64</v>
      </c>
      <c r="V1113" s="80">
        <f t="shared" ref="V1113:W1113" si="190">O1113/1000000</f>
        <v>14.190254</v>
      </c>
      <c r="W1113" s="80">
        <f t="shared" si="190"/>
        <v>14.0625</v>
      </c>
      <c r="X1113" s="38">
        <f t="shared" si="177"/>
        <v>99.09970604</v>
      </c>
      <c r="Y1113" s="80">
        <f t="shared" ref="Y1113:Z1113" si="191">R1113/1000000</f>
        <v>2.029784</v>
      </c>
      <c r="Z1113" s="80">
        <f t="shared" si="191"/>
        <v>1.5625</v>
      </c>
      <c r="AA1113" s="38">
        <f t="shared" si="179"/>
        <v>76.97863418</v>
      </c>
    </row>
    <row r="1114">
      <c r="D1114" s="3">
        <v>1.0E8</v>
      </c>
      <c r="E1114" s="3" t="s">
        <v>463</v>
      </c>
      <c r="F1114" s="2">
        <v>128.0</v>
      </c>
      <c r="G1114" s="2">
        <v>2364840.0</v>
      </c>
      <c r="H1114" s="3">
        <v>839811.0</v>
      </c>
      <c r="I1114" s="30">
        <f t="shared" si="170"/>
        <v>781250</v>
      </c>
      <c r="J1114" s="30">
        <f>J1112/8</f>
        <v>781250</v>
      </c>
      <c r="K1114" s="30">
        <f t="shared" ref="K1114:K1120" si="194">J1114*3</f>
        <v>2343750</v>
      </c>
      <c r="L1114" s="30">
        <f t="shared" si="172"/>
        <v>99.10818491</v>
      </c>
      <c r="N1114" s="3">
        <v>128.0</v>
      </c>
      <c r="O1114" s="72">
        <v>2364840.0</v>
      </c>
      <c r="P1114" s="65">
        <v>2343750.0</v>
      </c>
      <c r="Q1114" s="38">
        <f t="shared" si="173"/>
        <v>99.10818491</v>
      </c>
      <c r="R1114" s="72">
        <v>839811.0</v>
      </c>
      <c r="S1114" s="65">
        <f t="shared" si="189"/>
        <v>781250</v>
      </c>
      <c r="T1114" s="38">
        <f t="shared" si="174"/>
        <v>93.02688343</v>
      </c>
      <c r="U1114" s="30">
        <f t="shared" si="175"/>
        <v>128</v>
      </c>
      <c r="V1114" s="80">
        <f t="shared" ref="V1114:W1114" si="192">O1114/1000000</f>
        <v>2.36484</v>
      </c>
      <c r="W1114" s="80">
        <f t="shared" si="192"/>
        <v>2.34375</v>
      </c>
      <c r="X1114" s="38">
        <f t="shared" si="177"/>
        <v>99.10818491</v>
      </c>
      <c r="Y1114" s="80">
        <f t="shared" ref="Y1114:Z1114" si="193">R1114/1000000</f>
        <v>0.839811</v>
      </c>
      <c r="Z1114" s="80">
        <f t="shared" si="193"/>
        <v>0.78125</v>
      </c>
      <c r="AA1114" s="38">
        <f t="shared" si="179"/>
        <v>93.02688343</v>
      </c>
    </row>
    <row r="1115">
      <c r="D1115" s="3">
        <v>1.0E8</v>
      </c>
      <c r="E1115" s="3" t="s">
        <v>463</v>
      </c>
      <c r="F1115" s="3">
        <v>256.0</v>
      </c>
      <c r="G1115" s="3">
        <v>1183868.0</v>
      </c>
      <c r="H1115" s="3">
        <v>421381.0</v>
      </c>
      <c r="I1115" s="30">
        <f t="shared" si="170"/>
        <v>390625</v>
      </c>
      <c r="J1115" s="30">
        <f t="shared" ref="J1115:J1120" si="197">J1114/2</f>
        <v>390625</v>
      </c>
      <c r="K1115" s="30">
        <f t="shared" si="194"/>
        <v>1171875</v>
      </c>
      <c r="L1115" s="30">
        <f t="shared" si="172"/>
        <v>98.98696476</v>
      </c>
      <c r="N1115" s="3">
        <v>256.0</v>
      </c>
      <c r="O1115" s="72">
        <v>1183868.0</v>
      </c>
      <c r="P1115" s="65">
        <v>1171875.0</v>
      </c>
      <c r="Q1115" s="38">
        <f t="shared" si="173"/>
        <v>98.98696476</v>
      </c>
      <c r="R1115" s="72">
        <v>421381.0</v>
      </c>
      <c r="S1115" s="65">
        <f t="shared" si="189"/>
        <v>390625</v>
      </c>
      <c r="T1115" s="38">
        <f t="shared" si="174"/>
        <v>92.7011422</v>
      </c>
      <c r="U1115" s="30">
        <f t="shared" si="175"/>
        <v>256</v>
      </c>
      <c r="V1115" s="80">
        <f t="shared" ref="V1115:W1115" si="195">O1115/1000000</f>
        <v>1.183868</v>
      </c>
      <c r="W1115" s="80">
        <f t="shared" si="195"/>
        <v>1.171875</v>
      </c>
      <c r="X1115" s="38">
        <f t="shared" si="177"/>
        <v>98.98696476</v>
      </c>
      <c r="Y1115" s="80">
        <f t="shared" ref="Y1115:Z1115" si="196">R1115/1000000</f>
        <v>0.421381</v>
      </c>
      <c r="Z1115" s="80">
        <f t="shared" si="196"/>
        <v>0.390625</v>
      </c>
      <c r="AA1115" s="38">
        <f t="shared" si="179"/>
        <v>92.7011422</v>
      </c>
    </row>
    <row r="1116">
      <c r="D1116" s="3">
        <v>1.0E8</v>
      </c>
      <c r="E1116" s="3" t="s">
        <v>463</v>
      </c>
      <c r="F1116" s="3">
        <v>512.0</v>
      </c>
      <c r="G1116" s="3">
        <v>594090.0</v>
      </c>
      <c r="H1116" s="3">
        <v>212587.0</v>
      </c>
      <c r="I1116" s="30">
        <f t="shared" si="170"/>
        <v>195312.5</v>
      </c>
      <c r="J1116" s="30">
        <f t="shared" si="197"/>
        <v>195312.5</v>
      </c>
      <c r="K1116" s="30">
        <f t="shared" si="194"/>
        <v>585937.5</v>
      </c>
      <c r="L1116" s="30">
        <f t="shared" si="172"/>
        <v>98.62773317</v>
      </c>
      <c r="N1116" s="3">
        <v>512.0</v>
      </c>
      <c r="O1116" s="72">
        <v>594090.0</v>
      </c>
      <c r="P1116" s="65">
        <v>585937.5</v>
      </c>
      <c r="Q1116" s="38">
        <f t="shared" si="173"/>
        <v>98.62773317</v>
      </c>
      <c r="R1116" s="72">
        <v>212587.0</v>
      </c>
      <c r="S1116" s="65">
        <f t="shared" si="189"/>
        <v>195312.5</v>
      </c>
      <c r="T1116" s="38">
        <f t="shared" si="174"/>
        <v>91.87415035</v>
      </c>
      <c r="U1116" s="30">
        <f t="shared" si="175"/>
        <v>512</v>
      </c>
      <c r="V1116" s="80">
        <f t="shared" ref="V1116:W1116" si="198">O1116/1000000</f>
        <v>0.59409</v>
      </c>
      <c r="W1116" s="80">
        <f t="shared" si="198"/>
        <v>0.5859375</v>
      </c>
      <c r="X1116" s="38">
        <f t="shared" si="177"/>
        <v>98.62773317</v>
      </c>
      <c r="Y1116" s="80">
        <f t="shared" ref="Y1116:Z1116" si="199">R1116/1000000</f>
        <v>0.212587</v>
      </c>
      <c r="Z1116" s="80">
        <f t="shared" si="199"/>
        <v>0.1953125</v>
      </c>
      <c r="AA1116" s="38">
        <f t="shared" si="179"/>
        <v>91.87415035</v>
      </c>
    </row>
    <row r="1117">
      <c r="D1117" s="3">
        <v>1.0E8</v>
      </c>
      <c r="E1117" s="3" t="s">
        <v>463</v>
      </c>
      <c r="F1117" s="3">
        <v>1024.0</v>
      </c>
      <c r="G1117" s="3">
        <v>297740.0</v>
      </c>
      <c r="H1117" s="3">
        <v>106996.0</v>
      </c>
      <c r="I1117" s="30">
        <f t="shared" si="170"/>
        <v>97656.25</v>
      </c>
      <c r="J1117" s="30">
        <f t="shared" si="197"/>
        <v>97656.25</v>
      </c>
      <c r="K1117" s="30">
        <f t="shared" si="194"/>
        <v>292968.75</v>
      </c>
      <c r="L1117" s="30">
        <f t="shared" si="172"/>
        <v>98.39751125</v>
      </c>
      <c r="N1117" s="3">
        <v>1024.0</v>
      </c>
      <c r="O1117" s="72">
        <v>297740.0</v>
      </c>
      <c r="P1117" s="65">
        <v>292968.75</v>
      </c>
      <c r="Q1117" s="38">
        <f t="shared" si="173"/>
        <v>98.39751125</v>
      </c>
      <c r="R1117" s="72">
        <v>106996.0</v>
      </c>
      <c r="S1117" s="65">
        <f t="shared" si="189"/>
        <v>97656.25</v>
      </c>
      <c r="T1117" s="38">
        <f t="shared" si="174"/>
        <v>91.27093536</v>
      </c>
      <c r="U1117" s="30">
        <f t="shared" si="175"/>
        <v>1024</v>
      </c>
      <c r="V1117" s="80">
        <f t="shared" ref="V1117:W1117" si="200">O1117/1000000</f>
        <v>0.29774</v>
      </c>
      <c r="W1117" s="80">
        <f t="shared" si="200"/>
        <v>0.29296875</v>
      </c>
      <c r="X1117" s="38">
        <f t="shared" si="177"/>
        <v>98.39751125</v>
      </c>
      <c r="Y1117" s="80">
        <f t="shared" ref="Y1117:Z1117" si="201">R1117/1000000</f>
        <v>0.106996</v>
      </c>
      <c r="Z1117" s="80">
        <f t="shared" si="201"/>
        <v>0.09765625</v>
      </c>
      <c r="AA1117" s="38">
        <f t="shared" si="179"/>
        <v>91.27093536</v>
      </c>
    </row>
    <row r="1118">
      <c r="D1118" s="3">
        <v>1.0E8</v>
      </c>
      <c r="E1118" s="3" t="s">
        <v>463</v>
      </c>
      <c r="F1118" s="3">
        <v>2048.0</v>
      </c>
      <c r="G1118" s="3">
        <v>149395.0</v>
      </c>
      <c r="H1118" s="3">
        <v>58520.0</v>
      </c>
      <c r="I1118" s="30">
        <f t="shared" si="170"/>
        <v>48828.125</v>
      </c>
      <c r="J1118" s="30">
        <f t="shared" si="197"/>
        <v>48828.125</v>
      </c>
      <c r="K1118" s="30">
        <f t="shared" si="194"/>
        <v>146484.375</v>
      </c>
      <c r="L1118" s="30">
        <f t="shared" si="172"/>
        <v>98.05172529</v>
      </c>
      <c r="N1118" s="3">
        <v>2048.0</v>
      </c>
      <c r="O1118" s="72">
        <v>149395.0</v>
      </c>
      <c r="P1118" s="65">
        <v>146484.375</v>
      </c>
      <c r="Q1118" s="38">
        <f t="shared" si="173"/>
        <v>98.05172529</v>
      </c>
      <c r="R1118" s="72">
        <v>58520.0</v>
      </c>
      <c r="S1118" s="65">
        <f t="shared" si="189"/>
        <v>48828.125</v>
      </c>
      <c r="T1118" s="38">
        <f t="shared" si="174"/>
        <v>83.43835441</v>
      </c>
      <c r="U1118" s="30">
        <f t="shared" si="175"/>
        <v>2048</v>
      </c>
      <c r="V1118" s="80">
        <f t="shared" ref="V1118:W1118" si="202">O1118/1000000</f>
        <v>0.149395</v>
      </c>
      <c r="W1118" s="80">
        <f t="shared" si="202"/>
        <v>0.146484375</v>
      </c>
      <c r="X1118" s="38">
        <f t="shared" si="177"/>
        <v>98.05172529</v>
      </c>
      <c r="Y1118" s="80">
        <f t="shared" ref="Y1118:Z1118" si="203">R1118/1000000</f>
        <v>0.05852</v>
      </c>
      <c r="Z1118" s="80">
        <f t="shared" si="203"/>
        <v>0.048828125</v>
      </c>
      <c r="AA1118" s="38">
        <f t="shared" si="179"/>
        <v>83.43835441</v>
      </c>
    </row>
    <row r="1119">
      <c r="D1119" s="3">
        <v>1.0E8</v>
      </c>
      <c r="E1119" s="3" t="s">
        <v>463</v>
      </c>
      <c r="F1119" s="3">
        <v>4096.0</v>
      </c>
      <c r="G1119" s="3">
        <v>75338.0</v>
      </c>
      <c r="H1119" s="3">
        <v>31292.0</v>
      </c>
      <c r="I1119" s="30">
        <f t="shared" si="170"/>
        <v>24414.0625</v>
      </c>
      <c r="J1119" s="30">
        <f t="shared" si="197"/>
        <v>24414.0625</v>
      </c>
      <c r="K1119" s="30">
        <f t="shared" si="194"/>
        <v>73242.1875</v>
      </c>
      <c r="L1119" s="30">
        <f t="shared" si="172"/>
        <v>97.21812034</v>
      </c>
      <c r="N1119" s="3">
        <v>4096.0</v>
      </c>
      <c r="O1119" s="72">
        <v>75338.0</v>
      </c>
      <c r="P1119" s="65">
        <v>73242.1875</v>
      </c>
      <c r="Q1119" s="38">
        <f t="shared" si="173"/>
        <v>97.21812034</v>
      </c>
      <c r="R1119" s="72">
        <v>31292.0</v>
      </c>
      <c r="S1119" s="65">
        <f t="shared" si="189"/>
        <v>24414.0625</v>
      </c>
      <c r="T1119" s="38">
        <f t="shared" si="174"/>
        <v>78.02014093</v>
      </c>
      <c r="U1119" s="30">
        <f t="shared" si="175"/>
        <v>4096</v>
      </c>
      <c r="V1119" s="80">
        <f t="shared" ref="V1119:W1119" si="204">O1119/1000000</f>
        <v>0.075338</v>
      </c>
      <c r="W1119" s="80">
        <f t="shared" si="204"/>
        <v>0.0732421875</v>
      </c>
      <c r="X1119" s="38">
        <f t="shared" si="177"/>
        <v>97.21812034</v>
      </c>
      <c r="Y1119" s="80">
        <f t="shared" ref="Y1119:Z1119" si="205">R1119/1000000</f>
        <v>0.031292</v>
      </c>
      <c r="Z1119" s="80">
        <f t="shared" si="205"/>
        <v>0.0244140625</v>
      </c>
      <c r="AA1119" s="38">
        <f t="shared" si="179"/>
        <v>78.02014093</v>
      </c>
    </row>
    <row r="1120">
      <c r="D1120" s="3">
        <v>1.0E8</v>
      </c>
      <c r="E1120" s="3" t="s">
        <v>463</v>
      </c>
      <c r="F1120" s="3">
        <v>8192.0</v>
      </c>
      <c r="G1120" s="3">
        <v>37868.0</v>
      </c>
      <c r="H1120" s="3">
        <v>15906.0</v>
      </c>
      <c r="I1120" s="30">
        <f t="shared" si="170"/>
        <v>12207.03125</v>
      </c>
      <c r="J1120" s="30">
        <f t="shared" si="197"/>
        <v>12207.03125</v>
      </c>
      <c r="K1120" s="30">
        <f t="shared" si="194"/>
        <v>36621.09375</v>
      </c>
      <c r="L1120" s="30">
        <f t="shared" si="172"/>
        <v>96.70722972</v>
      </c>
      <c r="N1120" s="3">
        <v>8192.0</v>
      </c>
      <c r="O1120" s="72">
        <v>37868.0</v>
      </c>
      <c r="P1120" s="65">
        <v>36621.09375</v>
      </c>
      <c r="Q1120" s="38">
        <f t="shared" si="173"/>
        <v>96.70722972</v>
      </c>
      <c r="R1120" s="72">
        <v>15906.0</v>
      </c>
      <c r="S1120" s="65">
        <f t="shared" si="189"/>
        <v>12207.03125</v>
      </c>
      <c r="T1120" s="38">
        <f t="shared" si="174"/>
        <v>76.74482114</v>
      </c>
      <c r="U1120" s="30">
        <f t="shared" si="175"/>
        <v>8192</v>
      </c>
      <c r="V1120" s="80">
        <f t="shared" ref="V1120:W1120" si="206">O1120/1000000</f>
        <v>0.037868</v>
      </c>
      <c r="W1120" s="80">
        <f t="shared" si="206"/>
        <v>0.03662109375</v>
      </c>
      <c r="X1120" s="38">
        <f t="shared" si="177"/>
        <v>96.70722972</v>
      </c>
      <c r="Y1120" s="80">
        <f t="shared" ref="Y1120:Z1120" si="207">R1120/1000000</f>
        <v>0.015906</v>
      </c>
      <c r="Z1120" s="80">
        <f t="shared" si="207"/>
        <v>0.01220703125</v>
      </c>
      <c r="AA1120" s="38">
        <f t="shared" si="179"/>
        <v>76.74482114</v>
      </c>
    </row>
    <row r="1121">
      <c r="E1121" s="3"/>
    </row>
    <row r="1122">
      <c r="D1122" s="3" t="s">
        <v>500</v>
      </c>
      <c r="E1122" s="3"/>
    </row>
    <row r="1123">
      <c r="E1123" s="3" t="s">
        <v>501</v>
      </c>
    </row>
    <row r="1124">
      <c r="E1124" s="3"/>
      <c r="F1124" s="3"/>
      <c r="G1124" s="3" t="s">
        <v>448</v>
      </c>
      <c r="H1124" s="3" t="s">
        <v>449</v>
      </c>
      <c r="I1124" s="3" t="s">
        <v>496</v>
      </c>
    </row>
    <row r="1125">
      <c r="D1125" s="3">
        <v>1.0E8</v>
      </c>
      <c r="E1125" s="3" t="s">
        <v>463</v>
      </c>
      <c r="F1125" s="3">
        <v>1.0</v>
      </c>
      <c r="G1125" s="3">
        <v>1.9083795E7</v>
      </c>
      <c r="H1125" s="3">
        <v>6824619.0</v>
      </c>
      <c r="I1125" s="30">
        <f t="shared" ref="I1125:I1138" si="208">D1125/F1125</f>
        <v>100000000</v>
      </c>
      <c r="J1125" s="30">
        <f>I1125/64*4</f>
        <v>6250000</v>
      </c>
      <c r="K1125" s="30">
        <f t="shared" ref="K1125:K1138" si="209">J1125*3</f>
        <v>18750000</v>
      </c>
      <c r="L1125" s="30">
        <f t="shared" ref="L1125:L1138" si="210">100-((G1125-K1125)/G1125*100)</f>
        <v>98.25089821</v>
      </c>
    </row>
    <row r="1126">
      <c r="D1126" s="3">
        <v>1.0E8</v>
      </c>
      <c r="E1126" s="3" t="s">
        <v>463</v>
      </c>
      <c r="F1126" s="3">
        <v>2.0</v>
      </c>
      <c r="G1126" s="3">
        <v>1.9005683E7</v>
      </c>
      <c r="H1126" s="3">
        <v>6755515.0</v>
      </c>
      <c r="I1126" s="30">
        <f t="shared" si="208"/>
        <v>50000000</v>
      </c>
      <c r="J1126" s="30">
        <v>6250000.0</v>
      </c>
      <c r="K1126" s="30">
        <f t="shared" si="209"/>
        <v>18750000</v>
      </c>
      <c r="L1126" s="30">
        <f t="shared" si="210"/>
        <v>98.65470239</v>
      </c>
    </row>
    <row r="1127">
      <c r="D1127" s="3">
        <v>1.0E8</v>
      </c>
      <c r="E1127" s="3" t="s">
        <v>463</v>
      </c>
      <c r="F1127" s="3">
        <v>4.0</v>
      </c>
      <c r="G1127" s="3">
        <v>1.8970043E7</v>
      </c>
      <c r="H1127" s="3">
        <v>6740634.0</v>
      </c>
      <c r="I1127" s="30">
        <f t="shared" si="208"/>
        <v>25000000</v>
      </c>
      <c r="J1127" s="30">
        <v>6250000.0</v>
      </c>
      <c r="K1127" s="30">
        <f t="shared" si="209"/>
        <v>18750000</v>
      </c>
      <c r="L1127" s="30">
        <f t="shared" si="210"/>
        <v>98.84005007</v>
      </c>
    </row>
    <row r="1128">
      <c r="D1128" s="3">
        <v>1.0E8</v>
      </c>
      <c r="E1128" s="3" t="s">
        <v>463</v>
      </c>
      <c r="F1128" s="3">
        <v>8.0</v>
      </c>
      <c r="G1128" s="3">
        <v>1.8940397E7</v>
      </c>
      <c r="H1128" s="3">
        <v>6725749.0</v>
      </c>
      <c r="I1128" s="30">
        <f t="shared" si="208"/>
        <v>12500000</v>
      </c>
      <c r="J1128" s="30">
        <v>6250000.0</v>
      </c>
      <c r="K1128" s="30">
        <f t="shared" si="209"/>
        <v>18750000</v>
      </c>
      <c r="L1128" s="30">
        <f t="shared" si="210"/>
        <v>98.99475708</v>
      </c>
      <c r="U1128" s="3">
        <v>296881.0</v>
      </c>
      <c r="V1128" s="3">
        <v>149252.0</v>
      </c>
      <c r="W1128" s="3">
        <v>75072.0</v>
      </c>
      <c r="X1128" s="3">
        <v>37848.0</v>
      </c>
    </row>
    <row r="1129">
      <c r="D1129" s="3">
        <v>1.0E8</v>
      </c>
      <c r="E1129" s="3" t="s">
        <v>463</v>
      </c>
      <c r="F1129" s="3">
        <v>16.0</v>
      </c>
      <c r="G1129" s="3">
        <v>1.8938589E7</v>
      </c>
      <c r="H1129" s="3">
        <v>6734401.0</v>
      </c>
      <c r="I1129" s="30">
        <f t="shared" si="208"/>
        <v>6250000</v>
      </c>
      <c r="J1129" s="30">
        <v>6250000.0</v>
      </c>
      <c r="K1129" s="30">
        <f t="shared" si="209"/>
        <v>18750000</v>
      </c>
      <c r="L1129" s="30">
        <f t="shared" si="210"/>
        <v>99.00420776</v>
      </c>
      <c r="U1129" s="3">
        <v>106874.0</v>
      </c>
      <c r="V1129" s="3">
        <v>58650.0</v>
      </c>
      <c r="W1129" s="3">
        <v>31081.0</v>
      </c>
      <c r="X1129" s="3">
        <v>15670.0</v>
      </c>
    </row>
    <row r="1130">
      <c r="D1130" s="3">
        <v>1.0E8</v>
      </c>
      <c r="E1130" s="3" t="s">
        <v>463</v>
      </c>
      <c r="F1130" s="3">
        <v>32.0</v>
      </c>
      <c r="G1130" s="3">
        <v>9468337.0</v>
      </c>
      <c r="H1130" s="3">
        <v>3368188.0</v>
      </c>
      <c r="I1130" s="30">
        <f t="shared" si="208"/>
        <v>3125000</v>
      </c>
      <c r="J1130" s="30">
        <f t="shared" ref="J1130:J1138" si="211">J1129/2</f>
        <v>3125000</v>
      </c>
      <c r="K1130" s="30">
        <f t="shared" si="209"/>
        <v>9375000</v>
      </c>
      <c r="L1130" s="30">
        <f t="shared" si="210"/>
        <v>99.01421971</v>
      </c>
    </row>
    <row r="1131">
      <c r="D1131" s="3">
        <v>1.0E8</v>
      </c>
      <c r="E1131" s="3" t="s">
        <v>463</v>
      </c>
      <c r="F1131" s="3">
        <v>64.0</v>
      </c>
      <c r="G1131" s="3">
        <v>4724431.0</v>
      </c>
      <c r="H1131" s="3">
        <v>1676038.0</v>
      </c>
      <c r="I1131" s="30">
        <f t="shared" si="208"/>
        <v>1562500</v>
      </c>
      <c r="J1131" s="30">
        <f t="shared" si="211"/>
        <v>1562500</v>
      </c>
      <c r="K1131" s="30">
        <f t="shared" si="209"/>
        <v>4687500</v>
      </c>
      <c r="L1131" s="30">
        <f t="shared" si="210"/>
        <v>99.2182974</v>
      </c>
      <c r="N1131" s="3" t="s">
        <v>324</v>
      </c>
      <c r="O1131" s="3" t="s">
        <v>448</v>
      </c>
      <c r="P1131" s="3" t="s">
        <v>497</v>
      </c>
      <c r="Q1131" s="3" t="s">
        <v>498</v>
      </c>
      <c r="R1131" s="3" t="s">
        <v>449</v>
      </c>
      <c r="S1131" s="3" t="s">
        <v>499</v>
      </c>
      <c r="T1131" s="3" t="s">
        <v>498</v>
      </c>
      <c r="U1131" s="30" t="str">
        <f t="shared" ref="U1131:AA1131" si="212">N1131</f>
        <v>Stride</v>
      </c>
      <c r="V1131" s="30" t="str">
        <f t="shared" si="212"/>
        <v>Read</v>
      </c>
      <c r="W1131" s="30" t="str">
        <f t="shared" si="212"/>
        <v>Predict R</v>
      </c>
      <c r="X1131" s="30" t="str">
        <f t="shared" si="212"/>
        <v>Accuracy</v>
      </c>
      <c r="Y1131" s="30" t="str">
        <f t="shared" si="212"/>
        <v>Write</v>
      </c>
      <c r="Z1131" s="30" t="str">
        <f t="shared" si="212"/>
        <v>Predict W</v>
      </c>
      <c r="AA1131" s="30" t="str">
        <f t="shared" si="212"/>
        <v>Accuracy</v>
      </c>
    </row>
    <row r="1132">
      <c r="D1132" s="3">
        <v>1.0E8</v>
      </c>
      <c r="E1132" s="3" t="s">
        <v>463</v>
      </c>
      <c r="F1132" s="2">
        <v>128.0</v>
      </c>
      <c r="G1132" s="2">
        <v>2363247.0</v>
      </c>
      <c r="H1132" s="3">
        <v>839272.0</v>
      </c>
      <c r="I1132" s="30">
        <f t="shared" si="208"/>
        <v>781250</v>
      </c>
      <c r="J1132" s="30">
        <f t="shared" si="211"/>
        <v>781250</v>
      </c>
      <c r="K1132" s="30">
        <f t="shared" si="209"/>
        <v>2343750</v>
      </c>
      <c r="L1132" s="30">
        <f t="shared" si="210"/>
        <v>99.17499102</v>
      </c>
      <c r="N1132" s="3">
        <v>1.0</v>
      </c>
      <c r="O1132" s="3">
        <v>6565030.0</v>
      </c>
      <c r="P1132" s="30">
        <v>6250000.0</v>
      </c>
      <c r="Q1132" s="38">
        <f t="shared" ref="Q1132:Q1145" si="215">100-ABS((O1132-P1132)/O1132*100)</f>
        <v>95.20139283</v>
      </c>
      <c r="R1132" s="3">
        <v>3641461.0</v>
      </c>
      <c r="S1132" s="30">
        <v>3125000.0</v>
      </c>
      <c r="T1132" s="38">
        <f t="shared" ref="T1132:T1145" si="216">100-ABS((R1132-S1132)/R1132*100)</f>
        <v>85.81720359</v>
      </c>
      <c r="U1132" s="30">
        <f t="shared" ref="U1132:U1145" si="217">N1132</f>
        <v>1</v>
      </c>
      <c r="V1132" s="80">
        <f t="shared" ref="V1132:W1132" si="213">O1132/1000000</f>
        <v>6.56503</v>
      </c>
      <c r="W1132" s="80">
        <f t="shared" si="213"/>
        <v>6.25</v>
      </c>
      <c r="X1132" s="38">
        <f t="shared" ref="X1132:X1145" si="219">Q1132</f>
        <v>95.20139283</v>
      </c>
      <c r="Y1132" s="80">
        <f t="shared" ref="Y1132:Z1132" si="214">R1132/1000000</f>
        <v>3.641461</v>
      </c>
      <c r="Z1132" s="80">
        <f t="shared" si="214"/>
        <v>3.125</v>
      </c>
      <c r="AA1132" s="38">
        <f t="shared" ref="AA1132:AA1145" si="221">T1132</f>
        <v>85.81720359</v>
      </c>
    </row>
    <row r="1133">
      <c r="D1133" s="3">
        <v>1.0E8</v>
      </c>
      <c r="E1133" s="3" t="s">
        <v>463</v>
      </c>
      <c r="F1133" s="3">
        <v>256.0</v>
      </c>
      <c r="G1133" s="3">
        <v>1182735.0</v>
      </c>
      <c r="H1133" s="3">
        <v>420643.0</v>
      </c>
      <c r="I1133" s="30">
        <f t="shared" si="208"/>
        <v>390625</v>
      </c>
      <c r="J1133" s="30">
        <f t="shared" si="211"/>
        <v>390625</v>
      </c>
      <c r="K1133" s="30">
        <f t="shared" si="209"/>
        <v>1171875</v>
      </c>
      <c r="L1133" s="30">
        <f t="shared" si="210"/>
        <v>99.08178924</v>
      </c>
      <c r="N1133" s="3">
        <v>2.0</v>
      </c>
      <c r="O1133" s="3">
        <v>6531017.0</v>
      </c>
      <c r="P1133" s="30">
        <v>6250000.0</v>
      </c>
      <c r="Q1133" s="38">
        <f t="shared" si="215"/>
        <v>95.69719387</v>
      </c>
      <c r="R1133" s="3">
        <v>3613205.0</v>
      </c>
      <c r="S1133" s="30">
        <v>3125000.0</v>
      </c>
      <c r="T1133" s="38">
        <f t="shared" si="216"/>
        <v>86.48831162</v>
      </c>
      <c r="U1133" s="30">
        <f t="shared" si="217"/>
        <v>2</v>
      </c>
      <c r="V1133" s="80">
        <f t="shared" ref="V1133:W1133" si="218">O1133/1000000</f>
        <v>6.531017</v>
      </c>
      <c r="W1133" s="80">
        <f t="shared" si="218"/>
        <v>6.25</v>
      </c>
      <c r="X1133" s="38">
        <f t="shared" si="219"/>
        <v>95.69719387</v>
      </c>
      <c r="Y1133" s="80">
        <f t="shared" ref="Y1133:Z1133" si="220">R1133/1000000</f>
        <v>3.613205</v>
      </c>
      <c r="Z1133" s="80">
        <f t="shared" si="220"/>
        <v>3.125</v>
      </c>
      <c r="AA1133" s="38">
        <f t="shared" si="221"/>
        <v>86.48831162</v>
      </c>
    </row>
    <row r="1134">
      <c r="D1134" s="3">
        <v>1.0E8</v>
      </c>
      <c r="E1134" s="3" t="s">
        <v>463</v>
      </c>
      <c r="F1134" s="3">
        <v>512.0</v>
      </c>
      <c r="G1134" s="3">
        <v>594024.0</v>
      </c>
      <c r="H1134" s="3">
        <v>212602.0</v>
      </c>
      <c r="I1134" s="30">
        <f t="shared" si="208"/>
        <v>195312.5</v>
      </c>
      <c r="J1134" s="30">
        <f t="shared" si="211"/>
        <v>195312.5</v>
      </c>
      <c r="K1134" s="30">
        <f t="shared" si="209"/>
        <v>585937.5</v>
      </c>
      <c r="L1134" s="30">
        <f t="shared" si="210"/>
        <v>98.63869137</v>
      </c>
      <c r="N1134" s="3">
        <v>4.0</v>
      </c>
      <c r="O1134" s="3">
        <v>6471058.0</v>
      </c>
      <c r="P1134" s="30">
        <v>6250000.0</v>
      </c>
      <c r="Q1134" s="38">
        <f t="shared" si="215"/>
        <v>96.5838971</v>
      </c>
      <c r="R1134" s="3">
        <v>3476587.0</v>
      </c>
      <c r="S1134" s="30">
        <v>3125000.0</v>
      </c>
      <c r="T1134" s="38">
        <f t="shared" si="216"/>
        <v>89.887007</v>
      </c>
      <c r="U1134" s="30">
        <f t="shared" si="217"/>
        <v>4</v>
      </c>
      <c r="V1134" s="80">
        <f t="shared" ref="V1134:W1134" si="222">O1134/1000000</f>
        <v>6.471058</v>
      </c>
      <c r="W1134" s="80">
        <f t="shared" si="222"/>
        <v>6.25</v>
      </c>
      <c r="X1134" s="38">
        <f t="shared" si="219"/>
        <v>96.5838971</v>
      </c>
      <c r="Y1134" s="80">
        <f t="shared" ref="Y1134:Z1134" si="223">R1134/1000000</f>
        <v>3.476587</v>
      </c>
      <c r="Z1134" s="80">
        <f t="shared" si="223"/>
        <v>3.125</v>
      </c>
      <c r="AA1134" s="38">
        <f t="shared" si="221"/>
        <v>89.887007</v>
      </c>
    </row>
    <row r="1135">
      <c r="D1135" s="3">
        <v>1.0E8</v>
      </c>
      <c r="E1135" s="3" t="s">
        <v>463</v>
      </c>
      <c r="F1135" s="3">
        <v>1024.0</v>
      </c>
      <c r="G1135" s="3">
        <v>296881.0</v>
      </c>
      <c r="H1135" s="3">
        <v>106874.0</v>
      </c>
      <c r="I1135" s="30">
        <f t="shared" si="208"/>
        <v>97656.25</v>
      </c>
      <c r="J1135" s="30">
        <f t="shared" si="211"/>
        <v>97656.25</v>
      </c>
      <c r="K1135" s="30">
        <f t="shared" si="209"/>
        <v>292968.75</v>
      </c>
      <c r="L1135" s="30">
        <f t="shared" si="210"/>
        <v>98.68221611</v>
      </c>
      <c r="N1135" s="3">
        <v>8.0</v>
      </c>
      <c r="O1135" s="3">
        <v>6478236.0</v>
      </c>
      <c r="P1135" s="30">
        <v>6250000.0</v>
      </c>
      <c r="Q1135" s="38">
        <f t="shared" si="215"/>
        <v>96.47688043</v>
      </c>
      <c r="R1135" s="3">
        <v>3526815.0</v>
      </c>
      <c r="S1135" s="30">
        <v>3125000.0</v>
      </c>
      <c r="T1135" s="38">
        <f t="shared" si="216"/>
        <v>88.60685916</v>
      </c>
      <c r="U1135" s="30">
        <f t="shared" si="217"/>
        <v>8</v>
      </c>
      <c r="V1135" s="80">
        <f t="shared" ref="V1135:W1135" si="224">O1135/1000000</f>
        <v>6.478236</v>
      </c>
      <c r="W1135" s="80">
        <f t="shared" si="224"/>
        <v>6.25</v>
      </c>
      <c r="X1135" s="38">
        <f t="shared" si="219"/>
        <v>96.47688043</v>
      </c>
      <c r="Y1135" s="80">
        <f t="shared" ref="Y1135:Z1135" si="225">R1135/1000000</f>
        <v>3.526815</v>
      </c>
      <c r="Z1135" s="80">
        <f t="shared" si="225"/>
        <v>3.125</v>
      </c>
      <c r="AA1135" s="38">
        <f t="shared" si="221"/>
        <v>88.60685916</v>
      </c>
    </row>
    <row r="1136">
      <c r="D1136" s="3">
        <v>1.0E8</v>
      </c>
      <c r="E1136" s="3" t="s">
        <v>463</v>
      </c>
      <c r="F1136" s="3">
        <v>2048.0</v>
      </c>
      <c r="G1136" s="3">
        <v>149252.0</v>
      </c>
      <c r="H1136" s="3">
        <v>58650.0</v>
      </c>
      <c r="I1136" s="30">
        <f t="shared" si="208"/>
        <v>48828.125</v>
      </c>
      <c r="J1136" s="30">
        <f t="shared" si="211"/>
        <v>48828.125</v>
      </c>
      <c r="K1136" s="30">
        <f t="shared" si="209"/>
        <v>146484.375</v>
      </c>
      <c r="L1136" s="30">
        <f t="shared" si="210"/>
        <v>98.14566974</v>
      </c>
      <c r="N1136" s="3">
        <v>16.0</v>
      </c>
      <c r="O1136" s="3">
        <v>6448674.0</v>
      </c>
      <c r="P1136" s="30">
        <v>6250000.0</v>
      </c>
      <c r="Q1136" s="38">
        <f t="shared" si="215"/>
        <v>96.91914958</v>
      </c>
      <c r="R1136" s="3">
        <v>3529939.0</v>
      </c>
      <c r="S1136" s="30">
        <v>3125000.0</v>
      </c>
      <c r="T1136" s="38">
        <f t="shared" si="216"/>
        <v>88.52844199</v>
      </c>
      <c r="U1136" s="30">
        <f t="shared" si="217"/>
        <v>16</v>
      </c>
      <c r="V1136" s="80">
        <f t="shared" ref="V1136:W1136" si="226">O1136/1000000</f>
        <v>6.448674</v>
      </c>
      <c r="W1136" s="80">
        <f t="shared" si="226"/>
        <v>6.25</v>
      </c>
      <c r="X1136" s="38">
        <f t="shared" si="219"/>
        <v>96.91914958</v>
      </c>
      <c r="Y1136" s="80">
        <f t="shared" ref="Y1136:Z1136" si="227">R1136/1000000</f>
        <v>3.529939</v>
      </c>
      <c r="Z1136" s="80">
        <f t="shared" si="227"/>
        <v>3.125</v>
      </c>
      <c r="AA1136" s="38">
        <f t="shared" si="221"/>
        <v>88.52844199</v>
      </c>
    </row>
    <row r="1137">
      <c r="D1137" s="3">
        <v>1.0E8</v>
      </c>
      <c r="E1137" s="3" t="s">
        <v>463</v>
      </c>
      <c r="F1137" s="3">
        <v>4096.0</v>
      </c>
      <c r="G1137" s="3">
        <v>75072.0</v>
      </c>
      <c r="H1137" s="3">
        <v>31081.0</v>
      </c>
      <c r="I1137" s="30">
        <f t="shared" si="208"/>
        <v>24414.0625</v>
      </c>
      <c r="J1137" s="30">
        <f t="shared" si="211"/>
        <v>24414.0625</v>
      </c>
      <c r="K1137" s="30">
        <f t="shared" si="209"/>
        <v>73242.1875</v>
      </c>
      <c r="L1137" s="30">
        <f t="shared" si="210"/>
        <v>97.56258991</v>
      </c>
      <c r="N1137" s="3">
        <v>32.0</v>
      </c>
      <c r="O1137" s="3">
        <v>3307483.0</v>
      </c>
      <c r="P1137" s="30">
        <v>3125000.0</v>
      </c>
      <c r="Q1137" s="38">
        <f t="shared" si="215"/>
        <v>94.48272296</v>
      </c>
      <c r="R1137" s="3">
        <v>3347793.0</v>
      </c>
      <c r="S1137" s="30">
        <v>3125000.0</v>
      </c>
      <c r="T1137" s="38">
        <f t="shared" si="216"/>
        <v>93.34507838</v>
      </c>
      <c r="U1137" s="30">
        <f t="shared" si="217"/>
        <v>32</v>
      </c>
      <c r="V1137" s="80">
        <f t="shared" ref="V1137:W1137" si="228">O1137/1000000</f>
        <v>3.307483</v>
      </c>
      <c r="W1137" s="80">
        <f t="shared" si="228"/>
        <v>3.125</v>
      </c>
      <c r="X1137" s="38">
        <f t="shared" si="219"/>
        <v>94.48272296</v>
      </c>
      <c r="Y1137" s="80">
        <f t="shared" ref="Y1137:Z1137" si="229">R1137/1000000</f>
        <v>3.347793</v>
      </c>
      <c r="Z1137" s="80">
        <f t="shared" si="229"/>
        <v>3.125</v>
      </c>
      <c r="AA1137" s="38">
        <f t="shared" si="221"/>
        <v>93.34507838</v>
      </c>
    </row>
    <row r="1138">
      <c r="D1138" s="3">
        <v>1.0E8</v>
      </c>
      <c r="E1138" s="3" t="s">
        <v>463</v>
      </c>
      <c r="F1138" s="3">
        <v>8192.0</v>
      </c>
      <c r="G1138" s="3">
        <v>37848.0</v>
      </c>
      <c r="H1138" s="3">
        <v>15670.0</v>
      </c>
      <c r="I1138" s="30">
        <f t="shared" si="208"/>
        <v>12207.03125</v>
      </c>
      <c r="J1138" s="30">
        <f t="shared" si="211"/>
        <v>12207.03125</v>
      </c>
      <c r="K1138" s="30">
        <f t="shared" si="209"/>
        <v>36621.09375</v>
      </c>
      <c r="L1138" s="30">
        <f t="shared" si="210"/>
        <v>96.75833267</v>
      </c>
      <c r="N1138" s="3">
        <v>64.0</v>
      </c>
      <c r="O1138" s="3">
        <v>1741280.0</v>
      </c>
      <c r="P1138" s="30">
        <v>1644736.8421052631</v>
      </c>
      <c r="Q1138" s="38">
        <f t="shared" si="215"/>
        <v>94.45562127</v>
      </c>
      <c r="R1138" s="3">
        <v>3248735.0</v>
      </c>
      <c r="S1138" s="30">
        <v>3125000.0</v>
      </c>
      <c r="T1138" s="38">
        <f t="shared" si="216"/>
        <v>96.19128676</v>
      </c>
      <c r="U1138" s="30">
        <f t="shared" si="217"/>
        <v>64</v>
      </c>
      <c r="V1138" s="80">
        <f t="shared" ref="V1138:W1138" si="230">O1138/1000000</f>
        <v>1.74128</v>
      </c>
      <c r="W1138" s="80">
        <f t="shared" si="230"/>
        <v>1.644736842</v>
      </c>
      <c r="X1138" s="38">
        <f t="shared" si="219"/>
        <v>94.45562127</v>
      </c>
      <c r="Y1138" s="80">
        <f t="shared" ref="Y1138:Z1138" si="231">R1138/1000000</f>
        <v>3.248735</v>
      </c>
      <c r="Z1138" s="80">
        <f t="shared" si="231"/>
        <v>3.125</v>
      </c>
      <c r="AA1138" s="38">
        <f t="shared" si="221"/>
        <v>96.19128676</v>
      </c>
    </row>
    <row r="1139">
      <c r="E1139" s="3"/>
      <c r="N1139" s="3">
        <v>128.0</v>
      </c>
      <c r="O1139" s="3">
        <v>952054.0</v>
      </c>
      <c r="P1139" s="30">
        <v>913742.6900584796</v>
      </c>
      <c r="Q1139" s="38">
        <f t="shared" si="215"/>
        <v>95.97593099</v>
      </c>
      <c r="R1139" s="3">
        <v>3214442.0</v>
      </c>
      <c r="S1139" s="30">
        <v>3125000.0</v>
      </c>
      <c r="T1139" s="38">
        <f t="shared" si="216"/>
        <v>97.21749529</v>
      </c>
      <c r="U1139" s="30">
        <f t="shared" si="217"/>
        <v>128</v>
      </c>
      <c r="V1139" s="80">
        <f t="shared" ref="V1139:W1139" si="232">O1139/1000000</f>
        <v>0.952054</v>
      </c>
      <c r="W1139" s="80">
        <f t="shared" si="232"/>
        <v>0.9137426901</v>
      </c>
      <c r="X1139" s="38">
        <f t="shared" si="219"/>
        <v>95.97593099</v>
      </c>
      <c r="Y1139" s="80">
        <f t="shared" ref="Y1139:Z1139" si="233">R1139/1000000</f>
        <v>3.214442</v>
      </c>
      <c r="Z1139" s="80">
        <f t="shared" si="233"/>
        <v>3.125</v>
      </c>
      <c r="AA1139" s="38">
        <f t="shared" si="221"/>
        <v>97.21749529</v>
      </c>
    </row>
    <row r="1140">
      <c r="E1140" s="3"/>
      <c r="N1140" s="3">
        <v>256.0</v>
      </c>
      <c r="O1140" s="3">
        <v>562740.0</v>
      </c>
      <c r="P1140" s="30">
        <v>537495.7000343997</v>
      </c>
      <c r="Q1140" s="38">
        <f t="shared" si="215"/>
        <v>95.51403846</v>
      </c>
      <c r="R1140" s="3">
        <v>3210576.0</v>
      </c>
      <c r="S1140" s="30">
        <v>3125000.0</v>
      </c>
      <c r="T1140" s="38">
        <f t="shared" si="216"/>
        <v>97.33455928</v>
      </c>
      <c r="U1140" s="30">
        <f t="shared" si="217"/>
        <v>256</v>
      </c>
      <c r="V1140" s="80">
        <f t="shared" ref="V1140:W1140" si="234">O1140/1000000</f>
        <v>0.56274</v>
      </c>
      <c r="W1140" s="80">
        <f t="shared" si="234"/>
        <v>0.5374957</v>
      </c>
      <c r="X1140" s="38">
        <f t="shared" si="219"/>
        <v>95.51403846</v>
      </c>
      <c r="Y1140" s="80">
        <f t="shared" ref="Y1140:Z1140" si="235">R1140/1000000</f>
        <v>3.210576</v>
      </c>
      <c r="Z1140" s="80">
        <f t="shared" si="235"/>
        <v>3.125</v>
      </c>
      <c r="AA1140" s="38">
        <f t="shared" si="221"/>
        <v>97.33455928</v>
      </c>
    </row>
    <row r="1141">
      <c r="E1141" s="3"/>
      <c r="J1141" s="3">
        <v>2097152.0</v>
      </c>
      <c r="K1141" s="30">
        <f>J1141/64</f>
        <v>32768</v>
      </c>
      <c r="N1141" s="3">
        <v>512.0</v>
      </c>
      <c r="O1141" s="3">
        <v>363120.0</v>
      </c>
      <c r="P1141" s="30">
        <v>358330.46668959985</v>
      </c>
      <c r="Q1141" s="38">
        <f t="shared" si="215"/>
        <v>98.68100537</v>
      </c>
      <c r="R1141" s="3">
        <v>3146218.0</v>
      </c>
      <c r="S1141" s="30">
        <v>3125000.0</v>
      </c>
      <c r="T1141" s="38">
        <f t="shared" si="216"/>
        <v>99.32560299</v>
      </c>
      <c r="U1141" s="30">
        <f t="shared" si="217"/>
        <v>512</v>
      </c>
      <c r="V1141" s="80">
        <f t="shared" ref="V1141:W1141" si="236">O1141/1000000</f>
        <v>0.36312</v>
      </c>
      <c r="W1141" s="80">
        <f t="shared" si="236"/>
        <v>0.3583304667</v>
      </c>
      <c r="X1141" s="38">
        <f t="shared" si="219"/>
        <v>98.68100537</v>
      </c>
      <c r="Y1141" s="80">
        <f t="shared" ref="Y1141:Z1141" si="237">R1141/1000000</f>
        <v>3.146218</v>
      </c>
      <c r="Z1141" s="80">
        <f t="shared" si="237"/>
        <v>3.125</v>
      </c>
      <c r="AA1141" s="38">
        <f t="shared" si="221"/>
        <v>99.32560299</v>
      </c>
    </row>
    <row r="1142">
      <c r="E1142" s="3"/>
      <c r="J1142" s="30">
        <f>J1141/4</f>
        <v>524288</v>
      </c>
      <c r="N1142" s="3">
        <v>1024.0</v>
      </c>
      <c r="O1142" s="3">
        <v>263755.0</v>
      </c>
      <c r="P1142" s="30">
        <v>275638.82053046144</v>
      </c>
      <c r="Q1142" s="38">
        <f t="shared" si="215"/>
        <v>95.49437147</v>
      </c>
      <c r="R1142" s="3">
        <v>3176502.0</v>
      </c>
      <c r="S1142" s="30">
        <v>3125000.0</v>
      </c>
      <c r="T1142" s="38">
        <f t="shared" si="216"/>
        <v>98.37865677</v>
      </c>
      <c r="U1142" s="30">
        <f t="shared" si="217"/>
        <v>1024</v>
      </c>
      <c r="V1142" s="80">
        <f t="shared" ref="V1142:W1142" si="238">O1142/1000000</f>
        <v>0.263755</v>
      </c>
      <c r="W1142" s="80">
        <f t="shared" si="238"/>
        <v>0.2756388205</v>
      </c>
      <c r="X1142" s="38">
        <f t="shared" si="219"/>
        <v>95.49437147</v>
      </c>
      <c r="Y1142" s="80">
        <f t="shared" ref="Y1142:Z1142" si="239">R1142/1000000</f>
        <v>3.176502</v>
      </c>
      <c r="Z1142" s="80">
        <f t="shared" si="239"/>
        <v>3.125</v>
      </c>
      <c r="AA1142" s="38">
        <f t="shared" si="221"/>
        <v>98.37865677</v>
      </c>
    </row>
    <row r="1143">
      <c r="E1143" s="3" t="s">
        <v>502</v>
      </c>
      <c r="N1143" s="3">
        <v>2048.0</v>
      </c>
      <c r="O1143" s="3">
        <v>215847.0</v>
      </c>
      <c r="P1143" s="30">
        <v>229699.01710871788</v>
      </c>
      <c r="Q1143" s="38">
        <f t="shared" si="215"/>
        <v>93.58248338</v>
      </c>
      <c r="R1143" s="3">
        <v>3137363.0</v>
      </c>
      <c r="S1143" s="30">
        <v>3125000.0</v>
      </c>
      <c r="T1143" s="38">
        <f t="shared" si="216"/>
        <v>99.60594295</v>
      </c>
      <c r="U1143" s="30">
        <f t="shared" si="217"/>
        <v>2048</v>
      </c>
      <c r="V1143" s="80">
        <f t="shared" ref="V1143:W1143" si="240">O1143/1000000</f>
        <v>0.215847</v>
      </c>
      <c r="W1143" s="80">
        <f t="shared" si="240"/>
        <v>0.2296990171</v>
      </c>
      <c r="X1143" s="38">
        <f t="shared" si="219"/>
        <v>93.58248338</v>
      </c>
      <c r="Y1143" s="80">
        <f t="shared" ref="Y1143:Z1143" si="241">R1143/1000000</f>
        <v>3.137363</v>
      </c>
      <c r="Z1143" s="80">
        <f t="shared" si="241"/>
        <v>3.125</v>
      </c>
      <c r="AA1143" s="38">
        <f t="shared" si="221"/>
        <v>99.60594295</v>
      </c>
    </row>
    <row r="1144">
      <c r="E1144" s="3"/>
      <c r="N1144" s="3">
        <v>4096.0</v>
      </c>
      <c r="O1144" s="3">
        <v>193776.0</v>
      </c>
      <c r="P1144" s="30">
        <v>208817.2882806526</v>
      </c>
      <c r="Q1144" s="38">
        <f t="shared" si="215"/>
        <v>92.23779607</v>
      </c>
      <c r="R1144" s="3">
        <v>3164127.0</v>
      </c>
      <c r="S1144" s="30">
        <v>3125000.0</v>
      </c>
      <c r="T1144" s="38">
        <f t="shared" si="216"/>
        <v>98.76341879</v>
      </c>
      <c r="U1144" s="30">
        <f t="shared" si="217"/>
        <v>4096</v>
      </c>
      <c r="V1144" s="80">
        <f t="shared" ref="V1144:W1144" si="242">O1144/1000000</f>
        <v>0.193776</v>
      </c>
      <c r="W1144" s="80">
        <f t="shared" si="242"/>
        <v>0.2088172883</v>
      </c>
      <c r="X1144" s="38">
        <f t="shared" si="219"/>
        <v>92.23779607</v>
      </c>
      <c r="Y1144" s="80">
        <f t="shared" ref="Y1144:Z1144" si="243">R1144/1000000</f>
        <v>3.164127</v>
      </c>
      <c r="Z1144" s="80">
        <f t="shared" si="243"/>
        <v>3.125</v>
      </c>
      <c r="AA1144" s="38">
        <f t="shared" si="221"/>
        <v>98.76341879</v>
      </c>
    </row>
    <row r="1145">
      <c r="E1145" s="3" t="s">
        <v>501</v>
      </c>
      <c r="N1145" s="3">
        <v>8192.0</v>
      </c>
      <c r="O1145" s="3">
        <v>177994.0</v>
      </c>
      <c r="P1145" s="30">
        <v>208817.2882806526</v>
      </c>
      <c r="Q1145" s="38">
        <f t="shared" si="215"/>
        <v>82.68296219</v>
      </c>
      <c r="R1145" s="3">
        <v>3166606.0</v>
      </c>
      <c r="S1145" s="30">
        <v>3125000.0</v>
      </c>
      <c r="T1145" s="38">
        <f t="shared" si="216"/>
        <v>98.68610114</v>
      </c>
      <c r="U1145" s="30">
        <f t="shared" si="217"/>
        <v>8192</v>
      </c>
      <c r="V1145" s="80">
        <f t="shared" ref="V1145:W1145" si="244">O1145/1000000</f>
        <v>0.177994</v>
      </c>
      <c r="W1145" s="80">
        <f t="shared" si="244"/>
        <v>0.2088172883</v>
      </c>
      <c r="X1145" s="38">
        <f t="shared" si="219"/>
        <v>82.68296219</v>
      </c>
      <c r="Y1145" s="80">
        <f t="shared" ref="Y1145:Z1145" si="245">R1145/1000000</f>
        <v>3.166606</v>
      </c>
      <c r="Z1145" s="80">
        <f t="shared" si="245"/>
        <v>3.125</v>
      </c>
      <c r="AA1145" s="38">
        <f t="shared" si="221"/>
        <v>98.68610114</v>
      </c>
    </row>
    <row r="1146">
      <c r="E1146" s="3" t="s">
        <v>503</v>
      </c>
    </row>
    <row r="1147">
      <c r="E1147" s="3"/>
    </row>
    <row r="1148">
      <c r="E1148" s="3" t="s">
        <v>501</v>
      </c>
      <c r="K1148" s="3" t="s">
        <v>446</v>
      </c>
      <c r="L1148" s="3" t="s">
        <v>504</v>
      </c>
      <c r="M1148" s="3">
        <v>60.0</v>
      </c>
      <c r="N1148" s="30">
        <f>M1148*64</f>
        <v>3840</v>
      </c>
      <c r="P1148" s="3">
        <v>1.0E8</v>
      </c>
      <c r="Q1148" s="30">
        <f>P1148*4</f>
        <v>400000000</v>
      </c>
      <c r="R1148" s="30">
        <f>Q1148/64</f>
        <v>6250000</v>
      </c>
      <c r="S1148" s="30">
        <f>R1148*2</f>
        <v>12500000</v>
      </c>
    </row>
    <row r="1149">
      <c r="E1149" s="3" t="s">
        <v>505</v>
      </c>
    </row>
    <row r="1150">
      <c r="E1150" s="3"/>
      <c r="H1150" s="3" t="s">
        <v>506</v>
      </c>
      <c r="I1150" s="3" t="s">
        <v>323</v>
      </c>
    </row>
    <row r="1151">
      <c r="E1151" s="3" t="s">
        <v>507</v>
      </c>
      <c r="H1151" s="3">
        <v>1.3213849E7</v>
      </c>
      <c r="I1151" s="3">
        <v>6641192.0</v>
      </c>
      <c r="L1151" s="3">
        <v>60.0</v>
      </c>
      <c r="N1151" s="3" t="s">
        <v>324</v>
      </c>
      <c r="O1151" s="3" t="s">
        <v>448</v>
      </c>
      <c r="P1151" s="3" t="s">
        <v>497</v>
      </c>
      <c r="Q1151" s="3" t="s">
        <v>498</v>
      </c>
      <c r="R1151" s="3" t="s">
        <v>449</v>
      </c>
      <c r="S1151" s="3" t="s">
        <v>499</v>
      </c>
      <c r="T1151" s="3" t="s">
        <v>498</v>
      </c>
      <c r="U1151" s="30" t="str">
        <f t="shared" ref="U1151:AA1151" si="246">N1151</f>
        <v>Stride</v>
      </c>
      <c r="V1151" s="30" t="str">
        <f t="shared" si="246"/>
        <v>Read</v>
      </c>
      <c r="W1151" s="30" t="str">
        <f t="shared" si="246"/>
        <v>Predict R</v>
      </c>
      <c r="X1151" s="30" t="str">
        <f t="shared" si="246"/>
        <v>Accuracy</v>
      </c>
      <c r="Y1151" s="30" t="str">
        <f t="shared" si="246"/>
        <v>Write</v>
      </c>
      <c r="Z1151" s="30" t="str">
        <f t="shared" si="246"/>
        <v>Predict W</v>
      </c>
      <c r="AA1151" s="30" t="str">
        <f t="shared" si="246"/>
        <v>Accuracy</v>
      </c>
    </row>
    <row r="1152">
      <c r="E1152" s="3"/>
      <c r="H1152" s="3">
        <v>1.3183384E7</v>
      </c>
      <c r="I1152" s="3">
        <v>6630686.0</v>
      </c>
      <c r="N1152" s="3">
        <v>1.0</v>
      </c>
      <c r="O1152" s="3">
        <v>1.3213849E7</v>
      </c>
      <c r="P1152" s="30">
        <v>1.25E7</v>
      </c>
      <c r="Q1152" s="38">
        <f t="shared" ref="Q1152:Q1165" si="249">100-ABS((O1152-P1152)/O1152*100)</f>
        <v>94.59772092</v>
      </c>
      <c r="R1152" s="3">
        <v>6641192.0</v>
      </c>
      <c r="S1152" s="30">
        <v>3125000.0</v>
      </c>
      <c r="T1152" s="38">
        <f t="shared" ref="T1152:T1165" si="250">100-ABS((R1152-S1152)/R1152*100)</f>
        <v>47.05480582</v>
      </c>
      <c r="U1152" s="30">
        <f t="shared" ref="U1152:U1165" si="251">N1152</f>
        <v>1</v>
      </c>
      <c r="V1152" s="80">
        <f t="shared" ref="V1152:W1152" si="247">O1152/1000000</f>
        <v>13.213849</v>
      </c>
      <c r="W1152" s="80">
        <f t="shared" si="247"/>
        <v>12.5</v>
      </c>
      <c r="X1152" s="38">
        <f t="shared" ref="X1152:X1165" si="253">Q1152</f>
        <v>94.59772092</v>
      </c>
      <c r="Y1152" s="80">
        <f t="shared" ref="Y1152:Z1152" si="248">R1152/1000000</f>
        <v>6.641192</v>
      </c>
      <c r="Z1152" s="80">
        <f t="shared" si="248"/>
        <v>3.125</v>
      </c>
      <c r="AA1152" s="38">
        <f t="shared" ref="AA1152:AA1165" si="255">T1152</f>
        <v>47.05480582</v>
      </c>
    </row>
    <row r="1153">
      <c r="E1153" s="3" t="s">
        <v>501</v>
      </c>
      <c r="H1153" s="3">
        <v>1.318475E7</v>
      </c>
      <c r="I1153" s="3">
        <v>6642057.0</v>
      </c>
      <c r="K1153" s="3" t="s">
        <v>508</v>
      </c>
      <c r="L1153" s="30" t="str">
        <f>K1153/64</f>
        <v>#VALUE!</v>
      </c>
      <c r="N1153" s="3">
        <v>2.0</v>
      </c>
      <c r="O1153" s="3">
        <v>1.3183384E7</v>
      </c>
      <c r="P1153" s="30">
        <v>1.25E7</v>
      </c>
      <c r="Q1153" s="38">
        <f t="shared" si="249"/>
        <v>94.81632334</v>
      </c>
      <c r="R1153" s="3">
        <v>6630686.0</v>
      </c>
      <c r="S1153" s="30">
        <v>3125000.0</v>
      </c>
      <c r="T1153" s="38">
        <f t="shared" si="250"/>
        <v>47.12936188</v>
      </c>
      <c r="U1153" s="30">
        <f t="shared" si="251"/>
        <v>2</v>
      </c>
      <c r="V1153" s="80">
        <f t="shared" ref="V1153:W1153" si="252">O1153/1000000</f>
        <v>13.183384</v>
      </c>
      <c r="W1153" s="80">
        <f t="shared" si="252"/>
        <v>12.5</v>
      </c>
      <c r="X1153" s="38">
        <f t="shared" si="253"/>
        <v>94.81632334</v>
      </c>
      <c r="Y1153" s="80">
        <f t="shared" ref="Y1153:Z1153" si="254">R1153/1000000</f>
        <v>6.630686</v>
      </c>
      <c r="Z1153" s="80">
        <f t="shared" si="254"/>
        <v>3.125</v>
      </c>
      <c r="AA1153" s="38">
        <f t="shared" si="255"/>
        <v>47.12936188</v>
      </c>
    </row>
    <row r="1154">
      <c r="E1154" s="3" t="s">
        <v>509</v>
      </c>
      <c r="H1154" s="3">
        <v>1.3181213E7</v>
      </c>
      <c r="I1154" s="3">
        <v>6656886.0</v>
      </c>
      <c r="N1154" s="3">
        <v>4.0</v>
      </c>
      <c r="O1154" s="3">
        <v>1.318475E7</v>
      </c>
      <c r="P1154" s="30">
        <v>1.25E7</v>
      </c>
      <c r="Q1154" s="38">
        <f t="shared" si="249"/>
        <v>94.80649993</v>
      </c>
      <c r="R1154" s="3">
        <v>6642057.0</v>
      </c>
      <c r="S1154" s="30">
        <v>3125000.0</v>
      </c>
      <c r="T1154" s="38">
        <f t="shared" si="250"/>
        <v>47.04867784</v>
      </c>
      <c r="U1154" s="30">
        <f t="shared" si="251"/>
        <v>4</v>
      </c>
      <c r="V1154" s="80">
        <f t="shared" ref="V1154:W1154" si="256">O1154/1000000</f>
        <v>13.18475</v>
      </c>
      <c r="W1154" s="80">
        <f t="shared" si="256"/>
        <v>12.5</v>
      </c>
      <c r="X1154" s="38">
        <f t="shared" si="253"/>
        <v>94.80649993</v>
      </c>
      <c r="Y1154" s="80">
        <f t="shared" ref="Y1154:Z1154" si="257">R1154/1000000</f>
        <v>6.642057</v>
      </c>
      <c r="Z1154" s="80">
        <f t="shared" si="257"/>
        <v>3.125</v>
      </c>
      <c r="AA1154" s="38">
        <f t="shared" si="255"/>
        <v>47.04867784</v>
      </c>
    </row>
    <row r="1155">
      <c r="E1155" s="3"/>
      <c r="H1155" s="3">
        <v>1.3181552E7</v>
      </c>
      <c r="I1155" s="3">
        <v>6656670.0</v>
      </c>
      <c r="N1155" s="3">
        <v>8.0</v>
      </c>
      <c r="O1155" s="3">
        <v>1.3181213E7</v>
      </c>
      <c r="P1155" s="30">
        <v>1.25E7</v>
      </c>
      <c r="Q1155" s="38">
        <f t="shared" si="249"/>
        <v>94.83193997</v>
      </c>
      <c r="R1155" s="3">
        <v>6656886.0</v>
      </c>
      <c r="S1155" s="30">
        <v>3125000.0</v>
      </c>
      <c r="T1155" s="38">
        <f t="shared" si="250"/>
        <v>46.94387135</v>
      </c>
      <c r="U1155" s="30">
        <f t="shared" si="251"/>
        <v>8</v>
      </c>
      <c r="V1155" s="80">
        <f t="shared" ref="V1155:W1155" si="258">O1155/1000000</f>
        <v>13.181213</v>
      </c>
      <c r="W1155" s="80">
        <f t="shared" si="258"/>
        <v>12.5</v>
      </c>
      <c r="X1155" s="38">
        <f t="shared" si="253"/>
        <v>94.83193997</v>
      </c>
      <c r="Y1155" s="80">
        <f t="shared" ref="Y1155:Z1155" si="259">R1155/1000000</f>
        <v>6.656886</v>
      </c>
      <c r="Z1155" s="80">
        <f t="shared" si="259"/>
        <v>3.125</v>
      </c>
      <c r="AA1155" s="38">
        <f t="shared" si="255"/>
        <v>46.94387135</v>
      </c>
    </row>
    <row r="1156">
      <c r="E1156" s="3" t="s">
        <v>501</v>
      </c>
      <c r="H1156" s="3">
        <v>6794324.0</v>
      </c>
      <c r="I1156" s="3">
        <v>6502164.0</v>
      </c>
      <c r="N1156" s="3">
        <v>16.0</v>
      </c>
      <c r="O1156" s="3">
        <v>1.3181552E7</v>
      </c>
      <c r="P1156" s="30">
        <v>1.25E7</v>
      </c>
      <c r="Q1156" s="38">
        <f t="shared" si="249"/>
        <v>94.82950111</v>
      </c>
      <c r="R1156" s="3">
        <v>6656670.0</v>
      </c>
      <c r="S1156" s="30">
        <v>3125000.0</v>
      </c>
      <c r="T1156" s="38">
        <f t="shared" si="250"/>
        <v>46.94539462</v>
      </c>
      <c r="U1156" s="30">
        <f t="shared" si="251"/>
        <v>16</v>
      </c>
      <c r="V1156" s="80">
        <f t="shared" ref="V1156:W1156" si="260">O1156/1000000</f>
        <v>13.181552</v>
      </c>
      <c r="W1156" s="80">
        <f t="shared" si="260"/>
        <v>12.5</v>
      </c>
      <c r="X1156" s="38">
        <f t="shared" si="253"/>
        <v>94.82950111</v>
      </c>
      <c r="Y1156" s="80">
        <f t="shared" ref="Y1156:Z1156" si="261">R1156/1000000</f>
        <v>6.65667</v>
      </c>
      <c r="Z1156" s="80">
        <f t="shared" si="261"/>
        <v>3.125</v>
      </c>
      <c r="AA1156" s="38">
        <f t="shared" si="255"/>
        <v>46.94539462</v>
      </c>
    </row>
    <row r="1157">
      <c r="E1157" s="3" t="s">
        <v>510</v>
      </c>
      <c r="H1157" s="3">
        <v>3599627.0</v>
      </c>
      <c r="I1157" s="3">
        <v>6406969.0</v>
      </c>
      <c r="N1157" s="3">
        <v>32.0</v>
      </c>
      <c r="O1157" s="3">
        <v>6794324.0</v>
      </c>
      <c r="P1157" s="30">
        <f t="shared" ref="P1157:P1165" si="264">P1156/2</f>
        <v>6250000</v>
      </c>
      <c r="Q1157" s="38">
        <f t="shared" si="249"/>
        <v>91.98854809</v>
      </c>
      <c r="R1157" s="3">
        <v>6502164.0</v>
      </c>
      <c r="S1157" s="30">
        <v>3125000.0</v>
      </c>
      <c r="T1157" s="38">
        <f t="shared" si="250"/>
        <v>48.06092249</v>
      </c>
      <c r="U1157" s="30">
        <f t="shared" si="251"/>
        <v>32</v>
      </c>
      <c r="V1157" s="80">
        <f t="shared" ref="V1157:W1157" si="262">O1157/1000000</f>
        <v>6.794324</v>
      </c>
      <c r="W1157" s="80">
        <f t="shared" si="262"/>
        <v>6.25</v>
      </c>
      <c r="X1157" s="38">
        <f t="shared" si="253"/>
        <v>91.98854809</v>
      </c>
      <c r="Y1157" s="80">
        <f t="shared" ref="Y1157:Z1157" si="263">R1157/1000000</f>
        <v>6.502164</v>
      </c>
      <c r="Z1157" s="80">
        <f t="shared" si="263"/>
        <v>3.125</v>
      </c>
      <c r="AA1157" s="38">
        <f t="shared" si="255"/>
        <v>48.06092249</v>
      </c>
    </row>
    <row r="1158">
      <c r="E1158" s="3"/>
      <c r="H1158" s="3">
        <v>2035958.0</v>
      </c>
      <c r="I1158" s="3">
        <v>6398385.0</v>
      </c>
      <c r="N1158" s="3">
        <v>64.0</v>
      </c>
      <c r="O1158" s="3">
        <v>3599627.0</v>
      </c>
      <c r="P1158" s="30">
        <f t="shared" si="264"/>
        <v>3125000</v>
      </c>
      <c r="Q1158" s="38">
        <f t="shared" si="249"/>
        <v>86.81455051</v>
      </c>
      <c r="R1158" s="3">
        <v>6406969.0</v>
      </c>
      <c r="S1158" s="30">
        <v>3125000.0</v>
      </c>
      <c r="T1158" s="38">
        <f t="shared" si="250"/>
        <v>48.77501358</v>
      </c>
      <c r="U1158" s="30">
        <f t="shared" si="251"/>
        <v>64</v>
      </c>
      <c r="V1158" s="80">
        <f t="shared" ref="V1158:W1158" si="265">O1158/1000000</f>
        <v>3.599627</v>
      </c>
      <c r="W1158" s="80">
        <f t="shared" si="265"/>
        <v>3.125</v>
      </c>
      <c r="X1158" s="38">
        <f t="shared" si="253"/>
        <v>86.81455051</v>
      </c>
      <c r="Y1158" s="80">
        <f t="shared" ref="Y1158:Z1158" si="266">R1158/1000000</f>
        <v>6.406969</v>
      </c>
      <c r="Z1158" s="80">
        <f t="shared" si="266"/>
        <v>3.125</v>
      </c>
      <c r="AA1158" s="38">
        <f t="shared" si="255"/>
        <v>48.77501358</v>
      </c>
    </row>
    <row r="1159">
      <c r="E1159" s="3"/>
      <c r="H1159" s="3">
        <v>1234110.0</v>
      </c>
      <c r="I1159" s="3">
        <v>6411634.0</v>
      </c>
      <c r="N1159" s="3">
        <v>128.0</v>
      </c>
      <c r="O1159" s="3">
        <v>2035958.0</v>
      </c>
      <c r="P1159" s="30">
        <f t="shared" si="264"/>
        <v>1562500</v>
      </c>
      <c r="Q1159" s="38">
        <f t="shared" si="249"/>
        <v>76.74519808</v>
      </c>
      <c r="R1159" s="3">
        <v>6398385.0</v>
      </c>
      <c r="S1159" s="30">
        <v>3125000.0</v>
      </c>
      <c r="T1159" s="38">
        <f t="shared" si="250"/>
        <v>48.84044958</v>
      </c>
      <c r="U1159" s="30">
        <f t="shared" si="251"/>
        <v>128</v>
      </c>
      <c r="V1159" s="80">
        <f t="shared" ref="V1159:W1159" si="267">O1159/1000000</f>
        <v>2.035958</v>
      </c>
      <c r="W1159" s="80">
        <f t="shared" si="267"/>
        <v>1.5625</v>
      </c>
      <c r="X1159" s="38">
        <f t="shared" si="253"/>
        <v>76.74519808</v>
      </c>
      <c r="Y1159" s="80">
        <f t="shared" ref="Y1159:Z1159" si="268">R1159/1000000</f>
        <v>6.398385</v>
      </c>
      <c r="Z1159" s="80">
        <f t="shared" si="268"/>
        <v>3.125</v>
      </c>
      <c r="AA1159" s="38">
        <f t="shared" si="255"/>
        <v>48.84044958</v>
      </c>
    </row>
    <row r="1160">
      <c r="E1160" s="3"/>
      <c r="H1160" s="3">
        <v>842232.0</v>
      </c>
      <c r="I1160" s="3">
        <v>6406930.0</v>
      </c>
      <c r="N1160" s="3">
        <v>256.0</v>
      </c>
      <c r="O1160" s="3">
        <v>1234110.0</v>
      </c>
      <c r="P1160" s="30">
        <f t="shared" si="264"/>
        <v>781250</v>
      </c>
      <c r="Q1160" s="38">
        <f t="shared" si="249"/>
        <v>63.30472972</v>
      </c>
      <c r="R1160" s="3">
        <v>6411634.0</v>
      </c>
      <c r="S1160" s="30">
        <v>3125000.0</v>
      </c>
      <c r="T1160" s="38">
        <f t="shared" si="250"/>
        <v>48.73952568</v>
      </c>
      <c r="U1160" s="30">
        <f t="shared" si="251"/>
        <v>256</v>
      </c>
      <c r="V1160" s="80">
        <f t="shared" ref="V1160:W1160" si="269">O1160/1000000</f>
        <v>1.23411</v>
      </c>
      <c r="W1160" s="80">
        <f t="shared" si="269"/>
        <v>0.78125</v>
      </c>
      <c r="X1160" s="38">
        <f t="shared" si="253"/>
        <v>63.30472972</v>
      </c>
      <c r="Y1160" s="80">
        <f t="shared" ref="Y1160:Z1160" si="270">R1160/1000000</f>
        <v>6.411634</v>
      </c>
      <c r="Z1160" s="80">
        <f t="shared" si="270"/>
        <v>3.125</v>
      </c>
      <c r="AA1160" s="38">
        <f t="shared" si="255"/>
        <v>48.73952568</v>
      </c>
    </row>
    <row r="1161">
      <c r="B1161" s="3">
        <v>1.0</v>
      </c>
      <c r="C1161" s="3" t="s">
        <v>511</v>
      </c>
      <c r="H1161" s="3">
        <v>644861.0</v>
      </c>
      <c r="I1161" s="3">
        <v>6379757.0</v>
      </c>
      <c r="N1161" s="3">
        <v>512.0</v>
      </c>
      <c r="O1161" s="3">
        <v>842232.0</v>
      </c>
      <c r="P1161" s="30">
        <f t="shared" si="264"/>
        <v>390625</v>
      </c>
      <c r="Q1161" s="38">
        <f t="shared" si="249"/>
        <v>46.3797386</v>
      </c>
      <c r="R1161" s="3">
        <v>6406930.0</v>
      </c>
      <c r="S1161" s="30">
        <v>3125000.0</v>
      </c>
      <c r="T1161" s="38">
        <f t="shared" si="250"/>
        <v>48.77531048</v>
      </c>
      <c r="U1161" s="30">
        <f t="shared" si="251"/>
        <v>512</v>
      </c>
      <c r="V1161" s="80">
        <f t="shared" ref="V1161:W1161" si="271">O1161/1000000</f>
        <v>0.842232</v>
      </c>
      <c r="W1161" s="80">
        <f t="shared" si="271"/>
        <v>0.390625</v>
      </c>
      <c r="X1161" s="38">
        <f t="shared" si="253"/>
        <v>46.3797386</v>
      </c>
      <c r="Y1161" s="80">
        <f t="shared" ref="Y1161:Z1161" si="272">R1161/1000000</f>
        <v>6.40693</v>
      </c>
      <c r="Z1161" s="80">
        <f t="shared" si="272"/>
        <v>3.125</v>
      </c>
      <c r="AA1161" s="38">
        <f t="shared" si="255"/>
        <v>48.77531048</v>
      </c>
    </row>
    <row r="1162">
      <c r="B1162" s="3">
        <v>2.0</v>
      </c>
      <c r="C1162" s="3" t="s">
        <v>512</v>
      </c>
      <c r="E1162" s="3" t="s">
        <v>513</v>
      </c>
      <c r="H1162" s="3">
        <v>519292.0</v>
      </c>
      <c r="I1162" s="3">
        <v>6360445.0</v>
      </c>
      <c r="N1162" s="3">
        <v>1024.0</v>
      </c>
      <c r="O1162" s="3">
        <v>644861.0</v>
      </c>
      <c r="P1162" s="30">
        <f t="shared" si="264"/>
        <v>195312.5</v>
      </c>
      <c r="Q1162" s="38">
        <f t="shared" si="249"/>
        <v>30.28753483</v>
      </c>
      <c r="R1162" s="3">
        <v>6379757.0</v>
      </c>
      <c r="S1162" s="30">
        <v>3125000.0</v>
      </c>
      <c r="T1162" s="38">
        <f t="shared" si="250"/>
        <v>48.98305688</v>
      </c>
      <c r="U1162" s="30">
        <f t="shared" si="251"/>
        <v>1024</v>
      </c>
      <c r="V1162" s="80">
        <f t="shared" ref="V1162:W1162" si="273">O1162/1000000</f>
        <v>0.644861</v>
      </c>
      <c r="W1162" s="80">
        <f t="shared" si="273"/>
        <v>0.1953125</v>
      </c>
      <c r="X1162" s="38">
        <f t="shared" si="253"/>
        <v>30.28753483</v>
      </c>
      <c r="Y1162" s="80">
        <f t="shared" ref="Y1162:Z1162" si="274">R1162/1000000</f>
        <v>6.379757</v>
      </c>
      <c r="Z1162" s="80">
        <f t="shared" si="274"/>
        <v>3.125</v>
      </c>
      <c r="AA1162" s="38">
        <f t="shared" si="255"/>
        <v>48.98305688</v>
      </c>
    </row>
    <row r="1163">
      <c r="E1163" s="3"/>
      <c r="H1163" s="3">
        <v>471113.0</v>
      </c>
      <c r="I1163" s="3">
        <v>6361990.0</v>
      </c>
      <c r="N1163" s="3">
        <v>2048.0</v>
      </c>
      <c r="O1163" s="3">
        <v>519292.0</v>
      </c>
      <c r="P1163" s="30">
        <f t="shared" si="264"/>
        <v>97656.25</v>
      </c>
      <c r="Q1163" s="38">
        <f t="shared" si="249"/>
        <v>18.8056527</v>
      </c>
      <c r="R1163" s="3">
        <v>6360445.0</v>
      </c>
      <c r="S1163" s="30">
        <v>3125000.0</v>
      </c>
      <c r="T1163" s="38">
        <f t="shared" si="250"/>
        <v>49.13178245</v>
      </c>
      <c r="U1163" s="30">
        <f t="shared" si="251"/>
        <v>2048</v>
      </c>
      <c r="V1163" s="80">
        <f t="shared" ref="V1163:W1163" si="275">O1163/1000000</f>
        <v>0.519292</v>
      </c>
      <c r="W1163" s="80">
        <f t="shared" si="275"/>
        <v>0.09765625</v>
      </c>
      <c r="X1163" s="38">
        <f t="shared" si="253"/>
        <v>18.8056527</v>
      </c>
      <c r="Y1163" s="80">
        <f t="shared" ref="Y1163:Z1163" si="276">R1163/1000000</f>
        <v>6.360445</v>
      </c>
      <c r="Z1163" s="80">
        <f t="shared" si="276"/>
        <v>3.125</v>
      </c>
      <c r="AA1163" s="38">
        <f t="shared" si="255"/>
        <v>49.13178245</v>
      </c>
    </row>
    <row r="1164">
      <c r="E1164" s="3"/>
      <c r="H1164" s="3">
        <v>431661.0</v>
      </c>
      <c r="I1164" s="3">
        <v>6305277.0</v>
      </c>
      <c r="N1164" s="3">
        <v>4096.0</v>
      </c>
      <c r="O1164" s="3">
        <v>471113.0</v>
      </c>
      <c r="P1164" s="30">
        <f t="shared" si="264"/>
        <v>48828.125</v>
      </c>
      <c r="Q1164" s="38">
        <f t="shared" si="249"/>
        <v>10.36441894</v>
      </c>
      <c r="R1164" s="3">
        <v>6361990.0</v>
      </c>
      <c r="S1164" s="30">
        <v>3125000.0</v>
      </c>
      <c r="T1164" s="38">
        <f t="shared" si="250"/>
        <v>49.11985086</v>
      </c>
      <c r="U1164" s="30">
        <f t="shared" si="251"/>
        <v>4096</v>
      </c>
      <c r="V1164" s="80">
        <f t="shared" ref="V1164:W1164" si="277">O1164/1000000</f>
        <v>0.471113</v>
      </c>
      <c r="W1164" s="80">
        <f t="shared" si="277"/>
        <v>0.048828125</v>
      </c>
      <c r="X1164" s="38">
        <f t="shared" si="253"/>
        <v>10.36441894</v>
      </c>
      <c r="Y1164" s="80">
        <f t="shared" ref="Y1164:Z1164" si="278">R1164/1000000</f>
        <v>6.36199</v>
      </c>
      <c r="Z1164" s="80">
        <f t="shared" si="278"/>
        <v>3.125</v>
      </c>
      <c r="AA1164" s="38">
        <f t="shared" si="255"/>
        <v>49.11985086</v>
      </c>
    </row>
    <row r="1165">
      <c r="E1165" s="3"/>
      <c r="N1165" s="3">
        <v>8192.0</v>
      </c>
      <c r="O1165" s="3">
        <v>431661.0</v>
      </c>
      <c r="P1165" s="30">
        <f t="shared" si="264"/>
        <v>24414.0625</v>
      </c>
      <c r="Q1165" s="38">
        <f t="shared" si="249"/>
        <v>5.655841621</v>
      </c>
      <c r="R1165" s="3">
        <v>6305277.0</v>
      </c>
      <c r="S1165" s="30">
        <v>3125000.0</v>
      </c>
      <c r="T1165" s="38">
        <f t="shared" si="250"/>
        <v>49.56166081</v>
      </c>
      <c r="U1165" s="30">
        <f t="shared" si="251"/>
        <v>8192</v>
      </c>
      <c r="V1165" s="80">
        <f t="shared" ref="V1165:W1165" si="279">O1165/1000000</f>
        <v>0.431661</v>
      </c>
      <c r="W1165" s="80">
        <f t="shared" si="279"/>
        <v>0.0244140625</v>
      </c>
      <c r="X1165" s="38">
        <f t="shared" si="253"/>
        <v>5.655841621</v>
      </c>
      <c r="Y1165" s="80">
        <f t="shared" ref="Y1165:Z1165" si="280">R1165/1000000</f>
        <v>6.305277</v>
      </c>
      <c r="Z1165" s="80">
        <f t="shared" si="280"/>
        <v>3.125</v>
      </c>
      <c r="AA1165" s="38">
        <f t="shared" si="255"/>
        <v>49.56166081</v>
      </c>
    </row>
    <row r="1166">
      <c r="D1166" s="3" t="s">
        <v>514</v>
      </c>
      <c r="E1166" s="3"/>
    </row>
    <row r="1167">
      <c r="E1167" s="3"/>
    </row>
    <row r="1168">
      <c r="F1168" s="3"/>
      <c r="N1168" s="3" t="s">
        <v>490</v>
      </c>
    </row>
    <row r="1169">
      <c r="E1169" s="3" t="s">
        <v>491</v>
      </c>
      <c r="F1169" s="3"/>
      <c r="H1169" s="3" t="s">
        <v>448</v>
      </c>
      <c r="I1169" s="3" t="s">
        <v>449</v>
      </c>
      <c r="J1169" s="3" t="s">
        <v>515</v>
      </c>
      <c r="L1169" s="3" t="s">
        <v>516</v>
      </c>
      <c r="M1169" s="3" t="s">
        <v>517</v>
      </c>
      <c r="O1169" s="3" t="s">
        <v>448</v>
      </c>
      <c r="P1169" s="3" t="s">
        <v>449</v>
      </c>
    </row>
    <row r="1170">
      <c r="F1170" s="3">
        <v>1.0E8</v>
      </c>
      <c r="G1170" s="3">
        <v>1.0</v>
      </c>
      <c r="H1170" s="3">
        <v>1.2959083E7</v>
      </c>
      <c r="I1170" s="3">
        <v>6810151.0</v>
      </c>
      <c r="J1170" s="30">
        <f t="shared" ref="J1170:J1196" si="281">F1170/G1170</f>
        <v>100000000</v>
      </c>
      <c r="K1170" s="30">
        <f>J1170/64*4</f>
        <v>6250000</v>
      </c>
      <c r="L1170" s="30">
        <f t="shared" ref="L1170:L1196" si="282">K1170*2</f>
        <v>12500000</v>
      </c>
      <c r="M1170" s="30">
        <f t="shared" ref="M1170:M1196" si="283">100-ABS(((H1170-L1170)/H1170)*100)</f>
        <v>96.45744224</v>
      </c>
      <c r="N1170" s="3">
        <v>1.0</v>
      </c>
      <c r="O1170" s="3">
        <v>1.315918E7</v>
      </c>
      <c r="P1170" s="3">
        <v>6932222.0</v>
      </c>
      <c r="Q1170" s="30">
        <v>1.0E8</v>
      </c>
    </row>
    <row r="1171">
      <c r="F1171" s="3">
        <v>1.0E8</v>
      </c>
      <c r="G1171" s="3">
        <v>2.0</v>
      </c>
      <c r="H1171" s="3">
        <v>1.2919283E7</v>
      </c>
      <c r="I1171" s="3">
        <v>6769421.0</v>
      </c>
      <c r="J1171" s="30">
        <f t="shared" si="281"/>
        <v>50000000</v>
      </c>
      <c r="K1171" s="30">
        <v>6250000.0</v>
      </c>
      <c r="L1171" s="30">
        <f t="shared" si="282"/>
        <v>12500000</v>
      </c>
      <c r="M1171" s="30">
        <f t="shared" si="283"/>
        <v>96.75459544</v>
      </c>
      <c r="N1171" s="3">
        <v>2.0</v>
      </c>
      <c r="O1171" s="3">
        <v>1.3034186E7</v>
      </c>
      <c r="P1171" s="3">
        <v>6871207.0</v>
      </c>
      <c r="Q1171" s="30">
        <v>5.0E7</v>
      </c>
      <c r="R1171" s="30">
        <f t="shared" ref="R1171:R1196" si="284">O1170/O1171</f>
        <v>1.009589705</v>
      </c>
    </row>
    <row r="1172">
      <c r="F1172" s="3">
        <v>1.0E8</v>
      </c>
      <c r="G1172" s="3">
        <v>4.0</v>
      </c>
      <c r="H1172" s="3">
        <v>1.2902727E7</v>
      </c>
      <c r="I1172" s="3">
        <v>6756843.0</v>
      </c>
      <c r="J1172" s="30">
        <f t="shared" si="281"/>
        <v>25000000</v>
      </c>
      <c r="K1172" s="30">
        <v>6250000.0</v>
      </c>
      <c r="L1172" s="30">
        <f t="shared" si="282"/>
        <v>12500000</v>
      </c>
      <c r="M1172" s="30">
        <f t="shared" si="283"/>
        <v>96.87874509</v>
      </c>
      <c r="N1172" s="3">
        <v>4.0</v>
      </c>
      <c r="O1172" s="3">
        <v>1.2938265E7</v>
      </c>
      <c r="P1172" s="3">
        <v>6798102.0</v>
      </c>
      <c r="Q1172" s="30">
        <v>2.5E7</v>
      </c>
      <c r="R1172" s="30">
        <f t="shared" si="284"/>
        <v>1.007413745</v>
      </c>
    </row>
    <row r="1173">
      <c r="F1173" s="3">
        <v>1.0E8</v>
      </c>
      <c r="G1173" s="3">
        <v>8.0</v>
      </c>
      <c r="H1173" s="3">
        <v>1.2898788E7</v>
      </c>
      <c r="I1173" s="3">
        <v>6761755.0</v>
      </c>
      <c r="J1173" s="30">
        <f t="shared" si="281"/>
        <v>12500000</v>
      </c>
      <c r="K1173" s="30">
        <v>6250000.0</v>
      </c>
      <c r="L1173" s="30">
        <f t="shared" si="282"/>
        <v>12500000</v>
      </c>
      <c r="M1173" s="30">
        <f t="shared" si="283"/>
        <v>96.90832968</v>
      </c>
      <c r="N1173" s="3">
        <v>8.0</v>
      </c>
      <c r="O1173" s="3">
        <v>1.2891037E7</v>
      </c>
      <c r="P1173" s="3">
        <v>6758055.0</v>
      </c>
      <c r="Q1173" s="30">
        <v>1.25E7</v>
      </c>
      <c r="R1173" s="30">
        <f t="shared" si="284"/>
        <v>1.003663631</v>
      </c>
    </row>
    <row r="1174">
      <c r="F1174" s="3">
        <v>1.0E8</v>
      </c>
      <c r="G1174" s="3">
        <v>16.0</v>
      </c>
      <c r="H1174" s="3">
        <v>1.2904748E7</v>
      </c>
      <c r="I1174" s="3">
        <v>6762840.0</v>
      </c>
      <c r="J1174" s="30">
        <f t="shared" si="281"/>
        <v>6250000</v>
      </c>
      <c r="K1174" s="30">
        <v>6250000.0</v>
      </c>
      <c r="L1174" s="30">
        <f t="shared" si="282"/>
        <v>12500000</v>
      </c>
      <c r="M1174" s="30">
        <f t="shared" si="283"/>
        <v>96.863573</v>
      </c>
      <c r="N1174" s="3">
        <v>16.0</v>
      </c>
      <c r="O1174" s="3">
        <v>1.2906523E7</v>
      </c>
      <c r="P1174" s="3">
        <v>6774366.0</v>
      </c>
      <c r="Q1174" s="30">
        <v>6250000.0</v>
      </c>
      <c r="R1174" s="30">
        <f t="shared" si="284"/>
        <v>0.9988001416</v>
      </c>
    </row>
    <row r="1175">
      <c r="F1175" s="3">
        <v>1.0E8</v>
      </c>
      <c r="G1175" s="3">
        <v>32.0</v>
      </c>
      <c r="H1175" s="3">
        <v>1.2332178E7</v>
      </c>
      <c r="I1175" s="3">
        <v>6692095.0</v>
      </c>
      <c r="J1175" s="30">
        <f t="shared" si="281"/>
        <v>3125000</v>
      </c>
      <c r="K1175" s="30">
        <v>6250000.0</v>
      </c>
      <c r="L1175" s="30">
        <f t="shared" si="282"/>
        <v>12500000</v>
      </c>
      <c r="M1175" s="30">
        <f t="shared" si="283"/>
        <v>98.6391536</v>
      </c>
      <c r="N1175" s="3">
        <v>32.0</v>
      </c>
      <c r="O1175" s="3">
        <v>6616530.0</v>
      </c>
      <c r="P1175" s="3">
        <v>6535310.0</v>
      </c>
      <c r="Q1175" s="30">
        <v>3125000.0</v>
      </c>
      <c r="R1175" s="30">
        <f t="shared" si="284"/>
        <v>1.950648301</v>
      </c>
    </row>
    <row r="1176">
      <c r="F1176" s="3">
        <v>1.0E8</v>
      </c>
      <c r="G1176" s="3">
        <v>64.0</v>
      </c>
      <c r="H1176" s="3">
        <v>8041268.0</v>
      </c>
      <c r="I1176" s="3">
        <v>6550141.0</v>
      </c>
      <c r="J1176" s="30">
        <f t="shared" si="281"/>
        <v>1562500</v>
      </c>
      <c r="K1176" s="30">
        <f>J1176*3</f>
        <v>4687500</v>
      </c>
      <c r="L1176" s="30">
        <f t="shared" si="282"/>
        <v>9375000</v>
      </c>
      <c r="M1176" s="30">
        <f t="shared" si="283"/>
        <v>83.41390935</v>
      </c>
      <c r="N1176" s="3">
        <v>64.0</v>
      </c>
      <c r="O1176" s="3">
        <v>3468820.0</v>
      </c>
      <c r="P1176" s="3">
        <v>6462811.0</v>
      </c>
      <c r="Q1176" s="30">
        <v>1562500.0</v>
      </c>
      <c r="R1176" s="30">
        <f t="shared" si="284"/>
        <v>1.907429616</v>
      </c>
    </row>
    <row r="1177">
      <c r="F1177" s="3">
        <v>1.0E8</v>
      </c>
      <c r="G1177" s="3">
        <v>128.0</v>
      </c>
      <c r="H1177" s="3">
        <v>1933513.0</v>
      </c>
      <c r="I1177" s="3">
        <v>6390571.0</v>
      </c>
      <c r="J1177" s="30">
        <f t="shared" si="281"/>
        <v>781250</v>
      </c>
      <c r="K1177" s="30">
        <f>K1175/8</f>
        <v>781250</v>
      </c>
      <c r="L1177" s="30">
        <f t="shared" si="282"/>
        <v>1562500</v>
      </c>
      <c r="M1177" s="30">
        <f t="shared" si="283"/>
        <v>80.81145563</v>
      </c>
      <c r="N1177" s="3">
        <v>128.0</v>
      </c>
      <c r="O1177" s="3">
        <v>1907931.0</v>
      </c>
      <c r="P1177" s="3">
        <v>6406911.0</v>
      </c>
      <c r="Q1177" s="30">
        <v>781250.0</v>
      </c>
      <c r="R1177" s="30">
        <f t="shared" si="284"/>
        <v>1.818105581</v>
      </c>
    </row>
    <row r="1178">
      <c r="F1178" s="3">
        <v>1.0E8</v>
      </c>
      <c r="G1178" s="3">
        <v>256.0</v>
      </c>
      <c r="H1178" s="3">
        <v>1145951.0</v>
      </c>
      <c r="I1178" s="3">
        <v>6379540.0</v>
      </c>
      <c r="J1178" s="30">
        <f t="shared" si="281"/>
        <v>390625</v>
      </c>
      <c r="K1178" s="30">
        <f t="shared" ref="K1178:K1183" si="285">K1177/2</f>
        <v>390625</v>
      </c>
      <c r="L1178" s="30">
        <f t="shared" si="282"/>
        <v>781250</v>
      </c>
      <c r="M1178" s="30">
        <f t="shared" si="283"/>
        <v>68.17481725</v>
      </c>
      <c r="N1178" s="3">
        <v>256.0</v>
      </c>
      <c r="O1178" s="3">
        <v>1120988.0</v>
      </c>
      <c r="P1178" s="3">
        <v>6386789.0</v>
      </c>
      <c r="Q1178" s="30">
        <v>390625.0</v>
      </c>
      <c r="R1178" s="30">
        <f t="shared" si="284"/>
        <v>1.702008407</v>
      </c>
    </row>
    <row r="1179">
      <c r="F1179" s="3">
        <v>1.0E8</v>
      </c>
      <c r="G1179" s="3">
        <v>512.0</v>
      </c>
      <c r="H1179" s="3">
        <v>748236.0</v>
      </c>
      <c r="I1179" s="3">
        <v>6363557.0</v>
      </c>
      <c r="J1179" s="30">
        <f t="shared" si="281"/>
        <v>195312.5</v>
      </c>
      <c r="K1179" s="30">
        <f t="shared" si="285"/>
        <v>195312.5</v>
      </c>
      <c r="L1179" s="30">
        <f t="shared" si="282"/>
        <v>390625</v>
      </c>
      <c r="M1179" s="30">
        <f t="shared" si="283"/>
        <v>52.20612213</v>
      </c>
      <c r="N1179" s="3">
        <v>512.0</v>
      </c>
      <c r="O1179" s="3">
        <v>722937.0</v>
      </c>
      <c r="P1179" s="3">
        <v>6361076.0</v>
      </c>
      <c r="Q1179" s="30">
        <v>195312.5</v>
      </c>
      <c r="R1179" s="30">
        <f t="shared" si="284"/>
        <v>1.550602611</v>
      </c>
    </row>
    <row r="1180">
      <c r="F1180" s="3">
        <v>1.0E8</v>
      </c>
      <c r="G1180" s="3">
        <v>1024.0</v>
      </c>
      <c r="H1180" s="3">
        <v>556137.0</v>
      </c>
      <c r="I1180" s="3">
        <v>6370635.0</v>
      </c>
      <c r="J1180" s="30">
        <f t="shared" si="281"/>
        <v>97656.25</v>
      </c>
      <c r="K1180" s="30">
        <f t="shared" si="285"/>
        <v>97656.25</v>
      </c>
      <c r="L1180" s="30">
        <f t="shared" si="282"/>
        <v>195312.5</v>
      </c>
      <c r="M1180" s="30">
        <f t="shared" si="283"/>
        <v>35.11949394</v>
      </c>
      <c r="N1180" s="3">
        <v>1024.0</v>
      </c>
      <c r="O1180" s="3">
        <v>528230.0</v>
      </c>
      <c r="P1180" s="3">
        <v>6331793.0</v>
      </c>
      <c r="Q1180" s="30">
        <v>97656.25</v>
      </c>
      <c r="R1180" s="30">
        <f t="shared" si="284"/>
        <v>1.368602692</v>
      </c>
    </row>
    <row r="1181">
      <c r="F1181" s="3">
        <v>1.0E8</v>
      </c>
      <c r="G1181" s="3">
        <v>2048.0</v>
      </c>
      <c r="H1181" s="3">
        <v>455652.0</v>
      </c>
      <c r="I1181" s="3">
        <v>6314946.0</v>
      </c>
      <c r="J1181" s="30">
        <f t="shared" si="281"/>
        <v>48828.125</v>
      </c>
      <c r="K1181" s="30">
        <f t="shared" si="285"/>
        <v>48828.125</v>
      </c>
      <c r="L1181" s="30">
        <f t="shared" si="282"/>
        <v>97656.25</v>
      </c>
      <c r="M1181" s="30">
        <f t="shared" si="283"/>
        <v>21.43220045</v>
      </c>
      <c r="N1181" s="3">
        <v>2048.0</v>
      </c>
      <c r="O1181" s="3">
        <v>430157.0</v>
      </c>
      <c r="P1181" s="3">
        <v>6328232.0</v>
      </c>
      <c r="Q1181" s="30">
        <v>48828.125</v>
      </c>
      <c r="R1181" s="30">
        <f t="shared" si="284"/>
        <v>1.2279935</v>
      </c>
    </row>
    <row r="1182">
      <c r="F1182" s="3">
        <v>1.0E8</v>
      </c>
      <c r="G1182" s="3">
        <v>4096.0</v>
      </c>
      <c r="H1182" s="3">
        <v>410271.0</v>
      </c>
      <c r="I1182" s="3">
        <v>6352228.0</v>
      </c>
      <c r="J1182" s="30">
        <f t="shared" si="281"/>
        <v>24414.0625</v>
      </c>
      <c r="K1182" s="30">
        <f t="shared" si="285"/>
        <v>24414.0625</v>
      </c>
      <c r="L1182" s="30">
        <f t="shared" si="282"/>
        <v>48828.125</v>
      </c>
      <c r="M1182" s="30">
        <f t="shared" si="283"/>
        <v>11.90143222</v>
      </c>
      <c r="N1182" s="3">
        <v>4096.0</v>
      </c>
      <c r="O1182" s="3">
        <v>376966.0</v>
      </c>
      <c r="P1182" s="3">
        <v>6321227.0</v>
      </c>
      <c r="Q1182" s="30">
        <v>24414.0625</v>
      </c>
      <c r="R1182" s="30">
        <f t="shared" si="284"/>
        <v>1.141102911</v>
      </c>
    </row>
    <row r="1183">
      <c r="F1183" s="3">
        <v>1.0E8</v>
      </c>
      <c r="G1183" s="3">
        <v>8192.0</v>
      </c>
      <c r="H1183" s="3">
        <v>383331.0</v>
      </c>
      <c r="I1183" s="3">
        <v>6344483.0</v>
      </c>
      <c r="J1183" s="30">
        <f t="shared" si="281"/>
        <v>12207.03125</v>
      </c>
      <c r="K1183" s="30">
        <f t="shared" si="285"/>
        <v>12207.03125</v>
      </c>
      <c r="L1183" s="30">
        <f t="shared" si="282"/>
        <v>24414.0625</v>
      </c>
      <c r="M1183" s="30">
        <f t="shared" si="283"/>
        <v>6.368924637</v>
      </c>
      <c r="N1183" s="3">
        <v>8192.0</v>
      </c>
      <c r="O1183" s="3">
        <v>364022.0</v>
      </c>
      <c r="P1183" s="3">
        <v>6347827.0</v>
      </c>
      <c r="Q1183" s="30">
        <v>12207.03125</v>
      </c>
      <c r="R1183" s="30">
        <f t="shared" si="284"/>
        <v>1.03555829</v>
      </c>
    </row>
    <row r="1184">
      <c r="F1184" s="3">
        <v>1.0E8</v>
      </c>
      <c r="G1184" s="3">
        <v>16384.0</v>
      </c>
      <c r="H1184" s="3">
        <v>379650.0</v>
      </c>
      <c r="I1184" s="3">
        <v>6350067.0</v>
      </c>
      <c r="J1184" s="30">
        <f t="shared" si="281"/>
        <v>6103.515625</v>
      </c>
      <c r="K1184" s="30">
        <f t="shared" ref="K1184:K1196" si="286">J1184*3</f>
        <v>18310.54688</v>
      </c>
      <c r="L1184" s="30">
        <f t="shared" si="282"/>
        <v>36621.09375</v>
      </c>
      <c r="M1184" s="30">
        <f t="shared" si="283"/>
        <v>9.646014421</v>
      </c>
      <c r="N1184" s="3">
        <v>16384.0</v>
      </c>
      <c r="O1184" s="3">
        <v>345926.0</v>
      </c>
      <c r="P1184" s="3">
        <v>6346390.0</v>
      </c>
      <c r="Q1184" s="30">
        <v>6103.515625</v>
      </c>
      <c r="R1184" s="30">
        <f t="shared" si="284"/>
        <v>1.052311766</v>
      </c>
    </row>
    <row r="1185">
      <c r="F1185" s="3">
        <v>1.0E8</v>
      </c>
      <c r="G1185" s="3">
        <v>32768.0</v>
      </c>
      <c r="H1185" s="3">
        <v>371440.0</v>
      </c>
      <c r="I1185" s="3">
        <v>6343315.0</v>
      </c>
      <c r="J1185" s="30">
        <f t="shared" si="281"/>
        <v>3051.757813</v>
      </c>
      <c r="K1185" s="30">
        <f t="shared" si="286"/>
        <v>9155.273438</v>
      </c>
      <c r="L1185" s="30">
        <f t="shared" si="282"/>
        <v>18310.54688</v>
      </c>
      <c r="M1185" s="30">
        <f t="shared" si="283"/>
        <v>4.92961094</v>
      </c>
      <c r="N1185" s="3">
        <v>32768.0</v>
      </c>
      <c r="O1185" s="3">
        <v>337696.0</v>
      </c>
      <c r="P1185" s="3">
        <v>6337854.0</v>
      </c>
      <c r="Q1185" s="30">
        <v>3051.7578125</v>
      </c>
      <c r="R1185" s="30">
        <f t="shared" si="284"/>
        <v>1.024371032</v>
      </c>
    </row>
    <row r="1186">
      <c r="F1186" s="3">
        <v>1.0E8</v>
      </c>
      <c r="G1186" s="3">
        <v>65536.0</v>
      </c>
      <c r="H1186" s="3">
        <v>375630.0</v>
      </c>
      <c r="I1186" s="3">
        <v>6324412.0</v>
      </c>
      <c r="J1186" s="30">
        <f t="shared" si="281"/>
        <v>1525.878906</v>
      </c>
      <c r="K1186" s="30">
        <f t="shared" si="286"/>
        <v>4577.636719</v>
      </c>
      <c r="L1186" s="30">
        <f t="shared" si="282"/>
        <v>9155.273438</v>
      </c>
      <c r="M1186" s="30">
        <f t="shared" si="283"/>
        <v>2.437311567</v>
      </c>
      <c r="N1186" s="3">
        <v>65536.0</v>
      </c>
      <c r="O1186" s="3">
        <v>334612.0</v>
      </c>
      <c r="P1186" s="3">
        <v>6343776.0</v>
      </c>
      <c r="Q1186" s="30">
        <v>1525.87890625</v>
      </c>
      <c r="R1186" s="30">
        <f t="shared" si="284"/>
        <v>1.009216645</v>
      </c>
    </row>
    <row r="1187">
      <c r="F1187" s="3">
        <v>1.0E8</v>
      </c>
      <c r="G1187" s="3">
        <v>131072.0</v>
      </c>
      <c r="H1187" s="3">
        <v>359555.0</v>
      </c>
      <c r="I1187" s="3">
        <v>6342024.0</v>
      </c>
      <c r="J1187" s="30">
        <f t="shared" si="281"/>
        <v>762.9394531</v>
      </c>
      <c r="K1187" s="30">
        <f t="shared" si="286"/>
        <v>2288.818359</v>
      </c>
      <c r="L1187" s="30">
        <f t="shared" si="282"/>
        <v>4577.636719</v>
      </c>
      <c r="M1187" s="30">
        <f t="shared" si="283"/>
        <v>1.273139497</v>
      </c>
      <c r="N1187" s="3">
        <v>131072.0</v>
      </c>
      <c r="O1187" s="3">
        <v>332902.0</v>
      </c>
      <c r="P1187" s="3">
        <v>6344102.0</v>
      </c>
      <c r="Q1187" s="30">
        <v>762.939453125</v>
      </c>
      <c r="R1187" s="30">
        <f t="shared" si="284"/>
        <v>1.005136647</v>
      </c>
    </row>
    <row r="1188">
      <c r="F1188" s="3">
        <v>1.0E8</v>
      </c>
      <c r="G1188" s="3">
        <v>262144.0</v>
      </c>
      <c r="H1188" s="3">
        <v>364233.0</v>
      </c>
      <c r="I1188" s="3">
        <v>6336080.0</v>
      </c>
      <c r="J1188" s="30">
        <f t="shared" si="281"/>
        <v>381.4697266</v>
      </c>
      <c r="K1188" s="30">
        <f t="shared" si="286"/>
        <v>1144.40918</v>
      </c>
      <c r="L1188" s="30">
        <f t="shared" si="282"/>
        <v>2288.818359</v>
      </c>
      <c r="M1188" s="30">
        <f t="shared" si="283"/>
        <v>0.6283940114</v>
      </c>
      <c r="N1188" s="3">
        <v>262144.0</v>
      </c>
      <c r="O1188" s="3">
        <v>334644.0</v>
      </c>
      <c r="P1188" s="3">
        <v>6344325.0</v>
      </c>
      <c r="Q1188" s="30">
        <v>381.4697265625</v>
      </c>
      <c r="R1188" s="30">
        <f t="shared" si="284"/>
        <v>0.9947944682</v>
      </c>
    </row>
    <row r="1189">
      <c r="F1189" s="3">
        <v>1.0E8</v>
      </c>
      <c r="G1189" s="3">
        <v>524288.0</v>
      </c>
      <c r="H1189" s="3">
        <v>357222.0</v>
      </c>
      <c r="I1189" s="3">
        <v>6319889.0</v>
      </c>
      <c r="J1189" s="30">
        <f t="shared" si="281"/>
        <v>190.7348633</v>
      </c>
      <c r="K1189" s="30">
        <f t="shared" si="286"/>
        <v>572.2045898</v>
      </c>
      <c r="L1189" s="30">
        <f t="shared" si="282"/>
        <v>1144.40918</v>
      </c>
      <c r="M1189" s="30">
        <f t="shared" si="283"/>
        <v>0.3203635777</v>
      </c>
      <c r="N1189" s="3">
        <v>524288.0</v>
      </c>
      <c r="O1189" s="3">
        <v>329619.0</v>
      </c>
      <c r="P1189" s="3">
        <v>6308766.0</v>
      </c>
      <c r="Q1189" s="30">
        <v>190.73486328125</v>
      </c>
      <c r="R1189" s="30">
        <f t="shared" si="284"/>
        <v>1.015244874</v>
      </c>
    </row>
    <row r="1190">
      <c r="F1190" s="3">
        <v>1.0E8</v>
      </c>
      <c r="G1190" s="3">
        <v>1048576.0</v>
      </c>
      <c r="H1190" s="3">
        <v>176823.0</v>
      </c>
      <c r="I1190" s="3">
        <v>3162908.0</v>
      </c>
      <c r="J1190" s="30">
        <f t="shared" si="281"/>
        <v>95.36743164</v>
      </c>
      <c r="K1190" s="30">
        <f t="shared" si="286"/>
        <v>286.1022949</v>
      </c>
      <c r="L1190" s="30">
        <f t="shared" si="282"/>
        <v>572.2045898</v>
      </c>
      <c r="M1190" s="30">
        <f t="shared" si="283"/>
        <v>0.3236030323</v>
      </c>
      <c r="N1190" s="3">
        <v>1048576.0</v>
      </c>
      <c r="O1190" s="3">
        <v>170707.0</v>
      </c>
      <c r="P1190" s="3">
        <v>3163299.0</v>
      </c>
      <c r="Q1190" s="30">
        <v>95.367431640625</v>
      </c>
      <c r="R1190" s="30">
        <f t="shared" si="284"/>
        <v>1.930905001</v>
      </c>
    </row>
    <row r="1191">
      <c r="F1191" s="3">
        <v>1.0E8</v>
      </c>
      <c r="G1191" s="3">
        <v>2097152.0</v>
      </c>
      <c r="H1191" s="3">
        <v>91798.0</v>
      </c>
      <c r="I1191" s="3">
        <v>1561251.0</v>
      </c>
      <c r="J1191" s="30">
        <f t="shared" si="281"/>
        <v>47.68371582</v>
      </c>
      <c r="K1191" s="30">
        <f t="shared" si="286"/>
        <v>143.0511475</v>
      </c>
      <c r="L1191" s="30">
        <f t="shared" si="282"/>
        <v>286.1022949</v>
      </c>
      <c r="M1191" s="30">
        <f t="shared" si="283"/>
        <v>0.3116650634</v>
      </c>
      <c r="N1191" s="3">
        <v>2097152.0</v>
      </c>
      <c r="O1191" s="3">
        <v>81720.0</v>
      </c>
      <c r="P1191" s="3">
        <v>1534614.0</v>
      </c>
      <c r="Q1191" s="30">
        <v>47.6837158203125</v>
      </c>
      <c r="R1191" s="30">
        <f t="shared" si="284"/>
        <v>2.0889256</v>
      </c>
    </row>
    <row r="1192">
      <c r="F1192" s="3">
        <v>1.0E8</v>
      </c>
      <c r="G1192" s="3">
        <v>4194304.0</v>
      </c>
      <c r="H1192" s="3">
        <v>42924.0</v>
      </c>
      <c r="I1192" s="3">
        <v>755448.0</v>
      </c>
      <c r="J1192" s="30">
        <f t="shared" si="281"/>
        <v>23.84185791</v>
      </c>
      <c r="K1192" s="30">
        <f t="shared" si="286"/>
        <v>71.52557373</v>
      </c>
      <c r="L1192" s="30">
        <f t="shared" si="282"/>
        <v>143.0511475</v>
      </c>
      <c r="M1192" s="30">
        <f t="shared" si="283"/>
        <v>0.3332661156</v>
      </c>
      <c r="N1192" s="3">
        <v>4194304.0</v>
      </c>
      <c r="O1192" s="3">
        <v>39529.0</v>
      </c>
      <c r="P1192" s="3">
        <v>736773.0</v>
      </c>
      <c r="Q1192" s="30">
        <v>23.84185791015625</v>
      </c>
      <c r="R1192" s="30">
        <f t="shared" si="284"/>
        <v>2.067342963</v>
      </c>
    </row>
    <row r="1193">
      <c r="F1193" s="3">
        <v>1.0E8</v>
      </c>
      <c r="G1193" s="3">
        <v>8388608.0</v>
      </c>
      <c r="H1193" s="3">
        <v>23070.0</v>
      </c>
      <c r="I1193" s="3">
        <v>359941.0</v>
      </c>
      <c r="J1193" s="30">
        <f t="shared" si="281"/>
        <v>11.92092896</v>
      </c>
      <c r="K1193" s="30">
        <f t="shared" si="286"/>
        <v>35.76278687</v>
      </c>
      <c r="L1193" s="30">
        <f t="shared" si="282"/>
        <v>71.52557373</v>
      </c>
      <c r="M1193" s="30">
        <f t="shared" si="283"/>
        <v>0.310037164</v>
      </c>
      <c r="N1193" s="3">
        <v>8388608.0</v>
      </c>
      <c r="O1193" s="3">
        <v>18746.0</v>
      </c>
      <c r="P1193" s="3">
        <v>357127.0</v>
      </c>
      <c r="Q1193" s="30">
        <v>11.920928955078125</v>
      </c>
      <c r="R1193" s="30">
        <f t="shared" si="284"/>
        <v>2.108663181</v>
      </c>
    </row>
    <row r="1194">
      <c r="F1194" s="3">
        <v>1.0E8</v>
      </c>
      <c r="G1194" s="3">
        <v>1.6777216E7</v>
      </c>
      <c r="H1194" s="3">
        <v>9425.0</v>
      </c>
      <c r="I1194" s="3">
        <v>160736.0</v>
      </c>
      <c r="J1194" s="30">
        <f t="shared" si="281"/>
        <v>5.960464478</v>
      </c>
      <c r="K1194" s="30">
        <f t="shared" si="286"/>
        <v>17.88139343</v>
      </c>
      <c r="L1194" s="30">
        <f t="shared" si="282"/>
        <v>35.76278687</v>
      </c>
      <c r="M1194" s="30">
        <f t="shared" si="283"/>
        <v>0.3794460145</v>
      </c>
      <c r="N1194" s="3">
        <v>1.6777216E7</v>
      </c>
      <c r="O1194" s="3">
        <v>8556.0</v>
      </c>
      <c r="P1194" s="3">
        <v>162377.0</v>
      </c>
      <c r="Q1194" s="30">
        <v>5.9604644775390625</v>
      </c>
      <c r="R1194" s="30">
        <f t="shared" si="284"/>
        <v>2.190977092</v>
      </c>
    </row>
    <row r="1195">
      <c r="F1195" s="3">
        <v>1.0E8</v>
      </c>
      <c r="G1195" s="3">
        <v>3.3554432E7</v>
      </c>
      <c r="H1195" s="3">
        <v>3862.0</v>
      </c>
      <c r="I1195" s="3">
        <v>53189.0</v>
      </c>
      <c r="J1195" s="30">
        <f t="shared" si="281"/>
        <v>2.980232239</v>
      </c>
      <c r="K1195" s="30">
        <f t="shared" si="286"/>
        <v>8.940696716</v>
      </c>
      <c r="L1195" s="30">
        <f t="shared" si="282"/>
        <v>17.88139343</v>
      </c>
      <c r="M1195" s="30">
        <f t="shared" si="283"/>
        <v>0.4630086337</v>
      </c>
      <c r="N1195" s="3">
        <v>3.3554432E7</v>
      </c>
      <c r="O1195" s="3">
        <v>3492.0</v>
      </c>
      <c r="P1195" s="3">
        <v>63110.0</v>
      </c>
      <c r="Q1195" s="30">
        <v>2.9802322387695312</v>
      </c>
      <c r="R1195" s="30">
        <f t="shared" si="284"/>
        <v>2.450171821</v>
      </c>
    </row>
    <row r="1196">
      <c r="F1196" s="3">
        <v>1.0E8</v>
      </c>
      <c r="G1196" s="3">
        <v>6.7108864E7</v>
      </c>
      <c r="H1196" s="3">
        <v>2046.0</v>
      </c>
      <c r="I1196" s="3">
        <v>29941.0</v>
      </c>
      <c r="J1196" s="30">
        <f t="shared" si="281"/>
        <v>1.490116119</v>
      </c>
      <c r="K1196" s="30">
        <f t="shared" si="286"/>
        <v>4.470348358</v>
      </c>
      <c r="L1196" s="30">
        <f t="shared" si="282"/>
        <v>8.940696716</v>
      </c>
      <c r="M1196" s="30">
        <f t="shared" si="283"/>
        <v>0.4369841992</v>
      </c>
      <c r="N1196" s="3">
        <v>6.7108864E7</v>
      </c>
      <c r="O1196" s="3">
        <v>1773.0</v>
      </c>
      <c r="P1196" s="3">
        <v>24575.0</v>
      </c>
      <c r="Q1196" s="30">
        <v>1.4901161193847656</v>
      </c>
      <c r="R1196" s="30">
        <f t="shared" si="284"/>
        <v>1.969543147</v>
      </c>
    </row>
    <row r="1197">
      <c r="E1197" s="3"/>
    </row>
    <row r="1198">
      <c r="E1198" s="3" t="s">
        <v>501</v>
      </c>
    </row>
    <row r="1199">
      <c r="E1199" s="3"/>
      <c r="N1199" s="3" t="s">
        <v>490</v>
      </c>
    </row>
    <row r="1200">
      <c r="E1200" s="3"/>
      <c r="N1200" s="3"/>
      <c r="O1200" s="3" t="s">
        <v>448</v>
      </c>
      <c r="P1200" s="3" t="s">
        <v>449</v>
      </c>
    </row>
    <row r="1201">
      <c r="E1201" s="3"/>
      <c r="G1201" s="3" t="s">
        <v>448</v>
      </c>
      <c r="H1201" s="3" t="s">
        <v>449</v>
      </c>
      <c r="N1201" s="3">
        <v>1.0</v>
      </c>
      <c r="O1201" s="3">
        <v>1.9083795E7</v>
      </c>
      <c r="P1201" s="3">
        <v>6824619.0</v>
      </c>
    </row>
    <row r="1202">
      <c r="E1202" s="3" t="s">
        <v>463</v>
      </c>
      <c r="F1202" s="3">
        <v>1.0</v>
      </c>
      <c r="G1202" s="3">
        <v>1.8861923E7</v>
      </c>
      <c r="H1202" s="3">
        <v>6665144.0</v>
      </c>
      <c r="N1202" s="3">
        <v>2.0</v>
      </c>
      <c r="O1202" s="3">
        <v>1.9005683E7</v>
      </c>
      <c r="P1202" s="3">
        <v>6755515.0</v>
      </c>
    </row>
    <row r="1203">
      <c r="E1203" s="3" t="s">
        <v>463</v>
      </c>
      <c r="F1203" s="3">
        <v>2.0</v>
      </c>
      <c r="G1203" s="3">
        <v>1.8813995E7</v>
      </c>
      <c r="H1203" s="3">
        <v>6625435.0</v>
      </c>
      <c r="N1203" s="3">
        <v>4.0</v>
      </c>
      <c r="O1203" s="3">
        <v>1.8970043E7</v>
      </c>
      <c r="P1203" s="3">
        <v>6740634.0</v>
      </c>
    </row>
    <row r="1204">
      <c r="E1204" s="3" t="s">
        <v>463</v>
      </c>
      <c r="F1204" s="3">
        <v>4.0</v>
      </c>
      <c r="G1204" s="3">
        <v>1.8800278E7</v>
      </c>
      <c r="H1204" s="3">
        <v>6662691.0</v>
      </c>
      <c r="N1204" s="3">
        <v>8.0</v>
      </c>
      <c r="O1204" s="3">
        <v>1.8940397E7</v>
      </c>
      <c r="P1204" s="3">
        <v>6725749.0</v>
      </c>
    </row>
    <row r="1205">
      <c r="E1205" s="3" t="s">
        <v>463</v>
      </c>
      <c r="F1205" s="3">
        <v>8.0</v>
      </c>
      <c r="G1205" s="3">
        <v>1.880363E7</v>
      </c>
      <c r="H1205" s="3">
        <v>6637524.0</v>
      </c>
      <c r="N1205" s="3">
        <v>16.0</v>
      </c>
      <c r="O1205" s="3">
        <v>1.8938589E7</v>
      </c>
      <c r="P1205" s="3">
        <v>6734401.0</v>
      </c>
    </row>
    <row r="1206">
      <c r="E1206" s="3" t="s">
        <v>463</v>
      </c>
      <c r="F1206" s="3">
        <v>16.0</v>
      </c>
      <c r="G1206" s="3">
        <v>1.8803353E7</v>
      </c>
      <c r="H1206" s="3">
        <v>6645248.0</v>
      </c>
      <c r="N1206" s="3">
        <v>32.0</v>
      </c>
      <c r="O1206" s="3">
        <v>9468337.0</v>
      </c>
      <c r="P1206" s="3">
        <v>3368188.0</v>
      </c>
    </row>
    <row r="1207">
      <c r="E1207" s="3" t="s">
        <v>463</v>
      </c>
      <c r="F1207" s="3">
        <v>32.0</v>
      </c>
      <c r="G1207" s="3">
        <v>1.8590975E7</v>
      </c>
      <c r="H1207" s="3">
        <v>3644694.0</v>
      </c>
      <c r="N1207" s="3">
        <v>64.0</v>
      </c>
      <c r="O1207" s="3">
        <v>4724431.0</v>
      </c>
      <c r="P1207" s="3">
        <v>1676038.0</v>
      </c>
    </row>
    <row r="1208">
      <c r="E1208" s="3" t="s">
        <v>463</v>
      </c>
      <c r="F1208" s="3">
        <v>64.0</v>
      </c>
      <c r="G1208" s="3">
        <v>1.4190254E7</v>
      </c>
      <c r="H1208" s="3">
        <v>2029784.0</v>
      </c>
      <c r="N1208" s="3">
        <v>128.0</v>
      </c>
      <c r="O1208" s="3">
        <v>2363247.0</v>
      </c>
      <c r="P1208" s="3">
        <v>839272.0</v>
      </c>
    </row>
    <row r="1209">
      <c r="E1209" s="3" t="s">
        <v>463</v>
      </c>
      <c r="F1209" s="3">
        <v>128.0</v>
      </c>
      <c r="G1209" s="3">
        <v>2364840.0</v>
      </c>
      <c r="H1209" s="3">
        <v>839811.0</v>
      </c>
      <c r="N1209" s="3">
        <v>256.0</v>
      </c>
      <c r="O1209" s="3">
        <v>1182735.0</v>
      </c>
      <c r="P1209" s="3">
        <v>420643.0</v>
      </c>
    </row>
    <row r="1210">
      <c r="E1210" s="3" t="s">
        <v>463</v>
      </c>
      <c r="F1210" s="3">
        <v>256.0</v>
      </c>
      <c r="G1210" s="3">
        <v>1183868.0</v>
      </c>
      <c r="H1210" s="3">
        <v>421381.0</v>
      </c>
      <c r="N1210" s="3">
        <v>512.0</v>
      </c>
      <c r="O1210" s="3">
        <v>594024.0</v>
      </c>
      <c r="P1210" s="3">
        <v>212602.0</v>
      </c>
    </row>
    <row r="1211">
      <c r="E1211" s="3" t="s">
        <v>463</v>
      </c>
      <c r="F1211" s="3">
        <v>512.0</v>
      </c>
      <c r="G1211" s="3">
        <v>594090.0</v>
      </c>
      <c r="H1211" s="3">
        <v>212587.0</v>
      </c>
      <c r="N1211" s="3">
        <v>1024.0</v>
      </c>
      <c r="O1211" s="3">
        <v>296881.0</v>
      </c>
      <c r="P1211" s="3">
        <v>106874.0</v>
      </c>
    </row>
    <row r="1212">
      <c r="E1212" s="3" t="s">
        <v>463</v>
      </c>
      <c r="F1212" s="3">
        <v>1024.0</v>
      </c>
      <c r="G1212" s="3">
        <v>297740.0</v>
      </c>
      <c r="H1212" s="3">
        <v>106996.0</v>
      </c>
      <c r="N1212" s="3">
        <v>2048.0</v>
      </c>
      <c r="O1212" s="3">
        <v>149252.0</v>
      </c>
      <c r="P1212" s="3">
        <v>58650.0</v>
      </c>
    </row>
    <row r="1213">
      <c r="E1213" s="3" t="s">
        <v>463</v>
      </c>
      <c r="F1213" s="3">
        <v>2048.0</v>
      </c>
      <c r="G1213" s="3">
        <v>149395.0</v>
      </c>
      <c r="H1213" s="3">
        <v>58520.0</v>
      </c>
      <c r="N1213" s="3">
        <v>4096.0</v>
      </c>
      <c r="O1213" s="3">
        <v>75072.0</v>
      </c>
      <c r="P1213" s="3">
        <v>31081.0</v>
      </c>
    </row>
    <row r="1214">
      <c r="E1214" s="3" t="s">
        <v>463</v>
      </c>
      <c r="F1214" s="3">
        <v>4096.0</v>
      </c>
      <c r="G1214" s="3">
        <v>75338.0</v>
      </c>
      <c r="H1214" s="3">
        <v>31292.0</v>
      </c>
      <c r="N1214" s="3">
        <v>8192.0</v>
      </c>
      <c r="O1214" s="3">
        <v>37848.0</v>
      </c>
      <c r="P1214" s="3">
        <v>15670.0</v>
      </c>
    </row>
    <row r="1215">
      <c r="E1215" s="3" t="s">
        <v>463</v>
      </c>
      <c r="F1215" s="3">
        <v>8192.0</v>
      </c>
      <c r="G1215" s="3">
        <v>37868.0</v>
      </c>
      <c r="H1215" s="3">
        <v>15906.0</v>
      </c>
    </row>
    <row r="1216">
      <c r="E1216" s="3"/>
    </row>
    <row r="1219">
      <c r="G1219" s="3" t="s">
        <v>324</v>
      </c>
      <c r="H1219" s="3" t="s">
        <v>448</v>
      </c>
      <c r="I1219" s="3" t="s">
        <v>449</v>
      </c>
      <c r="J1219" s="3" t="s">
        <v>516</v>
      </c>
      <c r="K1219" s="3" t="s">
        <v>518</v>
      </c>
      <c r="L1219" s="3" t="s">
        <v>448</v>
      </c>
      <c r="M1219" s="3" t="s">
        <v>449</v>
      </c>
      <c r="N1219" s="3" t="s">
        <v>516</v>
      </c>
      <c r="O1219" s="3" t="s">
        <v>518</v>
      </c>
    </row>
    <row r="1220">
      <c r="G1220" s="3">
        <v>1.0</v>
      </c>
      <c r="H1220" s="3">
        <v>1.8861923E7</v>
      </c>
      <c r="I1220" s="3">
        <v>6665144.0</v>
      </c>
      <c r="J1220" s="3">
        <v>500.0</v>
      </c>
      <c r="K1220" s="3">
        <v>500.0</v>
      </c>
      <c r="L1220" s="3">
        <v>1.9083795E7</v>
      </c>
      <c r="M1220" s="3">
        <v>6824619.0</v>
      </c>
      <c r="N1220" s="3">
        <v>500.0</v>
      </c>
      <c r="O1220" s="3">
        <v>500.0</v>
      </c>
    </row>
    <row r="1221">
      <c r="G1221" s="3">
        <v>2.0</v>
      </c>
      <c r="H1221" s="3">
        <v>1.8813995E7</v>
      </c>
      <c r="I1221" s="3">
        <v>6625435.0</v>
      </c>
      <c r="J1221" s="3">
        <v>500.0</v>
      </c>
      <c r="K1221" s="3">
        <v>500.0</v>
      </c>
      <c r="L1221" s="3">
        <v>1.9005683E7</v>
      </c>
      <c r="M1221" s="3">
        <v>6755515.0</v>
      </c>
      <c r="N1221" s="3">
        <v>500.0</v>
      </c>
      <c r="O1221" s="3">
        <v>500.0</v>
      </c>
    </row>
    <row r="1222">
      <c r="G1222" s="3">
        <v>4.0</v>
      </c>
      <c r="H1222" s="3">
        <v>1.8800278E7</v>
      </c>
      <c r="I1222" s="3">
        <v>6662691.0</v>
      </c>
      <c r="J1222" s="3">
        <v>500.0</v>
      </c>
      <c r="K1222" s="3">
        <v>500.0</v>
      </c>
      <c r="L1222" s="3">
        <v>1.8970043E7</v>
      </c>
      <c r="M1222" s="3">
        <v>6740634.0</v>
      </c>
      <c r="N1222" s="3">
        <v>500.0</v>
      </c>
      <c r="O1222" s="3">
        <v>500.0</v>
      </c>
    </row>
    <row r="1223">
      <c r="G1223" s="3">
        <v>8.0</v>
      </c>
      <c r="H1223" s="3">
        <v>1.880363E7</v>
      </c>
      <c r="I1223" s="3">
        <v>6637524.0</v>
      </c>
      <c r="J1223" s="3">
        <v>500.0</v>
      </c>
      <c r="K1223" s="3">
        <v>500.0</v>
      </c>
      <c r="L1223" s="3">
        <v>1.8940397E7</v>
      </c>
      <c r="M1223" s="3">
        <v>6725749.0</v>
      </c>
      <c r="N1223" s="3">
        <v>500.0</v>
      </c>
      <c r="O1223" s="3">
        <v>500.0</v>
      </c>
    </row>
    <row r="1224">
      <c r="G1224" s="3">
        <v>16.0</v>
      </c>
      <c r="H1224" s="3">
        <v>1.8803353E7</v>
      </c>
      <c r="I1224" s="3">
        <v>6645248.0</v>
      </c>
      <c r="J1224" s="3">
        <v>500.0</v>
      </c>
      <c r="K1224" s="3">
        <v>500.0</v>
      </c>
      <c r="L1224" s="3">
        <v>1.8938589E7</v>
      </c>
      <c r="M1224" s="3">
        <v>6734401.0</v>
      </c>
      <c r="N1224" s="3">
        <v>500.0</v>
      </c>
      <c r="O1224" s="3">
        <v>500.0</v>
      </c>
    </row>
    <row r="1225">
      <c r="G1225" s="3">
        <v>32.0</v>
      </c>
      <c r="H1225" s="3">
        <v>1.8590975E7</v>
      </c>
      <c r="I1225" s="3">
        <v>3644694.0</v>
      </c>
      <c r="J1225" s="3">
        <v>500.0</v>
      </c>
      <c r="K1225" s="3">
        <v>500.0</v>
      </c>
      <c r="L1225" s="3">
        <v>9468337.0</v>
      </c>
      <c r="M1225" s="3">
        <v>3368188.0</v>
      </c>
      <c r="N1225" s="3">
        <v>500.0</v>
      </c>
      <c r="O1225" s="3">
        <v>500.0</v>
      </c>
    </row>
    <row r="1226">
      <c r="G1226" s="3">
        <v>64.0</v>
      </c>
      <c r="H1226" s="3">
        <v>1.4190254E7</v>
      </c>
      <c r="I1226" s="3">
        <v>2029784.0</v>
      </c>
      <c r="J1226" s="3">
        <v>500.0</v>
      </c>
      <c r="K1226" s="3">
        <v>500.0</v>
      </c>
      <c r="L1226" s="3">
        <v>4724431.0</v>
      </c>
      <c r="M1226" s="3">
        <v>1676038.0</v>
      </c>
      <c r="N1226" s="3">
        <v>500.0</v>
      </c>
      <c r="O1226" s="3">
        <v>500.0</v>
      </c>
    </row>
    <row r="1227">
      <c r="G1227" s="3">
        <v>128.0</v>
      </c>
      <c r="H1227" s="3">
        <v>2364840.0</v>
      </c>
      <c r="I1227" s="3">
        <v>839811.0</v>
      </c>
      <c r="J1227" s="3">
        <v>500.0</v>
      </c>
      <c r="K1227" s="3">
        <v>500.0</v>
      </c>
      <c r="L1227" s="3">
        <v>2363247.0</v>
      </c>
      <c r="M1227" s="3">
        <v>839272.0</v>
      </c>
      <c r="N1227" s="3">
        <v>500.0</v>
      </c>
      <c r="O1227" s="3">
        <v>500.0</v>
      </c>
    </row>
    <row r="1228">
      <c r="G1228" s="3">
        <v>256.0</v>
      </c>
      <c r="H1228" s="3">
        <v>1183868.0</v>
      </c>
      <c r="I1228" s="3">
        <v>421381.0</v>
      </c>
      <c r="J1228" s="3">
        <v>500.0</v>
      </c>
      <c r="K1228" s="3">
        <v>500.0</v>
      </c>
      <c r="L1228" s="3">
        <v>1182735.0</v>
      </c>
      <c r="M1228" s="3">
        <v>420643.0</v>
      </c>
      <c r="N1228" s="3">
        <v>500.0</v>
      </c>
      <c r="O1228" s="3">
        <v>500.0</v>
      </c>
    </row>
    <row r="1229">
      <c r="G1229" s="3">
        <v>512.0</v>
      </c>
      <c r="H1229" s="3">
        <v>594090.0</v>
      </c>
      <c r="I1229" s="3">
        <v>212587.0</v>
      </c>
      <c r="J1229" s="3">
        <v>500.0</v>
      </c>
      <c r="K1229" s="3">
        <v>500.0</v>
      </c>
      <c r="L1229" s="3">
        <v>594024.0</v>
      </c>
      <c r="M1229" s="3">
        <v>212602.0</v>
      </c>
      <c r="N1229" s="3">
        <v>500.0</v>
      </c>
      <c r="O1229" s="3">
        <v>500.0</v>
      </c>
    </row>
    <row r="1230">
      <c r="G1230" s="3">
        <v>1024.0</v>
      </c>
      <c r="H1230" s="3">
        <v>297740.0</v>
      </c>
      <c r="I1230" s="3">
        <v>106996.0</v>
      </c>
      <c r="J1230" s="3">
        <v>500.0</v>
      </c>
      <c r="K1230" s="3">
        <v>500.0</v>
      </c>
      <c r="L1230" s="3">
        <v>296881.0</v>
      </c>
      <c r="M1230" s="3">
        <v>106874.0</v>
      </c>
      <c r="N1230" s="3">
        <v>500.0</v>
      </c>
      <c r="O1230" s="3">
        <v>500.0</v>
      </c>
    </row>
    <row r="1231">
      <c r="G1231" s="3">
        <v>2048.0</v>
      </c>
      <c r="H1231" s="3">
        <v>149395.0</v>
      </c>
      <c r="I1231" s="3">
        <v>58520.0</v>
      </c>
      <c r="J1231" s="3">
        <v>500.0</v>
      </c>
      <c r="K1231" s="3">
        <v>500.0</v>
      </c>
      <c r="L1231" s="3">
        <v>149252.0</v>
      </c>
      <c r="M1231" s="3">
        <v>58650.0</v>
      </c>
      <c r="N1231" s="3">
        <v>500.0</v>
      </c>
      <c r="O1231" s="3">
        <v>500.0</v>
      </c>
    </row>
    <row r="1232">
      <c r="G1232" s="3">
        <v>4096.0</v>
      </c>
      <c r="H1232" s="3">
        <v>75338.0</v>
      </c>
      <c r="I1232" s="3">
        <v>31292.0</v>
      </c>
      <c r="J1232" s="3">
        <v>500.0</v>
      </c>
      <c r="K1232" s="3">
        <v>500.0</v>
      </c>
      <c r="L1232" s="3">
        <v>75072.0</v>
      </c>
      <c r="M1232" s="3">
        <v>31081.0</v>
      </c>
      <c r="N1232" s="3">
        <v>500.0</v>
      </c>
      <c r="O1232" s="3">
        <v>500.0</v>
      </c>
    </row>
    <row r="1233">
      <c r="G1233" s="3">
        <v>8192.0</v>
      </c>
      <c r="H1233" s="3">
        <v>37868.0</v>
      </c>
      <c r="I1233" s="3">
        <v>15906.0</v>
      </c>
      <c r="J1233" s="3">
        <v>500.0</v>
      </c>
      <c r="K1233" s="3">
        <v>500.0</v>
      </c>
      <c r="L1233" s="3">
        <v>37848.0</v>
      </c>
      <c r="M1233" s="3">
        <v>15670.0</v>
      </c>
      <c r="N1233" s="3">
        <v>500.0</v>
      </c>
      <c r="O1233" s="3">
        <v>500.0</v>
      </c>
    </row>
    <row r="1237">
      <c r="E1237" s="3"/>
    </row>
    <row r="1238">
      <c r="E1238" s="3"/>
    </row>
    <row r="1239">
      <c r="E1239" s="3">
        <v>18.75</v>
      </c>
      <c r="F1239" s="3">
        <v>20.0</v>
      </c>
      <c r="G1239" s="30">
        <f t="shared" ref="G1239:G1241" si="287">F1239-E1239</f>
        <v>1.25</v>
      </c>
      <c r="H1239" s="30">
        <f t="shared" ref="H1239:H1241" si="288">G1239/F1239</f>
        <v>0.0625</v>
      </c>
      <c r="I1239" s="30">
        <f t="shared" ref="I1239:I1241" si="289">1-H1239</f>
        <v>0.9375</v>
      </c>
      <c r="J1239" s="30">
        <f t="shared" ref="J1239:J1241" si="290">I1239*100</f>
        <v>93.75</v>
      </c>
    </row>
    <row r="1240">
      <c r="A1240" s="3" t="s">
        <v>519</v>
      </c>
      <c r="E1240" s="3">
        <v>12.5</v>
      </c>
      <c r="F1240" s="3">
        <v>13.17</v>
      </c>
      <c r="G1240" s="30">
        <f t="shared" si="287"/>
        <v>0.67</v>
      </c>
      <c r="H1240" s="30">
        <f t="shared" si="288"/>
        <v>0.05087319666</v>
      </c>
      <c r="I1240" s="30">
        <f t="shared" si="289"/>
        <v>0.9491268033</v>
      </c>
      <c r="J1240" s="30">
        <f t="shared" si="290"/>
        <v>94.91268033</v>
      </c>
    </row>
    <row r="1241">
      <c r="A1241" s="3" t="s">
        <v>520</v>
      </c>
      <c r="E1241" s="3">
        <v>6.25</v>
      </c>
      <c r="F1241" s="3">
        <v>6.83</v>
      </c>
      <c r="G1241" s="30">
        <f t="shared" si="287"/>
        <v>0.58</v>
      </c>
      <c r="H1241" s="30">
        <f t="shared" si="288"/>
        <v>0.08491947291</v>
      </c>
      <c r="I1241" s="30">
        <f t="shared" si="289"/>
        <v>0.9150805271</v>
      </c>
      <c r="J1241" s="30">
        <f t="shared" si="290"/>
        <v>91.50805271</v>
      </c>
    </row>
    <row r="1242">
      <c r="A1242" s="3" t="s">
        <v>521</v>
      </c>
      <c r="E1242" s="3"/>
    </row>
    <row r="1243">
      <c r="A1243" s="3" t="s">
        <v>522</v>
      </c>
      <c r="E1243" s="3"/>
    </row>
    <row r="1244">
      <c r="E1244" s="3">
        <v>18.75</v>
      </c>
      <c r="F1244" s="3">
        <v>19.86</v>
      </c>
      <c r="G1244" s="30">
        <f t="shared" ref="G1244:G1245" si="291">F1244-E1244</f>
        <v>1.11</v>
      </c>
      <c r="H1244" s="30">
        <f t="shared" ref="H1244:H1245" si="292">G1244/F1244</f>
        <v>0.05589123867</v>
      </c>
      <c r="I1244" s="30">
        <f t="shared" ref="I1244:I1245" si="293">1-H1244</f>
        <v>0.9441087613</v>
      </c>
      <c r="J1244" s="30">
        <f t="shared" ref="J1244:J1245" si="294">I1244*100</f>
        <v>94.41087613</v>
      </c>
    </row>
    <row r="1245">
      <c r="E1245" s="3">
        <v>18.75</v>
      </c>
      <c r="F1245" s="3">
        <v>20.06</v>
      </c>
      <c r="G1245" s="30">
        <f t="shared" si="291"/>
        <v>1.31</v>
      </c>
      <c r="H1245" s="30">
        <f t="shared" si="292"/>
        <v>0.06530408774</v>
      </c>
      <c r="I1245" s="30">
        <f t="shared" si="293"/>
        <v>0.9346959123</v>
      </c>
      <c r="J1245" s="30">
        <f t="shared" si="294"/>
        <v>93.46959123</v>
      </c>
    </row>
    <row r="1246">
      <c r="E1246" s="3"/>
    </row>
    <row r="1247">
      <c r="E1247" s="3"/>
    </row>
    <row r="1248">
      <c r="E1248" s="3"/>
    </row>
    <row r="1249">
      <c r="E1249" s="3"/>
    </row>
    <row r="1250">
      <c r="E1250" s="3"/>
    </row>
    <row r="1251">
      <c r="A1251" s="3" t="s">
        <v>523</v>
      </c>
      <c r="E1251" s="3"/>
    </row>
    <row r="1252">
      <c r="E1252" s="3"/>
    </row>
    <row r="1253">
      <c r="A1253" s="27" t="s">
        <v>524</v>
      </c>
      <c r="E1253" s="3"/>
    </row>
    <row r="1254">
      <c r="E1254" s="3"/>
    </row>
    <row r="1255">
      <c r="A1255" s="3" t="s">
        <v>525</v>
      </c>
      <c r="E1255" s="3"/>
    </row>
    <row r="1256">
      <c r="A1256" s="3" t="s">
        <v>491</v>
      </c>
      <c r="B1256" s="3" t="s">
        <v>459</v>
      </c>
      <c r="C1256" s="3" t="s">
        <v>447</v>
      </c>
      <c r="D1256" s="3" t="s">
        <v>515</v>
      </c>
      <c r="E1256" s="3" t="s">
        <v>526</v>
      </c>
      <c r="F1256" s="3" t="s">
        <v>527</v>
      </c>
      <c r="G1256" s="3" t="s">
        <v>528</v>
      </c>
      <c r="H1256" s="3" t="s">
        <v>529</v>
      </c>
    </row>
    <row r="1257">
      <c r="A1257" s="3">
        <v>5.0E8</v>
      </c>
      <c r="B1257" s="3">
        <f>A1257</f>
        <v>500000000</v>
      </c>
      <c r="C1257" s="3">
        <v>1.0</v>
      </c>
      <c r="D1257" s="66">
        <f t="shared" ref="D1257:D1270" si="295">B1257/C1257</f>
        <v>500000000</v>
      </c>
      <c r="E1257" s="30">
        <f>D1257/64*4</f>
        <v>31250000</v>
      </c>
      <c r="F1257" s="30">
        <f t="shared" ref="F1257:F1270" si="296">E1257*3</f>
        <v>93750000</v>
      </c>
      <c r="G1257" s="30">
        <f t="shared" ref="G1257:G1270" si="297">E1257</f>
        <v>31250000</v>
      </c>
      <c r="H1257" s="30">
        <f t="shared" ref="H1257:H1270" si="298">F1257+G1257</f>
        <v>125000000</v>
      </c>
    </row>
    <row r="1258">
      <c r="B1258" s="3">
        <f t="shared" ref="B1258:B1270" si="299">B1257</f>
        <v>500000000</v>
      </c>
      <c r="C1258" s="3">
        <v>2.0</v>
      </c>
      <c r="D1258" s="66">
        <f t="shared" si="295"/>
        <v>250000000</v>
      </c>
      <c r="E1258" s="30">
        <f t="shared" ref="E1258:E1261" si="300">E1257</f>
        <v>31250000</v>
      </c>
      <c r="F1258" s="30">
        <f t="shared" si="296"/>
        <v>93750000</v>
      </c>
      <c r="G1258" s="30">
        <f t="shared" si="297"/>
        <v>31250000</v>
      </c>
      <c r="H1258" s="30">
        <f t="shared" si="298"/>
        <v>125000000</v>
      </c>
    </row>
    <row r="1259">
      <c r="B1259" s="3">
        <f t="shared" si="299"/>
        <v>500000000</v>
      </c>
      <c r="C1259" s="3">
        <v>4.0</v>
      </c>
      <c r="D1259" s="66">
        <f t="shared" si="295"/>
        <v>125000000</v>
      </c>
      <c r="E1259" s="30">
        <f t="shared" si="300"/>
        <v>31250000</v>
      </c>
      <c r="F1259" s="30">
        <f t="shared" si="296"/>
        <v>93750000</v>
      </c>
      <c r="G1259" s="30">
        <f t="shared" si="297"/>
        <v>31250000</v>
      </c>
      <c r="H1259" s="30">
        <f t="shared" si="298"/>
        <v>125000000</v>
      </c>
    </row>
    <row r="1260">
      <c r="B1260" s="3">
        <f t="shared" si="299"/>
        <v>500000000</v>
      </c>
      <c r="C1260" s="3">
        <v>8.0</v>
      </c>
      <c r="D1260" s="66">
        <f t="shared" si="295"/>
        <v>62500000</v>
      </c>
      <c r="E1260" s="30">
        <f t="shared" si="300"/>
        <v>31250000</v>
      </c>
      <c r="F1260" s="30">
        <f t="shared" si="296"/>
        <v>93750000</v>
      </c>
      <c r="G1260" s="30">
        <f t="shared" si="297"/>
        <v>31250000</v>
      </c>
      <c r="H1260" s="30">
        <f t="shared" si="298"/>
        <v>125000000</v>
      </c>
    </row>
    <row r="1261">
      <c r="B1261" s="3">
        <f t="shared" si="299"/>
        <v>500000000</v>
      </c>
      <c r="C1261" s="3">
        <v>16.0</v>
      </c>
      <c r="D1261" s="66">
        <f t="shared" si="295"/>
        <v>31250000</v>
      </c>
      <c r="E1261" s="30">
        <f t="shared" si="300"/>
        <v>31250000</v>
      </c>
      <c r="F1261" s="30">
        <f t="shared" si="296"/>
        <v>93750000</v>
      </c>
      <c r="G1261" s="30">
        <f t="shared" si="297"/>
        <v>31250000</v>
      </c>
      <c r="H1261" s="30">
        <f t="shared" si="298"/>
        <v>125000000</v>
      </c>
    </row>
    <row r="1262">
      <c r="B1262" s="3">
        <f t="shared" si="299"/>
        <v>500000000</v>
      </c>
      <c r="C1262" s="3">
        <v>32.0</v>
      </c>
      <c r="D1262" s="66">
        <f t="shared" si="295"/>
        <v>15625000</v>
      </c>
      <c r="E1262" s="30">
        <f t="shared" ref="E1262:E1270" si="301">E1261/2</f>
        <v>15625000</v>
      </c>
      <c r="F1262" s="30">
        <f t="shared" si="296"/>
        <v>46875000</v>
      </c>
      <c r="G1262" s="30">
        <f t="shared" si="297"/>
        <v>15625000</v>
      </c>
      <c r="H1262" s="30">
        <f t="shared" si="298"/>
        <v>62500000</v>
      </c>
    </row>
    <row r="1263">
      <c r="B1263" s="3">
        <f t="shared" si="299"/>
        <v>500000000</v>
      </c>
      <c r="C1263" s="3">
        <v>64.0</v>
      </c>
      <c r="D1263" s="66">
        <f t="shared" si="295"/>
        <v>7812500</v>
      </c>
      <c r="E1263" s="30">
        <f t="shared" si="301"/>
        <v>7812500</v>
      </c>
      <c r="F1263" s="30">
        <f t="shared" si="296"/>
        <v>23437500</v>
      </c>
      <c r="G1263" s="30">
        <f t="shared" si="297"/>
        <v>7812500</v>
      </c>
      <c r="H1263" s="30">
        <f t="shared" si="298"/>
        <v>31250000</v>
      </c>
    </row>
    <row r="1264">
      <c r="B1264" s="3">
        <f t="shared" si="299"/>
        <v>500000000</v>
      </c>
      <c r="C1264" s="3">
        <v>128.0</v>
      </c>
      <c r="D1264" s="66">
        <f t="shared" si="295"/>
        <v>3906250</v>
      </c>
      <c r="E1264" s="30">
        <f t="shared" si="301"/>
        <v>3906250</v>
      </c>
      <c r="F1264" s="30">
        <f t="shared" si="296"/>
        <v>11718750</v>
      </c>
      <c r="G1264" s="30">
        <f t="shared" si="297"/>
        <v>3906250</v>
      </c>
      <c r="H1264" s="30">
        <f t="shared" si="298"/>
        <v>15625000</v>
      </c>
    </row>
    <row r="1265">
      <c r="B1265" s="3">
        <f t="shared" si="299"/>
        <v>500000000</v>
      </c>
      <c r="C1265" s="3">
        <v>256.0</v>
      </c>
      <c r="D1265" s="66">
        <f t="shared" si="295"/>
        <v>1953125</v>
      </c>
      <c r="E1265" s="30">
        <f t="shared" si="301"/>
        <v>1953125</v>
      </c>
      <c r="F1265" s="30">
        <f t="shared" si="296"/>
        <v>5859375</v>
      </c>
      <c r="G1265" s="30">
        <f t="shared" si="297"/>
        <v>1953125</v>
      </c>
      <c r="H1265" s="30">
        <f t="shared" si="298"/>
        <v>7812500</v>
      </c>
    </row>
    <row r="1266">
      <c r="B1266" s="3">
        <f t="shared" si="299"/>
        <v>500000000</v>
      </c>
      <c r="C1266" s="3">
        <v>512.0</v>
      </c>
      <c r="D1266" s="66">
        <f t="shared" si="295"/>
        <v>976562.5</v>
      </c>
      <c r="E1266" s="30">
        <f t="shared" si="301"/>
        <v>976562.5</v>
      </c>
      <c r="F1266" s="30">
        <f t="shared" si="296"/>
        <v>2929687.5</v>
      </c>
      <c r="G1266" s="30">
        <f t="shared" si="297"/>
        <v>976562.5</v>
      </c>
      <c r="H1266" s="30">
        <f t="shared" si="298"/>
        <v>3906250</v>
      </c>
    </row>
    <row r="1267">
      <c r="B1267" s="3">
        <f t="shared" si="299"/>
        <v>500000000</v>
      </c>
      <c r="C1267" s="3">
        <v>1024.0</v>
      </c>
      <c r="D1267" s="66">
        <f t="shared" si="295"/>
        <v>488281.25</v>
      </c>
      <c r="E1267" s="30">
        <f t="shared" si="301"/>
        <v>488281.25</v>
      </c>
      <c r="F1267" s="30">
        <f t="shared" si="296"/>
        <v>1464843.75</v>
      </c>
      <c r="G1267" s="30">
        <f t="shared" si="297"/>
        <v>488281.25</v>
      </c>
      <c r="H1267" s="30">
        <f t="shared" si="298"/>
        <v>1953125</v>
      </c>
    </row>
    <row r="1268">
      <c r="B1268" s="3">
        <f t="shared" si="299"/>
        <v>500000000</v>
      </c>
      <c r="C1268" s="3">
        <v>2048.0</v>
      </c>
      <c r="D1268" s="66">
        <f t="shared" si="295"/>
        <v>244140.625</v>
      </c>
      <c r="E1268" s="30">
        <f t="shared" si="301"/>
        <v>244140.625</v>
      </c>
      <c r="F1268" s="30">
        <f t="shared" si="296"/>
        <v>732421.875</v>
      </c>
      <c r="G1268" s="30">
        <f t="shared" si="297"/>
        <v>244140.625</v>
      </c>
      <c r="H1268" s="30">
        <f t="shared" si="298"/>
        <v>976562.5</v>
      </c>
    </row>
    <row r="1269">
      <c r="B1269" s="3">
        <f t="shared" si="299"/>
        <v>500000000</v>
      </c>
      <c r="C1269" s="3">
        <v>4096.0</v>
      </c>
      <c r="D1269" s="66">
        <f t="shared" si="295"/>
        <v>122070.3125</v>
      </c>
      <c r="E1269" s="30">
        <f t="shared" si="301"/>
        <v>122070.3125</v>
      </c>
      <c r="F1269" s="30">
        <f t="shared" si="296"/>
        <v>366210.9375</v>
      </c>
      <c r="G1269" s="30">
        <f t="shared" si="297"/>
        <v>122070.3125</v>
      </c>
      <c r="H1269" s="30">
        <f t="shared" si="298"/>
        <v>488281.25</v>
      </c>
    </row>
    <row r="1270">
      <c r="B1270" s="3">
        <f t="shared" si="299"/>
        <v>500000000</v>
      </c>
      <c r="C1270" s="3">
        <v>8192.0</v>
      </c>
      <c r="D1270" s="66">
        <f t="shared" si="295"/>
        <v>61035.15625</v>
      </c>
      <c r="E1270" s="30">
        <f t="shared" si="301"/>
        <v>61035.15625</v>
      </c>
      <c r="F1270" s="30">
        <f t="shared" si="296"/>
        <v>183105.4688</v>
      </c>
      <c r="G1270" s="30">
        <f t="shared" si="297"/>
        <v>61035.15625</v>
      </c>
      <c r="H1270" s="30">
        <f t="shared" si="298"/>
        <v>244140.625</v>
      </c>
    </row>
    <row r="1271">
      <c r="A1271" s="3" t="s">
        <v>327</v>
      </c>
      <c r="B1271" s="3" t="s">
        <v>530</v>
      </c>
      <c r="E1271" s="3"/>
      <c r="J1271" s="3" t="s">
        <v>531</v>
      </c>
      <c r="M1271" s="3"/>
      <c r="R1271" s="3" t="s">
        <v>532</v>
      </c>
      <c r="U1271" s="3"/>
    </row>
    <row r="1272">
      <c r="E1272" s="3"/>
      <c r="F1272" s="3" t="s">
        <v>482</v>
      </c>
      <c r="G1272" s="73" t="s">
        <v>529</v>
      </c>
      <c r="H1272" s="3" t="s">
        <v>533</v>
      </c>
      <c r="M1272" s="3"/>
      <c r="N1272" s="3" t="s">
        <v>482</v>
      </c>
      <c r="O1272" s="73" t="s">
        <v>529</v>
      </c>
      <c r="P1272" s="3" t="s">
        <v>533</v>
      </c>
      <c r="U1272" s="3"/>
      <c r="V1272" s="3" t="s">
        <v>482</v>
      </c>
      <c r="W1272" s="73" t="s">
        <v>529</v>
      </c>
      <c r="X1272" s="3" t="s">
        <v>533</v>
      </c>
    </row>
    <row r="1273">
      <c r="B1273" s="3" t="s">
        <v>463</v>
      </c>
      <c r="C1273" s="3">
        <v>1.0</v>
      </c>
      <c r="D1273" s="3">
        <v>9.5047417E7</v>
      </c>
      <c r="E1273" s="3">
        <v>3.2681334E7</v>
      </c>
      <c r="F1273" s="30">
        <f t="shared" ref="F1273:F1286" si="302">D1273+E1273</f>
        <v>127728751</v>
      </c>
      <c r="G1273" s="30">
        <f t="shared" ref="G1273:G1286" si="303">H1257</f>
        <v>125000000</v>
      </c>
      <c r="H1273" s="77">
        <f t="shared" ref="H1273:H1286" si="304">ABS((F1273-G1273)/F1273)*100</f>
        <v>2.136363958</v>
      </c>
      <c r="J1273" s="3" t="s">
        <v>463</v>
      </c>
      <c r="K1273" s="3">
        <v>1.0</v>
      </c>
      <c r="L1273" s="3">
        <v>9.3848782E7</v>
      </c>
      <c r="M1273" s="3">
        <v>3.1366895E7</v>
      </c>
      <c r="N1273" s="30">
        <f t="shared" ref="N1273:N1286" si="305">L1273+M1273</f>
        <v>125215677</v>
      </c>
      <c r="O1273" s="30">
        <f t="shared" ref="O1273:O1286" si="306">H1257</f>
        <v>125000000</v>
      </c>
      <c r="P1273" s="77">
        <f t="shared" ref="P1273:P1286" si="307">ABS((N1273-O1273)/N1273)*100</f>
        <v>0.1722444067</v>
      </c>
      <c r="R1273" s="3" t="s">
        <v>463</v>
      </c>
      <c r="S1273" s="3">
        <v>1.0</v>
      </c>
      <c r="T1273" s="3">
        <v>9.3991384E7</v>
      </c>
      <c r="U1273" s="3">
        <v>3.153061E7</v>
      </c>
      <c r="V1273" s="30">
        <f t="shared" ref="V1273:V1286" si="308">T1273+U1273</f>
        <v>125521994</v>
      </c>
      <c r="W1273" s="30">
        <f t="shared" ref="W1273:W1286" si="309">H1257</f>
        <v>125000000</v>
      </c>
      <c r="X1273" s="77">
        <f t="shared" ref="X1273:X1286" si="310">ABS((V1273-W1273)/V1273)*100</f>
        <v>0.4158585945</v>
      </c>
    </row>
    <row r="1274">
      <c r="B1274" s="3" t="s">
        <v>463</v>
      </c>
      <c r="C1274" s="3">
        <v>2.0</v>
      </c>
      <c r="D1274" s="3">
        <v>9.4905792E7</v>
      </c>
      <c r="E1274" s="3">
        <v>3.2485675E7</v>
      </c>
      <c r="F1274" s="30">
        <f t="shared" si="302"/>
        <v>127391467</v>
      </c>
      <c r="G1274" s="30">
        <f t="shared" si="303"/>
        <v>125000000</v>
      </c>
      <c r="H1274" s="77">
        <f t="shared" si="304"/>
        <v>1.877258388</v>
      </c>
      <c r="J1274" s="3" t="s">
        <v>463</v>
      </c>
      <c r="K1274" s="3">
        <v>2.0</v>
      </c>
      <c r="L1274" s="3">
        <v>9.383072E7</v>
      </c>
      <c r="M1274" s="3">
        <v>3.1347153E7</v>
      </c>
      <c r="N1274" s="30">
        <f t="shared" si="305"/>
        <v>125177873</v>
      </c>
      <c r="O1274" s="30">
        <f t="shared" si="306"/>
        <v>125000000</v>
      </c>
      <c r="P1274" s="77">
        <f t="shared" si="307"/>
        <v>0.1420961994</v>
      </c>
      <c r="R1274" s="3" t="s">
        <v>463</v>
      </c>
      <c r="S1274" s="3">
        <v>2.0</v>
      </c>
      <c r="T1274" s="3">
        <v>9.3982577E7</v>
      </c>
      <c r="U1274" s="3">
        <v>3.1531618E7</v>
      </c>
      <c r="V1274" s="30">
        <f t="shared" si="308"/>
        <v>125514195</v>
      </c>
      <c r="W1274" s="30">
        <f t="shared" si="309"/>
        <v>125000000</v>
      </c>
      <c r="X1274" s="77">
        <f t="shared" si="310"/>
        <v>0.4096707946</v>
      </c>
    </row>
    <row r="1275">
      <c r="B1275" s="3" t="s">
        <v>463</v>
      </c>
      <c r="C1275" s="3">
        <v>4.0</v>
      </c>
      <c r="D1275" s="3">
        <v>9.4736708E7</v>
      </c>
      <c r="E1275" s="3">
        <v>3.2403993E7</v>
      </c>
      <c r="F1275" s="30">
        <f t="shared" si="302"/>
        <v>127140701</v>
      </c>
      <c r="G1275" s="30">
        <f t="shared" si="303"/>
        <v>125000000</v>
      </c>
      <c r="H1275" s="77">
        <f t="shared" si="304"/>
        <v>1.683725969</v>
      </c>
      <c r="J1275" s="3" t="s">
        <v>463</v>
      </c>
      <c r="K1275" s="3">
        <v>4.0</v>
      </c>
      <c r="L1275" s="3">
        <v>9.3800515E7</v>
      </c>
      <c r="M1275" s="3">
        <v>3.1309096E7</v>
      </c>
      <c r="N1275" s="30">
        <f t="shared" si="305"/>
        <v>125109611</v>
      </c>
      <c r="O1275" s="30">
        <f t="shared" si="306"/>
        <v>125000000</v>
      </c>
      <c r="P1275" s="77">
        <f t="shared" si="307"/>
        <v>0.08761197411</v>
      </c>
      <c r="R1275" s="3" t="s">
        <v>463</v>
      </c>
      <c r="S1275" s="3">
        <v>4.0</v>
      </c>
      <c r="T1275" s="3">
        <v>9.3830095E7</v>
      </c>
      <c r="U1275" s="3">
        <v>3.1373748E7</v>
      </c>
      <c r="V1275" s="30">
        <f t="shared" si="308"/>
        <v>125203843</v>
      </c>
      <c r="W1275" s="30">
        <f t="shared" si="309"/>
        <v>125000000</v>
      </c>
      <c r="X1275" s="77">
        <f t="shared" si="310"/>
        <v>0.1628089004</v>
      </c>
    </row>
    <row r="1276">
      <c r="B1276" s="3" t="s">
        <v>463</v>
      </c>
      <c r="C1276" s="3">
        <v>8.0</v>
      </c>
      <c r="D1276" s="3">
        <v>9.469439E7</v>
      </c>
      <c r="E1276" s="3">
        <v>3.2365136E7</v>
      </c>
      <c r="F1276" s="30">
        <f t="shared" si="302"/>
        <v>127059526</v>
      </c>
      <c r="G1276" s="30">
        <f t="shared" si="303"/>
        <v>125000000</v>
      </c>
      <c r="H1276" s="77">
        <f t="shared" si="304"/>
        <v>1.620914279</v>
      </c>
      <c r="J1276" s="3" t="s">
        <v>463</v>
      </c>
      <c r="K1276" s="3">
        <v>8.0</v>
      </c>
      <c r="L1276" s="3">
        <v>9.3789693E7</v>
      </c>
      <c r="M1276" s="3">
        <v>3.1296132E7</v>
      </c>
      <c r="N1276" s="30">
        <f t="shared" si="305"/>
        <v>125085825</v>
      </c>
      <c r="O1276" s="30">
        <f t="shared" si="306"/>
        <v>125000000</v>
      </c>
      <c r="P1276" s="77">
        <f t="shared" si="307"/>
        <v>0.06861289039</v>
      </c>
      <c r="R1276" s="3" t="s">
        <v>463</v>
      </c>
      <c r="S1276" s="3">
        <v>8.0</v>
      </c>
      <c r="T1276" s="3">
        <v>9.3807361E7</v>
      </c>
      <c r="U1276" s="3">
        <v>3.1355837E7</v>
      </c>
      <c r="V1276" s="30">
        <f t="shared" si="308"/>
        <v>125163198</v>
      </c>
      <c r="W1276" s="30">
        <f t="shared" si="309"/>
        <v>125000000</v>
      </c>
      <c r="X1276" s="77">
        <f t="shared" si="310"/>
        <v>0.1303881673</v>
      </c>
    </row>
    <row r="1277">
      <c r="B1277" s="3" t="s">
        <v>463</v>
      </c>
      <c r="C1277" s="3">
        <v>16.0</v>
      </c>
      <c r="D1277" s="3">
        <v>9.472746E7</v>
      </c>
      <c r="E1277" s="3">
        <v>3.2313032E7</v>
      </c>
      <c r="F1277" s="30">
        <f t="shared" si="302"/>
        <v>127040492</v>
      </c>
      <c r="G1277" s="30">
        <f t="shared" si="303"/>
        <v>125000000</v>
      </c>
      <c r="H1277" s="77">
        <f t="shared" si="304"/>
        <v>1.60617451</v>
      </c>
      <c r="J1277" s="3" t="s">
        <v>463</v>
      </c>
      <c r="K1277" s="3">
        <v>16.0</v>
      </c>
      <c r="L1277" s="3">
        <v>9.3787211E7</v>
      </c>
      <c r="M1277" s="3">
        <v>3.1292682E7</v>
      </c>
      <c r="N1277" s="30">
        <f t="shared" si="305"/>
        <v>125079893</v>
      </c>
      <c r="O1277" s="30">
        <f t="shared" si="306"/>
        <v>125000000</v>
      </c>
      <c r="P1277" s="77">
        <f t="shared" si="307"/>
        <v>0.06387357559</v>
      </c>
      <c r="R1277" s="3" t="s">
        <v>463</v>
      </c>
      <c r="S1277" s="3">
        <v>16.0</v>
      </c>
      <c r="T1277" s="3">
        <v>9.3835471E7</v>
      </c>
      <c r="U1277" s="3">
        <v>3.1363137E7</v>
      </c>
      <c r="V1277" s="30">
        <f t="shared" si="308"/>
        <v>125198608</v>
      </c>
      <c r="W1277" s="30">
        <f t="shared" si="309"/>
        <v>125000000</v>
      </c>
      <c r="X1277" s="77">
        <f t="shared" si="310"/>
        <v>0.1586343516</v>
      </c>
    </row>
    <row r="1278">
      <c r="B1278" s="3" t="s">
        <v>463</v>
      </c>
      <c r="C1278" s="3">
        <v>32.0</v>
      </c>
      <c r="D1278" s="3">
        <v>4.7384517E7</v>
      </c>
      <c r="E1278" s="3">
        <v>1.6218165E7</v>
      </c>
      <c r="F1278" s="30">
        <f t="shared" si="302"/>
        <v>63602682</v>
      </c>
      <c r="G1278" s="30">
        <f t="shared" si="303"/>
        <v>62500000</v>
      </c>
      <c r="H1278" s="77">
        <f t="shared" si="304"/>
        <v>1.73370362</v>
      </c>
      <c r="J1278" s="3" t="s">
        <v>463</v>
      </c>
      <c r="K1278" s="3">
        <v>32.0</v>
      </c>
      <c r="L1278" s="3">
        <v>4.6892437E7</v>
      </c>
      <c r="M1278" s="3">
        <v>1.564232E7</v>
      </c>
      <c r="N1278" s="30">
        <f t="shared" si="305"/>
        <v>62534757</v>
      </c>
      <c r="O1278" s="30">
        <f t="shared" si="306"/>
        <v>62500000</v>
      </c>
      <c r="P1278" s="77">
        <f t="shared" si="307"/>
        <v>0.05558029113</v>
      </c>
      <c r="R1278" s="3" t="s">
        <v>463</v>
      </c>
      <c r="S1278" s="3">
        <v>32.0</v>
      </c>
      <c r="T1278" s="3">
        <v>4.6935236E7</v>
      </c>
      <c r="U1278" s="3">
        <v>1.570105E7</v>
      </c>
      <c r="V1278" s="30">
        <f t="shared" si="308"/>
        <v>62636286</v>
      </c>
      <c r="W1278" s="30">
        <f t="shared" si="309"/>
        <v>62500000</v>
      </c>
      <c r="X1278" s="77">
        <f t="shared" si="310"/>
        <v>0.2175831434</v>
      </c>
    </row>
    <row r="1279">
      <c r="B1279" s="3" t="s">
        <v>463</v>
      </c>
      <c r="C1279" s="3">
        <v>64.0</v>
      </c>
      <c r="D1279" s="3">
        <v>2.3627551E7</v>
      </c>
      <c r="E1279" s="3">
        <v>8064231.0</v>
      </c>
      <c r="F1279" s="30">
        <f t="shared" si="302"/>
        <v>31691782</v>
      </c>
      <c r="G1279" s="30">
        <f t="shared" si="303"/>
        <v>31250000</v>
      </c>
      <c r="H1279" s="77">
        <f t="shared" si="304"/>
        <v>1.393995453</v>
      </c>
      <c r="J1279" s="3" t="s">
        <v>463</v>
      </c>
      <c r="K1279" s="3">
        <v>64.0</v>
      </c>
      <c r="L1279" s="3">
        <v>2.3449627E7</v>
      </c>
      <c r="M1279" s="3">
        <v>7824319.0</v>
      </c>
      <c r="N1279" s="30">
        <f t="shared" si="305"/>
        <v>31273946</v>
      </c>
      <c r="O1279" s="30">
        <f t="shared" si="306"/>
        <v>31250000</v>
      </c>
      <c r="P1279" s="77">
        <f t="shared" si="307"/>
        <v>0.07656852768</v>
      </c>
      <c r="R1279" s="3" t="s">
        <v>463</v>
      </c>
      <c r="S1279" s="3">
        <v>64.0</v>
      </c>
      <c r="T1279" s="3">
        <v>2.3458154E7</v>
      </c>
      <c r="U1279" s="3">
        <v>7838952.0</v>
      </c>
      <c r="V1279" s="30">
        <f t="shared" si="308"/>
        <v>31297106</v>
      </c>
      <c r="W1279" s="30">
        <f t="shared" si="309"/>
        <v>31250000</v>
      </c>
      <c r="X1279" s="77">
        <f t="shared" si="310"/>
        <v>0.1505123189</v>
      </c>
    </row>
    <row r="1280">
      <c r="B1280" s="3" t="s">
        <v>463</v>
      </c>
      <c r="C1280" s="3">
        <v>128.0</v>
      </c>
      <c r="D1280" s="3">
        <v>1.1814001E7</v>
      </c>
      <c r="E1280" s="3">
        <v>4033095.0</v>
      </c>
      <c r="F1280" s="30">
        <f t="shared" si="302"/>
        <v>15847096</v>
      </c>
      <c r="G1280" s="30">
        <f t="shared" si="303"/>
        <v>15625000</v>
      </c>
      <c r="H1280" s="77">
        <f t="shared" si="304"/>
        <v>1.401493371</v>
      </c>
      <c r="J1280" s="3" t="s">
        <v>463</v>
      </c>
      <c r="K1280" s="3">
        <v>128.0</v>
      </c>
      <c r="L1280" s="3">
        <v>1.1726323E7</v>
      </c>
      <c r="M1280" s="3">
        <v>3910954.0</v>
      </c>
      <c r="N1280" s="30">
        <f t="shared" si="305"/>
        <v>15637277</v>
      </c>
      <c r="O1280" s="30">
        <f t="shared" si="306"/>
        <v>15625000</v>
      </c>
      <c r="P1280" s="77">
        <f t="shared" si="307"/>
        <v>0.07851111162</v>
      </c>
      <c r="R1280" s="3" t="s">
        <v>463</v>
      </c>
      <c r="S1280" s="3">
        <v>128.0</v>
      </c>
      <c r="T1280" s="3">
        <v>1.1732407E7</v>
      </c>
      <c r="U1280" s="3">
        <v>3919703.0</v>
      </c>
      <c r="V1280" s="30">
        <f t="shared" si="308"/>
        <v>15652110</v>
      </c>
      <c r="W1280" s="30">
        <f t="shared" si="309"/>
        <v>15625000</v>
      </c>
      <c r="X1280" s="77">
        <f t="shared" si="310"/>
        <v>0.173203485</v>
      </c>
    </row>
    <row r="1281">
      <c r="B1281" s="3" t="s">
        <v>463</v>
      </c>
      <c r="C1281" s="3">
        <v>256.0</v>
      </c>
      <c r="D1281" s="3">
        <v>5910495.0</v>
      </c>
      <c r="E1281" s="3">
        <v>2018473.0</v>
      </c>
      <c r="F1281" s="30">
        <f t="shared" si="302"/>
        <v>7928968</v>
      </c>
      <c r="G1281" s="30">
        <f t="shared" si="303"/>
        <v>7812500</v>
      </c>
      <c r="H1281" s="77">
        <f t="shared" si="304"/>
        <v>1.468892295</v>
      </c>
      <c r="J1281" s="3" t="s">
        <v>463</v>
      </c>
      <c r="K1281" s="3">
        <v>256.0</v>
      </c>
      <c r="L1281" s="3">
        <v>5866749.0</v>
      </c>
      <c r="M1281" s="3">
        <v>1957921.0</v>
      </c>
      <c r="N1281" s="30">
        <f t="shared" si="305"/>
        <v>7824670</v>
      </c>
      <c r="O1281" s="30">
        <f t="shared" si="306"/>
        <v>7812500</v>
      </c>
      <c r="P1281" s="77">
        <f t="shared" si="307"/>
        <v>0.1555337158</v>
      </c>
      <c r="R1281" s="3" t="s">
        <v>463</v>
      </c>
      <c r="S1281" s="3">
        <v>256.0</v>
      </c>
      <c r="T1281" s="3">
        <v>5864123.0</v>
      </c>
      <c r="U1281" s="3">
        <v>1964584.0</v>
      </c>
      <c r="V1281" s="30">
        <f t="shared" si="308"/>
        <v>7828707</v>
      </c>
      <c r="W1281" s="30">
        <f t="shared" si="309"/>
        <v>7812500</v>
      </c>
      <c r="X1281" s="77">
        <f t="shared" si="310"/>
        <v>0.2070201376</v>
      </c>
    </row>
    <row r="1282">
      <c r="B1282" s="3" t="s">
        <v>463</v>
      </c>
      <c r="C1282" s="3">
        <v>512.0</v>
      </c>
      <c r="D1282" s="3">
        <v>2959569.0</v>
      </c>
      <c r="E1282" s="3">
        <v>1013297.0</v>
      </c>
      <c r="F1282" s="30">
        <f t="shared" si="302"/>
        <v>3972866</v>
      </c>
      <c r="G1282" s="30">
        <f t="shared" si="303"/>
        <v>3906250</v>
      </c>
      <c r="H1282" s="77">
        <f t="shared" si="304"/>
        <v>1.676774399</v>
      </c>
      <c r="J1282" s="3" t="s">
        <v>463</v>
      </c>
      <c r="K1282" s="3">
        <v>512.0</v>
      </c>
      <c r="L1282" s="3">
        <v>2935262.0</v>
      </c>
      <c r="M1282" s="3">
        <v>980474.0</v>
      </c>
      <c r="N1282" s="30">
        <f t="shared" si="305"/>
        <v>3915736</v>
      </c>
      <c r="O1282" s="30">
        <f t="shared" si="306"/>
        <v>3906250</v>
      </c>
      <c r="P1282" s="77">
        <f t="shared" si="307"/>
        <v>0.2422533082</v>
      </c>
      <c r="R1282" s="3" t="s">
        <v>463</v>
      </c>
      <c r="S1282" s="3">
        <v>512.0</v>
      </c>
      <c r="T1282" s="3">
        <v>2934439.0</v>
      </c>
      <c r="U1282" s="3">
        <v>982689.0</v>
      </c>
      <c r="V1282" s="30">
        <f t="shared" si="308"/>
        <v>3917128</v>
      </c>
      <c r="W1282" s="30">
        <f t="shared" si="309"/>
        <v>3906250</v>
      </c>
      <c r="X1282" s="77">
        <f t="shared" si="310"/>
        <v>0.2777034603</v>
      </c>
    </row>
    <row r="1283">
      <c r="B1283" s="3" t="s">
        <v>463</v>
      </c>
      <c r="C1283" s="3">
        <v>1024.0</v>
      </c>
      <c r="D1283" s="3">
        <v>1493499.0</v>
      </c>
      <c r="E1283" s="3">
        <v>518152.0</v>
      </c>
      <c r="F1283" s="30">
        <f t="shared" si="302"/>
        <v>2011651</v>
      </c>
      <c r="G1283" s="30">
        <f t="shared" si="303"/>
        <v>1953125</v>
      </c>
      <c r="H1283" s="77">
        <f t="shared" si="304"/>
        <v>2.909351572</v>
      </c>
      <c r="J1283" s="3" t="s">
        <v>463</v>
      </c>
      <c r="K1283" s="3">
        <v>1024.0</v>
      </c>
      <c r="L1283" s="3">
        <v>1470528.0</v>
      </c>
      <c r="M1283" s="3">
        <v>492145.0</v>
      </c>
      <c r="N1283" s="30">
        <f t="shared" si="305"/>
        <v>1962673</v>
      </c>
      <c r="O1283" s="30">
        <f t="shared" si="306"/>
        <v>1953125</v>
      </c>
      <c r="P1283" s="77">
        <f t="shared" si="307"/>
        <v>0.4864794084</v>
      </c>
      <c r="R1283" s="3" t="s">
        <v>463</v>
      </c>
      <c r="S1283" s="3">
        <v>1024.0</v>
      </c>
      <c r="T1283" s="3">
        <v>1468577.0</v>
      </c>
      <c r="U1283" s="3">
        <v>493147.0</v>
      </c>
      <c r="V1283" s="30">
        <f t="shared" si="308"/>
        <v>1961724</v>
      </c>
      <c r="W1283" s="30">
        <f t="shared" si="309"/>
        <v>1953125</v>
      </c>
      <c r="X1283" s="77">
        <f t="shared" si="310"/>
        <v>0.4383389305</v>
      </c>
    </row>
    <row r="1284">
      <c r="B1284" s="3" t="s">
        <v>463</v>
      </c>
      <c r="C1284" s="3">
        <v>2048.0</v>
      </c>
      <c r="D1284" s="3">
        <v>742057.0</v>
      </c>
      <c r="E1284" s="3">
        <v>255862.0</v>
      </c>
      <c r="F1284" s="30">
        <f t="shared" si="302"/>
        <v>997919</v>
      </c>
      <c r="G1284" s="30">
        <f t="shared" si="303"/>
        <v>976562.5</v>
      </c>
      <c r="H1284" s="77">
        <f t="shared" si="304"/>
        <v>2.140103555</v>
      </c>
      <c r="J1284" s="3" t="s">
        <v>463</v>
      </c>
      <c r="K1284" s="3">
        <v>2048.0</v>
      </c>
      <c r="L1284" s="3">
        <v>738834.0</v>
      </c>
      <c r="M1284" s="3">
        <v>249422.0</v>
      </c>
      <c r="N1284" s="30">
        <f t="shared" si="305"/>
        <v>988256</v>
      </c>
      <c r="O1284" s="30">
        <f t="shared" si="306"/>
        <v>976562.5</v>
      </c>
      <c r="P1284" s="77">
        <f t="shared" si="307"/>
        <v>1.183246042</v>
      </c>
      <c r="R1284" s="3" t="s">
        <v>463</v>
      </c>
      <c r="S1284" s="3">
        <v>2048.0</v>
      </c>
      <c r="T1284" s="3">
        <v>736082.0</v>
      </c>
      <c r="U1284" s="3">
        <v>248794.0</v>
      </c>
      <c r="V1284" s="30">
        <f t="shared" si="308"/>
        <v>984876</v>
      </c>
      <c r="W1284" s="30">
        <f t="shared" si="309"/>
        <v>976562.5</v>
      </c>
      <c r="X1284" s="77">
        <f t="shared" si="310"/>
        <v>0.8441164167</v>
      </c>
    </row>
    <row r="1285">
      <c r="B1285" s="3" t="s">
        <v>463</v>
      </c>
      <c r="C1285" s="3">
        <v>4096.0</v>
      </c>
      <c r="D1285" s="3">
        <v>373642.0</v>
      </c>
      <c r="E1285" s="3">
        <v>132321.0</v>
      </c>
      <c r="F1285" s="30">
        <f t="shared" si="302"/>
        <v>505963</v>
      </c>
      <c r="G1285" s="30">
        <f t="shared" si="303"/>
        <v>488281.25</v>
      </c>
      <c r="H1285" s="77">
        <f t="shared" si="304"/>
        <v>3.494672535</v>
      </c>
      <c r="J1285" s="3" t="s">
        <v>463</v>
      </c>
      <c r="K1285" s="3">
        <v>4096.0</v>
      </c>
      <c r="L1285" s="3">
        <v>371592.0</v>
      </c>
      <c r="M1285" s="3">
        <v>125806.0</v>
      </c>
      <c r="N1285" s="30">
        <f t="shared" si="305"/>
        <v>497398</v>
      </c>
      <c r="O1285" s="30">
        <f t="shared" si="306"/>
        <v>488281.25</v>
      </c>
      <c r="P1285" s="77">
        <f t="shared" si="307"/>
        <v>1.832888351</v>
      </c>
      <c r="R1285" s="3" t="s">
        <v>463</v>
      </c>
      <c r="S1285" s="3">
        <v>4096.0</v>
      </c>
      <c r="T1285" s="3">
        <v>370952.0</v>
      </c>
      <c r="U1285" s="3">
        <v>125816.0</v>
      </c>
      <c r="V1285" s="30">
        <f t="shared" si="308"/>
        <v>496768</v>
      </c>
      <c r="W1285" s="30">
        <f t="shared" si="309"/>
        <v>488281.25</v>
      </c>
      <c r="X1285" s="77">
        <f t="shared" si="310"/>
        <v>1.708393053</v>
      </c>
    </row>
    <row r="1286">
      <c r="B1286" s="3" t="s">
        <v>463</v>
      </c>
      <c r="C1286" s="3">
        <v>8192.0</v>
      </c>
      <c r="D1286" s="3">
        <v>188335.0</v>
      </c>
      <c r="E1286" s="3">
        <v>68326.0</v>
      </c>
      <c r="F1286" s="30">
        <f t="shared" si="302"/>
        <v>256661</v>
      </c>
      <c r="G1286" s="30">
        <f t="shared" si="303"/>
        <v>244140.625</v>
      </c>
      <c r="H1286" s="77">
        <f t="shared" si="304"/>
        <v>4.878175882</v>
      </c>
      <c r="J1286" s="3" t="s">
        <v>463</v>
      </c>
      <c r="K1286" s="3">
        <v>8192.0</v>
      </c>
      <c r="L1286" s="3">
        <v>186711.0</v>
      </c>
      <c r="M1286" s="3">
        <v>64300.0</v>
      </c>
      <c r="N1286" s="30">
        <f t="shared" si="305"/>
        <v>251011</v>
      </c>
      <c r="O1286" s="30">
        <f t="shared" si="306"/>
        <v>244140.625</v>
      </c>
      <c r="P1286" s="77">
        <f t="shared" si="307"/>
        <v>2.737081243</v>
      </c>
      <c r="R1286" s="3" t="s">
        <v>463</v>
      </c>
      <c r="S1286" s="3">
        <v>8192.0</v>
      </c>
      <c r="T1286" s="3">
        <v>187630.0</v>
      </c>
      <c r="U1286" s="3">
        <v>67789.0</v>
      </c>
      <c r="V1286" s="30">
        <f t="shared" si="308"/>
        <v>255419</v>
      </c>
      <c r="W1286" s="30">
        <f t="shared" si="309"/>
        <v>244140.625</v>
      </c>
      <c r="X1286" s="77">
        <f t="shared" si="310"/>
        <v>4.41563666</v>
      </c>
    </row>
    <row r="1287">
      <c r="E1287" s="3"/>
    </row>
    <row r="1288">
      <c r="E1288" s="3"/>
    </row>
    <row r="1289">
      <c r="E1289" s="3"/>
    </row>
    <row r="1290">
      <c r="C1290" s="3" t="s">
        <v>324</v>
      </c>
      <c r="D1290" s="3" t="s">
        <v>534</v>
      </c>
      <c r="E1290" s="3" t="s">
        <v>535</v>
      </c>
      <c r="F1290" s="3" t="s">
        <v>536</v>
      </c>
    </row>
    <row r="1291">
      <c r="C1291" s="3">
        <v>1.0</v>
      </c>
      <c r="D1291" s="77">
        <f t="shared" ref="D1291:D1304" si="311">H1273</f>
        <v>2.136363958</v>
      </c>
      <c r="E1291" s="81">
        <f t="shared" ref="E1291:E1304" si="312">P1273</f>
        <v>0.1722444067</v>
      </c>
      <c r="F1291" s="77">
        <f t="shared" ref="F1291:F1304" si="313">X1273</f>
        <v>0.4158585945</v>
      </c>
      <c r="H1291" s="30" t="str">
        <f>D1290&amp;"=["&amp;D1291&amp;", "&amp;D1292&amp;", "&amp;D1293&amp;", "&amp;D1294&amp;", "&amp;D1295&amp;", "&amp;D1296&amp;", "&amp;D1297&amp;", "&amp;D1298&amp;", "&amp;D1299&amp;", "&amp;D1300&amp;", "&amp;D1301&amp;", "&amp;D1302&amp;", "&amp;D1303&amp;", "&amp;D1304&amp;"]"</f>
        <v>bwell=[2.13636395771223, 1.8772583881148, 1.68372596907421, 1.62091427918596, 1.60617451009242, 1.73370361960522, 1.39399545282749, 1.40149337140382, 1.4688922946845, 1.67677439913654, 2.9093515724149, 2.14010355549899, 3.49467253534349, 4.87817588180518]</v>
      </c>
    </row>
    <row r="1292">
      <c r="C1292" s="3">
        <v>2.0</v>
      </c>
      <c r="D1292" s="77">
        <f t="shared" si="311"/>
        <v>1.877258388</v>
      </c>
      <c r="E1292" s="81">
        <f t="shared" si="312"/>
        <v>0.1420961994</v>
      </c>
      <c r="F1292" s="77">
        <f t="shared" si="313"/>
        <v>0.4096707946</v>
      </c>
      <c r="H1292" s="82" t="str">
        <f>E1290&amp;"=["&amp;E1291&amp;", "&amp;E1292&amp;", "&amp;E1293&amp;", "&amp;E1294&amp;", "&amp;E1295&amp;", "&amp;E1296&amp;", "&amp;E1297&amp;", "&amp;E1298&amp;", "&amp;E1299&amp;", "&amp;E1300&amp;", "&amp;E1301&amp;", "&amp;E1302&amp;", "&amp;E1303&amp;", "&amp;E1304&amp;"]"</f>
        <v>slake=[0.172244406744692, 0.142096199381819, 0.0876119741112455, 0.0686128903894586, 0.0638735755874048, 0.0555802911331374, 0.0765685276811567, 0.078511111621288, 0.155533715798877, 0.242253308190338, 0.486479408439409, 1.18324604151151, 1.83288835097849, 2.73708124345148]</v>
      </c>
    </row>
    <row r="1293">
      <c r="C1293" s="3">
        <v>4.0</v>
      </c>
      <c r="D1293" s="77">
        <f t="shared" si="311"/>
        <v>1.683725969</v>
      </c>
      <c r="E1293" s="81">
        <f t="shared" si="312"/>
        <v>0.08761197411</v>
      </c>
      <c r="F1293" s="77">
        <f t="shared" si="313"/>
        <v>0.1628089004</v>
      </c>
      <c r="H1293" s="82" t="str">
        <f>F1290&amp;"=["&amp;F1291&amp;", "&amp;F1292&amp;", "&amp;F1293&amp;", "&amp;F1294&amp;", "&amp;F1295&amp;", "&amp;F1296&amp;", "&amp;F1297&amp;", "&amp;F1298&amp;", "&amp;F1299&amp;", "&amp;F1300&amp;", "&amp;F1301&amp;", "&amp;F1302&amp;", "&amp;F1303&amp;", "&amp;F1304&amp;"]"</f>
        <v>clake=[0.415858594470703, 0.40967079460614, 0.162808900362587, 0.13038816729499, 0.158634351589596, 0.217583143419455, 0.150512318934537, 0.173203485025342, 0.207020137552727, 0.277703460290294, 0.438338930450971, 0.844116416685959, 1.7083930526926, 4.41563665976298]</v>
      </c>
    </row>
    <row r="1294">
      <c r="C1294" s="3">
        <v>8.0</v>
      </c>
      <c r="D1294" s="77">
        <f t="shared" si="311"/>
        <v>1.620914279</v>
      </c>
      <c r="E1294" s="81">
        <f t="shared" si="312"/>
        <v>0.06861289039</v>
      </c>
      <c r="F1294" s="77">
        <f t="shared" si="313"/>
        <v>0.1303881673</v>
      </c>
    </row>
    <row r="1295">
      <c r="C1295" s="3">
        <v>16.0</v>
      </c>
      <c r="D1295" s="77">
        <f t="shared" si="311"/>
        <v>1.60617451</v>
      </c>
      <c r="E1295" s="81">
        <f t="shared" si="312"/>
        <v>0.06387357559</v>
      </c>
      <c r="F1295" s="77">
        <f t="shared" si="313"/>
        <v>0.1586343516</v>
      </c>
    </row>
    <row r="1296">
      <c r="C1296" s="3">
        <v>32.0</v>
      </c>
      <c r="D1296" s="77">
        <f t="shared" si="311"/>
        <v>1.73370362</v>
      </c>
      <c r="E1296" s="81">
        <f t="shared" si="312"/>
        <v>0.05558029113</v>
      </c>
      <c r="F1296" s="77">
        <f t="shared" si="313"/>
        <v>0.2175831434</v>
      </c>
    </row>
    <row r="1297">
      <c r="C1297" s="3">
        <v>64.0</v>
      </c>
      <c r="D1297" s="77">
        <f t="shared" si="311"/>
        <v>1.393995453</v>
      </c>
      <c r="E1297" s="81">
        <f t="shared" si="312"/>
        <v>0.07656852768</v>
      </c>
      <c r="F1297" s="77">
        <f t="shared" si="313"/>
        <v>0.1505123189</v>
      </c>
    </row>
    <row r="1298">
      <c r="C1298" s="3">
        <v>128.0</v>
      </c>
      <c r="D1298" s="77">
        <f t="shared" si="311"/>
        <v>1.401493371</v>
      </c>
      <c r="E1298" s="81">
        <f t="shared" si="312"/>
        <v>0.07851111162</v>
      </c>
      <c r="F1298" s="77">
        <f t="shared" si="313"/>
        <v>0.173203485</v>
      </c>
    </row>
    <row r="1299">
      <c r="C1299" s="3">
        <v>256.0</v>
      </c>
      <c r="D1299" s="77">
        <f t="shared" si="311"/>
        <v>1.468892295</v>
      </c>
      <c r="E1299" s="81">
        <f t="shared" si="312"/>
        <v>0.1555337158</v>
      </c>
      <c r="F1299" s="77">
        <f t="shared" si="313"/>
        <v>0.2070201376</v>
      </c>
    </row>
    <row r="1300">
      <c r="C1300" s="3">
        <v>512.0</v>
      </c>
      <c r="D1300" s="77">
        <f t="shared" si="311"/>
        <v>1.676774399</v>
      </c>
      <c r="E1300" s="81">
        <f t="shared" si="312"/>
        <v>0.2422533082</v>
      </c>
      <c r="F1300" s="77">
        <f t="shared" si="313"/>
        <v>0.2777034603</v>
      </c>
    </row>
    <row r="1301">
      <c r="C1301" s="3">
        <v>1024.0</v>
      </c>
      <c r="D1301" s="77">
        <f t="shared" si="311"/>
        <v>2.909351572</v>
      </c>
      <c r="E1301" s="81">
        <f t="shared" si="312"/>
        <v>0.4864794084</v>
      </c>
      <c r="F1301" s="77">
        <f t="shared" si="313"/>
        <v>0.4383389305</v>
      </c>
    </row>
    <row r="1302">
      <c r="C1302" s="3">
        <v>2048.0</v>
      </c>
      <c r="D1302" s="77">
        <f t="shared" si="311"/>
        <v>2.140103555</v>
      </c>
      <c r="E1302" s="81">
        <f t="shared" si="312"/>
        <v>1.183246042</v>
      </c>
      <c r="F1302" s="77">
        <f t="shared" si="313"/>
        <v>0.8441164167</v>
      </c>
    </row>
    <row r="1303">
      <c r="C1303" s="3">
        <v>4096.0</v>
      </c>
      <c r="D1303" s="77">
        <f t="shared" si="311"/>
        <v>3.494672535</v>
      </c>
      <c r="E1303" s="81">
        <f t="shared" si="312"/>
        <v>1.832888351</v>
      </c>
      <c r="F1303" s="77">
        <f t="shared" si="313"/>
        <v>1.708393053</v>
      </c>
    </row>
    <row r="1304">
      <c r="C1304" s="3">
        <v>8192.0</v>
      </c>
      <c r="D1304" s="77">
        <f t="shared" si="311"/>
        <v>4.878175882</v>
      </c>
      <c r="E1304" s="81">
        <f t="shared" si="312"/>
        <v>2.737081243</v>
      </c>
      <c r="F1304" s="77">
        <f t="shared" si="313"/>
        <v>4.41563666</v>
      </c>
    </row>
    <row r="1305">
      <c r="E1305" s="3"/>
    </row>
    <row r="1306">
      <c r="E1306" s="3"/>
    </row>
    <row r="1307">
      <c r="A1307" s="3" t="s">
        <v>525</v>
      </c>
      <c r="E1307" s="3"/>
    </row>
    <row r="1308">
      <c r="A1308" s="3" t="s">
        <v>537</v>
      </c>
      <c r="B1308" s="3" t="s">
        <v>459</v>
      </c>
      <c r="C1308" s="3" t="s">
        <v>447</v>
      </c>
      <c r="D1308" s="3" t="s">
        <v>515</v>
      </c>
      <c r="E1308" s="3" t="s">
        <v>526</v>
      </c>
      <c r="F1308" s="3" t="s">
        <v>527</v>
      </c>
      <c r="G1308" s="3" t="s">
        <v>528</v>
      </c>
      <c r="H1308" s="3" t="s">
        <v>529</v>
      </c>
    </row>
    <row r="1309">
      <c r="A1309" s="3">
        <v>5.0E7</v>
      </c>
      <c r="B1309" s="3">
        <f>A1309</f>
        <v>50000000</v>
      </c>
      <c r="C1309" s="3">
        <v>1.0</v>
      </c>
      <c r="D1309" s="66">
        <f t="shared" ref="D1309:D1322" si="314">B1309/C1309</f>
        <v>50000000</v>
      </c>
      <c r="E1309" s="30">
        <f>D1309/64*4</f>
        <v>3125000</v>
      </c>
      <c r="F1309" s="30">
        <f t="shared" ref="F1309:F1322" si="315">E1309*3</f>
        <v>9375000</v>
      </c>
      <c r="G1309" s="30">
        <f t="shared" ref="G1309:G1322" si="316">E1309</f>
        <v>3125000</v>
      </c>
      <c r="H1309" s="30">
        <f t="shared" ref="H1309:H1322" si="317">F1309+G1309</f>
        <v>12500000</v>
      </c>
    </row>
    <row r="1310">
      <c r="B1310" s="3">
        <f t="shared" ref="B1310:B1322" si="318">B1309</f>
        <v>50000000</v>
      </c>
      <c r="C1310" s="3">
        <v>2.0</v>
      </c>
      <c r="D1310" s="66">
        <f t="shared" si="314"/>
        <v>25000000</v>
      </c>
      <c r="E1310" s="30">
        <f t="shared" ref="E1310:E1313" si="319">E1309</f>
        <v>3125000</v>
      </c>
      <c r="F1310" s="30">
        <f t="shared" si="315"/>
        <v>9375000</v>
      </c>
      <c r="G1310" s="30">
        <f t="shared" si="316"/>
        <v>3125000</v>
      </c>
      <c r="H1310" s="30">
        <f t="shared" si="317"/>
        <v>12500000</v>
      </c>
    </row>
    <row r="1311">
      <c r="B1311" s="3">
        <f t="shared" si="318"/>
        <v>50000000</v>
      </c>
      <c r="C1311" s="3">
        <v>4.0</v>
      </c>
      <c r="D1311" s="66">
        <f t="shared" si="314"/>
        <v>12500000</v>
      </c>
      <c r="E1311" s="30">
        <f t="shared" si="319"/>
        <v>3125000</v>
      </c>
      <c r="F1311" s="30">
        <f t="shared" si="315"/>
        <v>9375000</v>
      </c>
      <c r="G1311" s="30">
        <f t="shared" si="316"/>
        <v>3125000</v>
      </c>
      <c r="H1311" s="30">
        <f t="shared" si="317"/>
        <v>12500000</v>
      </c>
    </row>
    <row r="1312">
      <c r="B1312" s="3">
        <f t="shared" si="318"/>
        <v>50000000</v>
      </c>
      <c r="C1312" s="3">
        <v>8.0</v>
      </c>
      <c r="D1312" s="66">
        <f t="shared" si="314"/>
        <v>6250000</v>
      </c>
      <c r="E1312" s="30">
        <f t="shared" si="319"/>
        <v>3125000</v>
      </c>
      <c r="F1312" s="30">
        <f t="shared" si="315"/>
        <v>9375000</v>
      </c>
      <c r="G1312" s="30">
        <f t="shared" si="316"/>
        <v>3125000</v>
      </c>
      <c r="H1312" s="30">
        <f t="shared" si="317"/>
        <v>12500000</v>
      </c>
    </row>
    <row r="1313">
      <c r="B1313" s="3">
        <f t="shared" si="318"/>
        <v>50000000</v>
      </c>
      <c r="C1313" s="3">
        <v>16.0</v>
      </c>
      <c r="D1313" s="66">
        <f t="shared" si="314"/>
        <v>3125000</v>
      </c>
      <c r="E1313" s="30">
        <f t="shared" si="319"/>
        <v>3125000</v>
      </c>
      <c r="F1313" s="30">
        <f t="shared" si="315"/>
        <v>9375000</v>
      </c>
      <c r="G1313" s="30">
        <f t="shared" si="316"/>
        <v>3125000</v>
      </c>
      <c r="H1313" s="30">
        <f t="shared" si="317"/>
        <v>12500000</v>
      </c>
    </row>
    <row r="1314">
      <c r="B1314" s="3">
        <f t="shared" si="318"/>
        <v>50000000</v>
      </c>
      <c r="C1314" s="3">
        <v>32.0</v>
      </c>
      <c r="D1314" s="66">
        <f t="shared" si="314"/>
        <v>1562500</v>
      </c>
      <c r="E1314" s="30">
        <f t="shared" ref="E1314:E1322" si="320">E1313/2</f>
        <v>1562500</v>
      </c>
      <c r="F1314" s="30">
        <f t="shared" si="315"/>
        <v>4687500</v>
      </c>
      <c r="G1314" s="30">
        <f t="shared" si="316"/>
        <v>1562500</v>
      </c>
      <c r="H1314" s="30">
        <f t="shared" si="317"/>
        <v>6250000</v>
      </c>
    </row>
    <row r="1315">
      <c r="B1315" s="3">
        <f t="shared" si="318"/>
        <v>50000000</v>
      </c>
      <c r="C1315" s="3">
        <v>64.0</v>
      </c>
      <c r="D1315" s="66">
        <f t="shared" si="314"/>
        <v>781250</v>
      </c>
      <c r="E1315" s="30">
        <f t="shared" si="320"/>
        <v>781250</v>
      </c>
      <c r="F1315" s="30">
        <f t="shared" si="315"/>
        <v>2343750</v>
      </c>
      <c r="G1315" s="30">
        <f t="shared" si="316"/>
        <v>781250</v>
      </c>
      <c r="H1315" s="30">
        <f t="shared" si="317"/>
        <v>3125000</v>
      </c>
    </row>
    <row r="1316">
      <c r="B1316" s="3">
        <f t="shared" si="318"/>
        <v>50000000</v>
      </c>
      <c r="C1316" s="3">
        <v>128.0</v>
      </c>
      <c r="D1316" s="66">
        <f t="shared" si="314"/>
        <v>390625</v>
      </c>
      <c r="E1316" s="30">
        <f t="shared" si="320"/>
        <v>390625</v>
      </c>
      <c r="F1316" s="30">
        <f t="shared" si="315"/>
        <v>1171875</v>
      </c>
      <c r="G1316" s="30">
        <f t="shared" si="316"/>
        <v>390625</v>
      </c>
      <c r="H1316" s="30">
        <f t="shared" si="317"/>
        <v>1562500</v>
      </c>
    </row>
    <row r="1317">
      <c r="B1317" s="3">
        <f t="shared" si="318"/>
        <v>50000000</v>
      </c>
      <c r="C1317" s="3">
        <v>256.0</v>
      </c>
      <c r="D1317" s="66">
        <f t="shared" si="314"/>
        <v>195312.5</v>
      </c>
      <c r="E1317" s="30">
        <f t="shared" si="320"/>
        <v>195312.5</v>
      </c>
      <c r="F1317" s="30">
        <f t="shared" si="315"/>
        <v>585937.5</v>
      </c>
      <c r="G1317" s="30">
        <f t="shared" si="316"/>
        <v>195312.5</v>
      </c>
      <c r="H1317" s="30">
        <f t="shared" si="317"/>
        <v>781250</v>
      </c>
    </row>
    <row r="1318">
      <c r="B1318" s="3">
        <f t="shared" si="318"/>
        <v>50000000</v>
      </c>
      <c r="C1318" s="3">
        <v>512.0</v>
      </c>
      <c r="D1318" s="66">
        <f t="shared" si="314"/>
        <v>97656.25</v>
      </c>
      <c r="E1318" s="30">
        <f t="shared" si="320"/>
        <v>97656.25</v>
      </c>
      <c r="F1318" s="30">
        <f t="shared" si="315"/>
        <v>292968.75</v>
      </c>
      <c r="G1318" s="30">
        <f t="shared" si="316"/>
        <v>97656.25</v>
      </c>
      <c r="H1318" s="30">
        <f t="shared" si="317"/>
        <v>390625</v>
      </c>
    </row>
    <row r="1319">
      <c r="B1319" s="3">
        <f t="shared" si="318"/>
        <v>50000000</v>
      </c>
      <c r="C1319" s="3">
        <v>1024.0</v>
      </c>
      <c r="D1319" s="66">
        <f t="shared" si="314"/>
        <v>48828.125</v>
      </c>
      <c r="E1319" s="30">
        <f t="shared" si="320"/>
        <v>48828.125</v>
      </c>
      <c r="F1319" s="30">
        <f t="shared" si="315"/>
        <v>146484.375</v>
      </c>
      <c r="G1319" s="30">
        <f t="shared" si="316"/>
        <v>48828.125</v>
      </c>
      <c r="H1319" s="30">
        <f t="shared" si="317"/>
        <v>195312.5</v>
      </c>
    </row>
    <row r="1320">
      <c r="B1320" s="3">
        <f t="shared" si="318"/>
        <v>50000000</v>
      </c>
      <c r="C1320" s="3">
        <v>2048.0</v>
      </c>
      <c r="D1320" s="66">
        <f t="shared" si="314"/>
        <v>24414.0625</v>
      </c>
      <c r="E1320" s="30">
        <f t="shared" si="320"/>
        <v>24414.0625</v>
      </c>
      <c r="F1320" s="30">
        <f t="shared" si="315"/>
        <v>73242.1875</v>
      </c>
      <c r="G1320" s="30">
        <f t="shared" si="316"/>
        <v>24414.0625</v>
      </c>
      <c r="H1320" s="30">
        <f t="shared" si="317"/>
        <v>97656.25</v>
      </c>
    </row>
    <row r="1321">
      <c r="B1321" s="3">
        <f t="shared" si="318"/>
        <v>50000000</v>
      </c>
      <c r="C1321" s="3">
        <v>4096.0</v>
      </c>
      <c r="D1321" s="66">
        <f t="shared" si="314"/>
        <v>12207.03125</v>
      </c>
      <c r="E1321" s="30">
        <f t="shared" si="320"/>
        <v>12207.03125</v>
      </c>
      <c r="F1321" s="30">
        <f t="shared" si="315"/>
        <v>36621.09375</v>
      </c>
      <c r="G1321" s="30">
        <f t="shared" si="316"/>
        <v>12207.03125</v>
      </c>
      <c r="H1321" s="30">
        <f t="shared" si="317"/>
        <v>48828.125</v>
      </c>
    </row>
    <row r="1322">
      <c r="B1322" s="3">
        <f t="shared" si="318"/>
        <v>50000000</v>
      </c>
      <c r="C1322" s="3">
        <v>8192.0</v>
      </c>
      <c r="D1322" s="66">
        <f t="shared" si="314"/>
        <v>6103.515625</v>
      </c>
      <c r="E1322" s="30">
        <f t="shared" si="320"/>
        <v>6103.515625</v>
      </c>
      <c r="F1322" s="30">
        <f t="shared" si="315"/>
        <v>18310.54688</v>
      </c>
      <c r="G1322" s="30">
        <f t="shared" si="316"/>
        <v>6103.515625</v>
      </c>
      <c r="H1322" s="30">
        <f t="shared" si="317"/>
        <v>24414.0625</v>
      </c>
    </row>
    <row r="1323">
      <c r="A1323" s="3" t="s">
        <v>327</v>
      </c>
      <c r="B1323" s="3" t="s">
        <v>530</v>
      </c>
      <c r="E1323" s="3"/>
      <c r="J1323" s="3" t="s">
        <v>531</v>
      </c>
      <c r="M1323" s="3"/>
      <c r="R1323" s="3" t="s">
        <v>532</v>
      </c>
      <c r="U1323" s="3"/>
    </row>
    <row r="1324">
      <c r="E1324" s="3"/>
      <c r="F1324" s="3" t="s">
        <v>482</v>
      </c>
      <c r="G1324" s="73" t="s">
        <v>529</v>
      </c>
      <c r="H1324" s="3" t="s">
        <v>533</v>
      </c>
      <c r="M1324" s="3"/>
      <c r="N1324" s="3" t="s">
        <v>482</v>
      </c>
      <c r="O1324" s="73" t="s">
        <v>529</v>
      </c>
      <c r="P1324" s="3" t="s">
        <v>533</v>
      </c>
      <c r="U1324" s="3"/>
      <c r="V1324" s="3" t="s">
        <v>482</v>
      </c>
      <c r="W1324" s="73" t="s">
        <v>529</v>
      </c>
      <c r="X1324" s="3" t="s">
        <v>533</v>
      </c>
    </row>
    <row r="1325">
      <c r="B1325" s="3" t="s">
        <v>463</v>
      </c>
      <c r="C1325" s="3">
        <v>1.0</v>
      </c>
      <c r="D1325" s="3">
        <v>9502175.0</v>
      </c>
      <c r="E1325" s="3">
        <v>3548365.0</v>
      </c>
      <c r="F1325" s="30">
        <f t="shared" ref="F1325:F1338" si="321">D1325+E1325</f>
        <v>13050540</v>
      </c>
      <c r="G1325" s="30">
        <f t="shared" ref="G1325:G1338" si="322">H1309</f>
        <v>12500000</v>
      </c>
      <c r="H1325" s="77">
        <f t="shared" ref="H1325:H1338" si="323">ABS((F1325-G1325)/F1325)*100</f>
        <v>4.218522758</v>
      </c>
      <c r="J1325" s="3" t="s">
        <v>463</v>
      </c>
      <c r="K1325" s="3">
        <v>1.0</v>
      </c>
      <c r="L1325" s="3">
        <v>9383364.0</v>
      </c>
      <c r="M1325" s="3">
        <v>3136620.0</v>
      </c>
      <c r="N1325" s="30">
        <f t="shared" ref="N1325:N1338" si="324">L1325+M1325</f>
        <v>12519984</v>
      </c>
      <c r="O1325" s="30">
        <f t="shared" ref="O1325:O1338" si="325">H1309</f>
        <v>12500000</v>
      </c>
      <c r="P1325" s="77">
        <f t="shared" ref="P1325:P1338" si="326">ABS((N1325-O1325)/N1325)*100</f>
        <v>0.1596168174</v>
      </c>
      <c r="R1325" s="3" t="s">
        <v>463</v>
      </c>
      <c r="S1325" s="3">
        <v>1.0</v>
      </c>
      <c r="T1325" s="3">
        <v>9391877.0</v>
      </c>
      <c r="U1325" s="3">
        <v>3152038.0</v>
      </c>
      <c r="V1325" s="30">
        <f t="shared" ref="V1325:V1338" si="327">T1325+U1325</f>
        <v>12543915</v>
      </c>
      <c r="W1325" s="30">
        <f t="shared" ref="W1325:W1338" si="328">H1309</f>
        <v>12500000</v>
      </c>
      <c r="X1325" s="77">
        <f t="shared" ref="X1325:X1338" si="329">ABS((V1325-W1325)/V1325)*100</f>
        <v>0.3500900636</v>
      </c>
    </row>
    <row r="1326">
      <c r="B1326" s="3" t="s">
        <v>463</v>
      </c>
      <c r="C1326" s="3">
        <v>2.0</v>
      </c>
      <c r="D1326" s="3">
        <v>9485194.0</v>
      </c>
      <c r="E1326" s="3">
        <v>3522914.0</v>
      </c>
      <c r="F1326" s="30">
        <f t="shared" si="321"/>
        <v>13008108</v>
      </c>
      <c r="G1326" s="30">
        <f t="shared" si="322"/>
        <v>12500000</v>
      </c>
      <c r="H1326" s="77">
        <f t="shared" si="323"/>
        <v>3.906086881</v>
      </c>
      <c r="J1326" s="3" t="s">
        <v>463</v>
      </c>
      <c r="K1326" s="3">
        <v>2.0</v>
      </c>
      <c r="L1326" s="3">
        <v>9381553.0</v>
      </c>
      <c r="M1326" s="3">
        <v>3133445.0</v>
      </c>
      <c r="N1326" s="30">
        <f t="shared" si="324"/>
        <v>12514998</v>
      </c>
      <c r="O1326" s="30">
        <f t="shared" si="325"/>
        <v>12500000</v>
      </c>
      <c r="P1326" s="77">
        <f t="shared" si="326"/>
        <v>0.1198402109</v>
      </c>
      <c r="R1326" s="3" t="s">
        <v>463</v>
      </c>
      <c r="S1326" s="3">
        <v>2.0</v>
      </c>
      <c r="T1326" s="3">
        <v>9930230.0</v>
      </c>
      <c r="U1326" s="3">
        <v>3735998.0</v>
      </c>
      <c r="V1326" s="30">
        <f t="shared" si="327"/>
        <v>13666228</v>
      </c>
      <c r="W1326" s="30">
        <f t="shared" si="328"/>
        <v>12500000</v>
      </c>
      <c r="X1326" s="77">
        <f t="shared" si="329"/>
        <v>8.533649519</v>
      </c>
    </row>
    <row r="1327">
      <c r="B1327" s="3" t="s">
        <v>463</v>
      </c>
      <c r="C1327" s="3">
        <v>4.0</v>
      </c>
      <c r="D1327" s="3">
        <v>9475043.0</v>
      </c>
      <c r="E1327" s="3">
        <v>3521742.0</v>
      </c>
      <c r="F1327" s="30">
        <f t="shared" si="321"/>
        <v>12996785</v>
      </c>
      <c r="G1327" s="30">
        <f t="shared" si="322"/>
        <v>12500000</v>
      </c>
      <c r="H1327" s="77">
        <f t="shared" si="323"/>
        <v>3.822368378</v>
      </c>
      <c r="J1327" s="3" t="s">
        <v>463</v>
      </c>
      <c r="K1327" s="3">
        <v>4.0</v>
      </c>
      <c r="L1327" s="3">
        <v>9382268.0</v>
      </c>
      <c r="M1327" s="3">
        <v>3133592.0</v>
      </c>
      <c r="N1327" s="30">
        <f t="shared" si="324"/>
        <v>12515860</v>
      </c>
      <c r="O1327" s="30">
        <f t="shared" si="325"/>
        <v>12500000</v>
      </c>
      <c r="P1327" s="77">
        <f t="shared" si="326"/>
        <v>0.1267192187</v>
      </c>
      <c r="R1327" s="3" t="s">
        <v>463</v>
      </c>
      <c r="S1327" s="3">
        <v>4.0</v>
      </c>
      <c r="T1327" s="3">
        <v>9382250.0</v>
      </c>
      <c r="U1327" s="3">
        <v>3143796.0</v>
      </c>
      <c r="V1327" s="30">
        <f t="shared" si="327"/>
        <v>12526046</v>
      </c>
      <c r="W1327" s="30">
        <f t="shared" si="328"/>
        <v>12500000</v>
      </c>
      <c r="X1327" s="77">
        <f t="shared" si="329"/>
        <v>0.2079347306</v>
      </c>
    </row>
    <row r="1328">
      <c r="B1328" s="3" t="s">
        <v>463</v>
      </c>
      <c r="C1328" s="3">
        <v>8.0</v>
      </c>
      <c r="D1328" s="3">
        <v>9471961.0</v>
      </c>
      <c r="E1328" s="3">
        <v>3512926.0</v>
      </c>
      <c r="F1328" s="30">
        <f t="shared" si="321"/>
        <v>12984887</v>
      </c>
      <c r="G1328" s="30">
        <f t="shared" si="322"/>
        <v>12500000</v>
      </c>
      <c r="H1328" s="77">
        <f t="shared" si="323"/>
        <v>3.734241199</v>
      </c>
      <c r="J1328" s="3" t="s">
        <v>463</v>
      </c>
      <c r="K1328" s="3">
        <v>8.0</v>
      </c>
      <c r="L1328" s="3">
        <v>9379048.0</v>
      </c>
      <c r="M1328" s="3">
        <v>3133746.0</v>
      </c>
      <c r="N1328" s="30">
        <f t="shared" si="324"/>
        <v>12512794</v>
      </c>
      <c r="O1328" s="30">
        <f t="shared" si="325"/>
        <v>12500000</v>
      </c>
      <c r="P1328" s="77">
        <f t="shared" si="326"/>
        <v>0.1022473478</v>
      </c>
      <c r="R1328" s="3" t="s">
        <v>463</v>
      </c>
      <c r="S1328" s="3">
        <v>8.0</v>
      </c>
      <c r="T1328" s="3">
        <v>9379798.0</v>
      </c>
      <c r="U1328" s="3">
        <v>3133136.0</v>
      </c>
      <c r="V1328" s="30">
        <f t="shared" si="327"/>
        <v>12512934</v>
      </c>
      <c r="W1328" s="30">
        <f t="shared" si="328"/>
        <v>12500000</v>
      </c>
      <c r="X1328" s="77">
        <f t="shared" si="329"/>
        <v>0.1033650461</v>
      </c>
    </row>
    <row r="1329">
      <c r="B1329" s="3" t="s">
        <v>463</v>
      </c>
      <c r="C1329" s="3">
        <v>16.0</v>
      </c>
      <c r="D1329" s="3">
        <v>9474423.0</v>
      </c>
      <c r="E1329" s="3">
        <v>3514970.0</v>
      </c>
      <c r="F1329" s="30">
        <f t="shared" si="321"/>
        <v>12989393</v>
      </c>
      <c r="G1329" s="30">
        <f t="shared" si="322"/>
        <v>12500000</v>
      </c>
      <c r="H1329" s="77">
        <f t="shared" si="323"/>
        <v>3.767635639</v>
      </c>
      <c r="J1329" s="3" t="s">
        <v>463</v>
      </c>
      <c r="K1329" s="3">
        <v>16.0</v>
      </c>
      <c r="L1329" s="3">
        <v>9379223.0</v>
      </c>
      <c r="M1329" s="3">
        <v>3133553.0</v>
      </c>
      <c r="N1329" s="30">
        <f t="shared" si="324"/>
        <v>12512776</v>
      </c>
      <c r="O1329" s="30">
        <f t="shared" si="325"/>
        <v>12500000</v>
      </c>
      <c r="P1329" s="77">
        <f t="shared" si="326"/>
        <v>0.1021036419</v>
      </c>
      <c r="R1329" s="3" t="s">
        <v>463</v>
      </c>
      <c r="S1329" s="3">
        <v>16.0</v>
      </c>
      <c r="T1329" s="3">
        <v>9375870.0</v>
      </c>
      <c r="U1329" s="3">
        <v>3133811.0</v>
      </c>
      <c r="V1329" s="30">
        <f t="shared" si="327"/>
        <v>12509681</v>
      </c>
      <c r="W1329" s="30">
        <f t="shared" si="328"/>
        <v>12500000</v>
      </c>
      <c r="X1329" s="77">
        <f t="shared" si="329"/>
        <v>0.07738806449</v>
      </c>
    </row>
    <row r="1330">
      <c r="B1330" s="3" t="s">
        <v>463</v>
      </c>
      <c r="C1330" s="3">
        <v>32.0</v>
      </c>
      <c r="D1330" s="3">
        <v>4744104.0</v>
      </c>
      <c r="E1330" s="3">
        <v>1768240.0</v>
      </c>
      <c r="F1330" s="30">
        <f t="shared" si="321"/>
        <v>6512344</v>
      </c>
      <c r="G1330" s="30">
        <f t="shared" si="322"/>
        <v>6250000</v>
      </c>
      <c r="H1330" s="77">
        <f t="shared" si="323"/>
        <v>4.028411276</v>
      </c>
      <c r="J1330" s="3" t="s">
        <v>463</v>
      </c>
      <c r="K1330" s="3">
        <v>32.0</v>
      </c>
      <c r="L1330" s="3">
        <v>4689545.0</v>
      </c>
      <c r="M1330" s="3">
        <v>1565027.0</v>
      </c>
      <c r="N1330" s="30">
        <f t="shared" si="324"/>
        <v>6254572</v>
      </c>
      <c r="O1330" s="30">
        <f t="shared" si="325"/>
        <v>6250000</v>
      </c>
      <c r="P1330" s="77">
        <f t="shared" si="326"/>
        <v>0.07309852697</v>
      </c>
      <c r="R1330" s="3" t="s">
        <v>463</v>
      </c>
      <c r="S1330" s="3">
        <v>32.0</v>
      </c>
      <c r="T1330" s="3">
        <v>4684964.0</v>
      </c>
      <c r="U1330" s="3">
        <v>1567755.0</v>
      </c>
      <c r="V1330" s="30">
        <f t="shared" si="327"/>
        <v>6252719</v>
      </c>
      <c r="W1330" s="30">
        <f t="shared" si="328"/>
        <v>6250000</v>
      </c>
      <c r="X1330" s="77">
        <f t="shared" si="329"/>
        <v>0.04348508225</v>
      </c>
    </row>
    <row r="1331">
      <c r="B1331" s="3" t="s">
        <v>463</v>
      </c>
      <c r="C1331" s="3">
        <v>64.0</v>
      </c>
      <c r="D1331" s="3">
        <v>2365338.0</v>
      </c>
      <c r="E1331" s="3">
        <v>879296.0</v>
      </c>
      <c r="F1331" s="30">
        <f t="shared" si="321"/>
        <v>3244634</v>
      </c>
      <c r="G1331" s="30">
        <f t="shared" si="322"/>
        <v>3125000</v>
      </c>
      <c r="H1331" s="77">
        <f t="shared" si="323"/>
        <v>3.687133896</v>
      </c>
      <c r="J1331" s="3" t="s">
        <v>463</v>
      </c>
      <c r="K1331" s="3">
        <v>64.0</v>
      </c>
      <c r="L1331" s="3">
        <v>2345048.0</v>
      </c>
      <c r="M1331" s="3">
        <v>785456.0</v>
      </c>
      <c r="N1331" s="30">
        <f t="shared" si="324"/>
        <v>3130504</v>
      </c>
      <c r="O1331" s="30">
        <f t="shared" si="325"/>
        <v>3125000</v>
      </c>
      <c r="P1331" s="77">
        <f t="shared" si="326"/>
        <v>0.1758183347</v>
      </c>
      <c r="R1331" s="3" t="s">
        <v>463</v>
      </c>
      <c r="S1331" s="3">
        <v>64.0</v>
      </c>
      <c r="T1331" s="3">
        <v>2343185.0</v>
      </c>
      <c r="U1331" s="3">
        <v>784723.0</v>
      </c>
      <c r="V1331" s="30">
        <f t="shared" si="327"/>
        <v>3127908</v>
      </c>
      <c r="W1331" s="30">
        <f t="shared" si="328"/>
        <v>3125000</v>
      </c>
      <c r="X1331" s="77">
        <f t="shared" si="329"/>
        <v>0.09296948631</v>
      </c>
    </row>
    <row r="1332">
      <c r="B1332" s="3" t="s">
        <v>463</v>
      </c>
      <c r="C1332" s="3">
        <v>128.0</v>
      </c>
      <c r="D1332" s="3">
        <v>1182497.0</v>
      </c>
      <c r="E1332" s="3">
        <v>438863.0</v>
      </c>
      <c r="F1332" s="30">
        <f t="shared" si="321"/>
        <v>1621360</v>
      </c>
      <c r="G1332" s="30">
        <f t="shared" si="322"/>
        <v>1562500</v>
      </c>
      <c r="H1332" s="77">
        <f t="shared" si="323"/>
        <v>3.630285686</v>
      </c>
      <c r="J1332" s="3" t="s">
        <v>463</v>
      </c>
      <c r="K1332" s="3">
        <v>128.0</v>
      </c>
      <c r="L1332" s="3">
        <v>1173370.0</v>
      </c>
      <c r="M1332" s="3">
        <v>391862.0</v>
      </c>
      <c r="N1332" s="30">
        <f t="shared" si="324"/>
        <v>1565232</v>
      </c>
      <c r="O1332" s="30">
        <f t="shared" si="325"/>
        <v>1562500</v>
      </c>
      <c r="P1332" s="77">
        <f t="shared" si="326"/>
        <v>0.1745428154</v>
      </c>
      <c r="R1332" s="3" t="s">
        <v>463</v>
      </c>
      <c r="S1332" s="3">
        <v>128.0</v>
      </c>
      <c r="T1332" s="3">
        <v>1170257.0</v>
      </c>
      <c r="U1332" s="3">
        <v>391797.0</v>
      </c>
      <c r="V1332" s="30">
        <f t="shared" si="327"/>
        <v>1562054</v>
      </c>
      <c r="W1332" s="30">
        <f t="shared" si="328"/>
        <v>1562500</v>
      </c>
      <c r="X1332" s="77">
        <f t="shared" si="329"/>
        <v>0.02855214993</v>
      </c>
    </row>
    <row r="1333">
      <c r="B1333" s="3" t="s">
        <v>463</v>
      </c>
      <c r="C1333" s="3">
        <v>256.0</v>
      </c>
      <c r="D1333" s="3">
        <v>591831.0</v>
      </c>
      <c r="E1333" s="3">
        <v>219514.0</v>
      </c>
      <c r="F1333" s="30">
        <f t="shared" si="321"/>
        <v>811345</v>
      </c>
      <c r="G1333" s="30">
        <f t="shared" si="322"/>
        <v>781250</v>
      </c>
      <c r="H1333" s="77">
        <f t="shared" si="323"/>
        <v>3.709272874</v>
      </c>
      <c r="J1333" s="3" t="s">
        <v>463</v>
      </c>
      <c r="K1333" s="3">
        <v>256.0</v>
      </c>
      <c r="L1333" s="3">
        <v>587164.0</v>
      </c>
      <c r="M1333" s="3">
        <v>196090.0</v>
      </c>
      <c r="N1333" s="30">
        <f t="shared" si="324"/>
        <v>783254</v>
      </c>
      <c r="O1333" s="30">
        <f t="shared" si="325"/>
        <v>781250</v>
      </c>
      <c r="P1333" s="77">
        <f t="shared" si="326"/>
        <v>0.2558556994</v>
      </c>
      <c r="R1333" s="3" t="s">
        <v>463</v>
      </c>
      <c r="S1333" s="3">
        <v>256.0</v>
      </c>
      <c r="T1333" s="3">
        <v>584572.0</v>
      </c>
      <c r="U1333" s="3">
        <v>195681.0</v>
      </c>
      <c r="V1333" s="30">
        <f t="shared" si="327"/>
        <v>780253</v>
      </c>
      <c r="W1333" s="30">
        <f t="shared" si="328"/>
        <v>781250</v>
      </c>
      <c r="X1333" s="77">
        <f t="shared" si="329"/>
        <v>0.1277790665</v>
      </c>
    </row>
    <row r="1334">
      <c r="B1334" s="3" t="s">
        <v>463</v>
      </c>
      <c r="C1334" s="3">
        <v>512.0</v>
      </c>
      <c r="D1334" s="3">
        <v>296733.0</v>
      </c>
      <c r="E1334" s="3">
        <v>110802.0</v>
      </c>
      <c r="F1334" s="30">
        <f t="shared" si="321"/>
        <v>407535</v>
      </c>
      <c r="G1334" s="30">
        <f t="shared" si="322"/>
        <v>390625</v>
      </c>
      <c r="H1334" s="77">
        <f t="shared" si="323"/>
        <v>4.149336867</v>
      </c>
      <c r="J1334" s="3" t="s">
        <v>463</v>
      </c>
      <c r="K1334" s="3">
        <v>512.0</v>
      </c>
      <c r="L1334" s="3">
        <v>294050.0</v>
      </c>
      <c r="M1334" s="3">
        <v>98428.0</v>
      </c>
      <c r="N1334" s="30">
        <f t="shared" si="324"/>
        <v>392478</v>
      </c>
      <c r="O1334" s="30">
        <f t="shared" si="325"/>
        <v>390625</v>
      </c>
      <c r="P1334" s="77">
        <f t="shared" si="326"/>
        <v>0.4721283741</v>
      </c>
      <c r="R1334" s="3" t="s">
        <v>463</v>
      </c>
      <c r="S1334" s="3">
        <v>512.0</v>
      </c>
      <c r="T1334" s="3">
        <v>292497.0</v>
      </c>
      <c r="U1334" s="3">
        <v>98428.0</v>
      </c>
      <c r="V1334" s="30">
        <f t="shared" si="327"/>
        <v>390925</v>
      </c>
      <c r="W1334" s="30">
        <f t="shared" si="328"/>
        <v>390625</v>
      </c>
      <c r="X1334" s="77">
        <f t="shared" si="329"/>
        <v>0.07674106286</v>
      </c>
    </row>
    <row r="1335">
      <c r="B1335" s="3" t="s">
        <v>463</v>
      </c>
      <c r="C1335" s="3">
        <v>1024.0</v>
      </c>
      <c r="D1335" s="3">
        <v>149170.0</v>
      </c>
      <c r="E1335" s="3">
        <v>55800.0</v>
      </c>
      <c r="F1335" s="30">
        <f t="shared" si="321"/>
        <v>204970</v>
      </c>
      <c r="G1335" s="30">
        <f t="shared" si="322"/>
        <v>195312.5</v>
      </c>
      <c r="H1335" s="77">
        <f t="shared" si="323"/>
        <v>4.711665122</v>
      </c>
      <c r="J1335" s="3" t="s">
        <v>463</v>
      </c>
      <c r="K1335" s="3">
        <v>1024.0</v>
      </c>
      <c r="L1335" s="3">
        <v>147861.0</v>
      </c>
      <c r="M1335" s="3">
        <v>49275.0</v>
      </c>
      <c r="N1335" s="30">
        <f t="shared" si="324"/>
        <v>197136</v>
      </c>
      <c r="O1335" s="30">
        <f t="shared" si="325"/>
        <v>195312.5</v>
      </c>
      <c r="P1335" s="77">
        <f t="shared" si="326"/>
        <v>0.9249959419</v>
      </c>
      <c r="R1335" s="3" t="s">
        <v>463</v>
      </c>
      <c r="S1335" s="3">
        <v>1024.0</v>
      </c>
      <c r="T1335" s="3">
        <v>146032.0</v>
      </c>
      <c r="U1335" s="3">
        <v>49273.0</v>
      </c>
      <c r="V1335" s="30">
        <f t="shared" si="327"/>
        <v>195305</v>
      </c>
      <c r="W1335" s="30">
        <f t="shared" si="328"/>
        <v>195312.5</v>
      </c>
      <c r="X1335" s="77">
        <f t="shared" si="329"/>
        <v>0.003840147462</v>
      </c>
    </row>
    <row r="1336">
      <c r="B1336" s="3" t="s">
        <v>463</v>
      </c>
      <c r="C1336" s="3">
        <v>2048.0</v>
      </c>
      <c r="D1336" s="3">
        <v>74843.0</v>
      </c>
      <c r="E1336" s="3">
        <v>32310.0</v>
      </c>
      <c r="F1336" s="30">
        <f t="shared" si="321"/>
        <v>107153</v>
      </c>
      <c r="G1336" s="30">
        <f t="shared" si="322"/>
        <v>97656.25</v>
      </c>
      <c r="H1336" s="77">
        <f t="shared" si="323"/>
        <v>8.862794322</v>
      </c>
      <c r="J1336" s="3" t="s">
        <v>463</v>
      </c>
      <c r="K1336" s="3">
        <v>2048.0</v>
      </c>
      <c r="L1336" s="3">
        <v>74091.0</v>
      </c>
      <c r="M1336" s="3">
        <v>25509.0</v>
      </c>
      <c r="N1336" s="30">
        <f t="shared" si="324"/>
        <v>99600</v>
      </c>
      <c r="O1336" s="30">
        <f t="shared" si="325"/>
        <v>97656.25</v>
      </c>
      <c r="P1336" s="77">
        <f t="shared" si="326"/>
        <v>1.951556225</v>
      </c>
      <c r="R1336" s="3" t="s">
        <v>463</v>
      </c>
      <c r="S1336" s="3">
        <v>2048.0</v>
      </c>
      <c r="T1336" s="3">
        <v>73090.0</v>
      </c>
      <c r="U1336" s="3">
        <v>25055.0</v>
      </c>
      <c r="V1336" s="30">
        <f t="shared" si="327"/>
        <v>98145</v>
      </c>
      <c r="W1336" s="30">
        <f t="shared" si="328"/>
        <v>97656.25</v>
      </c>
      <c r="X1336" s="77">
        <f t="shared" si="329"/>
        <v>0.4979876713</v>
      </c>
    </row>
    <row r="1337">
      <c r="B1337" s="3" t="s">
        <v>463</v>
      </c>
      <c r="C1337" s="3">
        <v>4096.0</v>
      </c>
      <c r="D1337" s="3">
        <v>37787.0</v>
      </c>
      <c r="E1337" s="3">
        <v>17992.0</v>
      </c>
      <c r="F1337" s="30">
        <f t="shared" si="321"/>
        <v>55779</v>
      </c>
      <c r="G1337" s="30">
        <f t="shared" si="322"/>
        <v>48828.125</v>
      </c>
      <c r="H1337" s="77">
        <f t="shared" si="323"/>
        <v>12.46145503</v>
      </c>
      <c r="J1337" s="3" t="s">
        <v>463</v>
      </c>
      <c r="K1337" s="3">
        <v>4096.0</v>
      </c>
      <c r="L1337" s="3">
        <v>37296.0</v>
      </c>
      <c r="M1337" s="3">
        <v>12830.0</v>
      </c>
      <c r="N1337" s="30">
        <f t="shared" si="324"/>
        <v>50126</v>
      </c>
      <c r="O1337" s="30">
        <f t="shared" si="325"/>
        <v>48828.125</v>
      </c>
      <c r="P1337" s="77">
        <f t="shared" si="326"/>
        <v>2.589225153</v>
      </c>
      <c r="R1337" s="3" t="s">
        <v>463</v>
      </c>
      <c r="S1337" s="3">
        <v>4096.0</v>
      </c>
      <c r="T1337" s="3">
        <v>36934.0</v>
      </c>
      <c r="U1337" s="3">
        <v>12852.0</v>
      </c>
      <c r="V1337" s="30">
        <f t="shared" si="327"/>
        <v>49786</v>
      </c>
      <c r="W1337" s="30">
        <f t="shared" si="328"/>
        <v>48828.125</v>
      </c>
      <c r="X1337" s="77">
        <f t="shared" si="329"/>
        <v>1.923984654</v>
      </c>
    </row>
    <row r="1338">
      <c r="B1338" s="3" t="s">
        <v>463</v>
      </c>
      <c r="C1338" s="3">
        <v>8192.0</v>
      </c>
      <c r="D1338" s="3">
        <v>19110.0</v>
      </c>
      <c r="E1338" s="3">
        <v>9332.0</v>
      </c>
      <c r="F1338" s="30">
        <f t="shared" si="321"/>
        <v>28442</v>
      </c>
      <c r="G1338" s="30">
        <f t="shared" si="322"/>
        <v>24414.0625</v>
      </c>
      <c r="H1338" s="77">
        <f t="shared" si="323"/>
        <v>14.16193481</v>
      </c>
      <c r="J1338" s="3" t="s">
        <v>463</v>
      </c>
      <c r="K1338" s="3">
        <v>8192.0</v>
      </c>
      <c r="L1338" s="3">
        <v>18875.0</v>
      </c>
      <c r="M1338" s="3">
        <v>6766.0</v>
      </c>
      <c r="N1338" s="30">
        <f t="shared" si="324"/>
        <v>25641</v>
      </c>
      <c r="O1338" s="30">
        <f t="shared" si="325"/>
        <v>24414.0625</v>
      </c>
      <c r="P1338" s="77">
        <f t="shared" si="326"/>
        <v>4.785061035</v>
      </c>
      <c r="R1338" s="3" t="s">
        <v>463</v>
      </c>
      <c r="S1338" s="3">
        <v>8192.0</v>
      </c>
      <c r="T1338" s="3">
        <v>18688.0</v>
      </c>
      <c r="U1338" s="3">
        <v>6523.0</v>
      </c>
      <c r="V1338" s="30">
        <f t="shared" si="327"/>
        <v>25211</v>
      </c>
      <c r="W1338" s="30">
        <f t="shared" si="328"/>
        <v>24414.0625</v>
      </c>
      <c r="X1338" s="77">
        <f t="shared" si="329"/>
        <v>3.161070564</v>
      </c>
    </row>
    <row r="1339">
      <c r="E1339" s="3"/>
    </row>
    <row r="1340">
      <c r="E1340" s="3"/>
    </row>
    <row r="1341">
      <c r="E1341" s="3"/>
    </row>
    <row r="1342">
      <c r="C1342" s="3" t="s">
        <v>324</v>
      </c>
      <c r="D1342" s="3" t="s">
        <v>534</v>
      </c>
      <c r="E1342" s="3" t="s">
        <v>535</v>
      </c>
      <c r="F1342" s="3" t="s">
        <v>536</v>
      </c>
    </row>
    <row r="1343">
      <c r="C1343" s="3">
        <v>1.0</v>
      </c>
      <c r="D1343" s="77">
        <f t="shared" ref="D1343:D1356" si="330">H1325</f>
        <v>4.218522758</v>
      </c>
      <c r="E1343" s="81">
        <f t="shared" ref="E1343:E1356" si="331">P1325</f>
        <v>0.1596168174</v>
      </c>
      <c r="F1343" s="77">
        <f t="shared" ref="F1343:F1356" si="332">X1325</f>
        <v>0.3500900636</v>
      </c>
      <c r="H1343" s="30" t="str">
        <f>D1342&amp;"=["&amp;D1343&amp;", "&amp;D1344&amp;", "&amp;D1345&amp;", "&amp;D1346&amp;", "&amp;D1347&amp;", "&amp;D1348&amp;", "&amp;D1349&amp;", "&amp;D1350&amp;", "&amp;D1351&amp;", "&amp;D1352&amp;", "&amp;D1353&amp;", "&amp;D1354&amp;", "&amp;D1355&amp;", "&amp;D1356&amp;"]"</f>
        <v>bwell=[4.21852275844524, 3.90608688058248, 3.8223683780258, 3.73424119901852, 3.7676356393251, 4.02841127557144, 3.68713389553336, 3.63028568609069, 3.70927287405481, 4.14933686677218, 4.71166512172513, 8.86279432213751, 12.4614550278779, 14.1619348147106]</v>
      </c>
    </row>
    <row r="1344">
      <c r="C1344" s="3">
        <v>2.0</v>
      </c>
      <c r="D1344" s="77">
        <f t="shared" si="330"/>
        <v>3.906086881</v>
      </c>
      <c r="E1344" s="81">
        <f t="shared" si="331"/>
        <v>0.1198402109</v>
      </c>
      <c r="F1344" s="77">
        <f t="shared" si="332"/>
        <v>8.533649519</v>
      </c>
      <c r="H1344" s="82" t="str">
        <f>E1342&amp;"=["&amp;E1343&amp;", "&amp;E1344&amp;", "&amp;E1345&amp;", "&amp;E1346&amp;", "&amp;E1347&amp;", "&amp;E1348&amp;", "&amp;E1349&amp;", "&amp;E1350&amp;", "&amp;E1351&amp;", "&amp;E1352&amp;", "&amp;E1353&amp;", "&amp;E1354&amp;", "&amp;E1355&amp;", "&amp;E1356&amp;"]"</f>
        <v>slake=[0.159616817401684, 0.119840210921328, 0.12671921865537, 0.102247347794585, 0.102103641909677, 0.0730985269655542, 0.175818334683489, 0.174542815378168, 0.255855699428283, 0.47212837407447, 0.924995941887834, 1.9515562248996, 2.58922515261541, 4.78506103506104]</v>
      </c>
    </row>
    <row r="1345">
      <c r="C1345" s="3">
        <v>4.0</v>
      </c>
      <c r="D1345" s="77">
        <f t="shared" si="330"/>
        <v>3.822368378</v>
      </c>
      <c r="E1345" s="81">
        <f t="shared" si="331"/>
        <v>0.1267192187</v>
      </c>
      <c r="F1345" s="77">
        <f t="shared" si="332"/>
        <v>0.2079347306</v>
      </c>
      <c r="H1345" s="82" t="str">
        <f>F1342&amp;"=["&amp;F1343&amp;", "&amp;F1344&amp;", "&amp;F1345&amp;", "&amp;F1346&amp;", "&amp;F1347&amp;", "&amp;F1348&amp;", "&amp;F1349&amp;", "&amp;F1350&amp;", "&amp;F1351&amp;", "&amp;F1352&amp;", "&amp;F1353&amp;", "&amp;F1354&amp;", "&amp;F1355&amp;", "&amp;F1356&amp;"]"</f>
        <v>clake=[0.350090063588601, 8.53364951909188, 0.207934730560625, 0.103365046119479, 0.0773880644918124, 0.043485082249818, 0.0929694863148149, 0.0285521499256748, 0.127779066533547, 0.0767410628637207, 0.00384014746166253, 0.497987671302664, 1.92398465432049, 3.16107056443616]</v>
      </c>
    </row>
    <row r="1346">
      <c r="C1346" s="3">
        <v>8.0</v>
      </c>
      <c r="D1346" s="77">
        <f t="shared" si="330"/>
        <v>3.734241199</v>
      </c>
      <c r="E1346" s="81">
        <f t="shared" si="331"/>
        <v>0.1022473478</v>
      </c>
      <c r="F1346" s="77">
        <f t="shared" si="332"/>
        <v>0.1033650461</v>
      </c>
    </row>
    <row r="1347">
      <c r="C1347" s="3">
        <v>16.0</v>
      </c>
      <c r="D1347" s="77">
        <f t="shared" si="330"/>
        <v>3.767635639</v>
      </c>
      <c r="E1347" s="81">
        <f t="shared" si="331"/>
        <v>0.1021036419</v>
      </c>
      <c r="F1347" s="77">
        <f t="shared" si="332"/>
        <v>0.07738806449</v>
      </c>
    </row>
    <row r="1348">
      <c r="C1348" s="3">
        <v>32.0</v>
      </c>
      <c r="D1348" s="77">
        <f t="shared" si="330"/>
        <v>4.028411276</v>
      </c>
      <c r="E1348" s="81">
        <f t="shared" si="331"/>
        <v>0.07309852697</v>
      </c>
      <c r="F1348" s="77">
        <f t="shared" si="332"/>
        <v>0.04348508225</v>
      </c>
    </row>
    <row r="1349">
      <c r="C1349" s="3">
        <v>64.0</v>
      </c>
      <c r="D1349" s="77">
        <f t="shared" si="330"/>
        <v>3.687133896</v>
      </c>
      <c r="E1349" s="81">
        <f t="shared" si="331"/>
        <v>0.1758183347</v>
      </c>
      <c r="F1349" s="77">
        <f t="shared" si="332"/>
        <v>0.09296948631</v>
      </c>
    </row>
    <row r="1350">
      <c r="C1350" s="3">
        <v>128.0</v>
      </c>
      <c r="D1350" s="77">
        <f t="shared" si="330"/>
        <v>3.630285686</v>
      </c>
      <c r="E1350" s="81">
        <f t="shared" si="331"/>
        <v>0.1745428154</v>
      </c>
      <c r="F1350" s="77">
        <f t="shared" si="332"/>
        <v>0.02855214993</v>
      </c>
    </row>
    <row r="1351">
      <c r="C1351" s="3">
        <v>256.0</v>
      </c>
      <c r="D1351" s="77">
        <f t="shared" si="330"/>
        <v>3.709272874</v>
      </c>
      <c r="E1351" s="81">
        <f t="shared" si="331"/>
        <v>0.2558556994</v>
      </c>
      <c r="F1351" s="77">
        <f t="shared" si="332"/>
        <v>0.1277790665</v>
      </c>
    </row>
    <row r="1352">
      <c r="C1352" s="3">
        <v>512.0</v>
      </c>
      <c r="D1352" s="77">
        <f t="shared" si="330"/>
        <v>4.149336867</v>
      </c>
      <c r="E1352" s="81">
        <f t="shared" si="331"/>
        <v>0.4721283741</v>
      </c>
      <c r="F1352" s="77">
        <f t="shared" si="332"/>
        <v>0.07674106286</v>
      </c>
    </row>
    <row r="1353">
      <c r="C1353" s="3">
        <v>1024.0</v>
      </c>
      <c r="D1353" s="77">
        <f t="shared" si="330"/>
        <v>4.711665122</v>
      </c>
      <c r="E1353" s="81">
        <f t="shared" si="331"/>
        <v>0.9249959419</v>
      </c>
      <c r="F1353" s="77">
        <f t="shared" si="332"/>
        <v>0.003840147462</v>
      </c>
    </row>
    <row r="1354">
      <c r="C1354" s="3">
        <v>2048.0</v>
      </c>
      <c r="D1354" s="77">
        <f t="shared" si="330"/>
        <v>8.862794322</v>
      </c>
      <c r="E1354" s="81">
        <f t="shared" si="331"/>
        <v>1.951556225</v>
      </c>
      <c r="F1354" s="77">
        <f t="shared" si="332"/>
        <v>0.4979876713</v>
      </c>
    </row>
    <row r="1355">
      <c r="C1355" s="3">
        <v>4096.0</v>
      </c>
      <c r="D1355" s="77">
        <f t="shared" si="330"/>
        <v>12.46145503</v>
      </c>
      <c r="E1355" s="81">
        <f t="shared" si="331"/>
        <v>2.589225153</v>
      </c>
      <c r="F1355" s="77">
        <f t="shared" si="332"/>
        <v>1.923984654</v>
      </c>
    </row>
    <row r="1356">
      <c r="C1356" s="3">
        <v>8192.0</v>
      </c>
      <c r="D1356" s="77">
        <f t="shared" si="330"/>
        <v>14.16193481</v>
      </c>
      <c r="E1356" s="81">
        <f t="shared" si="331"/>
        <v>4.785061035</v>
      </c>
      <c r="F1356" s="77">
        <f t="shared" si="332"/>
        <v>3.161070564</v>
      </c>
    </row>
    <row r="1357">
      <c r="E1357" s="3"/>
    </row>
    <row r="1358">
      <c r="E1358" s="3"/>
    </row>
    <row r="1359">
      <c r="E1359" s="3"/>
    </row>
    <row r="1360">
      <c r="A1360" s="3" t="s">
        <v>525</v>
      </c>
      <c r="E1360" s="3"/>
    </row>
    <row r="1361">
      <c r="A1361" s="3" t="s">
        <v>538</v>
      </c>
      <c r="B1361" s="3" t="s">
        <v>459</v>
      </c>
      <c r="C1361" s="3" t="s">
        <v>447</v>
      </c>
      <c r="D1361" s="3" t="s">
        <v>515</v>
      </c>
      <c r="E1361" s="3" t="s">
        <v>526</v>
      </c>
      <c r="F1361" s="3" t="s">
        <v>527</v>
      </c>
      <c r="G1361" s="3" t="s">
        <v>528</v>
      </c>
      <c r="H1361" s="3" t="s">
        <v>529</v>
      </c>
    </row>
    <row r="1362">
      <c r="A1362" s="3">
        <v>5000000.0</v>
      </c>
      <c r="B1362" s="3">
        <f>A1362</f>
        <v>5000000</v>
      </c>
      <c r="C1362" s="3">
        <v>1.0</v>
      </c>
      <c r="D1362" s="66">
        <f t="shared" ref="D1362:D1375" si="333">B1362/C1362</f>
        <v>5000000</v>
      </c>
      <c r="E1362" s="30">
        <f>D1362/64*4</f>
        <v>312500</v>
      </c>
      <c r="F1362" s="30">
        <f t="shared" ref="F1362:F1375" si="334">E1362*3</f>
        <v>937500</v>
      </c>
      <c r="G1362" s="30">
        <f t="shared" ref="G1362:G1375" si="335">E1362</f>
        <v>312500</v>
      </c>
      <c r="H1362" s="30">
        <f t="shared" ref="H1362:H1375" si="336">F1362+G1362</f>
        <v>1250000</v>
      </c>
    </row>
    <row r="1363">
      <c r="B1363" s="3">
        <f t="shared" ref="B1363:B1375" si="337">B1362</f>
        <v>5000000</v>
      </c>
      <c r="C1363" s="3">
        <v>2.0</v>
      </c>
      <c r="D1363" s="66">
        <f t="shared" si="333"/>
        <v>2500000</v>
      </c>
      <c r="E1363" s="30">
        <f t="shared" ref="E1363:E1366" si="338">E1362</f>
        <v>312500</v>
      </c>
      <c r="F1363" s="30">
        <f t="shared" si="334"/>
        <v>937500</v>
      </c>
      <c r="G1363" s="30">
        <f t="shared" si="335"/>
        <v>312500</v>
      </c>
      <c r="H1363" s="30">
        <f t="shared" si="336"/>
        <v>1250000</v>
      </c>
    </row>
    <row r="1364">
      <c r="B1364" s="3">
        <f t="shared" si="337"/>
        <v>5000000</v>
      </c>
      <c r="C1364" s="3">
        <v>4.0</v>
      </c>
      <c r="D1364" s="66">
        <f t="shared" si="333"/>
        <v>1250000</v>
      </c>
      <c r="E1364" s="30">
        <f t="shared" si="338"/>
        <v>312500</v>
      </c>
      <c r="F1364" s="30">
        <f t="shared" si="334"/>
        <v>937500</v>
      </c>
      <c r="G1364" s="30">
        <f t="shared" si="335"/>
        <v>312500</v>
      </c>
      <c r="H1364" s="30">
        <f t="shared" si="336"/>
        <v>1250000</v>
      </c>
    </row>
    <row r="1365">
      <c r="B1365" s="3">
        <f t="shared" si="337"/>
        <v>5000000</v>
      </c>
      <c r="C1365" s="3">
        <v>8.0</v>
      </c>
      <c r="D1365" s="66">
        <f t="shared" si="333"/>
        <v>625000</v>
      </c>
      <c r="E1365" s="30">
        <f t="shared" si="338"/>
        <v>312500</v>
      </c>
      <c r="F1365" s="30">
        <f t="shared" si="334"/>
        <v>937500</v>
      </c>
      <c r="G1365" s="30">
        <f t="shared" si="335"/>
        <v>312500</v>
      </c>
      <c r="H1365" s="30">
        <f t="shared" si="336"/>
        <v>1250000</v>
      </c>
    </row>
    <row r="1366">
      <c r="B1366" s="3">
        <f t="shared" si="337"/>
        <v>5000000</v>
      </c>
      <c r="C1366" s="3">
        <v>16.0</v>
      </c>
      <c r="D1366" s="66">
        <f t="shared" si="333"/>
        <v>312500</v>
      </c>
      <c r="E1366" s="30">
        <f t="shared" si="338"/>
        <v>312500</v>
      </c>
      <c r="F1366" s="30">
        <f t="shared" si="334"/>
        <v>937500</v>
      </c>
      <c r="G1366" s="30">
        <f t="shared" si="335"/>
        <v>312500</v>
      </c>
      <c r="H1366" s="30">
        <f t="shared" si="336"/>
        <v>1250000</v>
      </c>
    </row>
    <row r="1367">
      <c r="B1367" s="3">
        <f t="shared" si="337"/>
        <v>5000000</v>
      </c>
      <c r="C1367" s="3">
        <v>32.0</v>
      </c>
      <c r="D1367" s="66">
        <f t="shared" si="333"/>
        <v>156250</v>
      </c>
      <c r="E1367" s="30">
        <f t="shared" ref="E1367:E1375" si="339">E1366/2</f>
        <v>156250</v>
      </c>
      <c r="F1367" s="30">
        <f t="shared" si="334"/>
        <v>468750</v>
      </c>
      <c r="G1367" s="30">
        <f t="shared" si="335"/>
        <v>156250</v>
      </c>
      <c r="H1367" s="30">
        <f t="shared" si="336"/>
        <v>625000</v>
      </c>
    </row>
    <row r="1368">
      <c r="B1368" s="3">
        <f t="shared" si="337"/>
        <v>5000000</v>
      </c>
      <c r="C1368" s="3">
        <v>64.0</v>
      </c>
      <c r="D1368" s="66">
        <f t="shared" si="333"/>
        <v>78125</v>
      </c>
      <c r="E1368" s="30">
        <f t="shared" si="339"/>
        <v>78125</v>
      </c>
      <c r="F1368" s="30">
        <f t="shared" si="334"/>
        <v>234375</v>
      </c>
      <c r="G1368" s="30">
        <f t="shared" si="335"/>
        <v>78125</v>
      </c>
      <c r="H1368" s="30">
        <f t="shared" si="336"/>
        <v>312500</v>
      </c>
    </row>
    <row r="1369">
      <c r="B1369" s="3">
        <f t="shared" si="337"/>
        <v>5000000</v>
      </c>
      <c r="C1369" s="3">
        <v>128.0</v>
      </c>
      <c r="D1369" s="66">
        <f t="shared" si="333"/>
        <v>39062.5</v>
      </c>
      <c r="E1369" s="30">
        <f t="shared" si="339"/>
        <v>39062.5</v>
      </c>
      <c r="F1369" s="30">
        <f t="shared" si="334"/>
        <v>117187.5</v>
      </c>
      <c r="G1369" s="30">
        <f t="shared" si="335"/>
        <v>39062.5</v>
      </c>
      <c r="H1369" s="30">
        <f t="shared" si="336"/>
        <v>156250</v>
      </c>
    </row>
    <row r="1370">
      <c r="B1370" s="3">
        <f t="shared" si="337"/>
        <v>5000000</v>
      </c>
      <c r="C1370" s="3">
        <v>256.0</v>
      </c>
      <c r="D1370" s="66">
        <f t="shared" si="333"/>
        <v>19531.25</v>
      </c>
      <c r="E1370" s="30">
        <f t="shared" si="339"/>
        <v>19531.25</v>
      </c>
      <c r="F1370" s="30">
        <f t="shared" si="334"/>
        <v>58593.75</v>
      </c>
      <c r="G1370" s="30">
        <f t="shared" si="335"/>
        <v>19531.25</v>
      </c>
      <c r="H1370" s="30">
        <f t="shared" si="336"/>
        <v>78125</v>
      </c>
    </row>
    <row r="1371">
      <c r="B1371" s="3">
        <f t="shared" si="337"/>
        <v>5000000</v>
      </c>
      <c r="C1371" s="3">
        <v>512.0</v>
      </c>
      <c r="D1371" s="66">
        <f t="shared" si="333"/>
        <v>9765.625</v>
      </c>
      <c r="E1371" s="30">
        <f t="shared" si="339"/>
        <v>9765.625</v>
      </c>
      <c r="F1371" s="30">
        <f t="shared" si="334"/>
        <v>29296.875</v>
      </c>
      <c r="G1371" s="30">
        <f t="shared" si="335"/>
        <v>9765.625</v>
      </c>
      <c r="H1371" s="30">
        <f t="shared" si="336"/>
        <v>39062.5</v>
      </c>
    </row>
    <row r="1372">
      <c r="B1372" s="3">
        <f t="shared" si="337"/>
        <v>5000000</v>
      </c>
      <c r="C1372" s="3">
        <v>1024.0</v>
      </c>
      <c r="D1372" s="66">
        <f t="shared" si="333"/>
        <v>4882.8125</v>
      </c>
      <c r="E1372" s="30">
        <f t="shared" si="339"/>
        <v>4882.8125</v>
      </c>
      <c r="F1372" s="30">
        <f t="shared" si="334"/>
        <v>14648.4375</v>
      </c>
      <c r="G1372" s="30">
        <f t="shared" si="335"/>
        <v>4882.8125</v>
      </c>
      <c r="H1372" s="30">
        <f t="shared" si="336"/>
        <v>19531.25</v>
      </c>
    </row>
    <row r="1373">
      <c r="B1373" s="3">
        <f t="shared" si="337"/>
        <v>5000000</v>
      </c>
      <c r="C1373" s="3">
        <v>2048.0</v>
      </c>
      <c r="D1373" s="66">
        <f t="shared" si="333"/>
        <v>2441.40625</v>
      </c>
      <c r="E1373" s="30">
        <f t="shared" si="339"/>
        <v>2441.40625</v>
      </c>
      <c r="F1373" s="30">
        <f t="shared" si="334"/>
        <v>7324.21875</v>
      </c>
      <c r="G1373" s="30">
        <f t="shared" si="335"/>
        <v>2441.40625</v>
      </c>
      <c r="H1373" s="30">
        <f t="shared" si="336"/>
        <v>9765.625</v>
      </c>
    </row>
    <row r="1374">
      <c r="B1374" s="3">
        <f t="shared" si="337"/>
        <v>5000000</v>
      </c>
      <c r="C1374" s="3">
        <v>4096.0</v>
      </c>
      <c r="D1374" s="66">
        <f t="shared" si="333"/>
        <v>1220.703125</v>
      </c>
      <c r="E1374" s="30">
        <f t="shared" si="339"/>
        <v>1220.703125</v>
      </c>
      <c r="F1374" s="30">
        <f t="shared" si="334"/>
        <v>3662.109375</v>
      </c>
      <c r="G1374" s="30">
        <f t="shared" si="335"/>
        <v>1220.703125</v>
      </c>
      <c r="H1374" s="30">
        <f t="shared" si="336"/>
        <v>4882.8125</v>
      </c>
    </row>
    <row r="1375">
      <c r="B1375" s="3">
        <f t="shared" si="337"/>
        <v>5000000</v>
      </c>
      <c r="C1375" s="3">
        <v>8192.0</v>
      </c>
      <c r="D1375" s="66">
        <f t="shared" si="333"/>
        <v>610.3515625</v>
      </c>
      <c r="E1375" s="30">
        <f t="shared" si="339"/>
        <v>610.3515625</v>
      </c>
      <c r="F1375" s="30">
        <f t="shared" si="334"/>
        <v>1831.054688</v>
      </c>
      <c r="G1375" s="30">
        <f t="shared" si="335"/>
        <v>610.3515625</v>
      </c>
      <c r="H1375" s="30">
        <f t="shared" si="336"/>
        <v>2441.40625</v>
      </c>
    </row>
    <row r="1376">
      <c r="A1376" s="3" t="s">
        <v>327</v>
      </c>
      <c r="B1376" s="3" t="s">
        <v>530</v>
      </c>
      <c r="E1376" s="3"/>
      <c r="J1376" s="3" t="s">
        <v>531</v>
      </c>
      <c r="M1376" s="3"/>
      <c r="R1376" s="3" t="s">
        <v>532</v>
      </c>
      <c r="U1376" s="3"/>
    </row>
    <row r="1377">
      <c r="E1377" s="3"/>
      <c r="F1377" s="3" t="s">
        <v>482</v>
      </c>
      <c r="G1377" s="73" t="s">
        <v>529</v>
      </c>
      <c r="H1377" s="3" t="s">
        <v>533</v>
      </c>
      <c r="M1377" s="3"/>
      <c r="N1377" s="3" t="s">
        <v>482</v>
      </c>
      <c r="O1377" s="73" t="s">
        <v>529</v>
      </c>
      <c r="P1377" s="3" t="s">
        <v>533</v>
      </c>
      <c r="U1377" s="3"/>
      <c r="V1377" s="3" t="s">
        <v>482</v>
      </c>
      <c r="W1377" s="73" t="s">
        <v>529</v>
      </c>
      <c r="X1377" s="3" t="s">
        <v>533</v>
      </c>
    </row>
    <row r="1378">
      <c r="B1378" s="3" t="s">
        <v>463</v>
      </c>
      <c r="C1378" s="3">
        <v>1.0</v>
      </c>
      <c r="D1378" s="3">
        <v>950505.0</v>
      </c>
      <c r="E1378" s="3">
        <v>647013.0</v>
      </c>
      <c r="F1378" s="30">
        <f t="shared" ref="F1378:F1391" si="340">D1378+E1378</f>
        <v>1597518</v>
      </c>
      <c r="G1378" s="30">
        <f t="shared" ref="G1378:G1391" si="341">H1362</f>
        <v>1250000</v>
      </c>
      <c r="H1378" s="77">
        <f t="shared" ref="H1378:H1391" si="342">ABS((F1378-G1378)/F1378)*100</f>
        <v>21.7536203</v>
      </c>
      <c r="J1378" s="3" t="s">
        <v>463</v>
      </c>
      <c r="K1378" s="3">
        <v>1.0</v>
      </c>
      <c r="L1378" s="3">
        <v>938174.0</v>
      </c>
      <c r="M1378" s="3">
        <v>323960.0</v>
      </c>
      <c r="N1378" s="30">
        <f t="shared" ref="N1378:N1391" si="343">L1378+M1378</f>
        <v>1262134</v>
      </c>
      <c r="O1378" s="30">
        <f t="shared" ref="O1378:O1391" si="344">H1362</f>
        <v>1250000</v>
      </c>
      <c r="P1378" s="77">
        <f t="shared" ref="P1378:P1391" si="345">ABS((N1378-O1378)/N1378)*100</f>
        <v>0.9613876181</v>
      </c>
      <c r="R1378" s="3" t="s">
        <v>463</v>
      </c>
      <c r="S1378" s="3">
        <v>1.0</v>
      </c>
      <c r="T1378" s="3">
        <v>935099.0</v>
      </c>
      <c r="U1378" s="3">
        <v>314018.0</v>
      </c>
      <c r="V1378" s="30">
        <f t="shared" ref="V1378:V1391" si="346">T1378+U1378</f>
        <v>1249117</v>
      </c>
      <c r="W1378" s="30">
        <f t="shared" ref="W1378:W1391" si="347">H1362</f>
        <v>1250000</v>
      </c>
      <c r="X1378" s="77">
        <f t="shared" ref="X1378:X1391" si="348">ABS((V1378-W1378)/V1378)*100</f>
        <v>0.07068993537</v>
      </c>
    </row>
    <row r="1379">
      <c r="B1379" s="3" t="s">
        <v>463</v>
      </c>
      <c r="C1379" s="3">
        <v>2.0</v>
      </c>
      <c r="D1379" s="3">
        <v>951498.0</v>
      </c>
      <c r="E1379" s="3">
        <v>648777.0</v>
      </c>
      <c r="F1379" s="30">
        <f t="shared" si="340"/>
        <v>1600275</v>
      </c>
      <c r="G1379" s="30">
        <f t="shared" si="341"/>
        <v>1250000</v>
      </c>
      <c r="H1379" s="77">
        <f t="shared" si="342"/>
        <v>21.88842543</v>
      </c>
      <c r="J1379" s="3" t="s">
        <v>463</v>
      </c>
      <c r="K1379" s="3">
        <v>2.0</v>
      </c>
      <c r="L1379" s="3">
        <v>938204.0</v>
      </c>
      <c r="M1379" s="3">
        <v>314400.0</v>
      </c>
      <c r="N1379" s="30">
        <f t="shared" si="343"/>
        <v>1252604</v>
      </c>
      <c r="O1379" s="30">
        <f t="shared" si="344"/>
        <v>1250000</v>
      </c>
      <c r="P1379" s="77">
        <f t="shared" si="345"/>
        <v>0.2078869299</v>
      </c>
      <c r="R1379" s="3" t="s">
        <v>463</v>
      </c>
      <c r="S1379" s="3">
        <v>2.0</v>
      </c>
      <c r="T1379" s="3">
        <v>933928.0</v>
      </c>
      <c r="U1379" s="3">
        <v>317305.0</v>
      </c>
      <c r="V1379" s="30">
        <f t="shared" si="346"/>
        <v>1251233</v>
      </c>
      <c r="W1379" s="30">
        <f t="shared" si="347"/>
        <v>1250000</v>
      </c>
      <c r="X1379" s="77">
        <f t="shared" si="348"/>
        <v>0.09854279738</v>
      </c>
    </row>
    <row r="1380">
      <c r="B1380" s="3" t="s">
        <v>463</v>
      </c>
      <c r="C1380" s="3">
        <v>4.0</v>
      </c>
      <c r="D1380" s="3">
        <v>950902.0</v>
      </c>
      <c r="E1380" s="3">
        <v>647241.0</v>
      </c>
      <c r="F1380" s="30">
        <f t="shared" si="340"/>
        <v>1598143</v>
      </c>
      <c r="G1380" s="30">
        <f t="shared" si="341"/>
        <v>1250000</v>
      </c>
      <c r="H1380" s="77">
        <f t="shared" si="342"/>
        <v>21.78422081</v>
      </c>
      <c r="J1380" s="3" t="s">
        <v>463</v>
      </c>
      <c r="K1380" s="3">
        <v>4.0</v>
      </c>
      <c r="L1380" s="3">
        <v>937983.0</v>
      </c>
      <c r="M1380" s="3">
        <v>316053.0</v>
      </c>
      <c r="N1380" s="30">
        <f t="shared" si="343"/>
        <v>1254036</v>
      </c>
      <c r="O1380" s="30">
        <f t="shared" si="344"/>
        <v>1250000</v>
      </c>
      <c r="P1380" s="77">
        <f t="shared" si="345"/>
        <v>0.3218408403</v>
      </c>
      <c r="R1380" s="3" t="s">
        <v>463</v>
      </c>
      <c r="S1380" s="3">
        <v>4.0</v>
      </c>
      <c r="T1380" s="3">
        <v>934380.0</v>
      </c>
      <c r="U1380" s="3">
        <v>314831.0</v>
      </c>
      <c r="V1380" s="30">
        <f t="shared" si="346"/>
        <v>1249211</v>
      </c>
      <c r="W1380" s="30">
        <f t="shared" si="347"/>
        <v>1250000</v>
      </c>
      <c r="X1380" s="77">
        <f t="shared" si="348"/>
        <v>0.06315986651</v>
      </c>
    </row>
    <row r="1381">
      <c r="B1381" s="3" t="s">
        <v>463</v>
      </c>
      <c r="C1381" s="3">
        <v>8.0</v>
      </c>
      <c r="D1381" s="3">
        <v>948928.0</v>
      </c>
      <c r="E1381" s="3">
        <v>627075.0</v>
      </c>
      <c r="F1381" s="30">
        <f t="shared" si="340"/>
        <v>1576003</v>
      </c>
      <c r="G1381" s="30">
        <f t="shared" si="341"/>
        <v>1250000</v>
      </c>
      <c r="H1381" s="77">
        <f t="shared" si="342"/>
        <v>20.68543017</v>
      </c>
      <c r="J1381" s="3" t="s">
        <v>463</v>
      </c>
      <c r="K1381" s="3">
        <v>8.0</v>
      </c>
      <c r="L1381" s="3">
        <v>937694.0</v>
      </c>
      <c r="M1381" s="3">
        <v>313977.0</v>
      </c>
      <c r="N1381" s="30">
        <f t="shared" si="343"/>
        <v>1251671</v>
      </c>
      <c r="O1381" s="30">
        <f t="shared" si="344"/>
        <v>1250000</v>
      </c>
      <c r="P1381" s="77">
        <f t="shared" si="345"/>
        <v>0.1335015351</v>
      </c>
      <c r="R1381" s="3" t="s">
        <v>463</v>
      </c>
      <c r="S1381" s="3">
        <v>8.0</v>
      </c>
      <c r="T1381" s="3">
        <v>910423.0</v>
      </c>
      <c r="U1381" s="3">
        <v>309515.0</v>
      </c>
      <c r="V1381" s="30">
        <f t="shared" si="346"/>
        <v>1219938</v>
      </c>
      <c r="W1381" s="30">
        <f t="shared" si="347"/>
        <v>1250000</v>
      </c>
      <c r="X1381" s="77">
        <f t="shared" si="348"/>
        <v>2.464223592</v>
      </c>
    </row>
    <row r="1382">
      <c r="B1382" s="3" t="s">
        <v>463</v>
      </c>
      <c r="C1382" s="3">
        <v>16.0</v>
      </c>
      <c r="D1382" s="3">
        <v>948867.0</v>
      </c>
      <c r="E1382" s="3">
        <v>633180.0</v>
      </c>
      <c r="F1382" s="30">
        <f t="shared" si="340"/>
        <v>1582047</v>
      </c>
      <c r="G1382" s="30">
        <f t="shared" si="341"/>
        <v>1250000</v>
      </c>
      <c r="H1382" s="77">
        <f t="shared" si="342"/>
        <v>20.98844092</v>
      </c>
      <c r="J1382" s="3" t="s">
        <v>463</v>
      </c>
      <c r="K1382" s="3">
        <v>16.0</v>
      </c>
      <c r="L1382" s="3">
        <v>938043.0</v>
      </c>
      <c r="M1382" s="3">
        <v>315271.0</v>
      </c>
      <c r="N1382" s="30">
        <f t="shared" si="343"/>
        <v>1253314</v>
      </c>
      <c r="O1382" s="30">
        <f t="shared" si="344"/>
        <v>1250000</v>
      </c>
      <c r="P1382" s="77">
        <f t="shared" si="345"/>
        <v>0.2644189724</v>
      </c>
      <c r="R1382" s="3" t="s">
        <v>463</v>
      </c>
      <c r="S1382" s="3">
        <v>16.0</v>
      </c>
      <c r="T1382" s="3">
        <v>935404.0</v>
      </c>
      <c r="U1382" s="3">
        <v>314118.0</v>
      </c>
      <c r="V1382" s="30">
        <f t="shared" si="346"/>
        <v>1249522</v>
      </c>
      <c r="W1382" s="30">
        <f t="shared" si="347"/>
        <v>1250000</v>
      </c>
      <c r="X1382" s="77">
        <f t="shared" si="348"/>
        <v>0.03825462857</v>
      </c>
    </row>
    <row r="1383">
      <c r="B1383" s="3" t="s">
        <v>463</v>
      </c>
      <c r="C1383" s="3">
        <v>32.0</v>
      </c>
      <c r="D1383" s="3">
        <v>475521.0</v>
      </c>
      <c r="E1383" s="3">
        <v>314053.0</v>
      </c>
      <c r="F1383" s="30">
        <f t="shared" si="340"/>
        <v>789574</v>
      </c>
      <c r="G1383" s="30">
        <f t="shared" si="341"/>
        <v>625000</v>
      </c>
      <c r="H1383" s="77">
        <f t="shared" si="342"/>
        <v>20.8433915</v>
      </c>
      <c r="J1383" s="3" t="s">
        <v>463</v>
      </c>
      <c r="K1383" s="3">
        <v>32.0</v>
      </c>
      <c r="L1383" s="3">
        <v>464815.0</v>
      </c>
      <c r="M1383" s="3">
        <v>154164.0</v>
      </c>
      <c r="N1383" s="30">
        <f t="shared" si="343"/>
        <v>618979</v>
      </c>
      <c r="O1383" s="30">
        <f t="shared" si="344"/>
        <v>625000</v>
      </c>
      <c r="P1383" s="77">
        <f t="shared" si="345"/>
        <v>0.9727309004</v>
      </c>
      <c r="R1383" s="3" t="s">
        <v>463</v>
      </c>
      <c r="S1383" s="3">
        <v>32.0</v>
      </c>
      <c r="T1383" s="3">
        <v>465450.0</v>
      </c>
      <c r="U1383" s="3">
        <v>156895.0</v>
      </c>
      <c r="V1383" s="30">
        <f t="shared" si="346"/>
        <v>622345</v>
      </c>
      <c r="W1383" s="30">
        <f t="shared" si="347"/>
        <v>625000</v>
      </c>
      <c r="X1383" s="77">
        <f t="shared" si="348"/>
        <v>0.4266122488</v>
      </c>
    </row>
    <row r="1384">
      <c r="B1384" s="3" t="s">
        <v>463</v>
      </c>
      <c r="C1384" s="3">
        <v>64.0</v>
      </c>
      <c r="D1384" s="3">
        <v>238822.0</v>
      </c>
      <c r="E1384" s="3">
        <v>162133.0</v>
      </c>
      <c r="F1384" s="30">
        <f t="shared" si="340"/>
        <v>400955</v>
      </c>
      <c r="G1384" s="30">
        <f t="shared" si="341"/>
        <v>312500</v>
      </c>
      <c r="H1384" s="77">
        <f t="shared" si="342"/>
        <v>22.06107917</v>
      </c>
      <c r="J1384" s="3" t="s">
        <v>463</v>
      </c>
      <c r="K1384" s="3">
        <v>64.0</v>
      </c>
      <c r="L1384" s="3">
        <v>234705.0</v>
      </c>
      <c r="M1384" s="3">
        <v>79023.0</v>
      </c>
      <c r="N1384" s="30">
        <f t="shared" si="343"/>
        <v>313728</v>
      </c>
      <c r="O1384" s="30">
        <f t="shared" si="344"/>
        <v>312500</v>
      </c>
      <c r="P1384" s="77">
        <f t="shared" si="345"/>
        <v>0.3914218686</v>
      </c>
      <c r="R1384" s="3" t="s">
        <v>463</v>
      </c>
      <c r="S1384" s="3">
        <v>64.0</v>
      </c>
      <c r="T1384" s="3">
        <v>233996.0</v>
      </c>
      <c r="U1384" s="3">
        <v>78064.0</v>
      </c>
      <c r="V1384" s="30">
        <f t="shared" si="346"/>
        <v>312060</v>
      </c>
      <c r="W1384" s="30">
        <f t="shared" si="347"/>
        <v>312500</v>
      </c>
      <c r="X1384" s="77">
        <f t="shared" si="348"/>
        <v>0.1409985259</v>
      </c>
    </row>
    <row r="1385">
      <c r="B1385" s="3" t="s">
        <v>463</v>
      </c>
      <c r="C1385" s="3">
        <v>128.0</v>
      </c>
      <c r="D1385" s="3">
        <v>119612.0</v>
      </c>
      <c r="E1385" s="3">
        <v>81634.0</v>
      </c>
      <c r="F1385" s="30">
        <f t="shared" si="340"/>
        <v>201246</v>
      </c>
      <c r="G1385" s="30">
        <f t="shared" si="341"/>
        <v>156250</v>
      </c>
      <c r="H1385" s="77">
        <f t="shared" si="342"/>
        <v>22.35870527</v>
      </c>
      <c r="J1385" s="3" t="s">
        <v>463</v>
      </c>
      <c r="K1385" s="3">
        <v>128.0</v>
      </c>
      <c r="L1385" s="3">
        <v>117508.0</v>
      </c>
      <c r="M1385" s="3">
        <v>39347.0</v>
      </c>
      <c r="N1385" s="30">
        <f t="shared" si="343"/>
        <v>156855</v>
      </c>
      <c r="O1385" s="30">
        <f t="shared" si="344"/>
        <v>156250</v>
      </c>
      <c r="P1385" s="77">
        <f t="shared" si="345"/>
        <v>0.3857065443</v>
      </c>
      <c r="R1385" s="3" t="s">
        <v>463</v>
      </c>
      <c r="S1385" s="3">
        <v>128.0</v>
      </c>
      <c r="T1385" s="3">
        <v>116919.0</v>
      </c>
      <c r="U1385" s="3">
        <v>39143.0</v>
      </c>
      <c r="V1385" s="30">
        <f t="shared" si="346"/>
        <v>156062</v>
      </c>
      <c r="W1385" s="30">
        <f t="shared" si="347"/>
        <v>156250</v>
      </c>
      <c r="X1385" s="77">
        <f t="shared" si="348"/>
        <v>0.1204649434</v>
      </c>
    </row>
    <row r="1386">
      <c r="B1386" s="3" t="s">
        <v>463</v>
      </c>
      <c r="C1386" s="3">
        <v>256.0</v>
      </c>
      <c r="D1386" s="3">
        <v>61217.0</v>
      </c>
      <c r="E1386" s="3">
        <v>42285.0</v>
      </c>
      <c r="F1386" s="30">
        <f t="shared" si="340"/>
        <v>103502</v>
      </c>
      <c r="G1386" s="30">
        <f t="shared" si="341"/>
        <v>78125</v>
      </c>
      <c r="H1386" s="77">
        <f t="shared" si="342"/>
        <v>24.51836679</v>
      </c>
      <c r="J1386" s="3" t="s">
        <v>463</v>
      </c>
      <c r="K1386" s="3">
        <v>256.0</v>
      </c>
      <c r="L1386" s="3">
        <v>58959.0</v>
      </c>
      <c r="M1386" s="3">
        <v>19708.0</v>
      </c>
      <c r="N1386" s="30">
        <f t="shared" si="343"/>
        <v>78667</v>
      </c>
      <c r="O1386" s="30">
        <f t="shared" si="344"/>
        <v>78125</v>
      </c>
      <c r="P1386" s="77">
        <f t="shared" si="345"/>
        <v>0.6889801314</v>
      </c>
      <c r="R1386" s="3" t="s">
        <v>463</v>
      </c>
      <c r="S1386" s="3">
        <v>256.0</v>
      </c>
      <c r="T1386" s="3">
        <v>58034.0</v>
      </c>
      <c r="U1386" s="3">
        <v>19637.0</v>
      </c>
      <c r="V1386" s="30">
        <f t="shared" si="346"/>
        <v>77671</v>
      </c>
      <c r="W1386" s="30">
        <f t="shared" si="347"/>
        <v>78125</v>
      </c>
      <c r="X1386" s="77">
        <f t="shared" si="348"/>
        <v>0.5845167437</v>
      </c>
    </row>
    <row r="1387">
      <c r="B1387" s="3" t="s">
        <v>463</v>
      </c>
      <c r="C1387" s="3">
        <v>512.0</v>
      </c>
      <c r="D1387" s="3">
        <v>30841.0</v>
      </c>
      <c r="E1387" s="3">
        <v>21250.0</v>
      </c>
      <c r="F1387" s="30">
        <f t="shared" si="340"/>
        <v>52091</v>
      </c>
      <c r="G1387" s="30">
        <f t="shared" si="341"/>
        <v>39062.5</v>
      </c>
      <c r="H1387" s="77">
        <f t="shared" si="342"/>
        <v>25.01103838</v>
      </c>
      <c r="J1387" s="3" t="s">
        <v>463</v>
      </c>
      <c r="K1387" s="3">
        <v>512.0</v>
      </c>
      <c r="L1387" s="3">
        <v>29571.0</v>
      </c>
      <c r="M1387" s="3">
        <v>10603.0</v>
      </c>
      <c r="N1387" s="30">
        <f t="shared" si="343"/>
        <v>40174</v>
      </c>
      <c r="O1387" s="30">
        <f t="shared" si="344"/>
        <v>39062.5</v>
      </c>
      <c r="P1387" s="77">
        <f t="shared" si="345"/>
        <v>2.766714791</v>
      </c>
      <c r="R1387" s="3" t="s">
        <v>463</v>
      </c>
      <c r="S1387" s="3">
        <v>512.0</v>
      </c>
      <c r="T1387" s="3">
        <v>28368.0</v>
      </c>
      <c r="U1387" s="3">
        <v>9905.0</v>
      </c>
      <c r="V1387" s="30">
        <f t="shared" si="346"/>
        <v>38273</v>
      </c>
      <c r="W1387" s="30">
        <f t="shared" si="347"/>
        <v>39062.5</v>
      </c>
      <c r="X1387" s="77">
        <f t="shared" si="348"/>
        <v>2.062811904</v>
      </c>
    </row>
    <row r="1388">
      <c r="B1388" s="3" t="s">
        <v>463</v>
      </c>
      <c r="C1388" s="3">
        <v>1024.0</v>
      </c>
      <c r="D1388" s="3">
        <v>15974.0</v>
      </c>
      <c r="E1388" s="3">
        <v>11018.0</v>
      </c>
      <c r="F1388" s="30">
        <f t="shared" si="340"/>
        <v>26992</v>
      </c>
      <c r="G1388" s="30">
        <f t="shared" si="341"/>
        <v>19531.25</v>
      </c>
      <c r="H1388" s="77">
        <f t="shared" si="342"/>
        <v>27.64059721</v>
      </c>
      <c r="J1388" s="3" t="s">
        <v>463</v>
      </c>
      <c r="K1388" s="3">
        <v>1024.0</v>
      </c>
      <c r="L1388" s="3">
        <v>15104.0</v>
      </c>
      <c r="M1388" s="3">
        <v>5070.0</v>
      </c>
      <c r="N1388" s="30">
        <f t="shared" si="343"/>
        <v>20174</v>
      </c>
      <c r="O1388" s="30">
        <f t="shared" si="344"/>
        <v>19531.25</v>
      </c>
      <c r="P1388" s="77">
        <f t="shared" si="345"/>
        <v>3.186031526</v>
      </c>
      <c r="R1388" s="3" t="s">
        <v>463</v>
      </c>
      <c r="S1388" s="3">
        <v>1024.0</v>
      </c>
      <c r="T1388" s="3">
        <v>14296.0</v>
      </c>
      <c r="U1388" s="3">
        <v>4912.0</v>
      </c>
      <c r="V1388" s="30">
        <f t="shared" si="346"/>
        <v>19208</v>
      </c>
      <c r="W1388" s="30">
        <f t="shared" si="347"/>
        <v>19531.25</v>
      </c>
      <c r="X1388" s="77">
        <f t="shared" si="348"/>
        <v>1.682892545</v>
      </c>
    </row>
    <row r="1389">
      <c r="B1389" s="3" t="s">
        <v>463</v>
      </c>
      <c r="C1389" s="3">
        <v>2048.0</v>
      </c>
      <c r="D1389" s="3">
        <v>8183.0</v>
      </c>
      <c r="E1389" s="3">
        <v>7038.0</v>
      </c>
      <c r="F1389" s="30">
        <f t="shared" si="340"/>
        <v>15221</v>
      </c>
      <c r="G1389" s="30">
        <f t="shared" si="341"/>
        <v>9765.625</v>
      </c>
      <c r="H1389" s="77">
        <f t="shared" si="342"/>
        <v>35.84110768</v>
      </c>
      <c r="J1389" s="3" t="s">
        <v>463</v>
      </c>
      <c r="K1389" s="3">
        <v>2048.0</v>
      </c>
      <c r="L1389" s="3">
        <v>7528.0</v>
      </c>
      <c r="M1389" s="3">
        <v>2558.0</v>
      </c>
      <c r="N1389" s="30">
        <f t="shared" si="343"/>
        <v>10086</v>
      </c>
      <c r="O1389" s="30">
        <f t="shared" si="344"/>
        <v>9765.625</v>
      </c>
      <c r="P1389" s="77">
        <f t="shared" si="345"/>
        <v>3.176432679</v>
      </c>
      <c r="R1389" s="3" t="s">
        <v>463</v>
      </c>
      <c r="S1389" s="3">
        <v>2048.0</v>
      </c>
      <c r="T1389" s="3">
        <v>7169.0</v>
      </c>
      <c r="U1389" s="3">
        <v>2584.0</v>
      </c>
      <c r="V1389" s="30">
        <f t="shared" si="346"/>
        <v>9753</v>
      </c>
      <c r="W1389" s="30">
        <f t="shared" si="347"/>
        <v>9765.625</v>
      </c>
      <c r="X1389" s="77">
        <f t="shared" si="348"/>
        <v>0.1294473495</v>
      </c>
    </row>
    <row r="1390">
      <c r="B1390" s="3" t="s">
        <v>463</v>
      </c>
      <c r="C1390" s="3">
        <v>4096.0</v>
      </c>
      <c r="D1390" s="3">
        <v>4390.0</v>
      </c>
      <c r="E1390" s="3">
        <v>3937.0</v>
      </c>
      <c r="F1390" s="30">
        <f t="shared" si="340"/>
        <v>8327</v>
      </c>
      <c r="G1390" s="30">
        <f t="shared" si="341"/>
        <v>4882.8125</v>
      </c>
      <c r="H1390" s="77">
        <f t="shared" si="342"/>
        <v>41.36168488</v>
      </c>
      <c r="J1390" s="3" t="s">
        <v>463</v>
      </c>
      <c r="K1390" s="3">
        <v>4096.0</v>
      </c>
      <c r="L1390" s="3">
        <v>3773.0</v>
      </c>
      <c r="M1390" s="3">
        <v>1555.0</v>
      </c>
      <c r="N1390" s="30">
        <f t="shared" si="343"/>
        <v>5328</v>
      </c>
      <c r="O1390" s="30">
        <f t="shared" si="344"/>
        <v>4882.8125</v>
      </c>
      <c r="P1390" s="77">
        <f t="shared" si="345"/>
        <v>8.355621246</v>
      </c>
      <c r="R1390" s="3" t="s">
        <v>463</v>
      </c>
      <c r="S1390" s="3">
        <v>4096.0</v>
      </c>
      <c r="T1390" s="3">
        <v>3708.0</v>
      </c>
      <c r="U1390" s="3">
        <v>1240.0</v>
      </c>
      <c r="V1390" s="30">
        <f t="shared" si="346"/>
        <v>4948</v>
      </c>
      <c r="W1390" s="30">
        <f t="shared" si="347"/>
        <v>4882.8125</v>
      </c>
      <c r="X1390" s="77">
        <f t="shared" si="348"/>
        <v>1.317451496</v>
      </c>
    </row>
    <row r="1391">
      <c r="B1391" s="3" t="s">
        <v>463</v>
      </c>
      <c r="C1391" s="3">
        <v>8192.0</v>
      </c>
      <c r="D1391" s="3">
        <v>2165.0</v>
      </c>
      <c r="E1391" s="3">
        <v>1939.0</v>
      </c>
      <c r="F1391" s="30">
        <f t="shared" si="340"/>
        <v>4104</v>
      </c>
      <c r="G1391" s="30">
        <f t="shared" si="341"/>
        <v>2441.40625</v>
      </c>
      <c r="H1391" s="77">
        <f t="shared" si="342"/>
        <v>40.51154362</v>
      </c>
      <c r="J1391" s="3" t="s">
        <v>463</v>
      </c>
      <c r="K1391" s="3">
        <v>8192.0</v>
      </c>
      <c r="L1391" s="3">
        <v>1891.0</v>
      </c>
      <c r="M1391" s="3">
        <v>790.0</v>
      </c>
      <c r="N1391" s="30">
        <f t="shared" si="343"/>
        <v>2681</v>
      </c>
      <c r="O1391" s="30">
        <f t="shared" si="344"/>
        <v>2441.40625</v>
      </c>
      <c r="P1391" s="77">
        <f t="shared" si="345"/>
        <v>8.936730698</v>
      </c>
      <c r="R1391" s="3" t="s">
        <v>463</v>
      </c>
      <c r="S1391" s="3">
        <v>8192.0</v>
      </c>
      <c r="T1391" s="3">
        <v>1993.0</v>
      </c>
      <c r="U1391" s="3">
        <v>1024.0</v>
      </c>
      <c r="V1391" s="30">
        <f t="shared" si="346"/>
        <v>3017</v>
      </c>
      <c r="W1391" s="30">
        <f t="shared" si="347"/>
        <v>2441.40625</v>
      </c>
      <c r="X1391" s="77">
        <f t="shared" si="348"/>
        <v>19.0783477</v>
      </c>
    </row>
    <row r="1392">
      <c r="E1392" s="3"/>
    </row>
    <row r="1393">
      <c r="E1393" s="3"/>
    </row>
    <row r="1394">
      <c r="E1394" s="3"/>
    </row>
    <row r="1395">
      <c r="C1395" s="3" t="s">
        <v>324</v>
      </c>
      <c r="D1395" s="3" t="s">
        <v>534</v>
      </c>
      <c r="E1395" s="3" t="s">
        <v>535</v>
      </c>
      <c r="F1395" s="3" t="s">
        <v>536</v>
      </c>
    </row>
    <row r="1396">
      <c r="C1396" s="3">
        <v>1.0</v>
      </c>
      <c r="D1396" s="77">
        <f t="shared" ref="D1396:D1409" si="349">H1378</f>
        <v>21.7536203</v>
      </c>
      <c r="E1396" s="81">
        <f t="shared" ref="E1396:E1409" si="350">P1378</f>
        <v>0.9613876181</v>
      </c>
      <c r="F1396" s="77">
        <f t="shared" ref="F1396:F1409" si="351">X1378</f>
        <v>0.07068993537</v>
      </c>
      <c r="H1396" s="30" t="str">
        <f>D1395&amp;"=["&amp;D1396&amp;", "&amp;D1397&amp;", "&amp;D1398&amp;", "&amp;D1399&amp;", "&amp;D1400&amp;", "&amp;D1401&amp;", "&amp;D1402&amp;", "&amp;D1403&amp;", "&amp;D1404&amp;", "&amp;D1405&amp;", "&amp;D1406&amp;", "&amp;D1407&amp;", "&amp;D1408&amp;", "&amp;D1409&amp;"]"</f>
        <v>bwell=[21.7536203034958, 21.8884254268798, 21.7842208112791, 20.6854301673284, 20.9884409249536, 20.8433914997201, 22.0610791734733, 22.3587052661916, 24.5183667948445, 25.0110383751512, 27.6405972139893, 35.8411076801787, 41.3616848805092, 40.5115436159844]</v>
      </c>
    </row>
    <row r="1397">
      <c r="C1397" s="3">
        <v>2.0</v>
      </c>
      <c r="D1397" s="77">
        <f t="shared" si="349"/>
        <v>21.88842543</v>
      </c>
      <c r="E1397" s="81">
        <f t="shared" si="350"/>
        <v>0.2078869299</v>
      </c>
      <c r="F1397" s="77">
        <f t="shared" si="351"/>
        <v>0.09854279738</v>
      </c>
      <c r="H1397" s="82" t="str">
        <f>E1395&amp;"=["&amp;E1396&amp;", "&amp;E1397&amp;", "&amp;E1398&amp;", "&amp;E1399&amp;", "&amp;E1400&amp;", "&amp;E1401&amp;", "&amp;E1402&amp;", "&amp;E1403&amp;", "&amp;E1404&amp;", "&amp;E1405&amp;", "&amp;E1406&amp;", "&amp;E1407&amp;", "&amp;E1408&amp;", "&amp;E1409&amp;"]"</f>
        <v>slake=[0.961387618113449, 0.207886929947533, 0.321840840294856, 0.133501535147814, 0.264418972420319, 0.972730900402114, 0.391421868625051, 0.385706544260623, 0.688980131440121, 2.76671479066063, 3.18603152572618, 3.17643267896094, 8.35562124624625, 8.93673069750093]</v>
      </c>
    </row>
    <row r="1398">
      <c r="C1398" s="3">
        <v>4.0</v>
      </c>
      <c r="D1398" s="77">
        <f t="shared" si="349"/>
        <v>21.78422081</v>
      </c>
      <c r="E1398" s="81">
        <f t="shared" si="350"/>
        <v>0.3218408403</v>
      </c>
      <c r="F1398" s="77">
        <f t="shared" si="351"/>
        <v>0.06315986651</v>
      </c>
      <c r="H1398" s="82" t="str">
        <f>F1395&amp;"=["&amp;F1396&amp;", "&amp;F1397&amp;", "&amp;F1398&amp;", "&amp;F1399&amp;", "&amp;F1400&amp;", "&amp;F1401&amp;", "&amp;F1402&amp;", "&amp;F1403&amp;", "&amp;F1404&amp;", "&amp;F1405&amp;", "&amp;F1406&amp;", "&amp;F1407&amp;", "&amp;F1408&amp;", "&amp;F1409&amp;"]"</f>
        <v>clake=[0.0706899353703456, 0.0985427973846598, 0.0631598665077397, 2.46422359169073, 0.0382546285699652, 0.426612248833043, 0.140998525924502, 0.120464943419923, 0.584516743700995, 2.06281190395318, 1.68289254477301, 0.129447349533477, 1.31745149555376, 19.0783476963871]</v>
      </c>
    </row>
    <row r="1399">
      <c r="C1399" s="3">
        <v>8.0</v>
      </c>
      <c r="D1399" s="77">
        <f t="shared" si="349"/>
        <v>20.68543017</v>
      </c>
      <c r="E1399" s="81">
        <f t="shared" si="350"/>
        <v>0.1335015351</v>
      </c>
      <c r="F1399" s="77">
        <f t="shared" si="351"/>
        <v>2.464223592</v>
      </c>
    </row>
    <row r="1400">
      <c r="C1400" s="3">
        <v>16.0</v>
      </c>
      <c r="D1400" s="77">
        <f t="shared" si="349"/>
        <v>20.98844092</v>
      </c>
      <c r="E1400" s="81">
        <f t="shared" si="350"/>
        <v>0.2644189724</v>
      </c>
      <c r="F1400" s="77">
        <f t="shared" si="351"/>
        <v>0.03825462857</v>
      </c>
    </row>
    <row r="1401">
      <c r="C1401" s="3">
        <v>32.0</v>
      </c>
      <c r="D1401" s="77">
        <f t="shared" si="349"/>
        <v>20.8433915</v>
      </c>
      <c r="E1401" s="81">
        <f t="shared" si="350"/>
        <v>0.9727309004</v>
      </c>
      <c r="F1401" s="77">
        <f t="shared" si="351"/>
        <v>0.4266122488</v>
      </c>
    </row>
    <row r="1402">
      <c r="C1402" s="3">
        <v>64.0</v>
      </c>
      <c r="D1402" s="77">
        <f t="shared" si="349"/>
        <v>22.06107917</v>
      </c>
      <c r="E1402" s="81">
        <f t="shared" si="350"/>
        <v>0.3914218686</v>
      </c>
      <c r="F1402" s="77">
        <f t="shared" si="351"/>
        <v>0.1409985259</v>
      </c>
    </row>
    <row r="1403">
      <c r="C1403" s="3">
        <v>128.0</v>
      </c>
      <c r="D1403" s="77">
        <f t="shared" si="349"/>
        <v>22.35870527</v>
      </c>
      <c r="E1403" s="81">
        <f t="shared" si="350"/>
        <v>0.3857065443</v>
      </c>
      <c r="F1403" s="77">
        <f t="shared" si="351"/>
        <v>0.1204649434</v>
      </c>
    </row>
    <row r="1404">
      <c r="C1404" s="3">
        <v>256.0</v>
      </c>
      <c r="D1404" s="77">
        <f t="shared" si="349"/>
        <v>24.51836679</v>
      </c>
      <c r="E1404" s="81">
        <f t="shared" si="350"/>
        <v>0.6889801314</v>
      </c>
      <c r="F1404" s="77">
        <f t="shared" si="351"/>
        <v>0.5845167437</v>
      </c>
    </row>
    <row r="1405">
      <c r="C1405" s="3">
        <v>512.0</v>
      </c>
      <c r="D1405" s="77">
        <f t="shared" si="349"/>
        <v>25.01103838</v>
      </c>
      <c r="E1405" s="81">
        <f t="shared" si="350"/>
        <v>2.766714791</v>
      </c>
      <c r="F1405" s="77">
        <f t="shared" si="351"/>
        <v>2.062811904</v>
      </c>
    </row>
    <row r="1406">
      <c r="C1406" s="3">
        <v>1024.0</v>
      </c>
      <c r="D1406" s="77">
        <f t="shared" si="349"/>
        <v>27.64059721</v>
      </c>
      <c r="E1406" s="81">
        <f t="shared" si="350"/>
        <v>3.186031526</v>
      </c>
      <c r="F1406" s="77">
        <f t="shared" si="351"/>
        <v>1.682892545</v>
      </c>
    </row>
    <row r="1407">
      <c r="C1407" s="3">
        <v>2048.0</v>
      </c>
      <c r="D1407" s="77">
        <f t="shared" si="349"/>
        <v>35.84110768</v>
      </c>
      <c r="E1407" s="81">
        <f t="shared" si="350"/>
        <v>3.176432679</v>
      </c>
      <c r="F1407" s="77">
        <f t="shared" si="351"/>
        <v>0.1294473495</v>
      </c>
    </row>
    <row r="1408">
      <c r="C1408" s="3">
        <v>4096.0</v>
      </c>
      <c r="D1408" s="77">
        <f t="shared" si="349"/>
        <v>41.36168488</v>
      </c>
      <c r="E1408" s="81">
        <f t="shared" si="350"/>
        <v>8.355621246</v>
      </c>
      <c r="F1408" s="77">
        <f t="shared" si="351"/>
        <v>1.317451496</v>
      </c>
    </row>
    <row r="1409">
      <c r="C1409" s="3">
        <v>8192.0</v>
      </c>
      <c r="D1409" s="77">
        <f t="shared" si="349"/>
        <v>40.51154362</v>
      </c>
      <c r="E1409" s="81">
        <f t="shared" si="350"/>
        <v>8.936730698</v>
      </c>
      <c r="F1409" s="77">
        <f t="shared" si="351"/>
        <v>19.0783477</v>
      </c>
    </row>
    <row r="1410">
      <c r="E1410" s="3"/>
      <c r="L1410" s="83"/>
      <c r="M1410" s="84" t="s">
        <v>486</v>
      </c>
      <c r="N1410" s="85"/>
      <c r="O1410" s="83"/>
      <c r="P1410" s="83"/>
      <c r="Q1410" s="83"/>
      <c r="R1410" s="84"/>
      <c r="S1410" s="83"/>
      <c r="T1410" s="83"/>
      <c r="U1410" s="83"/>
    </row>
    <row r="1411">
      <c r="E1411" s="3"/>
      <c r="L1411" s="83"/>
      <c r="M1411" s="83"/>
      <c r="N1411" s="85"/>
      <c r="O1411" s="83"/>
      <c r="P1411" s="83"/>
      <c r="Q1411" s="83"/>
      <c r="R1411" s="83"/>
      <c r="S1411" s="83"/>
      <c r="T1411" s="83"/>
      <c r="U1411" s="83"/>
    </row>
    <row r="1412">
      <c r="E1412" s="3"/>
      <c r="L1412" s="83" t="s">
        <v>324</v>
      </c>
      <c r="M1412" s="83" t="s">
        <v>534</v>
      </c>
      <c r="N1412" s="84" t="s">
        <v>539</v>
      </c>
      <c r="O1412" s="84" t="s">
        <v>517</v>
      </c>
      <c r="P1412" s="84" t="s">
        <v>535</v>
      </c>
      <c r="Q1412" s="84" t="s">
        <v>539</v>
      </c>
      <c r="R1412" s="84" t="s">
        <v>517</v>
      </c>
      <c r="S1412" s="84" t="s">
        <v>536</v>
      </c>
      <c r="T1412" s="84" t="s">
        <v>539</v>
      </c>
      <c r="U1412" s="84" t="s">
        <v>517</v>
      </c>
      <c r="W1412" s="83" t="s">
        <v>324</v>
      </c>
      <c r="X1412" s="83" t="s">
        <v>534</v>
      </c>
      <c r="Y1412" s="3" t="s">
        <v>535</v>
      </c>
      <c r="Z1412" s="3" t="s">
        <v>536</v>
      </c>
    </row>
    <row r="1413">
      <c r="A1413" s="27" t="s">
        <v>540</v>
      </c>
      <c r="E1413" s="3"/>
      <c r="L1413" s="86" t="s">
        <v>456</v>
      </c>
      <c r="M1413" s="87">
        <v>9.4290043E7</v>
      </c>
      <c r="N1413" s="88">
        <v>9.375E7</v>
      </c>
      <c r="O1413" s="77">
        <f t="shared" ref="O1413:O1415" si="352">ABS((M1413-N1413)/M1413)*100</f>
        <v>0.5727465836</v>
      </c>
      <c r="P1413" s="3">
        <v>9.3855084E7</v>
      </c>
      <c r="Q1413" s="87">
        <f t="shared" ref="Q1413:Q1415" si="353">N1413</f>
        <v>93750000</v>
      </c>
      <c r="R1413" s="77">
        <f t="shared" ref="R1413:R1415" si="354">ABS((P1413-Q1413)/P1413)*100</f>
        <v>0.1119640999</v>
      </c>
      <c r="S1413" s="3">
        <v>9.388213E7</v>
      </c>
      <c r="T1413" s="88">
        <f t="shared" ref="T1413:T1415" si="355">Q1413</f>
        <v>93750000</v>
      </c>
      <c r="U1413" s="77">
        <f t="shared" ref="U1413:U1415" si="356">ABS((S1413-T1413)/S1413)*100</f>
        <v>0.1407403092</v>
      </c>
      <c r="W1413" s="86" t="s">
        <v>456</v>
      </c>
      <c r="X1413" s="87">
        <f t="shared" ref="X1413:X1415" si="357">O1413</f>
        <v>0.5727465836</v>
      </c>
      <c r="Y1413" s="77">
        <f t="shared" ref="Y1413:Y1415" si="358">R1413</f>
        <v>0.1119640999</v>
      </c>
      <c r="Z1413" s="77">
        <f t="shared" ref="Z1413:Z1415" si="359">U1413</f>
        <v>0.1407403092</v>
      </c>
      <c r="AB1413" s="30" t="str">
        <f>X1412&amp;"=["&amp;X1413&amp;","&amp;X1414&amp;","&amp;X1415&amp;"]"</f>
        <v>bwell=[0.572746583645104,0.857647444506721,1.58182932871984]</v>
      </c>
    </row>
    <row r="1414">
      <c r="E1414" s="3"/>
      <c r="L1414" s="86" t="s">
        <v>537</v>
      </c>
      <c r="M1414" s="3">
        <v>9456100.0</v>
      </c>
      <c r="N1414" s="88">
        <v>9375000.0</v>
      </c>
      <c r="O1414" s="77">
        <f t="shared" si="352"/>
        <v>0.8576474445</v>
      </c>
      <c r="P1414" s="3">
        <v>9385771.0</v>
      </c>
      <c r="Q1414" s="87">
        <f t="shared" si="353"/>
        <v>9375000</v>
      </c>
      <c r="R1414" s="77">
        <f t="shared" si="354"/>
        <v>0.1147588195</v>
      </c>
      <c r="S1414" s="3">
        <v>9381897.0</v>
      </c>
      <c r="T1414" s="88">
        <f t="shared" si="355"/>
        <v>9375000</v>
      </c>
      <c r="U1414" s="77">
        <f t="shared" si="356"/>
        <v>0.07351391728</v>
      </c>
      <c r="W1414" s="86" t="s">
        <v>537</v>
      </c>
      <c r="X1414" s="87">
        <f t="shared" si="357"/>
        <v>0.8576474445</v>
      </c>
      <c r="Y1414" s="77">
        <f t="shared" si="358"/>
        <v>0.1147588195</v>
      </c>
      <c r="Z1414" s="77">
        <f t="shared" si="359"/>
        <v>0.07351391728</v>
      </c>
      <c r="AB1414" s="30" t="str">
        <f>Y1412&amp;"=["&amp;Y1413&amp;","&amp;Y1414&amp;","&amp;Y1415&amp;"]"</f>
        <v>slake=[0.111964099888292,0.114758819493891,0.773175417149571]</v>
      </c>
    </row>
    <row r="1415">
      <c r="A1415" s="3" t="s">
        <v>525</v>
      </c>
      <c r="E1415" s="3"/>
      <c r="L1415" s="86" t="s">
        <v>538</v>
      </c>
      <c r="M1415" s="3">
        <v>952568.0</v>
      </c>
      <c r="N1415" s="88">
        <v>937500.0</v>
      </c>
      <c r="O1415" s="77">
        <f t="shared" si="352"/>
        <v>1.581829329</v>
      </c>
      <c r="P1415" s="73">
        <v>944805.0</v>
      </c>
      <c r="Q1415" s="87">
        <f t="shared" si="353"/>
        <v>937500</v>
      </c>
      <c r="R1415" s="77">
        <f t="shared" si="354"/>
        <v>0.7731754171</v>
      </c>
      <c r="S1415" s="3">
        <v>931911.0</v>
      </c>
      <c r="T1415" s="88">
        <f t="shared" si="355"/>
        <v>937500</v>
      </c>
      <c r="U1415" s="77">
        <f t="shared" si="356"/>
        <v>0.5997353825</v>
      </c>
      <c r="W1415" s="86" t="s">
        <v>538</v>
      </c>
      <c r="X1415" s="87">
        <f t="shared" si="357"/>
        <v>1.581829329</v>
      </c>
      <c r="Y1415" s="77">
        <f t="shared" si="358"/>
        <v>0.7731754171</v>
      </c>
      <c r="Z1415" s="77">
        <f t="shared" si="359"/>
        <v>0.5997353825</v>
      </c>
      <c r="AB1415" s="30" t="str">
        <f>Z1412&amp;"=["&amp;Z1413&amp;","&amp;Z1414&amp;","&amp;Z1415&amp;"]"</f>
        <v>clake=[0.140740309151486,0.0735139172813345,0.59973538245605]</v>
      </c>
    </row>
    <row r="1416">
      <c r="A1416" s="3" t="s">
        <v>456</v>
      </c>
      <c r="B1416" s="3" t="s">
        <v>459</v>
      </c>
      <c r="C1416" s="3" t="s">
        <v>447</v>
      </c>
      <c r="D1416" s="3" t="s">
        <v>515</v>
      </c>
      <c r="E1416" s="3" t="s">
        <v>526</v>
      </c>
      <c r="F1416" s="3" t="s">
        <v>527</v>
      </c>
      <c r="G1416" s="3" t="s">
        <v>528</v>
      </c>
      <c r="H1416" s="3" t="s">
        <v>529</v>
      </c>
      <c r="O1416" s="77">
        <f>AVERAGE(O1413:O1415)</f>
        <v>1.004074452</v>
      </c>
      <c r="R1416" s="77">
        <f>AVERAGE(R1413:R1415)</f>
        <v>0.3332994455</v>
      </c>
      <c r="T1416" s="88"/>
      <c r="U1416" s="77">
        <f>AVERAGE(U1413:U1415)</f>
        <v>0.2713298696</v>
      </c>
    </row>
    <row r="1417">
      <c r="A1417" s="3">
        <v>5.0E8</v>
      </c>
      <c r="B1417" s="3">
        <f>A1417</f>
        <v>500000000</v>
      </c>
      <c r="C1417" s="3">
        <v>1.0</v>
      </c>
      <c r="D1417" s="66">
        <f t="shared" ref="D1417:D1430" si="360">B1417/C1417</f>
        <v>500000000</v>
      </c>
      <c r="E1417" s="30">
        <f>D1417/64*4</f>
        <v>31250000</v>
      </c>
      <c r="F1417" s="30">
        <f t="shared" ref="F1417:F1422" si="361">E1417*3</f>
        <v>93750000</v>
      </c>
      <c r="G1417" s="30">
        <f t="shared" ref="G1417:G1421" si="362">E1417</f>
        <v>31250000</v>
      </c>
      <c r="H1417" s="30">
        <f t="shared" ref="H1417:H1430" si="363">F1417+G1417</f>
        <v>125000000</v>
      </c>
      <c r="M1417" s="3" t="s">
        <v>323</v>
      </c>
    </row>
    <row r="1418">
      <c r="B1418" s="3">
        <f t="shared" ref="B1418:B1430" si="364">B1417</f>
        <v>500000000</v>
      </c>
      <c r="C1418" s="3">
        <v>2.0</v>
      </c>
      <c r="D1418" s="66">
        <f t="shared" si="360"/>
        <v>250000000</v>
      </c>
      <c r="E1418" s="30">
        <f t="shared" ref="E1418:E1422" si="365">E1417</f>
        <v>31250000</v>
      </c>
      <c r="F1418" s="30">
        <f t="shared" si="361"/>
        <v>93750000</v>
      </c>
      <c r="G1418" s="30">
        <f t="shared" si="362"/>
        <v>31250000</v>
      </c>
      <c r="H1418" s="30">
        <f t="shared" si="363"/>
        <v>125000000</v>
      </c>
      <c r="L1418" s="83" t="s">
        <v>324</v>
      </c>
      <c r="M1418" s="83" t="s">
        <v>534</v>
      </c>
      <c r="N1418" s="84" t="s">
        <v>539</v>
      </c>
      <c r="O1418" s="84" t="s">
        <v>517</v>
      </c>
      <c r="P1418" s="84" t="s">
        <v>535</v>
      </c>
      <c r="Q1418" s="84" t="s">
        <v>539</v>
      </c>
      <c r="R1418" s="84" t="s">
        <v>517</v>
      </c>
      <c r="S1418" s="84" t="s">
        <v>536</v>
      </c>
      <c r="T1418" s="84" t="s">
        <v>539</v>
      </c>
      <c r="U1418" s="84" t="s">
        <v>517</v>
      </c>
      <c r="W1418" s="83" t="s">
        <v>324</v>
      </c>
      <c r="X1418" s="83" t="s">
        <v>534</v>
      </c>
      <c r="Y1418" s="3" t="s">
        <v>535</v>
      </c>
      <c r="Z1418" s="3" t="s">
        <v>536</v>
      </c>
    </row>
    <row r="1419">
      <c r="B1419" s="3">
        <f t="shared" si="364"/>
        <v>500000000</v>
      </c>
      <c r="C1419" s="3">
        <v>4.0</v>
      </c>
      <c r="D1419" s="66">
        <f t="shared" si="360"/>
        <v>125000000</v>
      </c>
      <c r="E1419" s="30">
        <f t="shared" si="365"/>
        <v>31250000</v>
      </c>
      <c r="F1419" s="30">
        <f t="shared" si="361"/>
        <v>93750000</v>
      </c>
      <c r="G1419" s="30">
        <f t="shared" si="362"/>
        <v>31250000</v>
      </c>
      <c r="H1419" s="30">
        <f t="shared" si="363"/>
        <v>125000000</v>
      </c>
      <c r="L1419" s="86" t="s">
        <v>456</v>
      </c>
      <c r="M1419" s="3">
        <v>3.1989545E7</v>
      </c>
      <c r="N1419" s="88">
        <v>3.125E7</v>
      </c>
      <c r="O1419" s="77">
        <f t="shared" ref="O1419:O1421" si="366">ABS((M1419-N1419)/M1419)*100</f>
        <v>2.311833444</v>
      </c>
      <c r="P1419" s="3">
        <v>3.1323705E7</v>
      </c>
      <c r="Q1419" s="87">
        <f t="shared" ref="Q1419:Q1421" si="367">N1419</f>
        <v>31250000</v>
      </c>
      <c r="R1419" s="77">
        <f t="shared" ref="R1419:R1421" si="368">ABS((P1419-Q1419)/P1419)*100</f>
        <v>0.2353010284</v>
      </c>
      <c r="S1419" s="3">
        <v>3.13571E7</v>
      </c>
      <c r="T1419" s="88">
        <f t="shared" ref="T1419:T1421" si="369">Q1419</f>
        <v>31250000</v>
      </c>
      <c r="U1419" s="77">
        <f t="shared" ref="U1419:U1421" si="370">ABS((S1419-T1419)/S1419)*100</f>
        <v>0.3415494418</v>
      </c>
      <c r="W1419" s="86" t="s">
        <v>456</v>
      </c>
      <c r="X1419" s="87">
        <f t="shared" ref="X1419:X1421" si="371">O1419</f>
        <v>2.311833444</v>
      </c>
      <c r="Y1419" s="77">
        <f t="shared" ref="Y1419:Y1421" si="372">R1419</f>
        <v>0.2353010284</v>
      </c>
      <c r="Z1419" s="77">
        <f t="shared" ref="Z1419:Z1421" si="373">U1419</f>
        <v>0.3415494418</v>
      </c>
      <c r="AB1419" s="30" t="str">
        <f>X1418&amp;"=["&amp;X1419&amp;","&amp;X1420&amp;","&amp;X1421&amp;"]"</f>
        <v>bwell=[2.31183344433314,10.8051879698604,52.5192885642137]</v>
      </c>
    </row>
    <row r="1420">
      <c r="B1420" s="3">
        <f t="shared" si="364"/>
        <v>500000000</v>
      </c>
      <c r="C1420" s="3">
        <v>8.0</v>
      </c>
      <c r="D1420" s="66">
        <f t="shared" si="360"/>
        <v>62500000</v>
      </c>
      <c r="E1420" s="30">
        <f t="shared" si="365"/>
        <v>31250000</v>
      </c>
      <c r="F1420" s="30">
        <f t="shared" si="361"/>
        <v>93750000</v>
      </c>
      <c r="G1420" s="30">
        <f t="shared" si="362"/>
        <v>31250000</v>
      </c>
      <c r="H1420" s="30">
        <f t="shared" si="363"/>
        <v>125000000</v>
      </c>
      <c r="L1420" s="86" t="s">
        <v>537</v>
      </c>
      <c r="M1420" s="3">
        <v>3503567.0</v>
      </c>
      <c r="N1420" s="88">
        <v>3125000.0</v>
      </c>
      <c r="O1420" s="77">
        <f t="shared" si="366"/>
        <v>10.80518797</v>
      </c>
      <c r="P1420" s="3">
        <v>3137298.0</v>
      </c>
      <c r="Q1420" s="87">
        <f t="shared" si="367"/>
        <v>3125000</v>
      </c>
      <c r="R1420" s="77">
        <f t="shared" si="368"/>
        <v>0.391993365</v>
      </c>
      <c r="S1420" s="3">
        <v>3140473.0</v>
      </c>
      <c r="T1420" s="88">
        <f t="shared" si="369"/>
        <v>3125000</v>
      </c>
      <c r="U1420" s="77">
        <f t="shared" si="370"/>
        <v>0.4926964823</v>
      </c>
      <c r="W1420" s="86" t="s">
        <v>537</v>
      </c>
      <c r="X1420" s="87">
        <f t="shared" si="371"/>
        <v>10.80518797</v>
      </c>
      <c r="Y1420" s="77">
        <f t="shared" si="372"/>
        <v>0.391993365</v>
      </c>
      <c r="Z1420" s="77">
        <f t="shared" si="373"/>
        <v>0.4926964823</v>
      </c>
      <c r="AB1420" s="30" t="str">
        <f>Y1418&amp;"=["&amp;Y1419&amp;","&amp;Y1420&amp;","&amp;Y1421&amp;"]"</f>
        <v>slake=[0.235301028406442,0.391993364991148,1.44753855372292]</v>
      </c>
    </row>
    <row r="1421">
      <c r="B1421" s="3">
        <f t="shared" si="364"/>
        <v>500000000</v>
      </c>
      <c r="C1421" s="3">
        <v>16.0</v>
      </c>
      <c r="D1421" s="66">
        <f t="shared" si="360"/>
        <v>31250000</v>
      </c>
      <c r="E1421" s="30">
        <f t="shared" si="365"/>
        <v>31250000</v>
      </c>
      <c r="F1421" s="30">
        <f t="shared" si="361"/>
        <v>93750000</v>
      </c>
      <c r="G1421" s="30">
        <f t="shared" si="362"/>
        <v>31250000</v>
      </c>
      <c r="H1421" s="30">
        <f t="shared" si="363"/>
        <v>125000000</v>
      </c>
      <c r="L1421" s="86" t="s">
        <v>538</v>
      </c>
      <c r="M1421" s="3">
        <v>658162.0</v>
      </c>
      <c r="N1421" s="88">
        <v>312500.0</v>
      </c>
      <c r="O1421" s="77">
        <f t="shared" si="366"/>
        <v>52.51928856</v>
      </c>
      <c r="P1421" s="73">
        <v>317090.0</v>
      </c>
      <c r="Q1421" s="87">
        <f t="shared" si="367"/>
        <v>312500</v>
      </c>
      <c r="R1421" s="77">
        <f t="shared" si="368"/>
        <v>1.447538554</v>
      </c>
      <c r="S1421" s="3">
        <v>312749.0</v>
      </c>
      <c r="T1421" s="88">
        <f t="shared" si="369"/>
        <v>312500</v>
      </c>
      <c r="U1421" s="77">
        <f t="shared" si="370"/>
        <v>0.07961656152</v>
      </c>
      <c r="W1421" s="86" t="s">
        <v>538</v>
      </c>
      <c r="X1421" s="87">
        <f t="shared" si="371"/>
        <v>52.51928856</v>
      </c>
      <c r="Y1421" s="77">
        <f t="shared" si="372"/>
        <v>1.447538554</v>
      </c>
      <c r="Z1421" s="77">
        <f t="shared" si="373"/>
        <v>0.07961656152</v>
      </c>
      <c r="AB1421" s="30" t="str">
        <f>Z1418&amp;"=["&amp;Z1419&amp;","&amp;Z1420&amp;","&amp;Z1421&amp;"]"</f>
        <v>clake=[0.341549441753223,0.492696482345175,0.0796165615237779]</v>
      </c>
    </row>
    <row r="1422">
      <c r="B1422" s="3">
        <f t="shared" si="364"/>
        <v>500000000</v>
      </c>
      <c r="C1422" s="3">
        <v>32.0</v>
      </c>
      <c r="D1422" s="66">
        <f t="shared" si="360"/>
        <v>15625000</v>
      </c>
      <c r="E1422" s="30">
        <f t="shared" si="365"/>
        <v>31250000</v>
      </c>
      <c r="F1422" s="30">
        <f t="shared" si="361"/>
        <v>93750000</v>
      </c>
      <c r="G1422" s="30">
        <f t="shared" ref="G1422:G1423" si="375">G1421/2</f>
        <v>15625000</v>
      </c>
      <c r="H1422" s="30">
        <f t="shared" si="363"/>
        <v>109375000</v>
      </c>
      <c r="O1422" s="77">
        <f>AVERAGE(O1419:O1421)</f>
        <v>21.87876999</v>
      </c>
      <c r="R1422" s="77">
        <f>AVERAGE(R1419:R1421)</f>
        <v>0.6916109824</v>
      </c>
      <c r="U1422" s="77">
        <f>AVERAGE(U1419:U1421)</f>
        <v>0.3046208285</v>
      </c>
    </row>
    <row r="1423">
      <c r="B1423" s="3">
        <f t="shared" si="364"/>
        <v>500000000</v>
      </c>
      <c r="C1423" s="3">
        <v>64.0</v>
      </c>
      <c r="D1423" s="66">
        <f t="shared" si="360"/>
        <v>7812500</v>
      </c>
      <c r="E1423" s="30">
        <f t="shared" ref="E1423:F1423" si="374">D1423*3</f>
        <v>23437500</v>
      </c>
      <c r="F1423" s="30">
        <f t="shared" si="374"/>
        <v>70312500</v>
      </c>
      <c r="G1423" s="30">
        <f t="shared" si="375"/>
        <v>7812500</v>
      </c>
      <c r="H1423" s="30">
        <f t="shared" si="363"/>
        <v>78125000</v>
      </c>
      <c r="M1423" s="3" t="s">
        <v>283</v>
      </c>
    </row>
    <row r="1424">
      <c r="B1424" s="3">
        <f t="shared" si="364"/>
        <v>500000000</v>
      </c>
      <c r="C1424" s="3">
        <v>128.0</v>
      </c>
      <c r="D1424" s="66">
        <f t="shared" si="360"/>
        <v>3906250</v>
      </c>
      <c r="E1424" s="30">
        <f>E1422/8</f>
        <v>3906250</v>
      </c>
      <c r="F1424" s="30">
        <f t="shared" ref="F1424:F1430" si="376">E1424*3</f>
        <v>11718750</v>
      </c>
      <c r="G1424" s="30">
        <f t="shared" ref="G1424:G1430" si="377">E1424</f>
        <v>3906250</v>
      </c>
      <c r="H1424" s="30">
        <f t="shared" si="363"/>
        <v>15625000</v>
      </c>
      <c r="L1424" s="83" t="s">
        <v>324</v>
      </c>
      <c r="M1424" s="83" t="s">
        <v>534</v>
      </c>
      <c r="N1424" s="84" t="s">
        <v>539</v>
      </c>
      <c r="O1424" s="84" t="s">
        <v>517</v>
      </c>
      <c r="P1424" s="84" t="s">
        <v>535</v>
      </c>
      <c r="Q1424" s="84" t="s">
        <v>539</v>
      </c>
      <c r="R1424" s="84" t="s">
        <v>517</v>
      </c>
      <c r="S1424" s="84" t="s">
        <v>536</v>
      </c>
      <c r="T1424" s="84" t="s">
        <v>539</v>
      </c>
      <c r="U1424" s="84" t="s">
        <v>517</v>
      </c>
      <c r="W1424" s="83" t="s">
        <v>324</v>
      </c>
      <c r="X1424" s="83" t="s">
        <v>534</v>
      </c>
      <c r="Y1424" s="3" t="s">
        <v>535</v>
      </c>
      <c r="Z1424" s="3" t="s">
        <v>536</v>
      </c>
      <c r="AB1424" s="30" t="str">
        <f>X1423&amp;"=["&amp;X1424&amp;","&amp;X1425&amp;","&amp;X1426&amp;"]"</f>
        <v>=[bwell,1.01329757268451,3.54690440734318]</v>
      </c>
    </row>
    <row r="1425">
      <c r="B1425" s="3">
        <f t="shared" si="364"/>
        <v>500000000</v>
      </c>
      <c r="C1425" s="3">
        <v>256.0</v>
      </c>
      <c r="D1425" s="66">
        <f t="shared" si="360"/>
        <v>1953125</v>
      </c>
      <c r="E1425" s="30">
        <f t="shared" ref="E1425:E1430" si="381">E1424/2</f>
        <v>1953125</v>
      </c>
      <c r="F1425" s="30">
        <f t="shared" si="376"/>
        <v>5859375</v>
      </c>
      <c r="G1425" s="30">
        <f t="shared" si="377"/>
        <v>1953125</v>
      </c>
      <c r="H1425" s="30">
        <f t="shared" si="363"/>
        <v>7812500</v>
      </c>
      <c r="L1425" s="86" t="s">
        <v>456</v>
      </c>
      <c r="M1425" s="88">
        <f t="shared" ref="M1425:N1425" si="378">M1413+M1419</f>
        <v>126279588</v>
      </c>
      <c r="N1425" s="88">
        <f t="shared" si="378"/>
        <v>125000000</v>
      </c>
      <c r="O1425" s="77">
        <f t="shared" ref="O1425:O1427" si="383">ABS((M1425-N1425)/M1425)*100</f>
        <v>1.013297573</v>
      </c>
      <c r="P1425" s="88">
        <f t="shared" ref="P1425:Q1425" si="379">P1413+P1419</f>
        <v>125178789</v>
      </c>
      <c r="Q1425" s="88">
        <f t="shared" si="379"/>
        <v>125000000</v>
      </c>
      <c r="R1425" s="77">
        <f t="shared" ref="R1425:R1427" si="385">ABS((P1425-Q1425)/P1425)*100</f>
        <v>0.142826913</v>
      </c>
      <c r="S1425" s="88">
        <f t="shared" ref="S1425:T1425" si="380">S1413+S1419</f>
        <v>125239230</v>
      </c>
      <c r="T1425" s="88">
        <f t="shared" si="380"/>
        <v>125000000</v>
      </c>
      <c r="U1425" s="77">
        <f t="shared" ref="U1425:U1427" si="387">ABS((S1425-T1425)/S1425)*100</f>
        <v>0.1910184213</v>
      </c>
      <c r="W1425" s="86" t="s">
        <v>456</v>
      </c>
      <c r="X1425" s="87">
        <f t="shared" ref="X1425:X1427" si="388">O1425</f>
        <v>1.013297573</v>
      </c>
      <c r="Y1425" s="77">
        <f t="shared" ref="Y1425:Y1427" si="389">R1425</f>
        <v>0.142826913</v>
      </c>
      <c r="Z1425" s="77">
        <f t="shared" ref="Z1425:Z1427" si="390">U1425</f>
        <v>0.1910184213</v>
      </c>
      <c r="AB1425" s="30" t="str">
        <f>Y1423&amp;"=["&amp;Y1424&amp;","&amp;Y1425&amp;","&amp;Y1426&amp;"]"</f>
        <v>=[slake,0.142826912952481,0.184212033008842]</v>
      </c>
    </row>
    <row r="1426">
      <c r="B1426" s="3">
        <f t="shared" si="364"/>
        <v>500000000</v>
      </c>
      <c r="C1426" s="3">
        <v>512.0</v>
      </c>
      <c r="D1426" s="66">
        <f t="shared" si="360"/>
        <v>976562.5</v>
      </c>
      <c r="E1426" s="30">
        <f t="shared" si="381"/>
        <v>976562.5</v>
      </c>
      <c r="F1426" s="30">
        <f t="shared" si="376"/>
        <v>2929687.5</v>
      </c>
      <c r="G1426" s="30">
        <f t="shared" si="377"/>
        <v>976562.5</v>
      </c>
      <c r="H1426" s="30">
        <f t="shared" si="363"/>
        <v>3906250</v>
      </c>
      <c r="L1426" s="86" t="s">
        <v>537</v>
      </c>
      <c r="M1426" s="88">
        <f t="shared" ref="M1426:N1426" si="382">M1414+M1420</f>
        <v>12959667</v>
      </c>
      <c r="N1426" s="88">
        <f t="shared" si="382"/>
        <v>12500000</v>
      </c>
      <c r="O1426" s="77">
        <f t="shared" si="383"/>
        <v>3.546904407</v>
      </c>
      <c r="P1426" s="88">
        <f t="shared" ref="P1426:Q1426" si="384">P1414+P1420</f>
        <v>12523069</v>
      </c>
      <c r="Q1426" s="88">
        <f t="shared" si="384"/>
        <v>12500000</v>
      </c>
      <c r="R1426" s="77">
        <f t="shared" si="385"/>
        <v>0.184212033</v>
      </c>
      <c r="S1426" s="88">
        <f t="shared" ref="S1426:T1426" si="386">S1414+S1420</f>
        <v>12522370</v>
      </c>
      <c r="T1426" s="88">
        <f t="shared" si="386"/>
        <v>12500000</v>
      </c>
      <c r="U1426" s="77">
        <f t="shared" si="387"/>
        <v>0.1786403053</v>
      </c>
      <c r="W1426" s="86" t="s">
        <v>537</v>
      </c>
      <c r="X1426" s="87">
        <f t="shared" si="388"/>
        <v>3.546904407</v>
      </c>
      <c r="Y1426" s="77">
        <f t="shared" si="389"/>
        <v>0.184212033</v>
      </c>
      <c r="Z1426" s="77">
        <f t="shared" si="390"/>
        <v>0.1786403053</v>
      </c>
      <c r="AB1426" s="30" t="str">
        <f>Z1423&amp;"=["&amp;Z1424&amp;","&amp;Z1425&amp;","&amp;Z1426&amp;"]"</f>
        <v>=[clake,0.19101842130457,0.178640305309618]</v>
      </c>
    </row>
    <row r="1427">
      <c r="B1427" s="3">
        <f t="shared" si="364"/>
        <v>500000000</v>
      </c>
      <c r="C1427" s="3">
        <v>1024.0</v>
      </c>
      <c r="D1427" s="66">
        <f t="shared" si="360"/>
        <v>488281.25</v>
      </c>
      <c r="E1427" s="30">
        <f t="shared" si="381"/>
        <v>488281.25</v>
      </c>
      <c r="F1427" s="30">
        <f t="shared" si="376"/>
        <v>1464843.75</v>
      </c>
      <c r="G1427" s="30">
        <f t="shared" si="377"/>
        <v>488281.25</v>
      </c>
      <c r="H1427" s="30">
        <f t="shared" si="363"/>
        <v>1953125</v>
      </c>
      <c r="L1427" s="86" t="s">
        <v>538</v>
      </c>
      <c r="M1427" s="88">
        <f t="shared" ref="M1427:N1427" si="391">M1415+M1421</f>
        <v>1610730</v>
      </c>
      <c r="N1427" s="88">
        <f t="shared" si="391"/>
        <v>1250000</v>
      </c>
      <c r="O1427" s="77">
        <f t="shared" si="383"/>
        <v>22.39543561</v>
      </c>
      <c r="P1427" s="88">
        <f t="shared" ref="P1427:Q1427" si="392">P1415+P1421</f>
        <v>1261895</v>
      </c>
      <c r="Q1427" s="88">
        <f t="shared" si="392"/>
        <v>1250000</v>
      </c>
      <c r="R1427" s="77">
        <f t="shared" si="385"/>
        <v>0.9426299336</v>
      </c>
      <c r="S1427" s="88">
        <f t="shared" ref="S1427:T1427" si="393">S1415+S1421</f>
        <v>1244660</v>
      </c>
      <c r="T1427" s="88">
        <f t="shared" si="393"/>
        <v>1250000</v>
      </c>
      <c r="U1427" s="77">
        <f t="shared" si="387"/>
        <v>0.4290328282</v>
      </c>
      <c r="W1427" s="86" t="s">
        <v>538</v>
      </c>
      <c r="X1427" s="87">
        <f t="shared" si="388"/>
        <v>22.39543561</v>
      </c>
      <c r="Y1427" s="77">
        <f t="shared" si="389"/>
        <v>0.9426299336</v>
      </c>
      <c r="Z1427" s="77">
        <f t="shared" si="390"/>
        <v>0.4290328282</v>
      </c>
    </row>
    <row r="1428">
      <c r="B1428" s="3">
        <f t="shared" si="364"/>
        <v>500000000</v>
      </c>
      <c r="C1428" s="3">
        <v>2048.0</v>
      </c>
      <c r="D1428" s="66">
        <f t="shared" si="360"/>
        <v>244140.625</v>
      </c>
      <c r="E1428" s="30">
        <f t="shared" si="381"/>
        <v>244140.625</v>
      </c>
      <c r="F1428" s="30">
        <f t="shared" si="376"/>
        <v>732421.875</v>
      </c>
      <c r="G1428" s="30">
        <f t="shared" si="377"/>
        <v>244140.625</v>
      </c>
      <c r="H1428" s="30">
        <f t="shared" si="363"/>
        <v>976562.5</v>
      </c>
      <c r="O1428" s="77">
        <f>AVERAGE(O1425:O1427)</f>
        <v>8.98521253</v>
      </c>
      <c r="R1428" s="77">
        <f>AVERAGE(R1425:R1427)</f>
        <v>0.4232229598</v>
      </c>
      <c r="U1428" s="77">
        <f>AVERAGE(U1425:U1427)</f>
        <v>0.2662305183</v>
      </c>
    </row>
    <row r="1429">
      <c r="B1429" s="3">
        <f t="shared" si="364"/>
        <v>500000000</v>
      </c>
      <c r="C1429" s="3">
        <v>4096.0</v>
      </c>
      <c r="D1429" s="66">
        <f t="shared" si="360"/>
        <v>122070.3125</v>
      </c>
      <c r="E1429" s="30">
        <f t="shared" si="381"/>
        <v>122070.3125</v>
      </c>
      <c r="F1429" s="30">
        <f t="shared" si="376"/>
        <v>366210.9375</v>
      </c>
      <c r="G1429" s="30">
        <f t="shared" si="377"/>
        <v>122070.3125</v>
      </c>
      <c r="H1429" s="30">
        <f t="shared" si="363"/>
        <v>488281.25</v>
      </c>
    </row>
    <row r="1430">
      <c r="B1430" s="3">
        <f t="shared" si="364"/>
        <v>500000000</v>
      </c>
      <c r="C1430" s="3">
        <v>8192.0</v>
      </c>
      <c r="D1430" s="66">
        <f t="shared" si="360"/>
        <v>61035.15625</v>
      </c>
      <c r="E1430" s="30">
        <f t="shared" si="381"/>
        <v>61035.15625</v>
      </c>
      <c r="F1430" s="30">
        <f t="shared" si="376"/>
        <v>183105.4688</v>
      </c>
      <c r="G1430" s="30">
        <f t="shared" si="377"/>
        <v>61035.15625</v>
      </c>
      <c r="H1430" s="30">
        <f t="shared" si="363"/>
        <v>244140.625</v>
      </c>
    </row>
    <row r="1431">
      <c r="A1431" s="3" t="s">
        <v>327</v>
      </c>
      <c r="B1431" s="3" t="s">
        <v>530</v>
      </c>
      <c r="E1431" s="3"/>
      <c r="J1431" s="3" t="s">
        <v>531</v>
      </c>
      <c r="M1431" s="3"/>
      <c r="R1431" s="3" t="s">
        <v>532</v>
      </c>
      <c r="U1431" s="3"/>
    </row>
    <row r="1432">
      <c r="E1432" s="3"/>
      <c r="F1432" s="3" t="s">
        <v>482</v>
      </c>
      <c r="G1432" s="73" t="s">
        <v>529</v>
      </c>
      <c r="H1432" s="3" t="s">
        <v>533</v>
      </c>
      <c r="M1432" s="3"/>
      <c r="N1432" s="3" t="s">
        <v>482</v>
      </c>
      <c r="O1432" s="73" t="s">
        <v>529</v>
      </c>
      <c r="P1432" s="3" t="s">
        <v>533</v>
      </c>
      <c r="U1432" s="3"/>
      <c r="V1432" s="3" t="s">
        <v>482</v>
      </c>
      <c r="W1432" s="73" t="s">
        <v>529</v>
      </c>
      <c r="X1432" s="3" t="s">
        <v>533</v>
      </c>
    </row>
    <row r="1433">
      <c r="B1433" s="3" t="s">
        <v>463</v>
      </c>
      <c r="C1433" s="3">
        <v>1.0</v>
      </c>
      <c r="D1433" s="3">
        <v>9.4290043E7</v>
      </c>
      <c r="E1433" s="3">
        <v>3.1989545E7</v>
      </c>
      <c r="F1433" s="30">
        <f t="shared" ref="F1433:F1446" si="394">D1433+E1433</f>
        <v>126279588</v>
      </c>
      <c r="G1433" s="30">
        <f t="shared" ref="G1433:G1446" si="395">H1417</f>
        <v>125000000</v>
      </c>
      <c r="H1433" s="77">
        <f t="shared" ref="H1433:H1446" si="396">ABS((F1433-G1433)/F1433)*100</f>
        <v>1.013297573</v>
      </c>
      <c r="J1433" s="3" t="s">
        <v>463</v>
      </c>
      <c r="K1433" s="3">
        <v>1.0</v>
      </c>
      <c r="L1433" s="3">
        <v>9.3855084E7</v>
      </c>
      <c r="M1433" s="3">
        <v>3.1323705E7</v>
      </c>
      <c r="N1433" s="30">
        <f t="shared" ref="N1433:N1446" si="397">L1433+M1433</f>
        <v>125178789</v>
      </c>
      <c r="O1433" s="30">
        <f t="shared" ref="O1433:O1446" si="398">H1417</f>
        <v>125000000</v>
      </c>
      <c r="P1433" s="77">
        <f t="shared" ref="P1433:P1446" si="399">ABS((N1433-O1433)/N1433)*100</f>
        <v>0.142826913</v>
      </c>
      <c r="R1433" s="3" t="s">
        <v>463</v>
      </c>
      <c r="S1433" s="3">
        <v>1.0</v>
      </c>
      <c r="T1433" s="3">
        <v>9.388213E7</v>
      </c>
      <c r="U1433" s="3">
        <v>3.13571E7</v>
      </c>
      <c r="V1433" s="30">
        <f t="shared" ref="V1433:V1446" si="400">T1433+U1433</f>
        <v>125239230</v>
      </c>
      <c r="W1433" s="30">
        <f t="shared" ref="W1433:W1446" si="401">H1417</f>
        <v>125000000</v>
      </c>
      <c r="X1433" s="77">
        <f t="shared" ref="X1433:X1446" si="402">ABS((V1433-W1433)/V1433)*100</f>
        <v>0.1910184213</v>
      </c>
    </row>
    <row r="1434">
      <c r="B1434" s="3" t="s">
        <v>463</v>
      </c>
      <c r="C1434" s="3">
        <v>2.0</v>
      </c>
      <c r="D1434" s="3">
        <v>9.4329882E7</v>
      </c>
      <c r="E1434" s="3">
        <v>3.1941219E7</v>
      </c>
      <c r="F1434" s="30">
        <f t="shared" si="394"/>
        <v>126271101</v>
      </c>
      <c r="G1434" s="30">
        <f t="shared" si="395"/>
        <v>125000000</v>
      </c>
      <c r="H1434" s="77">
        <f t="shared" si="396"/>
        <v>1.006644426</v>
      </c>
      <c r="J1434" s="3" t="s">
        <v>463</v>
      </c>
      <c r="K1434" s="3">
        <v>2.0</v>
      </c>
      <c r="L1434" s="3">
        <v>9.3813667E7</v>
      </c>
      <c r="M1434" s="3">
        <v>3.12996E7</v>
      </c>
      <c r="N1434" s="30">
        <f t="shared" si="397"/>
        <v>125113267</v>
      </c>
      <c r="O1434" s="30">
        <f t="shared" si="398"/>
        <v>125000000</v>
      </c>
      <c r="P1434" s="77">
        <f t="shared" si="399"/>
        <v>0.09053156609</v>
      </c>
      <c r="R1434" s="3" t="s">
        <v>463</v>
      </c>
      <c r="S1434" s="3">
        <v>2.0</v>
      </c>
      <c r="T1434" s="3">
        <v>9.3850657E7</v>
      </c>
      <c r="U1434" s="3">
        <v>3.1318834E7</v>
      </c>
      <c r="V1434" s="30">
        <f t="shared" si="400"/>
        <v>125169491</v>
      </c>
      <c r="W1434" s="30">
        <f t="shared" si="401"/>
        <v>125000000</v>
      </c>
      <c r="X1434" s="77">
        <f t="shared" si="402"/>
        <v>0.1354091949</v>
      </c>
    </row>
    <row r="1435">
      <c r="B1435" s="3" t="s">
        <v>463</v>
      </c>
      <c r="C1435" s="3">
        <v>4.0</v>
      </c>
      <c r="D1435" s="3">
        <v>9.4038279E7</v>
      </c>
      <c r="E1435" s="3">
        <v>3.17733E7</v>
      </c>
      <c r="F1435" s="30">
        <f t="shared" si="394"/>
        <v>125811579</v>
      </c>
      <c r="G1435" s="30">
        <f t="shared" si="395"/>
        <v>125000000</v>
      </c>
      <c r="H1435" s="77">
        <f t="shared" si="396"/>
        <v>0.6450749656</v>
      </c>
      <c r="J1435" s="3" t="s">
        <v>463</v>
      </c>
      <c r="K1435" s="3">
        <v>4.0</v>
      </c>
      <c r="L1435" s="3">
        <v>9.3863522E7</v>
      </c>
      <c r="M1435" s="3">
        <v>3.1318779E7</v>
      </c>
      <c r="N1435" s="30">
        <f t="shared" si="397"/>
        <v>125182301</v>
      </c>
      <c r="O1435" s="30">
        <f t="shared" si="398"/>
        <v>125000000</v>
      </c>
      <c r="P1435" s="77">
        <f t="shared" si="399"/>
        <v>0.1456284144</v>
      </c>
      <c r="R1435" s="3" t="s">
        <v>463</v>
      </c>
      <c r="S1435" s="3">
        <v>4.0</v>
      </c>
      <c r="T1435" s="3">
        <v>9.3820564E7</v>
      </c>
      <c r="U1435" s="3">
        <v>3.1304193E7</v>
      </c>
      <c r="V1435" s="30">
        <f t="shared" si="400"/>
        <v>125124757</v>
      </c>
      <c r="W1435" s="30">
        <f t="shared" si="401"/>
        <v>125000000</v>
      </c>
      <c r="X1435" s="77">
        <f t="shared" si="402"/>
        <v>0.09970608774</v>
      </c>
    </row>
    <row r="1436">
      <c r="B1436" s="3" t="s">
        <v>463</v>
      </c>
      <c r="C1436" s="3">
        <v>8.0</v>
      </c>
      <c r="D1436" s="3">
        <v>9.4035581E7</v>
      </c>
      <c r="E1436" s="3">
        <v>3.1771588E7</v>
      </c>
      <c r="F1436" s="30">
        <f t="shared" si="394"/>
        <v>125807169</v>
      </c>
      <c r="G1436" s="30">
        <f t="shared" si="395"/>
        <v>125000000</v>
      </c>
      <c r="H1436" s="77">
        <f t="shared" si="396"/>
        <v>0.6415922132</v>
      </c>
      <c r="J1436" s="3" t="s">
        <v>463</v>
      </c>
      <c r="K1436" s="3">
        <v>8.0</v>
      </c>
      <c r="L1436" s="3">
        <v>9.382983E7</v>
      </c>
      <c r="M1436" s="3">
        <v>3.1311078E7</v>
      </c>
      <c r="N1436" s="30">
        <f t="shared" si="397"/>
        <v>125140908</v>
      </c>
      <c r="O1436" s="30">
        <f t="shared" si="398"/>
        <v>125000000</v>
      </c>
      <c r="P1436" s="77">
        <f t="shared" si="399"/>
        <v>0.1125994707</v>
      </c>
      <c r="R1436" s="3" t="s">
        <v>463</v>
      </c>
      <c r="S1436" s="3">
        <v>8.0</v>
      </c>
      <c r="T1436" s="3">
        <v>9.3817414E7</v>
      </c>
      <c r="U1436" s="3">
        <v>3.1308089E7</v>
      </c>
      <c r="V1436" s="30">
        <f t="shared" si="400"/>
        <v>125125503</v>
      </c>
      <c r="W1436" s="30">
        <f t="shared" si="401"/>
        <v>125000000</v>
      </c>
      <c r="X1436" s="77">
        <f t="shared" si="402"/>
        <v>0.1003016947</v>
      </c>
    </row>
    <row r="1437">
      <c r="B1437" s="3" t="s">
        <v>463</v>
      </c>
      <c r="C1437" s="3">
        <v>16.0</v>
      </c>
      <c r="D1437" s="3">
        <v>9.4270972E7</v>
      </c>
      <c r="E1437" s="3">
        <v>3.1829323E7</v>
      </c>
      <c r="F1437" s="30">
        <f t="shared" si="394"/>
        <v>126100295</v>
      </c>
      <c r="G1437" s="30">
        <f t="shared" si="395"/>
        <v>125000000</v>
      </c>
      <c r="H1437" s="77">
        <f t="shared" si="396"/>
        <v>0.8725554528</v>
      </c>
      <c r="J1437" s="3" t="s">
        <v>463</v>
      </c>
      <c r="K1437" s="3">
        <v>16.0</v>
      </c>
      <c r="L1437" s="3">
        <v>9.3811243E7</v>
      </c>
      <c r="M1437" s="3">
        <v>3.1293376E7</v>
      </c>
      <c r="N1437" s="30">
        <f t="shared" si="397"/>
        <v>125104619</v>
      </c>
      <c r="O1437" s="30">
        <f t="shared" si="398"/>
        <v>125000000</v>
      </c>
      <c r="P1437" s="77">
        <f t="shared" si="399"/>
        <v>0.08362520971</v>
      </c>
      <c r="R1437" s="3" t="s">
        <v>463</v>
      </c>
      <c r="S1437" s="3">
        <v>16.0</v>
      </c>
      <c r="T1437" s="3">
        <v>9.3828464E7</v>
      </c>
      <c r="U1437" s="3">
        <v>3.1302643E7</v>
      </c>
      <c r="V1437" s="30">
        <f t="shared" si="400"/>
        <v>125131107</v>
      </c>
      <c r="W1437" s="30">
        <f t="shared" si="401"/>
        <v>125000000</v>
      </c>
      <c r="X1437" s="77">
        <f t="shared" si="402"/>
        <v>0.1047757054</v>
      </c>
    </row>
    <row r="1438">
      <c r="B1438" s="3" t="s">
        <v>463</v>
      </c>
      <c r="C1438" s="3">
        <v>32.0</v>
      </c>
      <c r="D1438" s="3">
        <v>9.2937603E7</v>
      </c>
      <c r="E1438" s="3">
        <v>1.6283705E7</v>
      </c>
      <c r="F1438" s="30">
        <f t="shared" si="394"/>
        <v>109221308</v>
      </c>
      <c r="G1438" s="30">
        <f t="shared" si="395"/>
        <v>109375000</v>
      </c>
      <c r="H1438" s="77">
        <f t="shared" si="396"/>
        <v>0.1407161321</v>
      </c>
      <c r="J1438" s="3" t="s">
        <v>463</v>
      </c>
      <c r="K1438" s="3">
        <v>32.0</v>
      </c>
      <c r="L1438" s="3">
        <v>8.2494421E7</v>
      </c>
      <c r="M1438" s="3">
        <v>1.5664653E7</v>
      </c>
      <c r="N1438" s="30">
        <f t="shared" si="397"/>
        <v>98159074</v>
      </c>
      <c r="O1438" s="30">
        <f t="shared" si="398"/>
        <v>109375000</v>
      </c>
      <c r="P1438" s="77">
        <f t="shared" si="399"/>
        <v>11.42627527</v>
      </c>
      <c r="R1438" s="3" t="s">
        <v>463</v>
      </c>
      <c r="S1438" s="3">
        <v>32.0</v>
      </c>
      <c r="T1438" s="3">
        <v>8.3245966E7</v>
      </c>
      <c r="U1438" s="3">
        <v>1.5713987E7</v>
      </c>
      <c r="V1438" s="30">
        <f t="shared" si="400"/>
        <v>98959953</v>
      </c>
      <c r="W1438" s="30">
        <f t="shared" si="401"/>
        <v>109375000</v>
      </c>
      <c r="X1438" s="77">
        <f t="shared" si="402"/>
        <v>10.52450682</v>
      </c>
    </row>
    <row r="1439">
      <c r="B1439" s="3" t="s">
        <v>463</v>
      </c>
      <c r="C1439" s="3">
        <v>64.0</v>
      </c>
      <c r="D1439" s="3">
        <v>7.0649769E7</v>
      </c>
      <c r="E1439" s="3">
        <v>8458271.0</v>
      </c>
      <c r="F1439" s="30">
        <f t="shared" si="394"/>
        <v>79108040</v>
      </c>
      <c r="G1439" s="30">
        <f t="shared" si="395"/>
        <v>78125000</v>
      </c>
      <c r="H1439" s="77">
        <f t="shared" si="396"/>
        <v>1.242654982</v>
      </c>
      <c r="J1439" s="3" t="s">
        <v>463</v>
      </c>
      <c r="K1439" s="3">
        <v>64.0</v>
      </c>
      <c r="L1439" s="3">
        <v>5.6262075E7</v>
      </c>
      <c r="M1439" s="3">
        <v>7842640.0</v>
      </c>
      <c r="N1439" s="30">
        <f t="shared" si="397"/>
        <v>64104715</v>
      </c>
      <c r="O1439" s="30">
        <f t="shared" si="398"/>
        <v>78125000</v>
      </c>
      <c r="P1439" s="77">
        <f t="shared" si="399"/>
        <v>21.87091074</v>
      </c>
      <c r="R1439" s="3" t="s">
        <v>463</v>
      </c>
      <c r="S1439" s="3">
        <v>64.0</v>
      </c>
      <c r="T1439" s="3">
        <v>5.4663587E7</v>
      </c>
      <c r="U1439" s="3">
        <v>7859302.0</v>
      </c>
      <c r="V1439" s="30">
        <f t="shared" si="400"/>
        <v>62522889</v>
      </c>
      <c r="W1439" s="30">
        <f t="shared" si="401"/>
        <v>78125000</v>
      </c>
      <c r="X1439" s="77">
        <f t="shared" si="402"/>
        <v>24.95423876</v>
      </c>
    </row>
    <row r="1440">
      <c r="B1440" s="3" t="s">
        <v>463</v>
      </c>
      <c r="C1440" s="3">
        <v>128.0</v>
      </c>
      <c r="D1440" s="3">
        <v>1.1854153E7</v>
      </c>
      <c r="E1440" s="3">
        <v>4061682.0</v>
      </c>
      <c r="F1440" s="30">
        <f t="shared" si="394"/>
        <v>15915835</v>
      </c>
      <c r="G1440" s="30">
        <f t="shared" si="395"/>
        <v>15625000</v>
      </c>
      <c r="H1440" s="77">
        <f t="shared" si="396"/>
        <v>1.827331083</v>
      </c>
      <c r="J1440" s="3" t="s">
        <v>463</v>
      </c>
      <c r="K1440" s="3">
        <v>128.0</v>
      </c>
      <c r="L1440" s="3">
        <v>1.4726643E7</v>
      </c>
      <c r="M1440" s="3">
        <v>3923538.0</v>
      </c>
      <c r="N1440" s="30">
        <f t="shared" si="397"/>
        <v>18650181</v>
      </c>
      <c r="O1440" s="30">
        <f t="shared" si="398"/>
        <v>15625000</v>
      </c>
      <c r="P1440" s="77">
        <f t="shared" si="399"/>
        <v>16.22065223</v>
      </c>
      <c r="R1440" s="3" t="s">
        <v>463</v>
      </c>
      <c r="S1440" s="3">
        <v>128.0</v>
      </c>
      <c r="T1440" s="3">
        <v>1.4713499E7</v>
      </c>
      <c r="U1440" s="3">
        <v>3923802.0</v>
      </c>
      <c r="V1440" s="30">
        <f t="shared" si="400"/>
        <v>18637301</v>
      </c>
      <c r="W1440" s="30">
        <f t="shared" si="401"/>
        <v>15625000</v>
      </c>
      <c r="X1440" s="77">
        <f t="shared" si="402"/>
        <v>16.16275339</v>
      </c>
    </row>
    <row r="1441">
      <c r="B1441" s="3" t="s">
        <v>463</v>
      </c>
      <c r="C1441" s="3">
        <v>256.0</v>
      </c>
      <c r="D1441" s="3">
        <v>5914481.0</v>
      </c>
      <c r="E1441" s="3">
        <v>2021357.0</v>
      </c>
      <c r="F1441" s="30">
        <f t="shared" si="394"/>
        <v>7935838</v>
      </c>
      <c r="G1441" s="30">
        <f t="shared" si="395"/>
        <v>7812500</v>
      </c>
      <c r="H1441" s="77">
        <f t="shared" si="396"/>
        <v>1.554189992</v>
      </c>
      <c r="J1441" s="3" t="s">
        <v>463</v>
      </c>
      <c r="K1441" s="3">
        <v>256.0</v>
      </c>
      <c r="L1441" s="3">
        <v>5873331.0</v>
      </c>
      <c r="M1441" s="3">
        <v>1961815.0</v>
      </c>
      <c r="N1441" s="30">
        <f t="shared" si="397"/>
        <v>7835146</v>
      </c>
      <c r="O1441" s="30">
        <f t="shared" si="398"/>
        <v>7812500</v>
      </c>
      <c r="P1441" s="77">
        <f t="shared" si="399"/>
        <v>0.2890309893</v>
      </c>
      <c r="R1441" s="3" t="s">
        <v>463</v>
      </c>
      <c r="S1441" s="3">
        <v>256.0</v>
      </c>
      <c r="T1441" s="3">
        <v>5868813.0</v>
      </c>
      <c r="U1441" s="3">
        <v>1962221.0</v>
      </c>
      <c r="V1441" s="30">
        <f t="shared" si="400"/>
        <v>7831034</v>
      </c>
      <c r="W1441" s="30">
        <f t="shared" si="401"/>
        <v>7812500</v>
      </c>
      <c r="X1441" s="77">
        <f t="shared" si="402"/>
        <v>0.2366737266</v>
      </c>
    </row>
    <row r="1442">
      <c r="B1442" s="3" t="s">
        <v>463</v>
      </c>
      <c r="C1442" s="3">
        <v>512.0</v>
      </c>
      <c r="D1442" s="3">
        <v>2961757.0</v>
      </c>
      <c r="E1442" s="3">
        <v>1015951.0</v>
      </c>
      <c r="F1442" s="30">
        <f t="shared" si="394"/>
        <v>3977708</v>
      </c>
      <c r="G1442" s="30">
        <f t="shared" si="395"/>
        <v>3906250</v>
      </c>
      <c r="H1442" s="77">
        <f t="shared" si="396"/>
        <v>1.796461681</v>
      </c>
      <c r="J1442" s="3" t="s">
        <v>463</v>
      </c>
      <c r="K1442" s="3">
        <v>512.0</v>
      </c>
      <c r="L1442" s="3">
        <v>2937106.0</v>
      </c>
      <c r="M1442" s="3">
        <v>982198.0</v>
      </c>
      <c r="N1442" s="30">
        <f t="shared" si="397"/>
        <v>3919304</v>
      </c>
      <c r="O1442" s="30">
        <f t="shared" si="398"/>
        <v>3906250</v>
      </c>
      <c r="P1442" s="77">
        <f t="shared" si="399"/>
        <v>0.3330693409</v>
      </c>
      <c r="R1442" s="3" t="s">
        <v>463</v>
      </c>
      <c r="S1442" s="3">
        <v>512.0</v>
      </c>
      <c r="T1442" s="3">
        <v>2935066.0</v>
      </c>
      <c r="U1442" s="3">
        <v>982262.0</v>
      </c>
      <c r="V1442" s="30">
        <f t="shared" si="400"/>
        <v>3917328</v>
      </c>
      <c r="W1442" s="30">
        <f t="shared" si="401"/>
        <v>3906250</v>
      </c>
      <c r="X1442" s="77">
        <f t="shared" si="402"/>
        <v>0.282794803</v>
      </c>
    </row>
    <row r="1443">
      <c r="B1443" s="3" t="s">
        <v>463</v>
      </c>
      <c r="C1443" s="3">
        <v>1024.0</v>
      </c>
      <c r="D1443" s="3">
        <v>1491446.0</v>
      </c>
      <c r="E1443" s="3">
        <v>515825.0</v>
      </c>
      <c r="F1443" s="30">
        <f t="shared" si="394"/>
        <v>2007271</v>
      </c>
      <c r="G1443" s="30">
        <f t="shared" si="395"/>
        <v>1953125</v>
      </c>
      <c r="H1443" s="77">
        <f t="shared" si="396"/>
        <v>2.697493263</v>
      </c>
      <c r="J1443" s="3" t="s">
        <v>463</v>
      </c>
      <c r="K1443" s="3">
        <v>1024.0</v>
      </c>
      <c r="L1443" s="3">
        <v>1471761.0</v>
      </c>
      <c r="M1443" s="3">
        <v>491720.0</v>
      </c>
      <c r="N1443" s="30">
        <f t="shared" si="397"/>
        <v>1963481</v>
      </c>
      <c r="O1443" s="30">
        <f t="shared" si="398"/>
        <v>1953125</v>
      </c>
      <c r="P1443" s="77">
        <f t="shared" si="399"/>
        <v>0.5274306194</v>
      </c>
      <c r="R1443" s="3" t="s">
        <v>463</v>
      </c>
      <c r="S1443" s="3">
        <v>1024.0</v>
      </c>
      <c r="T1443" s="3">
        <v>1472363.0</v>
      </c>
      <c r="U1443" s="3">
        <v>495278.0</v>
      </c>
      <c r="V1443" s="30">
        <f t="shared" si="400"/>
        <v>1967641</v>
      </c>
      <c r="W1443" s="30">
        <f t="shared" si="401"/>
        <v>1953125</v>
      </c>
      <c r="X1443" s="77">
        <f t="shared" si="402"/>
        <v>0.7377362029</v>
      </c>
    </row>
    <row r="1444">
      <c r="B1444" s="3" t="s">
        <v>463</v>
      </c>
      <c r="C1444" s="3">
        <v>2048.0</v>
      </c>
      <c r="D1444" s="3">
        <v>743801.0</v>
      </c>
      <c r="E1444" s="3">
        <v>256991.0</v>
      </c>
      <c r="F1444" s="30">
        <f t="shared" si="394"/>
        <v>1000792</v>
      </c>
      <c r="G1444" s="30">
        <f t="shared" si="395"/>
        <v>976562.5</v>
      </c>
      <c r="H1444" s="77">
        <f t="shared" si="396"/>
        <v>2.421032542</v>
      </c>
      <c r="J1444" s="3" t="s">
        <v>463</v>
      </c>
      <c r="K1444" s="3">
        <v>2048.0</v>
      </c>
      <c r="L1444" s="3">
        <v>738055.0</v>
      </c>
      <c r="M1444" s="3">
        <v>247577.0</v>
      </c>
      <c r="N1444" s="30">
        <f t="shared" si="397"/>
        <v>985632</v>
      </c>
      <c r="O1444" s="30">
        <f t="shared" si="398"/>
        <v>976562.5</v>
      </c>
      <c r="P1444" s="77">
        <f t="shared" si="399"/>
        <v>0.9201710172</v>
      </c>
      <c r="R1444" s="3" t="s">
        <v>463</v>
      </c>
      <c r="S1444" s="3">
        <v>2048.0</v>
      </c>
      <c r="T1444" s="3">
        <v>736724.0</v>
      </c>
      <c r="U1444" s="3">
        <v>248179.0</v>
      </c>
      <c r="V1444" s="30">
        <f t="shared" si="400"/>
        <v>984903</v>
      </c>
      <c r="W1444" s="30">
        <f t="shared" si="401"/>
        <v>976562.5</v>
      </c>
      <c r="X1444" s="77">
        <f t="shared" si="402"/>
        <v>0.8468346629</v>
      </c>
    </row>
    <row r="1445">
      <c r="B1445" s="3" t="s">
        <v>463</v>
      </c>
      <c r="C1445" s="3">
        <v>4096.0</v>
      </c>
      <c r="D1445" s="3">
        <v>373898.0</v>
      </c>
      <c r="E1445" s="3">
        <v>132526.0</v>
      </c>
      <c r="F1445" s="30">
        <f t="shared" si="394"/>
        <v>506424</v>
      </c>
      <c r="G1445" s="30">
        <f t="shared" si="395"/>
        <v>488281.25</v>
      </c>
      <c r="H1445" s="77">
        <f t="shared" si="396"/>
        <v>3.58252176</v>
      </c>
      <c r="J1445" s="3" t="s">
        <v>463</v>
      </c>
      <c r="K1445" s="3">
        <v>4096.0</v>
      </c>
      <c r="L1445" s="3">
        <v>372246.0</v>
      </c>
      <c r="M1445" s="3">
        <v>125886.0</v>
      </c>
      <c r="N1445" s="30">
        <f t="shared" si="397"/>
        <v>498132</v>
      </c>
      <c r="O1445" s="30">
        <f t="shared" si="398"/>
        <v>488281.25</v>
      </c>
      <c r="P1445" s="77">
        <f t="shared" si="399"/>
        <v>1.977538082</v>
      </c>
      <c r="R1445" s="3" t="s">
        <v>463</v>
      </c>
      <c r="S1445" s="3">
        <v>4096.0</v>
      </c>
      <c r="T1445" s="3">
        <v>374225.0</v>
      </c>
      <c r="U1445" s="3">
        <v>126487.0</v>
      </c>
      <c r="V1445" s="30">
        <f t="shared" si="400"/>
        <v>500712</v>
      </c>
      <c r="W1445" s="30">
        <f t="shared" si="401"/>
        <v>488281.25</v>
      </c>
      <c r="X1445" s="77">
        <f t="shared" si="402"/>
        <v>2.482614757</v>
      </c>
    </row>
    <row r="1446">
      <c r="B1446" s="3" t="s">
        <v>463</v>
      </c>
      <c r="C1446" s="3">
        <v>8192.0</v>
      </c>
      <c r="D1446" s="3">
        <v>188858.0</v>
      </c>
      <c r="E1446" s="3">
        <v>68923.0</v>
      </c>
      <c r="F1446" s="30">
        <f t="shared" si="394"/>
        <v>257781</v>
      </c>
      <c r="G1446" s="30">
        <f t="shared" si="395"/>
        <v>244140.625</v>
      </c>
      <c r="H1446" s="77">
        <f t="shared" si="396"/>
        <v>5.291458641</v>
      </c>
      <c r="J1446" s="3" t="s">
        <v>463</v>
      </c>
      <c r="K1446" s="3">
        <v>8192.0</v>
      </c>
      <c r="L1446" s="3">
        <v>187458.0</v>
      </c>
      <c r="M1446" s="3">
        <v>64301.0</v>
      </c>
      <c r="N1446" s="30">
        <f t="shared" si="397"/>
        <v>251759</v>
      </c>
      <c r="O1446" s="30">
        <f t="shared" si="398"/>
        <v>244140.625</v>
      </c>
      <c r="P1446" s="77">
        <f t="shared" si="399"/>
        <v>3.026058651</v>
      </c>
      <c r="R1446" s="3" t="s">
        <v>463</v>
      </c>
      <c r="S1446" s="3">
        <v>8192.0</v>
      </c>
      <c r="T1446" s="3">
        <v>188944.0</v>
      </c>
      <c r="U1446" s="3">
        <v>65515.0</v>
      </c>
      <c r="V1446" s="30">
        <f t="shared" si="400"/>
        <v>254459</v>
      </c>
      <c r="W1446" s="30">
        <f t="shared" si="401"/>
        <v>244140.625</v>
      </c>
      <c r="X1446" s="77">
        <f t="shared" si="402"/>
        <v>4.055024582</v>
      </c>
    </row>
    <row r="1447">
      <c r="E1447" s="3"/>
    </row>
    <row r="1448">
      <c r="E1448" s="3"/>
    </row>
    <row r="1449">
      <c r="E1449" s="3"/>
    </row>
    <row r="1450">
      <c r="C1450" s="3" t="s">
        <v>324</v>
      </c>
      <c r="D1450" s="3" t="s">
        <v>534</v>
      </c>
      <c r="E1450" s="3" t="s">
        <v>535</v>
      </c>
      <c r="F1450" s="3" t="s">
        <v>536</v>
      </c>
    </row>
    <row r="1451">
      <c r="C1451" s="3">
        <v>1.0</v>
      </c>
      <c r="D1451" s="77">
        <f t="shared" ref="D1451:D1464" si="403">H1433</f>
        <v>1.013297573</v>
      </c>
      <c r="E1451" s="81">
        <f t="shared" ref="E1451:E1464" si="404">P1433</f>
        <v>0.142826913</v>
      </c>
      <c r="F1451" s="77">
        <f t="shared" ref="F1451:F1464" si="405">X1433</f>
        <v>0.1910184213</v>
      </c>
      <c r="H1451" s="30" t="str">
        <f>D1450&amp;"=["&amp;D1451&amp;", "&amp;D1452&amp;", "&amp;D1453&amp;", "&amp;D1454&amp;", "&amp;D1455&amp;", "&amp;D1456&amp;", "&amp;D1457&amp;", "&amp;D1458&amp;", "&amp;D1459&amp;", "&amp;D1460&amp;", "&amp;D1461&amp;", "&amp;D1462&amp;", "&amp;D1463&amp;", "&amp;D1464&amp;"]"</f>
        <v>bwell=[1.01329757268451, 1.00664442610665, 0.645074965635715, 0.641592213238659, 0.872555452784627, 0.140716132057309, 1.24265498171867, 1.8273310825351, 1.55418999228563, 1.79646168094792, 2.69749326324149, 2.42103254222656, 3.5825217604221, 5.29145864124974]</v>
      </c>
    </row>
    <row r="1452">
      <c r="C1452" s="3">
        <v>2.0</v>
      </c>
      <c r="D1452" s="77">
        <f t="shared" si="403"/>
        <v>1.006644426</v>
      </c>
      <c r="E1452" s="81">
        <f t="shared" si="404"/>
        <v>0.09053156609</v>
      </c>
      <c r="F1452" s="77">
        <f t="shared" si="405"/>
        <v>0.1354091949</v>
      </c>
      <c r="H1452" s="82" t="str">
        <f>E1450&amp;"=["&amp;E1451&amp;", "&amp;E1452&amp;", "&amp;E1453&amp;", "&amp;E1454&amp;", "&amp;E1455&amp;", "&amp;E1456&amp;", "&amp;E1457&amp;", "&amp;E1458&amp;", "&amp;E1459&amp;", "&amp;E1460&amp;", "&amp;E1461&amp;", "&amp;E1462&amp;", "&amp;E1463&amp;", "&amp;E1464&amp;"]"</f>
        <v>slake=[0.142826912952481, 0.0905315660888305, 0.145628414355477, 0.112599470670294, 0.0836252097134799, 11.4262752723197, 21.8709107434609, 16.2206522285226, 0.289030989339573, 0.333069340882973, 0.52743061939484, 0.920171017174767, 1.97753808227538, 3.02605865132925]</v>
      </c>
    </row>
    <row r="1453">
      <c r="C1453" s="3">
        <v>4.0</v>
      </c>
      <c r="D1453" s="77">
        <f t="shared" si="403"/>
        <v>0.6450749656</v>
      </c>
      <c r="E1453" s="81">
        <f t="shared" si="404"/>
        <v>0.1456284144</v>
      </c>
      <c r="F1453" s="77">
        <f t="shared" si="405"/>
        <v>0.09970608774</v>
      </c>
      <c r="H1453" s="82" t="str">
        <f>F1450&amp;"=["&amp;F1451&amp;", "&amp;F1452&amp;", "&amp;F1453&amp;", "&amp;F1454&amp;", "&amp;F1455&amp;", "&amp;F1456&amp;", "&amp;F1457&amp;", "&amp;F1458&amp;", "&amp;F1459&amp;", "&amp;F1460&amp;", "&amp;F1461&amp;", "&amp;F1462&amp;", "&amp;F1463&amp;", "&amp;F1464&amp;"]"</f>
        <v>clake=[0.19101842130457, 0.135409194881203, 0.0997060877408937, 0.100301694691289, 0.104775705372766, 10.5245068174194, 24.9542387588648, 16.162753394389, 0.236673726611326, 0.282794802988159, 0.737736202894735, 0.84683466290589, 2.48261475658662, 4.05502458156324]</v>
      </c>
    </row>
    <row r="1454">
      <c r="C1454" s="3">
        <v>8.0</v>
      </c>
      <c r="D1454" s="77">
        <f t="shared" si="403"/>
        <v>0.6415922132</v>
      </c>
      <c r="E1454" s="81">
        <f t="shared" si="404"/>
        <v>0.1125994707</v>
      </c>
      <c r="F1454" s="77">
        <f t="shared" si="405"/>
        <v>0.1003016947</v>
      </c>
    </row>
    <row r="1455">
      <c r="C1455" s="3">
        <v>16.0</v>
      </c>
      <c r="D1455" s="77">
        <f t="shared" si="403"/>
        <v>0.8725554528</v>
      </c>
      <c r="E1455" s="81">
        <f t="shared" si="404"/>
        <v>0.08362520971</v>
      </c>
      <c r="F1455" s="77">
        <f t="shared" si="405"/>
        <v>0.1047757054</v>
      </c>
    </row>
    <row r="1456">
      <c r="C1456" s="3">
        <v>32.0</v>
      </c>
      <c r="D1456" s="77">
        <f t="shared" si="403"/>
        <v>0.1407161321</v>
      </c>
      <c r="E1456" s="81">
        <f t="shared" si="404"/>
        <v>11.42627527</v>
      </c>
      <c r="F1456" s="77">
        <f t="shared" si="405"/>
        <v>10.52450682</v>
      </c>
    </row>
    <row r="1457">
      <c r="C1457" s="3">
        <v>64.0</v>
      </c>
      <c r="D1457" s="77">
        <f t="shared" si="403"/>
        <v>1.242654982</v>
      </c>
      <c r="E1457" s="81">
        <f t="shared" si="404"/>
        <v>21.87091074</v>
      </c>
      <c r="F1457" s="77">
        <f t="shared" si="405"/>
        <v>24.95423876</v>
      </c>
    </row>
    <row r="1458">
      <c r="C1458" s="3">
        <v>128.0</v>
      </c>
      <c r="D1458" s="77">
        <f t="shared" si="403"/>
        <v>1.827331083</v>
      </c>
      <c r="E1458" s="81">
        <f t="shared" si="404"/>
        <v>16.22065223</v>
      </c>
      <c r="F1458" s="77">
        <f t="shared" si="405"/>
        <v>16.16275339</v>
      </c>
    </row>
    <row r="1459">
      <c r="C1459" s="3">
        <v>256.0</v>
      </c>
      <c r="D1459" s="77">
        <f t="shared" si="403"/>
        <v>1.554189992</v>
      </c>
      <c r="E1459" s="81">
        <f t="shared" si="404"/>
        <v>0.2890309893</v>
      </c>
      <c r="F1459" s="77">
        <f t="shared" si="405"/>
        <v>0.2366737266</v>
      </c>
    </row>
    <row r="1460">
      <c r="C1460" s="3">
        <v>512.0</v>
      </c>
      <c r="D1460" s="77">
        <f t="shared" si="403"/>
        <v>1.796461681</v>
      </c>
      <c r="E1460" s="81">
        <f t="shared" si="404"/>
        <v>0.3330693409</v>
      </c>
      <c r="F1460" s="77">
        <f t="shared" si="405"/>
        <v>0.282794803</v>
      </c>
    </row>
    <row r="1461">
      <c r="C1461" s="3">
        <v>1024.0</v>
      </c>
      <c r="D1461" s="77">
        <f t="shared" si="403"/>
        <v>2.697493263</v>
      </c>
      <c r="E1461" s="81">
        <f t="shared" si="404"/>
        <v>0.5274306194</v>
      </c>
      <c r="F1461" s="77">
        <f t="shared" si="405"/>
        <v>0.7377362029</v>
      </c>
    </row>
    <row r="1462">
      <c r="C1462" s="3">
        <v>2048.0</v>
      </c>
      <c r="D1462" s="77">
        <f t="shared" si="403"/>
        <v>2.421032542</v>
      </c>
      <c r="E1462" s="81">
        <f t="shared" si="404"/>
        <v>0.9201710172</v>
      </c>
      <c r="F1462" s="77">
        <f t="shared" si="405"/>
        <v>0.8468346629</v>
      </c>
    </row>
    <row r="1463">
      <c r="C1463" s="3">
        <v>4096.0</v>
      </c>
      <c r="D1463" s="77">
        <f t="shared" si="403"/>
        <v>3.58252176</v>
      </c>
      <c r="E1463" s="81">
        <f t="shared" si="404"/>
        <v>1.977538082</v>
      </c>
      <c r="F1463" s="77">
        <f t="shared" si="405"/>
        <v>2.482614757</v>
      </c>
    </row>
    <row r="1464">
      <c r="C1464" s="3">
        <v>8192.0</v>
      </c>
      <c r="D1464" s="77">
        <f t="shared" si="403"/>
        <v>5.291458641</v>
      </c>
      <c r="E1464" s="81">
        <f t="shared" si="404"/>
        <v>3.026058651</v>
      </c>
      <c r="F1464" s="77">
        <f t="shared" si="405"/>
        <v>4.055024582</v>
      </c>
    </row>
    <row r="1465">
      <c r="E1465" s="3"/>
    </row>
    <row r="1466">
      <c r="A1466" s="3" t="s">
        <v>525</v>
      </c>
      <c r="E1466" s="3"/>
    </row>
    <row r="1467">
      <c r="A1467" s="3" t="s">
        <v>537</v>
      </c>
      <c r="B1467" s="3" t="s">
        <v>459</v>
      </c>
      <c r="C1467" s="3" t="s">
        <v>447</v>
      </c>
      <c r="D1467" s="3" t="s">
        <v>515</v>
      </c>
      <c r="E1467" s="3" t="s">
        <v>526</v>
      </c>
      <c r="F1467" s="3" t="s">
        <v>527</v>
      </c>
      <c r="G1467" s="3" t="s">
        <v>528</v>
      </c>
      <c r="H1467" s="3" t="s">
        <v>529</v>
      </c>
    </row>
    <row r="1468">
      <c r="A1468" s="3">
        <v>5.0E7</v>
      </c>
      <c r="B1468" s="3">
        <f>A1468</f>
        <v>50000000</v>
      </c>
      <c r="C1468" s="3">
        <v>1.0</v>
      </c>
      <c r="D1468" s="66">
        <f t="shared" ref="D1468:D1481" si="406">B1468/C1468</f>
        <v>50000000</v>
      </c>
      <c r="E1468" s="30">
        <f>D1468/64*4</f>
        <v>3125000</v>
      </c>
      <c r="F1468" s="30">
        <f t="shared" ref="F1468:F1473" si="407">E1468*3</f>
        <v>9375000</v>
      </c>
      <c r="G1468" s="30">
        <f t="shared" ref="G1468:G1472" si="408">E1468</f>
        <v>3125000</v>
      </c>
      <c r="H1468" s="30">
        <f t="shared" ref="H1468:H1481" si="409">F1468+G1468</f>
        <v>12500000</v>
      </c>
    </row>
    <row r="1469">
      <c r="B1469" s="3">
        <f t="shared" ref="B1469:B1481" si="410">B1468</f>
        <v>50000000</v>
      </c>
      <c r="C1469" s="3">
        <v>2.0</v>
      </c>
      <c r="D1469" s="66">
        <f t="shared" si="406"/>
        <v>25000000</v>
      </c>
      <c r="E1469" s="30">
        <f t="shared" ref="E1469:E1473" si="411">E1468</f>
        <v>3125000</v>
      </c>
      <c r="F1469" s="30">
        <f t="shared" si="407"/>
        <v>9375000</v>
      </c>
      <c r="G1469" s="30">
        <f t="shared" si="408"/>
        <v>3125000</v>
      </c>
      <c r="H1469" s="30">
        <f t="shared" si="409"/>
        <v>12500000</v>
      </c>
    </row>
    <row r="1470">
      <c r="B1470" s="3">
        <f t="shared" si="410"/>
        <v>50000000</v>
      </c>
      <c r="C1470" s="3">
        <v>4.0</v>
      </c>
      <c r="D1470" s="66">
        <f t="shared" si="406"/>
        <v>12500000</v>
      </c>
      <c r="E1470" s="30">
        <f t="shared" si="411"/>
        <v>3125000</v>
      </c>
      <c r="F1470" s="30">
        <f t="shared" si="407"/>
        <v>9375000</v>
      </c>
      <c r="G1470" s="30">
        <f t="shared" si="408"/>
        <v>3125000</v>
      </c>
      <c r="H1470" s="30">
        <f t="shared" si="409"/>
        <v>12500000</v>
      </c>
    </row>
    <row r="1471">
      <c r="B1471" s="3">
        <f t="shared" si="410"/>
        <v>50000000</v>
      </c>
      <c r="C1471" s="3">
        <v>8.0</v>
      </c>
      <c r="D1471" s="66">
        <f t="shared" si="406"/>
        <v>6250000</v>
      </c>
      <c r="E1471" s="30">
        <f t="shared" si="411"/>
        <v>3125000</v>
      </c>
      <c r="F1471" s="30">
        <f t="shared" si="407"/>
        <v>9375000</v>
      </c>
      <c r="G1471" s="30">
        <f t="shared" si="408"/>
        <v>3125000</v>
      </c>
      <c r="H1471" s="30">
        <f t="shared" si="409"/>
        <v>12500000</v>
      </c>
    </row>
    <row r="1472">
      <c r="B1472" s="3">
        <f t="shared" si="410"/>
        <v>50000000</v>
      </c>
      <c r="C1472" s="3">
        <v>16.0</v>
      </c>
      <c r="D1472" s="66">
        <f t="shared" si="406"/>
        <v>3125000</v>
      </c>
      <c r="E1472" s="30">
        <f t="shared" si="411"/>
        <v>3125000</v>
      </c>
      <c r="F1472" s="30">
        <f t="shared" si="407"/>
        <v>9375000</v>
      </c>
      <c r="G1472" s="30">
        <f t="shared" si="408"/>
        <v>3125000</v>
      </c>
      <c r="H1472" s="30">
        <f t="shared" si="409"/>
        <v>12500000</v>
      </c>
    </row>
    <row r="1473">
      <c r="B1473" s="3">
        <f t="shared" si="410"/>
        <v>50000000</v>
      </c>
      <c r="C1473" s="3">
        <v>32.0</v>
      </c>
      <c r="D1473" s="66">
        <f t="shared" si="406"/>
        <v>1562500</v>
      </c>
      <c r="E1473" s="30">
        <f t="shared" si="411"/>
        <v>3125000</v>
      </c>
      <c r="F1473" s="30">
        <f t="shared" si="407"/>
        <v>9375000</v>
      </c>
      <c r="G1473" s="30">
        <f t="shared" ref="G1473:G1474" si="413">G1472/2</f>
        <v>1562500</v>
      </c>
      <c r="H1473" s="30">
        <f t="shared" si="409"/>
        <v>10937500</v>
      </c>
    </row>
    <row r="1474">
      <c r="B1474" s="3">
        <f t="shared" si="410"/>
        <v>50000000</v>
      </c>
      <c r="C1474" s="3">
        <v>64.0</v>
      </c>
      <c r="D1474" s="66">
        <f t="shared" si="406"/>
        <v>781250</v>
      </c>
      <c r="E1474" s="30">
        <f t="shared" ref="E1474:F1474" si="412">D1474*3</f>
        <v>2343750</v>
      </c>
      <c r="F1474" s="30">
        <f t="shared" si="412"/>
        <v>7031250</v>
      </c>
      <c r="G1474" s="30">
        <f t="shared" si="413"/>
        <v>781250</v>
      </c>
      <c r="H1474" s="30">
        <f t="shared" si="409"/>
        <v>7812500</v>
      </c>
    </row>
    <row r="1475">
      <c r="B1475" s="3">
        <f t="shared" si="410"/>
        <v>50000000</v>
      </c>
      <c r="C1475" s="3">
        <v>128.0</v>
      </c>
      <c r="D1475" s="66">
        <f t="shared" si="406"/>
        <v>390625</v>
      </c>
      <c r="E1475" s="30">
        <f>E1473/8</f>
        <v>390625</v>
      </c>
      <c r="F1475" s="30">
        <f t="shared" ref="F1475:F1481" si="414">E1475*3</f>
        <v>1171875</v>
      </c>
      <c r="G1475" s="30">
        <f t="shared" ref="G1475:G1481" si="415">E1475</f>
        <v>390625</v>
      </c>
      <c r="H1475" s="30">
        <f t="shared" si="409"/>
        <v>1562500</v>
      </c>
    </row>
    <row r="1476">
      <c r="B1476" s="3">
        <f t="shared" si="410"/>
        <v>50000000</v>
      </c>
      <c r="C1476" s="3">
        <v>256.0</v>
      </c>
      <c r="D1476" s="66">
        <f t="shared" si="406"/>
        <v>195312.5</v>
      </c>
      <c r="E1476" s="30">
        <f t="shared" ref="E1476:E1481" si="416">E1475/2</f>
        <v>195312.5</v>
      </c>
      <c r="F1476" s="30">
        <f t="shared" si="414"/>
        <v>585937.5</v>
      </c>
      <c r="G1476" s="30">
        <f t="shared" si="415"/>
        <v>195312.5</v>
      </c>
      <c r="H1476" s="30">
        <f t="shared" si="409"/>
        <v>781250</v>
      </c>
    </row>
    <row r="1477">
      <c r="B1477" s="3">
        <f t="shared" si="410"/>
        <v>50000000</v>
      </c>
      <c r="C1477" s="3">
        <v>512.0</v>
      </c>
      <c r="D1477" s="66">
        <f t="shared" si="406"/>
        <v>97656.25</v>
      </c>
      <c r="E1477" s="30">
        <f t="shared" si="416"/>
        <v>97656.25</v>
      </c>
      <c r="F1477" s="30">
        <f t="shared" si="414"/>
        <v>292968.75</v>
      </c>
      <c r="G1477" s="30">
        <f t="shared" si="415"/>
        <v>97656.25</v>
      </c>
      <c r="H1477" s="30">
        <f t="shared" si="409"/>
        <v>390625</v>
      </c>
    </row>
    <row r="1478">
      <c r="B1478" s="3">
        <f t="shared" si="410"/>
        <v>50000000</v>
      </c>
      <c r="C1478" s="3">
        <v>1024.0</v>
      </c>
      <c r="D1478" s="66">
        <f t="shared" si="406"/>
        <v>48828.125</v>
      </c>
      <c r="E1478" s="30">
        <f t="shared" si="416"/>
        <v>48828.125</v>
      </c>
      <c r="F1478" s="30">
        <f t="shared" si="414"/>
        <v>146484.375</v>
      </c>
      <c r="G1478" s="30">
        <f t="shared" si="415"/>
        <v>48828.125</v>
      </c>
      <c r="H1478" s="30">
        <f t="shared" si="409"/>
        <v>195312.5</v>
      </c>
    </row>
    <row r="1479">
      <c r="B1479" s="3">
        <f t="shared" si="410"/>
        <v>50000000</v>
      </c>
      <c r="C1479" s="3">
        <v>2048.0</v>
      </c>
      <c r="D1479" s="66">
        <f t="shared" si="406"/>
        <v>24414.0625</v>
      </c>
      <c r="E1479" s="30">
        <f t="shared" si="416"/>
        <v>24414.0625</v>
      </c>
      <c r="F1479" s="30">
        <f t="shared" si="414"/>
        <v>73242.1875</v>
      </c>
      <c r="G1479" s="30">
        <f t="shared" si="415"/>
        <v>24414.0625</v>
      </c>
      <c r="H1479" s="30">
        <f t="shared" si="409"/>
        <v>97656.25</v>
      </c>
    </row>
    <row r="1480">
      <c r="B1480" s="3">
        <f t="shared" si="410"/>
        <v>50000000</v>
      </c>
      <c r="C1480" s="3">
        <v>4096.0</v>
      </c>
      <c r="D1480" s="66">
        <f t="shared" si="406"/>
        <v>12207.03125</v>
      </c>
      <c r="E1480" s="30">
        <f t="shared" si="416"/>
        <v>12207.03125</v>
      </c>
      <c r="F1480" s="30">
        <f t="shared" si="414"/>
        <v>36621.09375</v>
      </c>
      <c r="G1480" s="30">
        <f t="shared" si="415"/>
        <v>12207.03125</v>
      </c>
      <c r="H1480" s="30">
        <f t="shared" si="409"/>
        <v>48828.125</v>
      </c>
    </row>
    <row r="1481">
      <c r="B1481" s="3">
        <f t="shared" si="410"/>
        <v>50000000</v>
      </c>
      <c r="C1481" s="3">
        <v>8192.0</v>
      </c>
      <c r="D1481" s="66">
        <f t="shared" si="406"/>
        <v>6103.515625</v>
      </c>
      <c r="E1481" s="30">
        <f t="shared" si="416"/>
        <v>6103.515625</v>
      </c>
      <c r="F1481" s="30">
        <f t="shared" si="414"/>
        <v>18310.54688</v>
      </c>
      <c r="G1481" s="30">
        <f t="shared" si="415"/>
        <v>6103.515625</v>
      </c>
      <c r="H1481" s="30">
        <f t="shared" si="409"/>
        <v>24414.0625</v>
      </c>
    </row>
    <row r="1482">
      <c r="A1482" s="3" t="s">
        <v>327</v>
      </c>
      <c r="B1482" s="3" t="s">
        <v>530</v>
      </c>
      <c r="E1482" s="3"/>
      <c r="J1482" s="3" t="s">
        <v>531</v>
      </c>
      <c r="M1482" s="3"/>
      <c r="R1482" s="3" t="s">
        <v>532</v>
      </c>
      <c r="U1482" s="3"/>
    </row>
    <row r="1483">
      <c r="E1483" s="3"/>
      <c r="F1483" s="3" t="s">
        <v>482</v>
      </c>
      <c r="G1483" s="73" t="s">
        <v>529</v>
      </c>
      <c r="H1483" s="3" t="s">
        <v>533</v>
      </c>
      <c r="M1483" s="3"/>
      <c r="N1483" s="3" t="s">
        <v>482</v>
      </c>
      <c r="O1483" s="73" t="s">
        <v>529</v>
      </c>
      <c r="P1483" s="3" t="s">
        <v>533</v>
      </c>
      <c r="U1483" s="3"/>
      <c r="V1483" s="3" t="s">
        <v>482</v>
      </c>
      <c r="W1483" s="73" t="s">
        <v>529</v>
      </c>
      <c r="X1483" s="3" t="s">
        <v>533</v>
      </c>
    </row>
    <row r="1484">
      <c r="B1484" s="3" t="s">
        <v>463</v>
      </c>
      <c r="C1484" s="3">
        <v>1.0</v>
      </c>
      <c r="D1484" s="3">
        <v>9456100.0</v>
      </c>
      <c r="E1484" s="3">
        <v>3503567.0</v>
      </c>
      <c r="F1484" s="30">
        <f t="shared" ref="F1484:F1497" si="417">D1484+E1484</f>
        <v>12959667</v>
      </c>
      <c r="G1484" s="30">
        <f t="shared" ref="G1484:G1497" si="418">H1468</f>
        <v>12500000</v>
      </c>
      <c r="H1484" s="77">
        <f t="shared" ref="H1484:H1497" si="419">ABS((F1484-G1484)/F1484)*100</f>
        <v>3.546904407</v>
      </c>
      <c r="J1484" s="3" t="s">
        <v>463</v>
      </c>
      <c r="K1484" s="3">
        <v>1.0</v>
      </c>
      <c r="L1484" s="3">
        <v>9385771.0</v>
      </c>
      <c r="M1484" s="3">
        <v>3137298.0</v>
      </c>
      <c r="N1484" s="30">
        <f t="shared" ref="N1484:N1497" si="420">L1484+M1484</f>
        <v>12523069</v>
      </c>
      <c r="O1484" s="30">
        <f t="shared" ref="O1484:O1497" si="421">H1468</f>
        <v>12500000</v>
      </c>
      <c r="P1484" s="77">
        <f t="shared" ref="P1484:P1497" si="422">ABS((N1484-O1484)/N1484)*100</f>
        <v>0.184212033</v>
      </c>
      <c r="R1484" s="3" t="s">
        <v>463</v>
      </c>
      <c r="S1484" s="3">
        <v>1.0</v>
      </c>
      <c r="T1484" s="3">
        <v>9381897.0</v>
      </c>
      <c r="U1484" s="3">
        <v>3140473.0</v>
      </c>
      <c r="V1484" s="30">
        <f t="shared" ref="V1484:V1497" si="423">T1484+U1484</f>
        <v>12522370</v>
      </c>
      <c r="W1484" s="30">
        <f t="shared" ref="W1484:W1497" si="424">H1468</f>
        <v>12500000</v>
      </c>
      <c r="X1484" s="77">
        <f t="shared" ref="X1484:X1497" si="425">ABS((V1484-W1484)/V1484)*100</f>
        <v>0.1786403053</v>
      </c>
    </row>
    <row r="1485">
      <c r="B1485" s="3" t="s">
        <v>463</v>
      </c>
      <c r="C1485" s="3">
        <v>2.0</v>
      </c>
      <c r="D1485" s="3">
        <v>9413951.0</v>
      </c>
      <c r="E1485" s="3">
        <v>3490484.0</v>
      </c>
      <c r="F1485" s="30">
        <f t="shared" si="417"/>
        <v>12904435</v>
      </c>
      <c r="G1485" s="30">
        <f t="shared" si="418"/>
        <v>12500000</v>
      </c>
      <c r="H1485" s="77">
        <f t="shared" si="419"/>
        <v>3.134077548</v>
      </c>
      <c r="J1485" s="3" t="s">
        <v>463</v>
      </c>
      <c r="K1485" s="3">
        <v>2.0</v>
      </c>
      <c r="L1485" s="3">
        <v>9385480.0</v>
      </c>
      <c r="M1485" s="3">
        <v>3136342.0</v>
      </c>
      <c r="N1485" s="30">
        <f t="shared" si="420"/>
        <v>12521822</v>
      </c>
      <c r="O1485" s="30">
        <f t="shared" si="421"/>
        <v>12500000</v>
      </c>
      <c r="P1485" s="77">
        <f t="shared" si="422"/>
        <v>0.1742717633</v>
      </c>
      <c r="R1485" s="3" t="s">
        <v>463</v>
      </c>
      <c r="S1485" s="3">
        <v>2.0</v>
      </c>
      <c r="T1485" s="3">
        <v>9374520.0</v>
      </c>
      <c r="U1485" s="3">
        <v>3135614.0</v>
      </c>
      <c r="V1485" s="30">
        <f t="shared" si="423"/>
        <v>12510134</v>
      </c>
      <c r="W1485" s="30">
        <f t="shared" si="424"/>
        <v>12500000</v>
      </c>
      <c r="X1485" s="77">
        <f t="shared" si="425"/>
        <v>0.08100632655</v>
      </c>
    </row>
    <row r="1486">
      <c r="B1486" s="3" t="s">
        <v>463</v>
      </c>
      <c r="C1486" s="3">
        <v>4.0</v>
      </c>
      <c r="D1486" s="3">
        <v>9402849.0</v>
      </c>
      <c r="E1486" s="3">
        <v>3485784.0</v>
      </c>
      <c r="F1486" s="30">
        <f t="shared" si="417"/>
        <v>12888633</v>
      </c>
      <c r="G1486" s="30">
        <f t="shared" si="418"/>
        <v>12500000</v>
      </c>
      <c r="H1486" s="77">
        <f t="shared" si="419"/>
        <v>3.015315899</v>
      </c>
      <c r="J1486" s="3" t="s">
        <v>463</v>
      </c>
      <c r="K1486" s="3">
        <v>4.0</v>
      </c>
      <c r="L1486" s="3">
        <v>9385843.0</v>
      </c>
      <c r="M1486" s="3">
        <v>3139500.0</v>
      </c>
      <c r="N1486" s="30">
        <f t="shared" si="420"/>
        <v>12525343</v>
      </c>
      <c r="O1486" s="30">
        <f t="shared" si="421"/>
        <v>12500000</v>
      </c>
      <c r="P1486" s="77">
        <f t="shared" si="422"/>
        <v>0.2023337804</v>
      </c>
      <c r="R1486" s="3" t="s">
        <v>463</v>
      </c>
      <c r="S1486" s="3">
        <v>4.0</v>
      </c>
      <c r="T1486" s="3">
        <v>9372719.0</v>
      </c>
      <c r="U1486" s="3">
        <v>3130821.0</v>
      </c>
      <c r="V1486" s="30">
        <f t="shared" si="423"/>
        <v>12503540</v>
      </c>
      <c r="W1486" s="30">
        <f t="shared" si="424"/>
        <v>12500000</v>
      </c>
      <c r="X1486" s="77">
        <f t="shared" si="425"/>
        <v>0.02831198205</v>
      </c>
    </row>
    <row r="1487">
      <c r="B1487" s="3" t="s">
        <v>463</v>
      </c>
      <c r="C1487" s="3">
        <v>8.0</v>
      </c>
      <c r="D1487" s="3">
        <v>9403848.0</v>
      </c>
      <c r="E1487" s="3">
        <v>3481372.0</v>
      </c>
      <c r="F1487" s="30">
        <f t="shared" si="417"/>
        <v>12885220</v>
      </c>
      <c r="G1487" s="30">
        <f t="shared" si="418"/>
        <v>12500000</v>
      </c>
      <c r="H1487" s="77">
        <f t="shared" si="419"/>
        <v>2.989626875</v>
      </c>
      <c r="J1487" s="3" t="s">
        <v>463</v>
      </c>
      <c r="K1487" s="3">
        <v>8.0</v>
      </c>
      <c r="L1487" s="3">
        <v>9388201.0</v>
      </c>
      <c r="M1487" s="3">
        <v>3140249.0</v>
      </c>
      <c r="N1487" s="30">
        <f t="shared" si="420"/>
        <v>12528450</v>
      </c>
      <c r="O1487" s="30">
        <f t="shared" si="421"/>
        <v>12500000</v>
      </c>
      <c r="P1487" s="77">
        <f t="shared" si="422"/>
        <v>0.2270831587</v>
      </c>
      <c r="R1487" s="3" t="s">
        <v>463</v>
      </c>
      <c r="S1487" s="3">
        <v>8.0</v>
      </c>
      <c r="T1487" s="3">
        <v>9376562.0</v>
      </c>
      <c r="U1487" s="3">
        <v>3133833.0</v>
      </c>
      <c r="V1487" s="30">
        <f t="shared" si="423"/>
        <v>12510395</v>
      </c>
      <c r="W1487" s="30">
        <f t="shared" si="424"/>
        <v>12500000</v>
      </c>
      <c r="X1487" s="77">
        <f t="shared" si="425"/>
        <v>0.08309090161</v>
      </c>
    </row>
    <row r="1488">
      <c r="B1488" s="3" t="s">
        <v>463</v>
      </c>
      <c r="C1488" s="3">
        <v>16.0</v>
      </c>
      <c r="D1488" s="3">
        <v>9401942.0</v>
      </c>
      <c r="E1488" s="3">
        <v>3483617.0</v>
      </c>
      <c r="F1488" s="30">
        <f t="shared" si="417"/>
        <v>12885559</v>
      </c>
      <c r="G1488" s="30">
        <f t="shared" si="418"/>
        <v>12500000</v>
      </c>
      <c r="H1488" s="77">
        <f t="shared" si="419"/>
        <v>2.992179074</v>
      </c>
      <c r="J1488" s="3" t="s">
        <v>463</v>
      </c>
      <c r="K1488" s="3">
        <v>16.0</v>
      </c>
      <c r="L1488" s="3">
        <v>9384090.0</v>
      </c>
      <c r="M1488" s="3">
        <v>3134194.0</v>
      </c>
      <c r="N1488" s="30">
        <f t="shared" si="420"/>
        <v>12518284</v>
      </c>
      <c r="O1488" s="30">
        <f t="shared" si="421"/>
        <v>12500000</v>
      </c>
      <c r="P1488" s="77">
        <f t="shared" si="422"/>
        <v>0.1460583575</v>
      </c>
      <c r="R1488" s="3" t="s">
        <v>463</v>
      </c>
      <c r="S1488" s="3">
        <v>16.0</v>
      </c>
      <c r="T1488" s="3">
        <v>9360066.0</v>
      </c>
      <c r="U1488" s="3">
        <v>3126392.0</v>
      </c>
      <c r="V1488" s="30">
        <f t="shared" si="423"/>
        <v>12486458</v>
      </c>
      <c r="W1488" s="30">
        <f t="shared" si="424"/>
        <v>12500000</v>
      </c>
      <c r="X1488" s="77">
        <f t="shared" si="425"/>
        <v>0.1084534942</v>
      </c>
    </row>
    <row r="1489">
      <c r="B1489" s="3" t="s">
        <v>463</v>
      </c>
      <c r="C1489" s="3">
        <v>32.0</v>
      </c>
      <c r="D1489" s="3">
        <v>9310510.0</v>
      </c>
      <c r="E1489" s="3">
        <v>2062962.0</v>
      </c>
      <c r="F1489" s="30">
        <f t="shared" si="417"/>
        <v>11373472</v>
      </c>
      <c r="G1489" s="30">
        <f t="shared" si="418"/>
        <v>10937500</v>
      </c>
      <c r="H1489" s="77">
        <f t="shared" si="419"/>
        <v>3.833235796</v>
      </c>
      <c r="J1489" s="3" t="s">
        <v>463</v>
      </c>
      <c r="K1489" s="3">
        <v>32.0</v>
      </c>
      <c r="L1489" s="3">
        <v>8268654.0</v>
      </c>
      <c r="M1489" s="3">
        <v>1576635.0</v>
      </c>
      <c r="N1489" s="30">
        <f t="shared" si="420"/>
        <v>9845289</v>
      </c>
      <c r="O1489" s="30">
        <f t="shared" si="421"/>
        <v>10937500</v>
      </c>
      <c r="P1489" s="77">
        <f t="shared" si="422"/>
        <v>11.0937424</v>
      </c>
      <c r="R1489" s="3" t="s">
        <v>463</v>
      </c>
      <c r="S1489" s="3">
        <v>32.0</v>
      </c>
      <c r="T1489" s="3">
        <v>8303014.0</v>
      </c>
      <c r="U1489" s="3">
        <v>1575672.0</v>
      </c>
      <c r="V1489" s="30">
        <f t="shared" si="423"/>
        <v>9878686</v>
      </c>
      <c r="W1489" s="30">
        <f t="shared" si="424"/>
        <v>10937500</v>
      </c>
      <c r="X1489" s="77">
        <f t="shared" si="425"/>
        <v>10.71816636</v>
      </c>
    </row>
    <row r="1490">
      <c r="B1490" s="3" t="s">
        <v>463</v>
      </c>
      <c r="C1490" s="3">
        <v>64.0</v>
      </c>
      <c r="D1490" s="3">
        <v>7086215.0</v>
      </c>
      <c r="E1490" s="3">
        <v>1226788.0</v>
      </c>
      <c r="F1490" s="30">
        <f t="shared" si="417"/>
        <v>8313003</v>
      </c>
      <c r="G1490" s="30">
        <f t="shared" si="418"/>
        <v>7812500</v>
      </c>
      <c r="H1490" s="77">
        <f t="shared" si="419"/>
        <v>6.0207244</v>
      </c>
      <c r="J1490" s="3" t="s">
        <v>463</v>
      </c>
      <c r="K1490" s="3">
        <v>64.0</v>
      </c>
      <c r="L1490" s="3">
        <v>5647772.0</v>
      </c>
      <c r="M1490" s="3">
        <v>800588.0</v>
      </c>
      <c r="N1490" s="30">
        <f t="shared" si="420"/>
        <v>6448360</v>
      </c>
      <c r="O1490" s="30">
        <f t="shared" si="421"/>
        <v>7812500</v>
      </c>
      <c r="P1490" s="77">
        <f t="shared" si="422"/>
        <v>21.15483627</v>
      </c>
      <c r="R1490" s="3" t="s">
        <v>463</v>
      </c>
      <c r="S1490" s="3">
        <v>64.0</v>
      </c>
      <c r="T1490" s="3">
        <v>5478421.0</v>
      </c>
      <c r="U1490" s="3">
        <v>793329.0</v>
      </c>
      <c r="V1490" s="30">
        <f t="shared" si="423"/>
        <v>6271750</v>
      </c>
      <c r="W1490" s="30">
        <f t="shared" si="424"/>
        <v>7812500</v>
      </c>
      <c r="X1490" s="77">
        <f t="shared" si="425"/>
        <v>24.56650855</v>
      </c>
    </row>
    <row r="1491">
      <c r="B1491" s="3" t="s">
        <v>463</v>
      </c>
      <c r="C1491" s="3">
        <v>128.0</v>
      </c>
      <c r="D1491" s="3">
        <v>1183245.0</v>
      </c>
      <c r="E1491" s="3">
        <v>440063.0</v>
      </c>
      <c r="F1491" s="30">
        <f t="shared" si="417"/>
        <v>1623308</v>
      </c>
      <c r="G1491" s="30">
        <f t="shared" si="418"/>
        <v>1562500</v>
      </c>
      <c r="H1491" s="77">
        <f t="shared" si="419"/>
        <v>3.745931148</v>
      </c>
      <c r="J1491" s="3" t="s">
        <v>463</v>
      </c>
      <c r="K1491" s="3">
        <v>128.0</v>
      </c>
      <c r="L1491" s="3">
        <v>1474686.0</v>
      </c>
      <c r="M1491" s="3">
        <v>396526.0</v>
      </c>
      <c r="N1491" s="30">
        <f t="shared" si="420"/>
        <v>1871212</v>
      </c>
      <c r="O1491" s="30">
        <f t="shared" si="421"/>
        <v>1562500</v>
      </c>
      <c r="P1491" s="77">
        <f t="shared" si="422"/>
        <v>16.4979703</v>
      </c>
      <c r="R1491" s="3" t="s">
        <v>463</v>
      </c>
      <c r="S1491" s="3">
        <v>128.0</v>
      </c>
      <c r="T1491" s="3">
        <v>1470927.0</v>
      </c>
      <c r="U1491" s="3">
        <v>394970.0</v>
      </c>
      <c r="V1491" s="30">
        <f t="shared" si="423"/>
        <v>1865897</v>
      </c>
      <c r="W1491" s="30">
        <f t="shared" si="424"/>
        <v>1562500</v>
      </c>
      <c r="X1491" s="77">
        <f t="shared" si="425"/>
        <v>16.26011511</v>
      </c>
    </row>
    <row r="1492">
      <c r="B1492" s="3" t="s">
        <v>463</v>
      </c>
      <c r="C1492" s="3">
        <v>256.0</v>
      </c>
      <c r="D1492" s="3">
        <v>592758.0</v>
      </c>
      <c r="E1492" s="3">
        <v>220250.0</v>
      </c>
      <c r="F1492" s="30">
        <f t="shared" si="417"/>
        <v>813008</v>
      </c>
      <c r="G1492" s="30">
        <f t="shared" si="418"/>
        <v>781250</v>
      </c>
      <c r="H1492" s="77">
        <f t="shared" si="419"/>
        <v>3.906234625</v>
      </c>
      <c r="J1492" s="3" t="s">
        <v>463</v>
      </c>
      <c r="K1492" s="3">
        <v>256.0</v>
      </c>
      <c r="L1492" s="3">
        <v>588058.0</v>
      </c>
      <c r="M1492" s="3">
        <v>195872.0</v>
      </c>
      <c r="N1492" s="30">
        <f t="shared" si="420"/>
        <v>783930</v>
      </c>
      <c r="O1492" s="30">
        <f t="shared" si="421"/>
        <v>781250</v>
      </c>
      <c r="P1492" s="77">
        <f t="shared" si="422"/>
        <v>0.3418672586</v>
      </c>
      <c r="R1492" s="3" t="s">
        <v>463</v>
      </c>
      <c r="S1492" s="3">
        <v>256.0</v>
      </c>
      <c r="T1492" s="3">
        <v>585582.0</v>
      </c>
      <c r="U1492" s="3">
        <v>196257.0</v>
      </c>
      <c r="V1492" s="30">
        <f t="shared" si="423"/>
        <v>781839</v>
      </c>
      <c r="W1492" s="30">
        <f t="shared" si="424"/>
        <v>781250</v>
      </c>
      <c r="X1492" s="77">
        <f t="shared" si="425"/>
        <v>0.07533520328</v>
      </c>
    </row>
    <row r="1493">
      <c r="B1493" s="3" t="s">
        <v>463</v>
      </c>
      <c r="C1493" s="3">
        <v>512.0</v>
      </c>
      <c r="D1493" s="3">
        <v>299322.0</v>
      </c>
      <c r="E1493" s="3">
        <v>113049.0</v>
      </c>
      <c r="F1493" s="30">
        <f t="shared" si="417"/>
        <v>412371</v>
      </c>
      <c r="G1493" s="30">
        <f t="shared" si="418"/>
        <v>390625</v>
      </c>
      <c r="H1493" s="77">
        <f t="shared" si="419"/>
        <v>5.273406714</v>
      </c>
      <c r="J1493" s="3" t="s">
        <v>463</v>
      </c>
      <c r="K1493" s="3">
        <v>512.0</v>
      </c>
      <c r="L1493" s="3">
        <v>294196.0</v>
      </c>
      <c r="M1493" s="3">
        <v>98112.0</v>
      </c>
      <c r="N1493" s="30">
        <f t="shared" si="420"/>
        <v>392308</v>
      </c>
      <c r="O1493" s="30">
        <f t="shared" si="421"/>
        <v>390625</v>
      </c>
      <c r="P1493" s="77">
        <f t="shared" si="422"/>
        <v>0.4289996635</v>
      </c>
      <c r="R1493" s="3" t="s">
        <v>463</v>
      </c>
      <c r="S1493" s="3">
        <v>512.0</v>
      </c>
      <c r="T1493" s="3">
        <v>292221.0</v>
      </c>
      <c r="U1493" s="3">
        <v>98270.0</v>
      </c>
      <c r="V1493" s="30">
        <f t="shared" si="423"/>
        <v>390491</v>
      </c>
      <c r="W1493" s="30">
        <f t="shared" si="424"/>
        <v>390625</v>
      </c>
      <c r="X1493" s="77">
        <f t="shared" si="425"/>
        <v>0.03431577168</v>
      </c>
    </row>
    <row r="1494">
      <c r="B1494" s="3" t="s">
        <v>463</v>
      </c>
      <c r="C1494" s="3">
        <v>1024.0</v>
      </c>
      <c r="D1494" s="3">
        <v>149372.0</v>
      </c>
      <c r="E1494" s="3">
        <v>55970.0</v>
      </c>
      <c r="F1494" s="30">
        <f t="shared" si="417"/>
        <v>205342</v>
      </c>
      <c r="G1494" s="30">
        <f t="shared" si="418"/>
        <v>195312.5</v>
      </c>
      <c r="H1494" s="77">
        <f t="shared" si="419"/>
        <v>4.884290598</v>
      </c>
      <c r="J1494" s="3" t="s">
        <v>463</v>
      </c>
      <c r="K1494" s="3">
        <v>1024.0</v>
      </c>
      <c r="L1494" s="3">
        <v>147866.0</v>
      </c>
      <c r="M1494" s="3">
        <v>49319.0</v>
      </c>
      <c r="N1494" s="30">
        <f t="shared" si="420"/>
        <v>197185</v>
      </c>
      <c r="O1494" s="30">
        <f t="shared" si="421"/>
        <v>195312.5</v>
      </c>
      <c r="P1494" s="77">
        <f t="shared" si="422"/>
        <v>0.949615843</v>
      </c>
      <c r="R1494" s="3" t="s">
        <v>463</v>
      </c>
      <c r="S1494" s="3">
        <v>1024.0</v>
      </c>
      <c r="T1494" s="3">
        <v>145680.0</v>
      </c>
      <c r="U1494" s="3">
        <v>49491.0</v>
      </c>
      <c r="V1494" s="30">
        <f t="shared" si="423"/>
        <v>195171</v>
      </c>
      <c r="W1494" s="30">
        <f t="shared" si="424"/>
        <v>195312.5</v>
      </c>
      <c r="X1494" s="77">
        <f t="shared" si="425"/>
        <v>0.07250052518</v>
      </c>
    </row>
    <row r="1495">
      <c r="B1495" s="3" t="s">
        <v>463</v>
      </c>
      <c r="C1495" s="3">
        <v>2048.0</v>
      </c>
      <c r="D1495" s="3">
        <v>75741.0</v>
      </c>
      <c r="E1495" s="3">
        <v>32676.0</v>
      </c>
      <c r="F1495" s="30">
        <f t="shared" si="417"/>
        <v>108417</v>
      </c>
      <c r="G1495" s="30">
        <f t="shared" si="418"/>
        <v>97656.25</v>
      </c>
      <c r="H1495" s="77">
        <f t="shared" si="419"/>
        <v>9.925334588</v>
      </c>
      <c r="J1495" s="3" t="s">
        <v>463</v>
      </c>
      <c r="K1495" s="3">
        <v>2048.0</v>
      </c>
      <c r="L1495" s="3">
        <v>74686.0</v>
      </c>
      <c r="M1495" s="3">
        <v>25346.0</v>
      </c>
      <c r="N1495" s="30">
        <f t="shared" si="420"/>
        <v>100032</v>
      </c>
      <c r="O1495" s="30">
        <f t="shared" si="421"/>
        <v>97656.25</v>
      </c>
      <c r="P1495" s="77">
        <f t="shared" si="422"/>
        <v>2.374990003</v>
      </c>
      <c r="R1495" s="3" t="s">
        <v>463</v>
      </c>
      <c r="S1495" s="3">
        <v>2048.0</v>
      </c>
      <c r="T1495" s="3">
        <v>73067.0</v>
      </c>
      <c r="U1495" s="3">
        <v>25113.0</v>
      </c>
      <c r="V1495" s="30">
        <f t="shared" si="423"/>
        <v>98180</v>
      </c>
      <c r="W1495" s="30">
        <f t="shared" si="424"/>
        <v>97656.25</v>
      </c>
      <c r="X1495" s="77">
        <f t="shared" si="425"/>
        <v>0.5334589529</v>
      </c>
    </row>
    <row r="1496">
      <c r="B1496" s="3" t="s">
        <v>463</v>
      </c>
      <c r="C1496" s="3">
        <v>4096.0</v>
      </c>
      <c r="D1496" s="3">
        <v>37932.0</v>
      </c>
      <c r="E1496" s="3">
        <v>18170.0</v>
      </c>
      <c r="F1496" s="30">
        <f t="shared" si="417"/>
        <v>56102</v>
      </c>
      <c r="G1496" s="30">
        <f t="shared" si="418"/>
        <v>48828.125</v>
      </c>
      <c r="H1496" s="77">
        <f t="shared" si="419"/>
        <v>12.96544686</v>
      </c>
      <c r="J1496" s="3" t="s">
        <v>463</v>
      </c>
      <c r="K1496" s="3">
        <v>4096.0</v>
      </c>
      <c r="L1496" s="3">
        <v>37709.0</v>
      </c>
      <c r="M1496" s="3">
        <v>13018.0</v>
      </c>
      <c r="N1496" s="30">
        <f t="shared" si="420"/>
        <v>50727</v>
      </c>
      <c r="O1496" s="30">
        <f t="shared" si="421"/>
        <v>48828.125</v>
      </c>
      <c r="P1496" s="77">
        <f t="shared" si="422"/>
        <v>3.743322097</v>
      </c>
      <c r="R1496" s="3" t="s">
        <v>463</v>
      </c>
      <c r="S1496" s="3">
        <v>4096.0</v>
      </c>
      <c r="T1496" s="3">
        <v>36775.0</v>
      </c>
      <c r="U1496" s="3">
        <v>12885.0</v>
      </c>
      <c r="V1496" s="30">
        <f t="shared" si="423"/>
        <v>49660</v>
      </c>
      <c r="W1496" s="30">
        <f t="shared" si="424"/>
        <v>48828.125</v>
      </c>
      <c r="X1496" s="77">
        <f t="shared" si="425"/>
        <v>1.675140959</v>
      </c>
    </row>
    <row r="1497">
      <c r="B1497" s="3" t="s">
        <v>463</v>
      </c>
      <c r="C1497" s="3">
        <v>8192.0</v>
      </c>
      <c r="D1497" s="3">
        <v>19420.0</v>
      </c>
      <c r="E1497" s="3">
        <v>9545.0</v>
      </c>
      <c r="F1497" s="30">
        <f t="shared" si="417"/>
        <v>28965</v>
      </c>
      <c r="G1497" s="30">
        <f t="shared" si="418"/>
        <v>24414.0625</v>
      </c>
      <c r="H1497" s="77">
        <f t="shared" si="419"/>
        <v>15.71185051</v>
      </c>
      <c r="J1497" s="3" t="s">
        <v>463</v>
      </c>
      <c r="K1497" s="3">
        <v>8192.0</v>
      </c>
      <c r="L1497" s="3">
        <v>18922.0</v>
      </c>
      <c r="M1497" s="3">
        <v>7108.0</v>
      </c>
      <c r="N1497" s="30">
        <f t="shared" si="420"/>
        <v>26030</v>
      </c>
      <c r="O1497" s="30">
        <f t="shared" si="421"/>
        <v>24414.0625</v>
      </c>
      <c r="P1497" s="77">
        <f t="shared" si="422"/>
        <v>6.207981176</v>
      </c>
      <c r="R1497" s="3" t="s">
        <v>463</v>
      </c>
      <c r="S1497" s="3">
        <v>8192.0</v>
      </c>
      <c r="T1497" s="3">
        <v>18784.0</v>
      </c>
      <c r="U1497" s="3">
        <v>6663.0</v>
      </c>
      <c r="V1497" s="30">
        <f t="shared" si="423"/>
        <v>25447</v>
      </c>
      <c r="W1497" s="30">
        <f t="shared" si="424"/>
        <v>24414.0625</v>
      </c>
      <c r="X1497" s="77">
        <f t="shared" si="425"/>
        <v>4.059172005</v>
      </c>
    </row>
    <row r="1498">
      <c r="E1498" s="3"/>
    </row>
    <row r="1499">
      <c r="E1499" s="3"/>
    </row>
    <row r="1500">
      <c r="E1500" s="3"/>
    </row>
    <row r="1501">
      <c r="C1501" s="3" t="s">
        <v>324</v>
      </c>
      <c r="D1501" s="3" t="s">
        <v>534</v>
      </c>
      <c r="E1501" s="3" t="s">
        <v>535</v>
      </c>
      <c r="F1501" s="3" t="s">
        <v>536</v>
      </c>
    </row>
    <row r="1502">
      <c r="C1502" s="3">
        <v>1.0</v>
      </c>
      <c r="D1502" s="77">
        <f t="shared" ref="D1502:D1515" si="426">H1484</f>
        <v>3.546904407</v>
      </c>
      <c r="E1502" s="81">
        <f t="shared" ref="E1502:E1515" si="427">P1484</f>
        <v>0.184212033</v>
      </c>
      <c r="F1502" s="77">
        <f t="shared" ref="F1502:F1515" si="428">X1484</f>
        <v>0.1786403053</v>
      </c>
      <c r="H1502" s="30" t="str">
        <f>D1501&amp;"=["&amp;D1502&amp;", "&amp;D1503&amp;", "&amp;D1504&amp;", "&amp;D1505&amp;", "&amp;D1506&amp;", "&amp;D1507&amp;", "&amp;D1508&amp;", "&amp;D1509&amp;", "&amp;D1510&amp;", "&amp;D1511&amp;", "&amp;D1512&amp;", "&amp;D1513&amp;", "&amp;D1514&amp;", "&amp;D1515&amp;"]"</f>
        <v>bwell=[3.54690440734318, 3.13407754775781, 3.01531589890099, 2.98962687482247, 2.99217907426445, 3.83323579642171, 6.0207244000754, 3.74593114800149, 3.90623462499754, 5.27340671385718, 4.88429059812411, 9.92533458774915, 12.9654468646394, 15.7118505092353]</v>
      </c>
    </row>
    <row r="1503">
      <c r="C1503" s="3">
        <v>2.0</v>
      </c>
      <c r="D1503" s="77">
        <f t="shared" si="426"/>
        <v>3.134077548</v>
      </c>
      <c r="E1503" s="81">
        <f t="shared" si="427"/>
        <v>0.1742717633</v>
      </c>
      <c r="F1503" s="77">
        <f t="shared" si="428"/>
        <v>0.08100632655</v>
      </c>
      <c r="H1503" s="82" t="str">
        <f>E1501&amp;"=["&amp;E1502&amp;", "&amp;E1503&amp;", "&amp;E1504&amp;", "&amp;E1505&amp;", "&amp;E1506&amp;", "&amp;E1507&amp;", "&amp;E1508&amp;", "&amp;E1509&amp;", "&amp;E1510&amp;", "&amp;E1511&amp;", "&amp;E1512&amp;", "&amp;E1513&amp;", "&amp;E1514&amp;", "&amp;E1515&amp;"]"</f>
        <v>slake=[0.184212033008842, 0.174271763326455, 0.202333780400265, 0.227083158730729, 0.146058357519289, 11.0937423980139, 21.1548362684466, 16.4979702994637, 0.341867258556249, 0.428999663529676, 0.949615842990085, 2.37499000319898, 3.74332209671378, 6.20798117556665]</v>
      </c>
    </row>
    <row r="1504">
      <c r="C1504" s="3">
        <v>4.0</v>
      </c>
      <c r="D1504" s="77">
        <f t="shared" si="426"/>
        <v>3.015315899</v>
      </c>
      <c r="E1504" s="81">
        <f t="shared" si="427"/>
        <v>0.2023337804</v>
      </c>
      <c r="F1504" s="77">
        <f t="shared" si="428"/>
        <v>0.02831198205</v>
      </c>
      <c r="H1504" s="82" t="str">
        <f>F1501&amp;"=["&amp;F1502&amp;", "&amp;F1503&amp;", "&amp;F1504&amp;", "&amp;F1505&amp;", "&amp;F1506&amp;", "&amp;F1507&amp;", "&amp;F1508&amp;", "&amp;F1509&amp;", "&amp;F1510&amp;", "&amp;F1511&amp;", "&amp;F1512&amp;", "&amp;F1513&amp;", "&amp;F1514&amp;", "&amp;F1515&amp;"]"</f>
        <v>clake=[0.178640305309618, 0.0810063265509386, 0.0283119820466844, 0.0830909016062243, 0.108453494177452, 10.7181663634212, 24.5665085502451, 16.2601151081759, 0.0753352032835405, 0.0343157716823179, 0.0725005251804828, 0.533458952943573, 1.67514095851792, 4.05917200455849]</v>
      </c>
    </row>
    <row r="1505">
      <c r="C1505" s="3">
        <v>8.0</v>
      </c>
      <c r="D1505" s="77">
        <f t="shared" si="426"/>
        <v>2.989626875</v>
      </c>
      <c r="E1505" s="81">
        <f t="shared" si="427"/>
        <v>0.2270831587</v>
      </c>
      <c r="F1505" s="77">
        <f t="shared" si="428"/>
        <v>0.08309090161</v>
      </c>
    </row>
    <row r="1506">
      <c r="C1506" s="3">
        <v>16.0</v>
      </c>
      <c r="D1506" s="77">
        <f t="shared" si="426"/>
        <v>2.992179074</v>
      </c>
      <c r="E1506" s="81">
        <f t="shared" si="427"/>
        <v>0.1460583575</v>
      </c>
      <c r="F1506" s="77">
        <f t="shared" si="428"/>
        <v>0.1084534942</v>
      </c>
    </row>
    <row r="1507">
      <c r="C1507" s="3">
        <v>32.0</v>
      </c>
      <c r="D1507" s="77">
        <f t="shared" si="426"/>
        <v>3.833235796</v>
      </c>
      <c r="E1507" s="81">
        <f t="shared" si="427"/>
        <v>11.0937424</v>
      </c>
      <c r="F1507" s="77">
        <f t="shared" si="428"/>
        <v>10.71816636</v>
      </c>
    </row>
    <row r="1508">
      <c r="C1508" s="3">
        <v>64.0</v>
      </c>
      <c r="D1508" s="77">
        <f t="shared" si="426"/>
        <v>6.0207244</v>
      </c>
      <c r="E1508" s="81">
        <f t="shared" si="427"/>
        <v>21.15483627</v>
      </c>
      <c r="F1508" s="77">
        <f t="shared" si="428"/>
        <v>24.56650855</v>
      </c>
    </row>
    <row r="1509">
      <c r="C1509" s="3">
        <v>128.0</v>
      </c>
      <c r="D1509" s="77">
        <f t="shared" si="426"/>
        <v>3.745931148</v>
      </c>
      <c r="E1509" s="81">
        <f t="shared" si="427"/>
        <v>16.4979703</v>
      </c>
      <c r="F1509" s="77">
        <f t="shared" si="428"/>
        <v>16.26011511</v>
      </c>
    </row>
    <row r="1510">
      <c r="C1510" s="3">
        <v>256.0</v>
      </c>
      <c r="D1510" s="77">
        <f t="shared" si="426"/>
        <v>3.906234625</v>
      </c>
      <c r="E1510" s="81">
        <f t="shared" si="427"/>
        <v>0.3418672586</v>
      </c>
      <c r="F1510" s="77">
        <f t="shared" si="428"/>
        <v>0.07533520328</v>
      </c>
      <c r="U1510" s="83"/>
      <c r="V1510" s="84"/>
      <c r="W1510" s="83"/>
      <c r="X1510" s="83"/>
    </row>
    <row r="1511">
      <c r="C1511" s="3">
        <v>512.0</v>
      </c>
      <c r="D1511" s="77">
        <f t="shared" si="426"/>
        <v>5.273406714</v>
      </c>
      <c r="E1511" s="81">
        <f t="shared" si="427"/>
        <v>0.4289996635</v>
      </c>
      <c r="F1511" s="77">
        <f t="shared" si="428"/>
        <v>0.03431577168</v>
      </c>
      <c r="U1511" s="83"/>
      <c r="V1511" s="83"/>
      <c r="W1511" s="83"/>
      <c r="X1511" s="83"/>
    </row>
    <row r="1512">
      <c r="C1512" s="3">
        <v>1024.0</v>
      </c>
      <c r="D1512" s="77">
        <f t="shared" si="426"/>
        <v>4.884290598</v>
      </c>
      <c r="E1512" s="81">
        <f t="shared" si="427"/>
        <v>0.949615843</v>
      </c>
      <c r="F1512" s="77">
        <f t="shared" si="428"/>
        <v>0.07250052518</v>
      </c>
      <c r="U1512" s="83"/>
      <c r="V1512" s="83"/>
      <c r="W1512" s="85"/>
      <c r="X1512" s="83"/>
    </row>
    <row r="1513">
      <c r="C1513" s="3">
        <v>2048.0</v>
      </c>
      <c r="D1513" s="77">
        <f t="shared" si="426"/>
        <v>9.925334588</v>
      </c>
      <c r="E1513" s="81">
        <f t="shared" si="427"/>
        <v>2.374990003</v>
      </c>
      <c r="F1513" s="77">
        <f t="shared" si="428"/>
        <v>0.5334589529</v>
      </c>
      <c r="U1513" s="86"/>
      <c r="V1513" s="88"/>
      <c r="W1513" s="88"/>
      <c r="X1513" s="88"/>
    </row>
    <row r="1514">
      <c r="C1514" s="3">
        <v>4096.0</v>
      </c>
      <c r="D1514" s="77">
        <f t="shared" si="426"/>
        <v>12.96544686</v>
      </c>
      <c r="E1514" s="81">
        <f t="shared" si="427"/>
        <v>3.743322097</v>
      </c>
      <c r="F1514" s="77">
        <f t="shared" si="428"/>
        <v>1.675140959</v>
      </c>
      <c r="U1514" s="86"/>
      <c r="V1514" s="88"/>
      <c r="W1514" s="88"/>
      <c r="X1514" s="88"/>
    </row>
    <row r="1515">
      <c r="C1515" s="3">
        <v>8192.0</v>
      </c>
      <c r="D1515" s="77">
        <f t="shared" si="426"/>
        <v>15.71185051</v>
      </c>
      <c r="E1515" s="81">
        <f t="shared" si="427"/>
        <v>6.207981176</v>
      </c>
      <c r="F1515" s="77">
        <f t="shared" si="428"/>
        <v>4.059172005</v>
      </c>
      <c r="U1515" s="86"/>
      <c r="V1515" s="88"/>
      <c r="W1515" s="88"/>
      <c r="X1515" s="88"/>
    </row>
    <row r="1516">
      <c r="A1516" s="3" t="s">
        <v>525</v>
      </c>
      <c r="E1516" s="3"/>
    </row>
    <row r="1517">
      <c r="A1517" s="3" t="s">
        <v>538</v>
      </c>
      <c r="B1517" s="3" t="s">
        <v>459</v>
      </c>
      <c r="C1517" s="3" t="s">
        <v>447</v>
      </c>
      <c r="D1517" s="3" t="s">
        <v>515</v>
      </c>
      <c r="E1517" s="3" t="s">
        <v>526</v>
      </c>
      <c r="F1517" s="3" t="s">
        <v>527</v>
      </c>
      <c r="G1517" s="3" t="s">
        <v>528</v>
      </c>
      <c r="H1517" s="3" t="s">
        <v>529</v>
      </c>
    </row>
    <row r="1518">
      <c r="A1518" s="3">
        <v>5000000.0</v>
      </c>
      <c r="B1518" s="3">
        <f>A1518</f>
        <v>5000000</v>
      </c>
      <c r="C1518" s="3">
        <v>1.0</v>
      </c>
      <c r="D1518" s="66">
        <f t="shared" ref="D1518:D1531" si="429">B1518/C1518</f>
        <v>5000000</v>
      </c>
      <c r="E1518" s="30">
        <f>D1518/64*4</f>
        <v>312500</v>
      </c>
      <c r="F1518" s="30">
        <f t="shared" ref="F1518:F1523" si="430">E1518*3</f>
        <v>937500</v>
      </c>
      <c r="G1518" s="30">
        <f t="shared" ref="G1518:G1522" si="431">E1518</f>
        <v>312500</v>
      </c>
      <c r="H1518" s="30">
        <f t="shared" ref="H1518:H1531" si="432">F1518+G1518</f>
        <v>1250000</v>
      </c>
    </row>
    <row r="1519">
      <c r="B1519" s="3">
        <f t="shared" ref="B1519:B1531" si="433">B1518</f>
        <v>5000000</v>
      </c>
      <c r="C1519" s="3">
        <v>2.0</v>
      </c>
      <c r="D1519" s="66">
        <f t="shared" si="429"/>
        <v>2500000</v>
      </c>
      <c r="E1519" s="30">
        <f t="shared" ref="E1519:E1523" si="434">E1518</f>
        <v>312500</v>
      </c>
      <c r="F1519" s="30">
        <f t="shared" si="430"/>
        <v>937500</v>
      </c>
      <c r="G1519" s="30">
        <f t="shared" si="431"/>
        <v>312500</v>
      </c>
      <c r="H1519" s="30">
        <f t="shared" si="432"/>
        <v>1250000</v>
      </c>
    </row>
    <row r="1520">
      <c r="B1520" s="3">
        <f t="shared" si="433"/>
        <v>5000000</v>
      </c>
      <c r="C1520" s="3">
        <v>4.0</v>
      </c>
      <c r="D1520" s="66">
        <f t="shared" si="429"/>
        <v>1250000</v>
      </c>
      <c r="E1520" s="30">
        <f t="shared" si="434"/>
        <v>312500</v>
      </c>
      <c r="F1520" s="30">
        <f t="shared" si="430"/>
        <v>937500</v>
      </c>
      <c r="G1520" s="30">
        <f t="shared" si="431"/>
        <v>312500</v>
      </c>
      <c r="H1520" s="30">
        <f t="shared" si="432"/>
        <v>1250000</v>
      </c>
    </row>
    <row r="1521">
      <c r="B1521" s="3">
        <f t="shared" si="433"/>
        <v>5000000</v>
      </c>
      <c r="C1521" s="3">
        <v>8.0</v>
      </c>
      <c r="D1521" s="66">
        <f t="shared" si="429"/>
        <v>625000</v>
      </c>
      <c r="E1521" s="30">
        <f t="shared" si="434"/>
        <v>312500</v>
      </c>
      <c r="F1521" s="30">
        <f t="shared" si="430"/>
        <v>937500</v>
      </c>
      <c r="G1521" s="30">
        <f t="shared" si="431"/>
        <v>312500</v>
      </c>
      <c r="H1521" s="30">
        <f t="shared" si="432"/>
        <v>1250000</v>
      </c>
    </row>
    <row r="1522">
      <c r="B1522" s="3">
        <f t="shared" si="433"/>
        <v>5000000</v>
      </c>
      <c r="C1522" s="3">
        <v>16.0</v>
      </c>
      <c r="D1522" s="66">
        <f t="shared" si="429"/>
        <v>312500</v>
      </c>
      <c r="E1522" s="30">
        <f t="shared" si="434"/>
        <v>312500</v>
      </c>
      <c r="F1522" s="30">
        <f t="shared" si="430"/>
        <v>937500</v>
      </c>
      <c r="G1522" s="30">
        <f t="shared" si="431"/>
        <v>312500</v>
      </c>
      <c r="H1522" s="30">
        <f t="shared" si="432"/>
        <v>1250000</v>
      </c>
    </row>
    <row r="1523">
      <c r="B1523" s="3">
        <f t="shared" si="433"/>
        <v>5000000</v>
      </c>
      <c r="C1523" s="3">
        <v>32.0</v>
      </c>
      <c r="D1523" s="66">
        <f t="shared" si="429"/>
        <v>156250</v>
      </c>
      <c r="E1523" s="30">
        <f t="shared" si="434"/>
        <v>312500</v>
      </c>
      <c r="F1523" s="30">
        <f t="shared" si="430"/>
        <v>937500</v>
      </c>
      <c r="G1523" s="30">
        <f t="shared" ref="G1523:G1524" si="436">G1522/2</f>
        <v>156250</v>
      </c>
      <c r="H1523" s="30">
        <f t="shared" si="432"/>
        <v>1093750</v>
      </c>
    </row>
    <row r="1524">
      <c r="B1524" s="3">
        <f t="shared" si="433"/>
        <v>5000000</v>
      </c>
      <c r="C1524" s="3">
        <v>64.0</v>
      </c>
      <c r="D1524" s="66">
        <f t="shared" si="429"/>
        <v>78125</v>
      </c>
      <c r="E1524" s="30">
        <f t="shared" ref="E1524:F1524" si="435">D1524*3</f>
        <v>234375</v>
      </c>
      <c r="F1524" s="30">
        <f t="shared" si="435"/>
        <v>703125</v>
      </c>
      <c r="G1524" s="30">
        <f t="shared" si="436"/>
        <v>78125</v>
      </c>
      <c r="H1524" s="30">
        <f t="shared" si="432"/>
        <v>781250</v>
      </c>
    </row>
    <row r="1525">
      <c r="B1525" s="3">
        <f t="shared" si="433"/>
        <v>5000000</v>
      </c>
      <c r="C1525" s="3">
        <v>128.0</v>
      </c>
      <c r="D1525" s="66">
        <f t="shared" si="429"/>
        <v>39062.5</v>
      </c>
      <c r="E1525" s="30">
        <f>E1523/8</f>
        <v>39062.5</v>
      </c>
      <c r="F1525" s="30">
        <f t="shared" ref="F1525:F1531" si="437">E1525*3</f>
        <v>117187.5</v>
      </c>
      <c r="G1525" s="30">
        <f t="shared" ref="G1525:G1531" si="438">E1525</f>
        <v>39062.5</v>
      </c>
      <c r="H1525" s="30">
        <f t="shared" si="432"/>
        <v>156250</v>
      </c>
    </row>
    <row r="1526">
      <c r="B1526" s="3">
        <f t="shared" si="433"/>
        <v>5000000</v>
      </c>
      <c r="C1526" s="3">
        <v>256.0</v>
      </c>
      <c r="D1526" s="66">
        <f t="shared" si="429"/>
        <v>19531.25</v>
      </c>
      <c r="E1526" s="30">
        <f t="shared" ref="E1526:E1531" si="439">E1525/2</f>
        <v>19531.25</v>
      </c>
      <c r="F1526" s="30">
        <f t="shared" si="437"/>
        <v>58593.75</v>
      </c>
      <c r="G1526" s="30">
        <f t="shared" si="438"/>
        <v>19531.25</v>
      </c>
      <c r="H1526" s="30">
        <f t="shared" si="432"/>
        <v>78125</v>
      </c>
    </row>
    <row r="1527">
      <c r="B1527" s="3">
        <f t="shared" si="433"/>
        <v>5000000</v>
      </c>
      <c r="C1527" s="3">
        <v>512.0</v>
      </c>
      <c r="D1527" s="66">
        <f t="shared" si="429"/>
        <v>9765.625</v>
      </c>
      <c r="E1527" s="30">
        <f t="shared" si="439"/>
        <v>9765.625</v>
      </c>
      <c r="F1527" s="30">
        <f t="shared" si="437"/>
        <v>29296.875</v>
      </c>
      <c r="G1527" s="30">
        <f t="shared" si="438"/>
        <v>9765.625</v>
      </c>
      <c r="H1527" s="30">
        <f t="shared" si="432"/>
        <v>39062.5</v>
      </c>
    </row>
    <row r="1528">
      <c r="B1528" s="3">
        <f t="shared" si="433"/>
        <v>5000000</v>
      </c>
      <c r="C1528" s="3">
        <v>1024.0</v>
      </c>
      <c r="D1528" s="66">
        <f t="shared" si="429"/>
        <v>4882.8125</v>
      </c>
      <c r="E1528" s="30">
        <f t="shared" si="439"/>
        <v>4882.8125</v>
      </c>
      <c r="F1528" s="30">
        <f t="shared" si="437"/>
        <v>14648.4375</v>
      </c>
      <c r="G1528" s="30">
        <f t="shared" si="438"/>
        <v>4882.8125</v>
      </c>
      <c r="H1528" s="30">
        <f t="shared" si="432"/>
        <v>19531.25</v>
      </c>
    </row>
    <row r="1529">
      <c r="B1529" s="3">
        <f t="shared" si="433"/>
        <v>5000000</v>
      </c>
      <c r="C1529" s="3">
        <v>2048.0</v>
      </c>
      <c r="D1529" s="66">
        <f t="shared" si="429"/>
        <v>2441.40625</v>
      </c>
      <c r="E1529" s="30">
        <f t="shared" si="439"/>
        <v>2441.40625</v>
      </c>
      <c r="F1529" s="30">
        <f t="shared" si="437"/>
        <v>7324.21875</v>
      </c>
      <c r="G1529" s="30">
        <f t="shared" si="438"/>
        <v>2441.40625</v>
      </c>
      <c r="H1529" s="30">
        <f t="shared" si="432"/>
        <v>9765.625</v>
      </c>
    </row>
    <row r="1530">
      <c r="B1530" s="3">
        <f t="shared" si="433"/>
        <v>5000000</v>
      </c>
      <c r="C1530" s="3">
        <v>4096.0</v>
      </c>
      <c r="D1530" s="66">
        <f t="shared" si="429"/>
        <v>1220.703125</v>
      </c>
      <c r="E1530" s="30">
        <f t="shared" si="439"/>
        <v>1220.703125</v>
      </c>
      <c r="F1530" s="30">
        <f t="shared" si="437"/>
        <v>3662.109375</v>
      </c>
      <c r="G1530" s="30">
        <f t="shared" si="438"/>
        <v>1220.703125</v>
      </c>
      <c r="H1530" s="30">
        <f t="shared" si="432"/>
        <v>4882.8125</v>
      </c>
    </row>
    <row r="1531">
      <c r="B1531" s="3">
        <f t="shared" si="433"/>
        <v>5000000</v>
      </c>
      <c r="C1531" s="3">
        <v>8192.0</v>
      </c>
      <c r="D1531" s="66">
        <f t="shared" si="429"/>
        <v>610.3515625</v>
      </c>
      <c r="E1531" s="30">
        <f t="shared" si="439"/>
        <v>610.3515625</v>
      </c>
      <c r="F1531" s="30">
        <f t="shared" si="437"/>
        <v>1831.054688</v>
      </c>
      <c r="G1531" s="30">
        <f t="shared" si="438"/>
        <v>610.3515625</v>
      </c>
      <c r="H1531" s="30">
        <f t="shared" si="432"/>
        <v>2441.40625</v>
      </c>
    </row>
    <row r="1532">
      <c r="A1532" s="3" t="s">
        <v>327</v>
      </c>
      <c r="B1532" s="3" t="s">
        <v>530</v>
      </c>
      <c r="E1532" s="3"/>
      <c r="J1532" s="3" t="s">
        <v>531</v>
      </c>
      <c r="M1532" s="3"/>
      <c r="R1532" s="3" t="s">
        <v>532</v>
      </c>
      <c r="U1532" s="3"/>
    </row>
    <row r="1533">
      <c r="E1533" s="3"/>
      <c r="F1533" s="3" t="s">
        <v>482</v>
      </c>
      <c r="G1533" s="73" t="s">
        <v>529</v>
      </c>
      <c r="H1533" s="3" t="s">
        <v>533</v>
      </c>
      <c r="M1533" s="3"/>
      <c r="N1533" s="3" t="s">
        <v>482</v>
      </c>
      <c r="O1533" s="73" t="s">
        <v>529</v>
      </c>
      <c r="P1533" s="3" t="s">
        <v>533</v>
      </c>
      <c r="U1533" s="3"/>
      <c r="V1533" s="3" t="s">
        <v>482</v>
      </c>
      <c r="W1533" s="73" t="s">
        <v>529</v>
      </c>
      <c r="X1533" s="3" t="s">
        <v>533</v>
      </c>
    </row>
    <row r="1534">
      <c r="B1534" s="3" t="s">
        <v>463</v>
      </c>
      <c r="C1534" s="3">
        <v>1.0</v>
      </c>
      <c r="D1534" s="3">
        <v>952568.0</v>
      </c>
      <c r="E1534" s="3">
        <v>658162.0</v>
      </c>
      <c r="F1534" s="30">
        <f t="shared" ref="F1534:F1547" si="440">D1534+E1534</f>
        <v>1610730</v>
      </c>
      <c r="G1534" s="30">
        <f t="shared" ref="G1534:G1547" si="441">H1518</f>
        <v>1250000</v>
      </c>
      <c r="H1534" s="77">
        <f t="shared" ref="H1534:H1547" si="442">ABS((F1534-G1534)/F1534)*100</f>
        <v>22.39543561</v>
      </c>
      <c r="J1534" s="3" t="s">
        <v>463</v>
      </c>
      <c r="K1534" s="3">
        <v>1.0</v>
      </c>
      <c r="L1534" s="3">
        <v>944805.0</v>
      </c>
      <c r="M1534" s="3">
        <v>317090.0</v>
      </c>
      <c r="N1534" s="30">
        <f t="shared" ref="N1534:N1547" si="443">L1534+M1534</f>
        <v>1261895</v>
      </c>
      <c r="O1534" s="30">
        <f t="shared" ref="O1534:O1547" si="444">H1518</f>
        <v>1250000</v>
      </c>
      <c r="P1534" s="77">
        <f t="shared" ref="P1534:P1547" si="445">ABS((N1534-O1534)/N1534)*100</f>
        <v>0.9426299336</v>
      </c>
      <c r="R1534" s="3" t="s">
        <v>463</v>
      </c>
      <c r="S1534" s="3">
        <v>1.0</v>
      </c>
      <c r="T1534" s="3">
        <v>931911.0</v>
      </c>
      <c r="U1534" s="3">
        <v>312749.0</v>
      </c>
      <c r="V1534" s="30">
        <f t="shared" ref="V1534:V1547" si="446">T1534+U1534</f>
        <v>1244660</v>
      </c>
      <c r="W1534" s="30">
        <f t="shared" ref="W1534:W1547" si="447">H1518</f>
        <v>1250000</v>
      </c>
      <c r="X1534" s="77">
        <f t="shared" ref="X1534:X1547" si="448">ABS((V1534-W1534)/V1534)*100</f>
        <v>0.4290328282</v>
      </c>
    </row>
    <row r="1535">
      <c r="B1535" s="3" t="s">
        <v>463</v>
      </c>
      <c r="C1535" s="3">
        <v>2.0</v>
      </c>
      <c r="D1535" s="3">
        <v>950441.0</v>
      </c>
      <c r="E1535" s="3">
        <v>662830.0</v>
      </c>
      <c r="F1535" s="30">
        <f t="shared" si="440"/>
        <v>1613271</v>
      </c>
      <c r="G1535" s="30">
        <f t="shared" si="441"/>
        <v>1250000</v>
      </c>
      <c r="H1535" s="77">
        <f t="shared" si="442"/>
        <v>22.51766752</v>
      </c>
      <c r="J1535" s="3" t="s">
        <v>463</v>
      </c>
      <c r="K1535" s="3">
        <v>2.0</v>
      </c>
      <c r="L1535" s="3">
        <v>943390.0</v>
      </c>
      <c r="M1535" s="3">
        <v>317337.0</v>
      </c>
      <c r="N1535" s="30">
        <f t="shared" si="443"/>
        <v>1260727</v>
      </c>
      <c r="O1535" s="30">
        <f t="shared" si="444"/>
        <v>1250000</v>
      </c>
      <c r="P1535" s="77">
        <f t="shared" si="445"/>
        <v>0.8508582746</v>
      </c>
      <c r="R1535" s="3" t="s">
        <v>463</v>
      </c>
      <c r="S1535" s="3">
        <v>2.0</v>
      </c>
      <c r="T1535" s="3">
        <v>931259.0</v>
      </c>
      <c r="U1535" s="3">
        <v>311743.0</v>
      </c>
      <c r="V1535" s="30">
        <f t="shared" si="446"/>
        <v>1243002</v>
      </c>
      <c r="W1535" s="30">
        <f t="shared" si="447"/>
        <v>1250000</v>
      </c>
      <c r="X1535" s="77">
        <f t="shared" si="448"/>
        <v>0.5629918536</v>
      </c>
    </row>
    <row r="1536">
      <c r="B1536" s="3" t="s">
        <v>463</v>
      </c>
      <c r="C1536" s="3">
        <v>4.0</v>
      </c>
      <c r="D1536" s="3">
        <v>946991.0</v>
      </c>
      <c r="E1536" s="3">
        <v>664420.0</v>
      </c>
      <c r="F1536" s="30">
        <f t="shared" si="440"/>
        <v>1611411</v>
      </c>
      <c r="G1536" s="30">
        <f t="shared" si="441"/>
        <v>1250000</v>
      </c>
      <c r="H1536" s="77">
        <f t="shared" si="442"/>
        <v>22.42823215</v>
      </c>
      <c r="J1536" s="3" t="s">
        <v>463</v>
      </c>
      <c r="K1536" s="3">
        <v>4.0</v>
      </c>
      <c r="L1536" s="3">
        <v>938352.0</v>
      </c>
      <c r="M1536" s="3">
        <v>316007.0</v>
      </c>
      <c r="N1536" s="30">
        <f t="shared" si="443"/>
        <v>1254359</v>
      </c>
      <c r="O1536" s="30">
        <f t="shared" si="444"/>
        <v>1250000</v>
      </c>
      <c r="P1536" s="77">
        <f t="shared" si="445"/>
        <v>0.3475081695</v>
      </c>
      <c r="R1536" s="3" t="s">
        <v>463</v>
      </c>
      <c r="S1536" s="3">
        <v>4.0</v>
      </c>
      <c r="T1536" s="3">
        <v>931658.0</v>
      </c>
      <c r="U1536" s="3">
        <v>313291.0</v>
      </c>
      <c r="V1536" s="30">
        <f t="shared" si="446"/>
        <v>1244949</v>
      </c>
      <c r="W1536" s="30">
        <f t="shared" si="447"/>
        <v>1250000</v>
      </c>
      <c r="X1536" s="77">
        <f t="shared" si="448"/>
        <v>0.4057194311</v>
      </c>
    </row>
    <row r="1537">
      <c r="B1537" s="3" t="s">
        <v>463</v>
      </c>
      <c r="C1537" s="3">
        <v>8.0</v>
      </c>
      <c r="D1537" s="3">
        <v>947216.0</v>
      </c>
      <c r="E1537" s="3">
        <v>717272.0</v>
      </c>
      <c r="F1537" s="30">
        <f t="shared" si="440"/>
        <v>1664488</v>
      </c>
      <c r="G1537" s="30">
        <f t="shared" si="441"/>
        <v>1250000</v>
      </c>
      <c r="H1537" s="77">
        <f t="shared" si="442"/>
        <v>24.90183167</v>
      </c>
      <c r="J1537" s="3" t="s">
        <v>463</v>
      </c>
      <c r="K1537" s="3">
        <v>8.0</v>
      </c>
      <c r="L1537" s="3">
        <v>938436.0</v>
      </c>
      <c r="M1537" s="3">
        <v>313104.0</v>
      </c>
      <c r="N1537" s="30">
        <f t="shared" si="443"/>
        <v>1251540</v>
      </c>
      <c r="O1537" s="30">
        <f t="shared" si="444"/>
        <v>1250000</v>
      </c>
      <c r="P1537" s="77">
        <f t="shared" si="445"/>
        <v>0.1230484044</v>
      </c>
      <c r="R1537" s="3" t="s">
        <v>463</v>
      </c>
      <c r="S1537" s="3">
        <v>8.0</v>
      </c>
      <c r="T1537" s="3">
        <v>939111.0</v>
      </c>
      <c r="U1537" s="3">
        <v>313301.0</v>
      </c>
      <c r="V1537" s="30">
        <f t="shared" si="446"/>
        <v>1252412</v>
      </c>
      <c r="W1537" s="30">
        <f t="shared" si="447"/>
        <v>1250000</v>
      </c>
      <c r="X1537" s="77">
        <f t="shared" si="448"/>
        <v>0.1925883815</v>
      </c>
    </row>
    <row r="1538">
      <c r="B1538" s="3" t="s">
        <v>463</v>
      </c>
      <c r="C1538" s="3">
        <v>16.0</v>
      </c>
      <c r="D1538" s="3">
        <v>952781.0</v>
      </c>
      <c r="E1538" s="3">
        <v>686001.0</v>
      </c>
      <c r="F1538" s="30">
        <f t="shared" si="440"/>
        <v>1638782</v>
      </c>
      <c r="G1538" s="30">
        <f t="shared" si="441"/>
        <v>1250000</v>
      </c>
      <c r="H1538" s="77">
        <f t="shared" si="442"/>
        <v>23.7238388</v>
      </c>
      <c r="J1538" s="3" t="s">
        <v>463</v>
      </c>
      <c r="K1538" s="3">
        <v>16.0</v>
      </c>
      <c r="L1538" s="3">
        <v>938178.0</v>
      </c>
      <c r="M1538" s="3">
        <v>313900.0</v>
      </c>
      <c r="N1538" s="30">
        <f t="shared" si="443"/>
        <v>1252078</v>
      </c>
      <c r="O1538" s="30">
        <f t="shared" si="444"/>
        <v>1250000</v>
      </c>
      <c r="P1538" s="77">
        <f t="shared" si="445"/>
        <v>0.1659641013</v>
      </c>
      <c r="R1538" s="3" t="s">
        <v>463</v>
      </c>
      <c r="S1538" s="3">
        <v>16.0</v>
      </c>
      <c r="T1538" s="3">
        <v>931585.0</v>
      </c>
      <c r="U1538" s="3">
        <v>313893.0</v>
      </c>
      <c r="V1538" s="30">
        <f t="shared" si="446"/>
        <v>1245478</v>
      </c>
      <c r="W1538" s="30">
        <f t="shared" si="447"/>
        <v>1250000</v>
      </c>
      <c r="X1538" s="77">
        <f t="shared" si="448"/>
        <v>0.3630734545</v>
      </c>
    </row>
    <row r="1539">
      <c r="B1539" s="3" t="s">
        <v>463</v>
      </c>
      <c r="C1539" s="3">
        <v>32.0</v>
      </c>
      <c r="D1539" s="3">
        <v>930078.0</v>
      </c>
      <c r="E1539" s="3">
        <v>680738.0</v>
      </c>
      <c r="F1539" s="30">
        <f t="shared" si="440"/>
        <v>1610816</v>
      </c>
      <c r="G1539" s="30">
        <f t="shared" si="441"/>
        <v>1093750</v>
      </c>
      <c r="H1539" s="77">
        <f t="shared" si="442"/>
        <v>32.09963149</v>
      </c>
      <c r="J1539" s="3" t="s">
        <v>463</v>
      </c>
      <c r="K1539" s="3">
        <v>32.0</v>
      </c>
      <c r="L1539" s="3">
        <v>809149.0</v>
      </c>
      <c r="M1539" s="3">
        <v>167162.0</v>
      </c>
      <c r="N1539" s="30">
        <f t="shared" si="443"/>
        <v>976311</v>
      </c>
      <c r="O1539" s="30">
        <f t="shared" si="444"/>
        <v>1093750</v>
      </c>
      <c r="P1539" s="77">
        <f t="shared" si="445"/>
        <v>12.02885146</v>
      </c>
      <c r="R1539" s="3" t="s">
        <v>463</v>
      </c>
      <c r="S1539" s="3">
        <v>32.0</v>
      </c>
      <c r="T1539" s="3">
        <v>827757.0</v>
      </c>
      <c r="U1539" s="3">
        <v>161601.0</v>
      </c>
      <c r="V1539" s="30">
        <f t="shared" si="446"/>
        <v>989358</v>
      </c>
      <c r="W1539" s="30">
        <f t="shared" si="447"/>
        <v>1093750</v>
      </c>
      <c r="X1539" s="77">
        <f t="shared" si="448"/>
        <v>10.55148895</v>
      </c>
    </row>
    <row r="1540">
      <c r="B1540" s="3" t="s">
        <v>463</v>
      </c>
      <c r="C1540" s="3">
        <v>64.0</v>
      </c>
      <c r="D1540" s="3">
        <v>678943.0</v>
      </c>
      <c r="E1540" s="3">
        <v>494958.0</v>
      </c>
      <c r="F1540" s="30">
        <f t="shared" si="440"/>
        <v>1173901</v>
      </c>
      <c r="G1540" s="30">
        <f t="shared" si="441"/>
        <v>781250</v>
      </c>
      <c r="H1540" s="77">
        <f t="shared" si="442"/>
        <v>33.4483913</v>
      </c>
      <c r="J1540" s="3" t="s">
        <v>463</v>
      </c>
      <c r="K1540" s="3">
        <v>64.0</v>
      </c>
      <c r="L1540" s="3">
        <v>574120.0</v>
      </c>
      <c r="M1540" s="3">
        <v>91590.0</v>
      </c>
      <c r="N1540" s="30">
        <f t="shared" si="443"/>
        <v>665710</v>
      </c>
      <c r="O1540" s="30">
        <f t="shared" si="444"/>
        <v>781250</v>
      </c>
      <c r="P1540" s="77">
        <f t="shared" si="445"/>
        <v>17.35590572</v>
      </c>
      <c r="R1540" s="3" t="s">
        <v>463</v>
      </c>
      <c r="S1540" s="3">
        <v>64.0</v>
      </c>
      <c r="T1540" s="3">
        <v>547335.0</v>
      </c>
      <c r="U1540" s="3">
        <v>83089.0</v>
      </c>
      <c r="V1540" s="30">
        <f t="shared" si="446"/>
        <v>630424</v>
      </c>
      <c r="W1540" s="30">
        <f t="shared" si="447"/>
        <v>781250</v>
      </c>
      <c r="X1540" s="77">
        <f t="shared" si="448"/>
        <v>23.92453333</v>
      </c>
    </row>
    <row r="1541">
      <c r="B1541" s="3" t="s">
        <v>463</v>
      </c>
      <c r="C1541" s="3">
        <v>128.0</v>
      </c>
      <c r="D1541" s="3">
        <v>121251.0</v>
      </c>
      <c r="E1541" s="3">
        <v>81315.0</v>
      </c>
      <c r="F1541" s="30">
        <f t="shared" si="440"/>
        <v>202566</v>
      </c>
      <c r="G1541" s="30">
        <f t="shared" si="441"/>
        <v>156250</v>
      </c>
      <c r="H1541" s="77">
        <f t="shared" si="442"/>
        <v>22.86464658</v>
      </c>
      <c r="J1541" s="3" t="s">
        <v>463</v>
      </c>
      <c r="K1541" s="3">
        <v>128.0</v>
      </c>
      <c r="L1541" s="3">
        <v>148538.0</v>
      </c>
      <c r="M1541" s="3">
        <v>44658.0</v>
      </c>
      <c r="N1541" s="30">
        <f t="shared" si="443"/>
        <v>193196</v>
      </c>
      <c r="O1541" s="30">
        <f t="shared" si="444"/>
        <v>156250</v>
      </c>
      <c r="P1541" s="77">
        <f t="shared" si="445"/>
        <v>19.12358434</v>
      </c>
      <c r="R1541" s="3" t="s">
        <v>463</v>
      </c>
      <c r="S1541" s="3">
        <v>128.0</v>
      </c>
      <c r="T1541" s="3">
        <v>146229.0</v>
      </c>
      <c r="U1541" s="3">
        <v>40265.0</v>
      </c>
      <c r="V1541" s="30">
        <f t="shared" si="446"/>
        <v>186494</v>
      </c>
      <c r="W1541" s="30">
        <f t="shared" si="447"/>
        <v>156250</v>
      </c>
      <c r="X1541" s="77">
        <f t="shared" si="448"/>
        <v>16.21714372</v>
      </c>
    </row>
    <row r="1542">
      <c r="B1542" s="3" t="s">
        <v>463</v>
      </c>
      <c r="C1542" s="3">
        <v>256.0</v>
      </c>
      <c r="D1542" s="3">
        <v>63613.0</v>
      </c>
      <c r="E1542" s="3">
        <v>42005.0</v>
      </c>
      <c r="F1542" s="30">
        <f t="shared" si="440"/>
        <v>105618</v>
      </c>
      <c r="G1542" s="30">
        <f t="shared" si="441"/>
        <v>78125</v>
      </c>
      <c r="H1542" s="77">
        <f t="shared" si="442"/>
        <v>26.03060084</v>
      </c>
      <c r="J1542" s="3" t="s">
        <v>463</v>
      </c>
      <c r="K1542" s="3">
        <v>256.0</v>
      </c>
      <c r="L1542" s="3">
        <v>59047.0</v>
      </c>
      <c r="M1542" s="3">
        <v>19629.0</v>
      </c>
      <c r="N1542" s="30">
        <f t="shared" si="443"/>
        <v>78676</v>
      </c>
      <c r="O1542" s="30">
        <f t="shared" si="444"/>
        <v>78125</v>
      </c>
      <c r="P1542" s="77">
        <f t="shared" si="445"/>
        <v>0.7003406376</v>
      </c>
      <c r="R1542" s="3" t="s">
        <v>463</v>
      </c>
      <c r="S1542" s="3">
        <v>256.0</v>
      </c>
      <c r="T1542" s="3">
        <v>57768.0</v>
      </c>
      <c r="U1542" s="3">
        <v>19618.0</v>
      </c>
      <c r="V1542" s="30">
        <f t="shared" si="446"/>
        <v>77386</v>
      </c>
      <c r="W1542" s="30">
        <f t="shared" si="447"/>
        <v>78125</v>
      </c>
      <c r="X1542" s="77">
        <f t="shared" si="448"/>
        <v>0.9549530923</v>
      </c>
    </row>
    <row r="1543">
      <c r="B1543" s="3" t="s">
        <v>463</v>
      </c>
      <c r="C1543" s="3">
        <v>512.0</v>
      </c>
      <c r="D1543" s="3">
        <v>32810.0</v>
      </c>
      <c r="E1543" s="3">
        <v>21976.0</v>
      </c>
      <c r="F1543" s="30">
        <f t="shared" si="440"/>
        <v>54786</v>
      </c>
      <c r="G1543" s="30">
        <f t="shared" si="441"/>
        <v>39062.5</v>
      </c>
      <c r="H1543" s="77">
        <f t="shared" si="442"/>
        <v>28.69985033</v>
      </c>
      <c r="J1543" s="3" t="s">
        <v>463</v>
      </c>
      <c r="K1543" s="3">
        <v>512.0</v>
      </c>
      <c r="L1543" s="3">
        <v>29701.0</v>
      </c>
      <c r="M1543" s="3">
        <v>10135.0</v>
      </c>
      <c r="N1543" s="30">
        <f t="shared" si="443"/>
        <v>39836</v>
      </c>
      <c r="O1543" s="30">
        <f t="shared" si="444"/>
        <v>39062.5</v>
      </c>
      <c r="P1543" s="77">
        <f t="shared" si="445"/>
        <v>1.941711015</v>
      </c>
      <c r="R1543" s="3" t="s">
        <v>463</v>
      </c>
      <c r="S1543" s="3">
        <v>512.0</v>
      </c>
      <c r="T1543" s="3">
        <v>28012.0</v>
      </c>
      <c r="U1543" s="3">
        <v>10007.0</v>
      </c>
      <c r="V1543" s="30">
        <f t="shared" si="446"/>
        <v>38019</v>
      </c>
      <c r="W1543" s="30">
        <f t="shared" si="447"/>
        <v>39062.5</v>
      </c>
      <c r="X1543" s="77">
        <f t="shared" si="448"/>
        <v>2.744680291</v>
      </c>
    </row>
    <row r="1544">
      <c r="B1544" s="3" t="s">
        <v>463</v>
      </c>
      <c r="C1544" s="3">
        <v>1024.0</v>
      </c>
      <c r="D1544" s="3">
        <v>16843.0</v>
      </c>
      <c r="E1544" s="3">
        <v>11419.0</v>
      </c>
      <c r="F1544" s="30">
        <f t="shared" si="440"/>
        <v>28262</v>
      </c>
      <c r="G1544" s="30">
        <f t="shared" si="441"/>
        <v>19531.25</v>
      </c>
      <c r="H1544" s="77">
        <f t="shared" si="442"/>
        <v>30.89218739</v>
      </c>
      <c r="J1544" s="3" t="s">
        <v>463</v>
      </c>
      <c r="K1544" s="3">
        <v>1024.0</v>
      </c>
      <c r="L1544" s="3">
        <v>15155.0</v>
      </c>
      <c r="M1544" s="3">
        <v>5022.0</v>
      </c>
      <c r="N1544" s="30">
        <f t="shared" si="443"/>
        <v>20177</v>
      </c>
      <c r="O1544" s="30">
        <f t="shared" si="444"/>
        <v>19531.25</v>
      </c>
      <c r="P1544" s="77">
        <f t="shared" si="445"/>
        <v>3.200426228</v>
      </c>
      <c r="R1544" s="3" t="s">
        <v>463</v>
      </c>
      <c r="S1544" s="3">
        <v>1024.0</v>
      </c>
      <c r="T1544" s="3">
        <v>13162.0</v>
      </c>
      <c r="U1544" s="3">
        <v>4992.0</v>
      </c>
      <c r="V1544" s="30">
        <f t="shared" si="446"/>
        <v>18154</v>
      </c>
      <c r="W1544" s="30">
        <f t="shared" si="447"/>
        <v>19531.25</v>
      </c>
      <c r="X1544" s="77">
        <f t="shared" si="448"/>
        <v>7.586482318</v>
      </c>
    </row>
    <row r="1545">
      <c r="B1545" s="3" t="s">
        <v>463</v>
      </c>
      <c r="C1545" s="3">
        <v>2048.0</v>
      </c>
      <c r="D1545" s="3">
        <v>9703.0</v>
      </c>
      <c r="E1545" s="3">
        <v>7887.0</v>
      </c>
      <c r="F1545" s="30">
        <f t="shared" si="440"/>
        <v>17590</v>
      </c>
      <c r="G1545" s="30">
        <f t="shared" si="441"/>
        <v>9765.625</v>
      </c>
      <c r="H1545" s="77">
        <f t="shared" si="442"/>
        <v>44.48194997</v>
      </c>
      <c r="J1545" s="3" t="s">
        <v>463</v>
      </c>
      <c r="K1545" s="3">
        <v>2048.0</v>
      </c>
      <c r="L1545" s="3">
        <v>7679.0</v>
      </c>
      <c r="M1545" s="3">
        <v>2834.0</v>
      </c>
      <c r="N1545" s="30">
        <f t="shared" si="443"/>
        <v>10513</v>
      </c>
      <c r="O1545" s="30">
        <f t="shared" si="444"/>
        <v>9765.625</v>
      </c>
      <c r="P1545" s="77">
        <f t="shared" si="445"/>
        <v>7.109055455</v>
      </c>
      <c r="R1545" s="3" t="s">
        <v>463</v>
      </c>
      <c r="S1545" s="3">
        <v>2048.0</v>
      </c>
      <c r="T1545" s="3">
        <v>6710.0</v>
      </c>
      <c r="U1545" s="3">
        <v>2800.0</v>
      </c>
      <c r="V1545" s="30">
        <f t="shared" si="446"/>
        <v>9510</v>
      </c>
      <c r="W1545" s="30">
        <f t="shared" si="447"/>
        <v>9765.625</v>
      </c>
      <c r="X1545" s="77">
        <f t="shared" si="448"/>
        <v>2.687960042</v>
      </c>
    </row>
    <row r="1546">
      <c r="B1546" s="3" t="s">
        <v>463</v>
      </c>
      <c r="C1546" s="3">
        <v>4096.0</v>
      </c>
      <c r="D1546" s="3">
        <v>4954.0</v>
      </c>
      <c r="E1546" s="3">
        <v>4315.0</v>
      </c>
      <c r="F1546" s="30">
        <f t="shared" si="440"/>
        <v>9269</v>
      </c>
      <c r="G1546" s="30">
        <f t="shared" si="441"/>
        <v>4882.8125</v>
      </c>
      <c r="H1546" s="77">
        <f t="shared" si="442"/>
        <v>47.32104326</v>
      </c>
      <c r="J1546" s="3" t="s">
        <v>463</v>
      </c>
      <c r="K1546" s="3">
        <v>4096.0</v>
      </c>
      <c r="L1546" s="3">
        <v>3947.0</v>
      </c>
      <c r="M1546" s="3">
        <v>1520.0</v>
      </c>
      <c r="N1546" s="30">
        <f t="shared" si="443"/>
        <v>5467</v>
      </c>
      <c r="O1546" s="30">
        <f t="shared" si="444"/>
        <v>4882.8125</v>
      </c>
      <c r="P1546" s="77">
        <f t="shared" si="445"/>
        <v>10.68570514</v>
      </c>
      <c r="R1546" s="3" t="s">
        <v>463</v>
      </c>
      <c r="S1546" s="3">
        <v>4096.0</v>
      </c>
      <c r="T1546" s="3">
        <v>3620.0</v>
      </c>
      <c r="U1546" s="3">
        <v>1374.0</v>
      </c>
      <c r="V1546" s="30">
        <f t="shared" si="446"/>
        <v>4994</v>
      </c>
      <c r="W1546" s="30">
        <f t="shared" si="447"/>
        <v>4882.8125</v>
      </c>
      <c r="X1546" s="77">
        <f t="shared" si="448"/>
        <v>2.226421706</v>
      </c>
    </row>
    <row r="1547">
      <c r="B1547" s="3" t="s">
        <v>463</v>
      </c>
      <c r="C1547" s="3">
        <v>8192.0</v>
      </c>
      <c r="D1547" s="3">
        <v>2647.0</v>
      </c>
      <c r="E1547" s="3">
        <v>2305.0</v>
      </c>
      <c r="F1547" s="30">
        <f t="shared" si="440"/>
        <v>4952</v>
      </c>
      <c r="G1547" s="30">
        <f t="shared" si="441"/>
        <v>2441.40625</v>
      </c>
      <c r="H1547" s="77">
        <f t="shared" si="442"/>
        <v>50.69858138</v>
      </c>
      <c r="J1547" s="3" t="s">
        <v>463</v>
      </c>
      <c r="K1547" s="3">
        <v>8192.0</v>
      </c>
      <c r="L1547" s="3">
        <v>1945.0</v>
      </c>
      <c r="M1547" s="3">
        <v>902.0</v>
      </c>
      <c r="N1547" s="30">
        <f t="shared" si="443"/>
        <v>2847</v>
      </c>
      <c r="O1547" s="30">
        <f t="shared" si="444"/>
        <v>2441.40625</v>
      </c>
      <c r="P1547" s="77">
        <f t="shared" si="445"/>
        <v>14.24635581</v>
      </c>
      <c r="R1547" s="3" t="s">
        <v>463</v>
      </c>
      <c r="S1547" s="3">
        <v>8192.0</v>
      </c>
      <c r="T1547" s="3">
        <v>1959.0</v>
      </c>
      <c r="U1547" s="3">
        <v>1299.0</v>
      </c>
      <c r="V1547" s="30">
        <f t="shared" si="446"/>
        <v>3258</v>
      </c>
      <c r="W1547" s="30">
        <f t="shared" si="447"/>
        <v>2441.40625</v>
      </c>
      <c r="X1547" s="77">
        <f t="shared" si="448"/>
        <v>25.06426489</v>
      </c>
    </row>
    <row r="1548">
      <c r="E1548" s="3"/>
    </row>
    <row r="1549">
      <c r="E1549" s="3"/>
    </row>
    <row r="1550">
      <c r="E1550" s="3"/>
    </row>
    <row r="1551">
      <c r="C1551" s="3" t="s">
        <v>324</v>
      </c>
      <c r="D1551" s="3" t="s">
        <v>534</v>
      </c>
      <c r="E1551" s="3" t="s">
        <v>535</v>
      </c>
      <c r="F1551" s="3" t="s">
        <v>536</v>
      </c>
    </row>
    <row r="1552">
      <c r="C1552" s="3">
        <v>1.0</v>
      </c>
      <c r="D1552" s="77">
        <f t="shared" ref="D1552:D1565" si="449">H1534</f>
        <v>22.39543561</v>
      </c>
      <c r="E1552" s="81">
        <f t="shared" ref="E1552:E1565" si="450">P1534</f>
        <v>0.9426299336</v>
      </c>
      <c r="F1552" s="77">
        <f t="shared" ref="F1552:F1565" si="451">X1534</f>
        <v>0.4290328282</v>
      </c>
      <c r="H1552" s="30" t="str">
        <f>D1551&amp;"=["&amp;D1552&amp;", "&amp;D1553&amp;", "&amp;D1554&amp;", "&amp;D1555&amp;", "&amp;D1556&amp;", "&amp;D1557&amp;", "&amp;D1558&amp;", "&amp;D1559&amp;", "&amp;D1560&amp;", "&amp;D1561&amp;", "&amp;D1562&amp;", "&amp;D1563&amp;", "&amp;D1564&amp;", "&amp;D1565&amp;"]"</f>
        <v>bwell=[22.3954356099408, 22.5176675214518, 22.4282321518222, 24.9018316743647, 23.7238388022324, 32.09963149112, 33.4483913038663, 22.8646465843231, 26.030600844553, 28.6998503267258, 30.8921873894275, 44.4819499715748, 47.3210432624879, 50.6985813812601]</v>
      </c>
    </row>
    <row r="1553">
      <c r="C1553" s="3">
        <v>2.0</v>
      </c>
      <c r="D1553" s="77">
        <f t="shared" si="449"/>
        <v>22.51766752</v>
      </c>
      <c r="E1553" s="81">
        <f t="shared" si="450"/>
        <v>0.8508582746</v>
      </c>
      <c r="F1553" s="77">
        <f t="shared" si="451"/>
        <v>0.5629918536</v>
      </c>
      <c r="H1553" s="82" t="str">
        <f>E1551&amp;"=["&amp;E1552&amp;", "&amp;E1553&amp;", "&amp;E1554&amp;", "&amp;E1555&amp;", "&amp;E1556&amp;", "&amp;E1557&amp;", "&amp;E1558&amp;", "&amp;E1559&amp;", "&amp;E1560&amp;", "&amp;E1561&amp;", "&amp;E1562&amp;", "&amp;E1563&amp;", "&amp;E1564&amp;", "&amp;E1565&amp;"]"</f>
        <v>slake=[0.942629933552316, 0.850858274630431, 0.34750816951128, 0.123048404365821, 0.165964101278035, 12.0288514622902, 17.355905724715, 19.1235843392203, 0.700340637551477, 1.94171101516216, 3.20042622788323, 7.10905545515077, 10.6857051399305, 14.2463558131366]</v>
      </c>
    </row>
    <row r="1554">
      <c r="C1554" s="3">
        <v>4.0</v>
      </c>
      <c r="D1554" s="77">
        <f t="shared" si="449"/>
        <v>22.42823215</v>
      </c>
      <c r="E1554" s="81">
        <f t="shared" si="450"/>
        <v>0.3475081695</v>
      </c>
      <c r="F1554" s="77">
        <f t="shared" si="451"/>
        <v>0.4057194311</v>
      </c>
      <c r="H1554" s="82" t="str">
        <f>F1551&amp;"=["&amp;F1552&amp;", "&amp;F1553&amp;", "&amp;F1554&amp;", "&amp;F1555&amp;", "&amp;F1556&amp;", "&amp;F1557&amp;", "&amp;F1558&amp;", "&amp;F1559&amp;", "&amp;F1560&amp;", "&amp;F1561&amp;", "&amp;F1562&amp;", "&amp;F1563&amp;", "&amp;F1564&amp;", "&amp;F1565&amp;"]"</f>
        <v>clake=[0.429032828242251, 0.562991853593156, 0.405719431077096, 0.192588381459136, 0.363073454529105, 10.5514889453565, 23.9245333299494, 16.2171437150793, 0.954953092290595, 2.74468029143323, 7.58648231794646, 2.68796004206099, 2.22642170604726, 25.0642648864334]</v>
      </c>
    </row>
    <row r="1555">
      <c r="C1555" s="3">
        <v>8.0</v>
      </c>
      <c r="D1555" s="77">
        <f t="shared" si="449"/>
        <v>24.90183167</v>
      </c>
      <c r="E1555" s="81">
        <f t="shared" si="450"/>
        <v>0.1230484044</v>
      </c>
      <c r="F1555" s="77">
        <f t="shared" si="451"/>
        <v>0.1925883815</v>
      </c>
    </row>
    <row r="1556">
      <c r="C1556" s="3">
        <v>16.0</v>
      </c>
      <c r="D1556" s="77">
        <f t="shared" si="449"/>
        <v>23.7238388</v>
      </c>
      <c r="E1556" s="81">
        <f t="shared" si="450"/>
        <v>0.1659641013</v>
      </c>
      <c r="F1556" s="77">
        <f t="shared" si="451"/>
        <v>0.3630734545</v>
      </c>
    </row>
    <row r="1557">
      <c r="C1557" s="3">
        <v>32.0</v>
      </c>
      <c r="D1557" s="77">
        <f t="shared" si="449"/>
        <v>32.09963149</v>
      </c>
      <c r="E1557" s="81">
        <f t="shared" si="450"/>
        <v>12.02885146</v>
      </c>
      <c r="F1557" s="77">
        <f t="shared" si="451"/>
        <v>10.55148895</v>
      </c>
    </row>
    <row r="1558">
      <c r="C1558" s="3">
        <v>64.0</v>
      </c>
      <c r="D1558" s="77">
        <f t="shared" si="449"/>
        <v>33.4483913</v>
      </c>
      <c r="E1558" s="81">
        <f t="shared" si="450"/>
        <v>17.35590572</v>
      </c>
      <c r="F1558" s="77">
        <f t="shared" si="451"/>
        <v>23.92453333</v>
      </c>
    </row>
    <row r="1559">
      <c r="C1559" s="3">
        <v>128.0</v>
      </c>
      <c r="D1559" s="77">
        <f t="shared" si="449"/>
        <v>22.86464658</v>
      </c>
      <c r="E1559" s="81">
        <f t="shared" si="450"/>
        <v>19.12358434</v>
      </c>
      <c r="F1559" s="77">
        <f t="shared" si="451"/>
        <v>16.21714372</v>
      </c>
      <c r="K1559" s="3"/>
      <c r="M1559" s="3" t="s">
        <v>448</v>
      </c>
      <c r="N1559" s="3" t="s">
        <v>449</v>
      </c>
      <c r="O1559" s="3" t="s">
        <v>515</v>
      </c>
      <c r="Q1559" s="3" t="s">
        <v>516</v>
      </c>
      <c r="R1559" s="3" t="s">
        <v>517</v>
      </c>
      <c r="T1559" s="3" t="s">
        <v>448</v>
      </c>
      <c r="U1559" s="3" t="s">
        <v>449</v>
      </c>
    </row>
    <row r="1560">
      <c r="C1560" s="3">
        <v>256.0</v>
      </c>
      <c r="D1560" s="77">
        <f t="shared" si="449"/>
        <v>26.03060084</v>
      </c>
      <c r="E1560" s="81">
        <f t="shared" si="450"/>
        <v>0.7003406376</v>
      </c>
      <c r="F1560" s="77">
        <f t="shared" si="451"/>
        <v>0.9549530923</v>
      </c>
      <c r="K1560" s="3">
        <v>1.0E8</v>
      </c>
      <c r="L1560" s="3">
        <v>1.0</v>
      </c>
      <c r="M1560" s="3">
        <v>1.2959083E7</v>
      </c>
      <c r="N1560" s="3">
        <v>6810151.0</v>
      </c>
      <c r="O1560" s="30">
        <f t="shared" ref="O1560:O1586" si="452">K1560/L1560</f>
        <v>100000000</v>
      </c>
      <c r="P1560" s="30">
        <f>O1560/64*4</f>
        <v>6250000</v>
      </c>
      <c r="Q1560" s="30">
        <f t="shared" ref="Q1560:Q1586" si="453">P1560*2</f>
        <v>12500000</v>
      </c>
      <c r="R1560" s="30">
        <f t="shared" ref="R1560:R1586" si="454">100-ABS(((M1560-Q1560)/M1560)*100)</f>
        <v>96.45744224</v>
      </c>
      <c r="S1560" s="3">
        <v>1.0</v>
      </c>
      <c r="T1560" s="3">
        <v>1.315918E7</v>
      </c>
      <c r="U1560" s="3">
        <v>6932222.0</v>
      </c>
      <c r="V1560" s="30">
        <v>1.0E8</v>
      </c>
    </row>
    <row r="1561">
      <c r="C1561" s="3">
        <v>512.0</v>
      </c>
      <c r="D1561" s="77">
        <f t="shared" si="449"/>
        <v>28.69985033</v>
      </c>
      <c r="E1561" s="81">
        <f t="shared" si="450"/>
        <v>1.941711015</v>
      </c>
      <c r="F1561" s="77">
        <f t="shared" si="451"/>
        <v>2.744680291</v>
      </c>
      <c r="K1561" s="3">
        <v>1.0E8</v>
      </c>
      <c r="L1561" s="3">
        <v>2.0</v>
      </c>
      <c r="M1561" s="3">
        <v>1.2919283E7</v>
      </c>
      <c r="N1561" s="3">
        <v>6769421.0</v>
      </c>
      <c r="O1561" s="30">
        <f t="shared" si="452"/>
        <v>50000000</v>
      </c>
      <c r="P1561" s="30">
        <v>6250000.0</v>
      </c>
      <c r="Q1561" s="30">
        <f t="shared" si="453"/>
        <v>12500000</v>
      </c>
      <c r="R1561" s="30">
        <f t="shared" si="454"/>
        <v>96.75459544</v>
      </c>
      <c r="S1561" s="3">
        <v>2.0</v>
      </c>
      <c r="T1561" s="3">
        <v>1.3034186E7</v>
      </c>
      <c r="U1561" s="3">
        <v>6871207.0</v>
      </c>
      <c r="V1561" s="30">
        <v>5.0E7</v>
      </c>
      <c r="W1561" s="30">
        <f t="shared" ref="W1561:W1586" si="455">T1560/T1561</f>
        <v>1.009589705</v>
      </c>
    </row>
    <row r="1562">
      <c r="C1562" s="3">
        <v>1024.0</v>
      </c>
      <c r="D1562" s="77">
        <f t="shared" si="449"/>
        <v>30.89218739</v>
      </c>
      <c r="E1562" s="81">
        <f t="shared" si="450"/>
        <v>3.200426228</v>
      </c>
      <c r="F1562" s="77">
        <f t="shared" si="451"/>
        <v>7.586482318</v>
      </c>
      <c r="K1562" s="3">
        <v>1.0E8</v>
      </c>
      <c r="L1562" s="3">
        <v>4.0</v>
      </c>
      <c r="M1562" s="3">
        <v>1.2902727E7</v>
      </c>
      <c r="N1562" s="3">
        <v>6756843.0</v>
      </c>
      <c r="O1562" s="30">
        <f t="shared" si="452"/>
        <v>25000000</v>
      </c>
      <c r="P1562" s="30">
        <v>6250000.0</v>
      </c>
      <c r="Q1562" s="30">
        <f t="shared" si="453"/>
        <v>12500000</v>
      </c>
      <c r="R1562" s="30">
        <f t="shared" si="454"/>
        <v>96.87874509</v>
      </c>
      <c r="S1562" s="3">
        <v>4.0</v>
      </c>
      <c r="T1562" s="3">
        <v>1.2938265E7</v>
      </c>
      <c r="U1562" s="3">
        <v>6798102.0</v>
      </c>
      <c r="V1562" s="30">
        <v>2.5E7</v>
      </c>
      <c r="W1562" s="30">
        <f t="shared" si="455"/>
        <v>1.007413745</v>
      </c>
    </row>
    <row r="1563">
      <c r="C1563" s="3">
        <v>2048.0</v>
      </c>
      <c r="D1563" s="77">
        <f t="shared" si="449"/>
        <v>44.48194997</v>
      </c>
      <c r="E1563" s="81">
        <f t="shared" si="450"/>
        <v>7.109055455</v>
      </c>
      <c r="F1563" s="77">
        <f t="shared" si="451"/>
        <v>2.687960042</v>
      </c>
      <c r="K1563" s="3">
        <v>1.0E8</v>
      </c>
      <c r="L1563" s="3">
        <v>8.0</v>
      </c>
      <c r="M1563" s="3">
        <v>1.2898788E7</v>
      </c>
      <c r="N1563" s="3">
        <v>6761755.0</v>
      </c>
      <c r="O1563" s="30">
        <f t="shared" si="452"/>
        <v>12500000</v>
      </c>
      <c r="P1563" s="30">
        <v>6250000.0</v>
      </c>
      <c r="Q1563" s="30">
        <f t="shared" si="453"/>
        <v>12500000</v>
      </c>
      <c r="R1563" s="30">
        <f t="shared" si="454"/>
        <v>96.90832968</v>
      </c>
      <c r="S1563" s="3">
        <v>8.0</v>
      </c>
      <c r="T1563" s="3">
        <v>1.2891037E7</v>
      </c>
      <c r="U1563" s="3">
        <v>6758055.0</v>
      </c>
      <c r="V1563" s="30">
        <v>1.25E7</v>
      </c>
      <c r="W1563" s="30">
        <f t="shared" si="455"/>
        <v>1.003663631</v>
      </c>
    </row>
    <row r="1564">
      <c r="C1564" s="3">
        <v>4096.0</v>
      </c>
      <c r="D1564" s="77">
        <f t="shared" si="449"/>
        <v>47.32104326</v>
      </c>
      <c r="E1564" s="81">
        <f t="shared" si="450"/>
        <v>10.68570514</v>
      </c>
      <c r="F1564" s="77">
        <f t="shared" si="451"/>
        <v>2.226421706</v>
      </c>
      <c r="K1564" s="3">
        <v>1.0E8</v>
      </c>
      <c r="L1564" s="3">
        <v>16.0</v>
      </c>
      <c r="M1564" s="3">
        <v>1.2904748E7</v>
      </c>
      <c r="N1564" s="3">
        <v>6762840.0</v>
      </c>
      <c r="O1564" s="30">
        <f t="shared" si="452"/>
        <v>6250000</v>
      </c>
      <c r="P1564" s="30">
        <v>6250000.0</v>
      </c>
      <c r="Q1564" s="30">
        <f t="shared" si="453"/>
        <v>12500000</v>
      </c>
      <c r="R1564" s="30">
        <f t="shared" si="454"/>
        <v>96.863573</v>
      </c>
      <c r="S1564" s="3">
        <v>16.0</v>
      </c>
      <c r="T1564" s="3">
        <v>1.2906523E7</v>
      </c>
      <c r="U1564" s="3">
        <v>6774366.0</v>
      </c>
      <c r="V1564" s="30">
        <v>6250000.0</v>
      </c>
      <c r="W1564" s="30">
        <f t="shared" si="455"/>
        <v>0.9988001416</v>
      </c>
    </row>
    <row r="1565">
      <c r="C1565" s="3">
        <v>8192.0</v>
      </c>
      <c r="D1565" s="77">
        <f t="shared" si="449"/>
        <v>50.69858138</v>
      </c>
      <c r="E1565" s="81">
        <f t="shared" si="450"/>
        <v>14.24635581</v>
      </c>
      <c r="F1565" s="77">
        <f t="shared" si="451"/>
        <v>25.06426489</v>
      </c>
      <c r="K1565" s="3">
        <v>1.0E8</v>
      </c>
      <c r="L1565" s="3">
        <v>32.0</v>
      </c>
      <c r="M1565" s="3">
        <v>1.2332178E7</v>
      </c>
      <c r="N1565" s="3">
        <v>6692095.0</v>
      </c>
      <c r="O1565" s="30">
        <f t="shared" si="452"/>
        <v>3125000</v>
      </c>
      <c r="P1565" s="30">
        <v>6250000.0</v>
      </c>
      <c r="Q1565" s="30">
        <f t="shared" si="453"/>
        <v>12500000</v>
      </c>
      <c r="R1565" s="30">
        <f t="shared" si="454"/>
        <v>98.6391536</v>
      </c>
      <c r="S1565" s="3">
        <v>32.0</v>
      </c>
      <c r="T1565" s="3">
        <v>6616530.0</v>
      </c>
      <c r="U1565" s="3">
        <v>6535310.0</v>
      </c>
      <c r="V1565" s="30">
        <v>3125000.0</v>
      </c>
      <c r="W1565" s="30">
        <f t="shared" si="455"/>
        <v>1.950648301</v>
      </c>
    </row>
    <row r="1566">
      <c r="E1566" s="3"/>
      <c r="K1566" s="3">
        <v>1.0E8</v>
      </c>
      <c r="L1566" s="3">
        <v>64.0</v>
      </c>
      <c r="M1566" s="3">
        <v>8041268.0</v>
      </c>
      <c r="N1566" s="3">
        <v>6550141.0</v>
      </c>
      <c r="O1566" s="30">
        <f t="shared" si="452"/>
        <v>1562500</v>
      </c>
      <c r="P1566" s="30">
        <f>O1566*3</f>
        <v>4687500</v>
      </c>
      <c r="Q1566" s="30">
        <f t="shared" si="453"/>
        <v>9375000</v>
      </c>
      <c r="R1566" s="30">
        <f t="shared" si="454"/>
        <v>83.41390935</v>
      </c>
      <c r="S1566" s="3">
        <v>64.0</v>
      </c>
      <c r="T1566" s="3">
        <v>3468820.0</v>
      </c>
      <c r="U1566" s="3">
        <v>6462811.0</v>
      </c>
      <c r="V1566" s="30">
        <v>1562500.0</v>
      </c>
      <c r="W1566" s="30">
        <f t="shared" si="455"/>
        <v>1.907429616</v>
      </c>
    </row>
    <row r="1567">
      <c r="E1567" s="3"/>
      <c r="K1567" s="3">
        <v>1.0E8</v>
      </c>
      <c r="L1567" s="3">
        <v>128.0</v>
      </c>
      <c r="M1567" s="3">
        <v>1933513.0</v>
      </c>
      <c r="N1567" s="3">
        <v>6390571.0</v>
      </c>
      <c r="O1567" s="30">
        <f t="shared" si="452"/>
        <v>781250</v>
      </c>
      <c r="P1567" s="30">
        <f>P1565/8</f>
        <v>781250</v>
      </c>
      <c r="Q1567" s="30">
        <f t="shared" si="453"/>
        <v>1562500</v>
      </c>
      <c r="R1567" s="30">
        <f t="shared" si="454"/>
        <v>80.81145563</v>
      </c>
      <c r="S1567" s="3">
        <v>128.0</v>
      </c>
      <c r="T1567" s="3">
        <v>1907931.0</v>
      </c>
      <c r="U1567" s="3">
        <v>6406911.0</v>
      </c>
      <c r="V1567" s="30">
        <v>781250.0</v>
      </c>
      <c r="W1567" s="30">
        <f t="shared" si="455"/>
        <v>1.818105581</v>
      </c>
    </row>
    <row r="1568">
      <c r="E1568" s="3"/>
      <c r="K1568" s="3">
        <v>1.0E8</v>
      </c>
      <c r="L1568" s="3">
        <v>256.0</v>
      </c>
      <c r="M1568" s="3">
        <v>1145951.0</v>
      </c>
      <c r="N1568" s="3">
        <v>6379540.0</v>
      </c>
      <c r="O1568" s="30">
        <f t="shared" si="452"/>
        <v>390625</v>
      </c>
      <c r="P1568" s="30">
        <f t="shared" ref="P1568:P1573" si="456">P1567/2</f>
        <v>390625</v>
      </c>
      <c r="Q1568" s="30">
        <f t="shared" si="453"/>
        <v>781250</v>
      </c>
      <c r="R1568" s="30">
        <f t="shared" si="454"/>
        <v>68.17481725</v>
      </c>
      <c r="S1568" s="3">
        <v>256.0</v>
      </c>
      <c r="T1568" s="3">
        <v>1120988.0</v>
      </c>
      <c r="U1568" s="3">
        <v>6386789.0</v>
      </c>
      <c r="V1568" s="30">
        <v>390625.0</v>
      </c>
      <c r="W1568" s="30">
        <f t="shared" si="455"/>
        <v>1.702008407</v>
      </c>
    </row>
    <row r="1569">
      <c r="E1569" s="3"/>
      <c r="K1569" s="3">
        <v>1.0E8</v>
      </c>
      <c r="L1569" s="3">
        <v>512.0</v>
      </c>
      <c r="M1569" s="3">
        <v>748236.0</v>
      </c>
      <c r="N1569" s="3">
        <v>6363557.0</v>
      </c>
      <c r="O1569" s="30">
        <f t="shared" si="452"/>
        <v>195312.5</v>
      </c>
      <c r="P1569" s="30">
        <f t="shared" si="456"/>
        <v>195312.5</v>
      </c>
      <c r="Q1569" s="30">
        <f t="shared" si="453"/>
        <v>390625</v>
      </c>
      <c r="R1569" s="30">
        <f t="shared" si="454"/>
        <v>52.20612213</v>
      </c>
      <c r="S1569" s="3">
        <v>512.0</v>
      </c>
      <c r="T1569" s="3">
        <v>722937.0</v>
      </c>
      <c r="U1569" s="3">
        <v>6361076.0</v>
      </c>
      <c r="V1569" s="30">
        <v>195312.5</v>
      </c>
      <c r="W1569" s="30">
        <f t="shared" si="455"/>
        <v>1.550602611</v>
      </c>
    </row>
    <row r="1570">
      <c r="E1570" s="3"/>
      <c r="K1570" s="3">
        <v>1.0E8</v>
      </c>
      <c r="L1570" s="3">
        <v>1024.0</v>
      </c>
      <c r="M1570" s="3">
        <v>556137.0</v>
      </c>
      <c r="N1570" s="3">
        <v>6370635.0</v>
      </c>
      <c r="O1570" s="30">
        <f t="shared" si="452"/>
        <v>97656.25</v>
      </c>
      <c r="P1570" s="30">
        <f t="shared" si="456"/>
        <v>97656.25</v>
      </c>
      <c r="Q1570" s="30">
        <f t="shared" si="453"/>
        <v>195312.5</v>
      </c>
      <c r="R1570" s="30">
        <f t="shared" si="454"/>
        <v>35.11949394</v>
      </c>
      <c r="S1570" s="3">
        <v>1024.0</v>
      </c>
      <c r="T1570" s="3">
        <v>528230.0</v>
      </c>
      <c r="U1570" s="3">
        <v>6331793.0</v>
      </c>
      <c r="V1570" s="30">
        <v>97656.25</v>
      </c>
      <c r="W1570" s="30">
        <f t="shared" si="455"/>
        <v>1.368602692</v>
      </c>
    </row>
    <row r="1571">
      <c r="E1571" s="3"/>
      <c r="K1571" s="3">
        <v>1.0E8</v>
      </c>
      <c r="L1571" s="3">
        <v>2048.0</v>
      </c>
      <c r="M1571" s="3">
        <v>455652.0</v>
      </c>
      <c r="N1571" s="3">
        <v>6314946.0</v>
      </c>
      <c r="O1571" s="30">
        <f t="shared" si="452"/>
        <v>48828.125</v>
      </c>
      <c r="P1571" s="30">
        <f t="shared" si="456"/>
        <v>48828.125</v>
      </c>
      <c r="Q1571" s="30">
        <f t="shared" si="453"/>
        <v>97656.25</v>
      </c>
      <c r="R1571" s="30">
        <f t="shared" si="454"/>
        <v>21.43220045</v>
      </c>
      <c r="S1571" s="3">
        <v>2048.0</v>
      </c>
      <c r="T1571" s="3">
        <v>430157.0</v>
      </c>
      <c r="U1571" s="3">
        <v>6328232.0</v>
      </c>
      <c r="V1571" s="30">
        <v>48828.125</v>
      </c>
      <c r="W1571" s="30">
        <f t="shared" si="455"/>
        <v>1.2279935</v>
      </c>
    </row>
    <row r="1572">
      <c r="E1572" s="3"/>
      <c r="K1572" s="3">
        <v>1.0E8</v>
      </c>
      <c r="L1572" s="3">
        <v>4096.0</v>
      </c>
      <c r="M1572" s="3">
        <v>410271.0</v>
      </c>
      <c r="N1572" s="3">
        <v>6352228.0</v>
      </c>
      <c r="O1572" s="30">
        <f t="shared" si="452"/>
        <v>24414.0625</v>
      </c>
      <c r="P1572" s="30">
        <f t="shared" si="456"/>
        <v>24414.0625</v>
      </c>
      <c r="Q1572" s="30">
        <f t="shared" si="453"/>
        <v>48828.125</v>
      </c>
      <c r="R1572" s="30">
        <f t="shared" si="454"/>
        <v>11.90143222</v>
      </c>
      <c r="S1572" s="3">
        <v>4096.0</v>
      </c>
      <c r="T1572" s="3">
        <v>376966.0</v>
      </c>
      <c r="U1572" s="3">
        <v>6321227.0</v>
      </c>
      <c r="V1572" s="30">
        <v>24414.0625</v>
      </c>
      <c r="W1572" s="30">
        <f t="shared" si="455"/>
        <v>1.141102911</v>
      </c>
    </row>
    <row r="1573">
      <c r="A1573" s="27" t="s">
        <v>541</v>
      </c>
      <c r="E1573" s="3"/>
      <c r="K1573" s="3">
        <v>1.0E8</v>
      </c>
      <c r="L1573" s="3">
        <v>8192.0</v>
      </c>
      <c r="M1573" s="3">
        <v>383331.0</v>
      </c>
      <c r="N1573" s="3">
        <v>6344483.0</v>
      </c>
      <c r="O1573" s="30">
        <f t="shared" si="452"/>
        <v>12207.03125</v>
      </c>
      <c r="P1573" s="30">
        <f t="shared" si="456"/>
        <v>12207.03125</v>
      </c>
      <c r="Q1573" s="30">
        <f t="shared" si="453"/>
        <v>24414.0625</v>
      </c>
      <c r="R1573" s="30">
        <f t="shared" si="454"/>
        <v>6.368924637</v>
      </c>
      <c r="S1573" s="3">
        <v>8192.0</v>
      </c>
      <c r="T1573" s="3">
        <v>364022.0</v>
      </c>
      <c r="U1573" s="3">
        <v>6347827.0</v>
      </c>
      <c r="V1573" s="30">
        <v>12207.03125</v>
      </c>
      <c r="W1573" s="30">
        <f t="shared" si="455"/>
        <v>1.03555829</v>
      </c>
    </row>
    <row r="1574">
      <c r="E1574" s="3"/>
      <c r="K1574" s="3">
        <v>1.0E8</v>
      </c>
      <c r="L1574" s="3">
        <v>16384.0</v>
      </c>
      <c r="M1574" s="3">
        <v>379650.0</v>
      </c>
      <c r="N1574" s="3">
        <v>6350067.0</v>
      </c>
      <c r="O1574" s="30">
        <f t="shared" si="452"/>
        <v>6103.515625</v>
      </c>
      <c r="P1574" s="30">
        <f t="shared" ref="P1574:P1586" si="457">O1574*3</f>
        <v>18310.54688</v>
      </c>
      <c r="Q1574" s="30">
        <f t="shared" si="453"/>
        <v>36621.09375</v>
      </c>
      <c r="R1574" s="30">
        <f t="shared" si="454"/>
        <v>9.646014421</v>
      </c>
      <c r="S1574" s="3">
        <v>16384.0</v>
      </c>
      <c r="T1574" s="3">
        <v>345926.0</v>
      </c>
      <c r="U1574" s="3">
        <v>6346390.0</v>
      </c>
      <c r="V1574" s="30">
        <v>6103.515625</v>
      </c>
      <c r="W1574" s="30">
        <f t="shared" si="455"/>
        <v>1.052311766</v>
      </c>
    </row>
    <row r="1575">
      <c r="A1575" s="3" t="s">
        <v>525</v>
      </c>
      <c r="E1575" s="3"/>
      <c r="K1575" s="3">
        <v>1.0E8</v>
      </c>
      <c r="L1575" s="3">
        <v>32768.0</v>
      </c>
      <c r="M1575" s="3">
        <v>371440.0</v>
      </c>
      <c r="N1575" s="3">
        <v>6343315.0</v>
      </c>
      <c r="O1575" s="30">
        <f t="shared" si="452"/>
        <v>3051.757813</v>
      </c>
      <c r="P1575" s="30">
        <f t="shared" si="457"/>
        <v>9155.273438</v>
      </c>
      <c r="Q1575" s="30">
        <f t="shared" si="453"/>
        <v>18310.54688</v>
      </c>
      <c r="R1575" s="30">
        <f t="shared" si="454"/>
        <v>4.92961094</v>
      </c>
      <c r="S1575" s="3">
        <v>32768.0</v>
      </c>
      <c r="T1575" s="3">
        <v>337696.0</v>
      </c>
      <c r="U1575" s="3">
        <v>6337854.0</v>
      </c>
      <c r="V1575" s="30">
        <v>3051.7578125</v>
      </c>
      <c r="W1575" s="30">
        <f t="shared" si="455"/>
        <v>1.024371032</v>
      </c>
    </row>
    <row r="1576">
      <c r="A1576" s="3" t="s">
        <v>456</v>
      </c>
      <c r="B1576" s="3" t="s">
        <v>459</v>
      </c>
      <c r="C1576" s="3" t="s">
        <v>447</v>
      </c>
      <c r="D1576" s="3" t="s">
        <v>515</v>
      </c>
      <c r="E1576" s="3" t="s">
        <v>526</v>
      </c>
      <c r="F1576" s="3" t="s">
        <v>527</v>
      </c>
      <c r="G1576" s="3" t="s">
        <v>528</v>
      </c>
      <c r="H1576" s="3" t="s">
        <v>529</v>
      </c>
      <c r="K1576" s="3">
        <v>1.0E8</v>
      </c>
      <c r="L1576" s="3">
        <v>65536.0</v>
      </c>
      <c r="M1576" s="3">
        <v>375630.0</v>
      </c>
      <c r="N1576" s="3">
        <v>6324412.0</v>
      </c>
      <c r="O1576" s="30">
        <f t="shared" si="452"/>
        <v>1525.878906</v>
      </c>
      <c r="P1576" s="30">
        <f t="shared" si="457"/>
        <v>4577.636719</v>
      </c>
      <c r="Q1576" s="30">
        <f t="shared" si="453"/>
        <v>9155.273438</v>
      </c>
      <c r="R1576" s="30">
        <f t="shared" si="454"/>
        <v>2.437311567</v>
      </c>
      <c r="S1576" s="3">
        <v>65536.0</v>
      </c>
      <c r="T1576" s="3">
        <v>334612.0</v>
      </c>
      <c r="U1576" s="3">
        <v>6343776.0</v>
      </c>
      <c r="V1576" s="30">
        <v>1525.87890625</v>
      </c>
      <c r="W1576" s="30">
        <f t="shared" si="455"/>
        <v>1.009216645</v>
      </c>
    </row>
    <row r="1577">
      <c r="A1577" s="3">
        <v>5.0E8</v>
      </c>
      <c r="B1577" s="3">
        <f>A1577</f>
        <v>500000000</v>
      </c>
      <c r="C1577" s="3">
        <v>1.0</v>
      </c>
      <c r="D1577" s="66">
        <f t="shared" ref="D1577:D1590" si="458">B1577/C1577</f>
        <v>500000000</v>
      </c>
      <c r="E1577" s="30">
        <f>D1577/64*4</f>
        <v>31250000</v>
      </c>
      <c r="F1577" s="30">
        <f t="shared" ref="F1577:F1582" si="459">E1577*2</f>
        <v>62500000</v>
      </c>
      <c r="G1577" s="30">
        <f>E1577</f>
        <v>31250000</v>
      </c>
      <c r="H1577" s="30">
        <f t="shared" ref="H1577:H1590" si="460">F1577+G1577</f>
        <v>93750000</v>
      </c>
      <c r="K1577" s="3">
        <v>1.0E8</v>
      </c>
      <c r="L1577" s="3">
        <v>131072.0</v>
      </c>
      <c r="M1577" s="3">
        <v>359555.0</v>
      </c>
      <c r="N1577" s="3">
        <v>6342024.0</v>
      </c>
      <c r="O1577" s="30">
        <f t="shared" si="452"/>
        <v>762.9394531</v>
      </c>
      <c r="P1577" s="30">
        <f t="shared" si="457"/>
        <v>2288.818359</v>
      </c>
      <c r="Q1577" s="30">
        <f t="shared" si="453"/>
        <v>4577.636719</v>
      </c>
      <c r="R1577" s="30">
        <f t="shared" si="454"/>
        <v>1.273139497</v>
      </c>
      <c r="S1577" s="3">
        <v>131072.0</v>
      </c>
      <c r="T1577" s="3">
        <v>332902.0</v>
      </c>
      <c r="U1577" s="3">
        <v>6344102.0</v>
      </c>
      <c r="V1577" s="30">
        <v>762.939453125</v>
      </c>
      <c r="W1577" s="30">
        <f t="shared" si="455"/>
        <v>1.005136647</v>
      </c>
    </row>
    <row r="1578">
      <c r="B1578" s="3">
        <f t="shared" ref="B1578:B1590" si="461">B1577</f>
        <v>500000000</v>
      </c>
      <c r="C1578" s="3">
        <v>2.0</v>
      </c>
      <c r="D1578" s="66">
        <f t="shared" si="458"/>
        <v>250000000</v>
      </c>
      <c r="E1578" s="30">
        <f t="shared" ref="E1578:E1581" si="462">E1577</f>
        <v>31250000</v>
      </c>
      <c r="F1578" s="30">
        <f t="shared" si="459"/>
        <v>62500000</v>
      </c>
      <c r="G1578" s="30">
        <f t="shared" ref="G1578:G1590" si="463">G1577</f>
        <v>31250000</v>
      </c>
      <c r="H1578" s="30">
        <f t="shared" si="460"/>
        <v>93750000</v>
      </c>
      <c r="K1578" s="3">
        <v>1.0E8</v>
      </c>
      <c r="L1578" s="3">
        <v>262144.0</v>
      </c>
      <c r="M1578" s="3">
        <v>364233.0</v>
      </c>
      <c r="N1578" s="3">
        <v>6336080.0</v>
      </c>
      <c r="O1578" s="30">
        <f t="shared" si="452"/>
        <v>381.4697266</v>
      </c>
      <c r="P1578" s="30">
        <f t="shared" si="457"/>
        <v>1144.40918</v>
      </c>
      <c r="Q1578" s="30">
        <f t="shared" si="453"/>
        <v>2288.818359</v>
      </c>
      <c r="R1578" s="30">
        <f t="shared" si="454"/>
        <v>0.6283940114</v>
      </c>
      <c r="S1578" s="3">
        <v>262144.0</v>
      </c>
      <c r="T1578" s="3">
        <v>334644.0</v>
      </c>
      <c r="U1578" s="3">
        <v>6344325.0</v>
      </c>
      <c r="V1578" s="30">
        <v>381.4697265625</v>
      </c>
      <c r="W1578" s="30">
        <f t="shared" si="455"/>
        <v>0.9947944682</v>
      </c>
    </row>
    <row r="1579">
      <c r="B1579" s="3">
        <f t="shared" si="461"/>
        <v>500000000</v>
      </c>
      <c r="C1579" s="3">
        <v>4.0</v>
      </c>
      <c r="D1579" s="66">
        <f t="shared" si="458"/>
        <v>125000000</v>
      </c>
      <c r="E1579" s="30">
        <f t="shared" si="462"/>
        <v>31250000</v>
      </c>
      <c r="F1579" s="30">
        <f t="shared" si="459"/>
        <v>62500000</v>
      </c>
      <c r="G1579" s="30">
        <f t="shared" si="463"/>
        <v>31250000</v>
      </c>
      <c r="H1579" s="30">
        <f t="shared" si="460"/>
        <v>93750000</v>
      </c>
      <c r="K1579" s="3">
        <v>1.0E8</v>
      </c>
      <c r="L1579" s="3">
        <v>524288.0</v>
      </c>
      <c r="M1579" s="3">
        <v>357222.0</v>
      </c>
      <c r="N1579" s="3">
        <v>6319889.0</v>
      </c>
      <c r="O1579" s="30">
        <f t="shared" si="452"/>
        <v>190.7348633</v>
      </c>
      <c r="P1579" s="30">
        <f t="shared" si="457"/>
        <v>572.2045898</v>
      </c>
      <c r="Q1579" s="30">
        <f t="shared" si="453"/>
        <v>1144.40918</v>
      </c>
      <c r="R1579" s="30">
        <f t="shared" si="454"/>
        <v>0.3203635777</v>
      </c>
      <c r="S1579" s="3">
        <v>524288.0</v>
      </c>
      <c r="T1579" s="3">
        <v>329619.0</v>
      </c>
      <c r="U1579" s="3">
        <v>6308766.0</v>
      </c>
      <c r="V1579" s="30">
        <v>190.73486328125</v>
      </c>
      <c r="W1579" s="30">
        <f t="shared" si="455"/>
        <v>1.015244874</v>
      </c>
    </row>
    <row r="1580">
      <c r="B1580" s="3">
        <f t="shared" si="461"/>
        <v>500000000</v>
      </c>
      <c r="C1580" s="3">
        <v>8.0</v>
      </c>
      <c r="D1580" s="66">
        <f t="shared" si="458"/>
        <v>62500000</v>
      </c>
      <c r="E1580" s="30">
        <f t="shared" si="462"/>
        <v>31250000</v>
      </c>
      <c r="F1580" s="30">
        <f t="shared" si="459"/>
        <v>62500000</v>
      </c>
      <c r="G1580" s="30">
        <f t="shared" si="463"/>
        <v>31250000</v>
      </c>
      <c r="H1580" s="30">
        <f t="shared" si="460"/>
        <v>93750000</v>
      </c>
      <c r="K1580" s="3">
        <v>1.0E8</v>
      </c>
      <c r="L1580" s="3">
        <v>1048576.0</v>
      </c>
      <c r="M1580" s="3">
        <v>176823.0</v>
      </c>
      <c r="N1580" s="3">
        <v>3162908.0</v>
      </c>
      <c r="O1580" s="30">
        <f t="shared" si="452"/>
        <v>95.36743164</v>
      </c>
      <c r="P1580" s="30">
        <f t="shared" si="457"/>
        <v>286.1022949</v>
      </c>
      <c r="Q1580" s="30">
        <f t="shared" si="453"/>
        <v>572.2045898</v>
      </c>
      <c r="R1580" s="30">
        <f t="shared" si="454"/>
        <v>0.3236030323</v>
      </c>
      <c r="S1580" s="3">
        <v>1048576.0</v>
      </c>
      <c r="T1580" s="3">
        <v>170707.0</v>
      </c>
      <c r="U1580" s="3">
        <v>3163299.0</v>
      </c>
      <c r="V1580" s="30">
        <v>95.367431640625</v>
      </c>
      <c r="W1580" s="30">
        <f t="shared" si="455"/>
        <v>1.930905001</v>
      </c>
    </row>
    <row r="1581">
      <c r="B1581" s="3">
        <f t="shared" si="461"/>
        <v>500000000</v>
      </c>
      <c r="C1581" s="3">
        <v>16.0</v>
      </c>
      <c r="D1581" s="66">
        <f t="shared" si="458"/>
        <v>31250000</v>
      </c>
      <c r="E1581" s="30">
        <f t="shared" si="462"/>
        <v>31250000</v>
      </c>
      <c r="F1581" s="30">
        <f t="shared" si="459"/>
        <v>62500000</v>
      </c>
      <c r="G1581" s="30">
        <f t="shared" si="463"/>
        <v>31250000</v>
      </c>
      <c r="H1581" s="30">
        <f t="shared" si="460"/>
        <v>93750000</v>
      </c>
      <c r="K1581" s="3">
        <v>1.0E8</v>
      </c>
      <c r="L1581" s="3">
        <v>2097152.0</v>
      </c>
      <c r="M1581" s="3">
        <v>91798.0</v>
      </c>
      <c r="N1581" s="3">
        <v>1561251.0</v>
      </c>
      <c r="O1581" s="30">
        <f t="shared" si="452"/>
        <v>47.68371582</v>
      </c>
      <c r="P1581" s="30">
        <f t="shared" si="457"/>
        <v>143.0511475</v>
      </c>
      <c r="Q1581" s="30">
        <f t="shared" si="453"/>
        <v>286.1022949</v>
      </c>
      <c r="R1581" s="30">
        <f t="shared" si="454"/>
        <v>0.3116650634</v>
      </c>
      <c r="S1581" s="3">
        <v>2097152.0</v>
      </c>
      <c r="T1581" s="3">
        <v>81720.0</v>
      </c>
      <c r="U1581" s="3">
        <v>1534614.0</v>
      </c>
      <c r="V1581" s="30">
        <v>47.6837158203125</v>
      </c>
      <c r="W1581" s="30">
        <f t="shared" si="455"/>
        <v>2.0889256</v>
      </c>
    </row>
    <row r="1582">
      <c r="B1582" s="3">
        <f t="shared" si="461"/>
        <v>500000000</v>
      </c>
      <c r="C1582" s="3">
        <v>32.0</v>
      </c>
      <c r="D1582" s="66">
        <f t="shared" si="458"/>
        <v>15625000</v>
      </c>
      <c r="E1582" s="30">
        <f t="shared" ref="E1582:E1590" si="464">E1581/2</f>
        <v>15625000</v>
      </c>
      <c r="F1582" s="30">
        <f t="shared" si="459"/>
        <v>31250000</v>
      </c>
      <c r="G1582" s="30">
        <f t="shared" si="463"/>
        <v>31250000</v>
      </c>
      <c r="H1582" s="30">
        <f t="shared" si="460"/>
        <v>62500000</v>
      </c>
      <c r="K1582" s="3">
        <v>1.0E8</v>
      </c>
      <c r="L1582" s="3">
        <v>4194304.0</v>
      </c>
      <c r="M1582" s="3">
        <v>42924.0</v>
      </c>
      <c r="N1582" s="3">
        <v>755448.0</v>
      </c>
      <c r="O1582" s="30">
        <f t="shared" si="452"/>
        <v>23.84185791</v>
      </c>
      <c r="P1582" s="30">
        <f t="shared" si="457"/>
        <v>71.52557373</v>
      </c>
      <c r="Q1582" s="30">
        <f t="shared" si="453"/>
        <v>143.0511475</v>
      </c>
      <c r="R1582" s="30">
        <f t="shared" si="454"/>
        <v>0.3332661156</v>
      </c>
      <c r="S1582" s="3">
        <v>4194304.0</v>
      </c>
      <c r="T1582" s="3">
        <v>39529.0</v>
      </c>
      <c r="U1582" s="3">
        <v>736773.0</v>
      </c>
      <c r="V1582" s="30">
        <v>23.84185791015625</v>
      </c>
      <c r="W1582" s="30">
        <f t="shared" si="455"/>
        <v>2.067342963</v>
      </c>
    </row>
    <row r="1583">
      <c r="B1583" s="3">
        <f t="shared" si="461"/>
        <v>500000000</v>
      </c>
      <c r="C1583" s="3">
        <v>64.0</v>
      </c>
      <c r="D1583" s="66">
        <f t="shared" si="458"/>
        <v>7812500</v>
      </c>
      <c r="E1583" s="30">
        <f t="shared" si="464"/>
        <v>7812500</v>
      </c>
      <c r="F1583" s="30">
        <f>F1582/1.9</f>
        <v>16447368.42</v>
      </c>
      <c r="G1583" s="30">
        <f t="shared" si="463"/>
        <v>31250000</v>
      </c>
      <c r="H1583" s="30">
        <f t="shared" si="460"/>
        <v>47697368.42</v>
      </c>
      <c r="K1583" s="3">
        <v>1.0E8</v>
      </c>
      <c r="L1583" s="3">
        <v>8388608.0</v>
      </c>
      <c r="M1583" s="3">
        <v>23070.0</v>
      </c>
      <c r="N1583" s="3">
        <v>359941.0</v>
      </c>
      <c r="O1583" s="30">
        <f t="shared" si="452"/>
        <v>11.92092896</v>
      </c>
      <c r="P1583" s="30">
        <f t="shared" si="457"/>
        <v>35.76278687</v>
      </c>
      <c r="Q1583" s="30">
        <f t="shared" si="453"/>
        <v>71.52557373</v>
      </c>
      <c r="R1583" s="30">
        <f t="shared" si="454"/>
        <v>0.310037164</v>
      </c>
      <c r="S1583" s="3">
        <v>8388608.0</v>
      </c>
      <c r="T1583" s="3">
        <v>18746.0</v>
      </c>
      <c r="U1583" s="3">
        <v>357127.0</v>
      </c>
      <c r="V1583" s="30">
        <v>11.920928955078125</v>
      </c>
      <c r="W1583" s="30">
        <f t="shared" si="455"/>
        <v>2.108663181</v>
      </c>
    </row>
    <row r="1584">
      <c r="B1584" s="3">
        <f t="shared" si="461"/>
        <v>500000000</v>
      </c>
      <c r="C1584" s="3">
        <v>128.0</v>
      </c>
      <c r="D1584" s="66">
        <f t="shared" si="458"/>
        <v>3906250</v>
      </c>
      <c r="E1584" s="30">
        <f t="shared" si="464"/>
        <v>3906250</v>
      </c>
      <c r="F1584" s="30">
        <f>F1583/1.8</f>
        <v>9137426.901</v>
      </c>
      <c r="G1584" s="30">
        <f t="shared" si="463"/>
        <v>31250000</v>
      </c>
      <c r="H1584" s="30">
        <f t="shared" si="460"/>
        <v>40387426.9</v>
      </c>
      <c r="K1584" s="3">
        <v>1.0E8</v>
      </c>
      <c r="L1584" s="3">
        <v>1.6777216E7</v>
      </c>
      <c r="M1584" s="3">
        <v>9425.0</v>
      </c>
      <c r="N1584" s="3">
        <v>160736.0</v>
      </c>
      <c r="O1584" s="30">
        <f t="shared" si="452"/>
        <v>5.960464478</v>
      </c>
      <c r="P1584" s="30">
        <f t="shared" si="457"/>
        <v>17.88139343</v>
      </c>
      <c r="Q1584" s="30">
        <f t="shared" si="453"/>
        <v>35.76278687</v>
      </c>
      <c r="R1584" s="30">
        <f t="shared" si="454"/>
        <v>0.3794460145</v>
      </c>
      <c r="S1584" s="3">
        <v>1.6777216E7</v>
      </c>
      <c r="T1584" s="3">
        <v>8556.0</v>
      </c>
      <c r="U1584" s="3">
        <v>162377.0</v>
      </c>
      <c r="V1584" s="30">
        <v>5.9604644775390625</v>
      </c>
      <c r="W1584" s="30">
        <f t="shared" si="455"/>
        <v>2.190977092</v>
      </c>
    </row>
    <row r="1585">
      <c r="B1585" s="3">
        <f t="shared" si="461"/>
        <v>500000000</v>
      </c>
      <c r="C1585" s="3">
        <v>256.0</v>
      </c>
      <c r="D1585" s="66">
        <f t="shared" si="458"/>
        <v>1953125</v>
      </c>
      <c r="E1585" s="30">
        <f t="shared" si="464"/>
        <v>1953125</v>
      </c>
      <c r="F1585" s="30">
        <f>F1584/1.7</f>
        <v>5374957</v>
      </c>
      <c r="G1585" s="30">
        <f t="shared" si="463"/>
        <v>31250000</v>
      </c>
      <c r="H1585" s="30">
        <f t="shared" si="460"/>
        <v>36624957</v>
      </c>
      <c r="K1585" s="3">
        <v>1.0E8</v>
      </c>
      <c r="L1585" s="3">
        <v>3.3554432E7</v>
      </c>
      <c r="M1585" s="3">
        <v>3862.0</v>
      </c>
      <c r="N1585" s="3">
        <v>53189.0</v>
      </c>
      <c r="O1585" s="30">
        <f t="shared" si="452"/>
        <v>2.980232239</v>
      </c>
      <c r="P1585" s="30">
        <f t="shared" si="457"/>
        <v>8.940696716</v>
      </c>
      <c r="Q1585" s="30">
        <f t="shared" si="453"/>
        <v>17.88139343</v>
      </c>
      <c r="R1585" s="30">
        <f t="shared" si="454"/>
        <v>0.4630086337</v>
      </c>
      <c r="S1585" s="3">
        <v>3.3554432E7</v>
      </c>
      <c r="T1585" s="3">
        <v>3492.0</v>
      </c>
      <c r="U1585" s="3">
        <v>63110.0</v>
      </c>
      <c r="V1585" s="30">
        <v>2.9802322387695312</v>
      </c>
      <c r="W1585" s="30">
        <f t="shared" si="455"/>
        <v>2.450171821</v>
      </c>
    </row>
    <row r="1586">
      <c r="B1586" s="3">
        <f t="shared" si="461"/>
        <v>500000000</v>
      </c>
      <c r="C1586" s="3">
        <v>512.0</v>
      </c>
      <c r="D1586" s="66">
        <f t="shared" si="458"/>
        <v>976562.5</v>
      </c>
      <c r="E1586" s="30">
        <f t="shared" si="464"/>
        <v>976562.5</v>
      </c>
      <c r="F1586" s="30">
        <f>F1585/1.5</f>
        <v>3583304.667</v>
      </c>
      <c r="G1586" s="30">
        <f t="shared" si="463"/>
        <v>31250000</v>
      </c>
      <c r="H1586" s="30">
        <f t="shared" si="460"/>
        <v>34833304.67</v>
      </c>
      <c r="K1586" s="3">
        <v>1.0E8</v>
      </c>
      <c r="L1586" s="3">
        <v>6.7108864E7</v>
      </c>
      <c r="M1586" s="3">
        <v>2046.0</v>
      </c>
      <c r="N1586" s="3">
        <v>29941.0</v>
      </c>
      <c r="O1586" s="30">
        <f t="shared" si="452"/>
        <v>1.490116119</v>
      </c>
      <c r="P1586" s="30">
        <f t="shared" si="457"/>
        <v>4.470348358</v>
      </c>
      <c r="Q1586" s="30">
        <f t="shared" si="453"/>
        <v>8.940696716</v>
      </c>
      <c r="R1586" s="30">
        <f t="shared" si="454"/>
        <v>0.4369841992</v>
      </c>
      <c r="S1586" s="3">
        <v>6.7108864E7</v>
      </c>
      <c r="T1586" s="3">
        <v>1773.0</v>
      </c>
      <c r="U1586" s="3">
        <v>24575.0</v>
      </c>
      <c r="V1586" s="30">
        <v>1.4901161193847656</v>
      </c>
      <c r="W1586" s="30">
        <f t="shared" si="455"/>
        <v>1.969543147</v>
      </c>
    </row>
    <row r="1587">
      <c r="B1587" s="3">
        <f t="shared" si="461"/>
        <v>500000000</v>
      </c>
      <c r="C1587" s="3">
        <v>1024.0</v>
      </c>
      <c r="D1587" s="66">
        <f t="shared" si="458"/>
        <v>488281.25</v>
      </c>
      <c r="E1587" s="30">
        <f t="shared" si="464"/>
        <v>488281.25</v>
      </c>
      <c r="F1587" s="30">
        <f>F1586/1.3</f>
        <v>2756388.205</v>
      </c>
      <c r="G1587" s="30">
        <f t="shared" si="463"/>
        <v>31250000</v>
      </c>
      <c r="H1587" s="30">
        <f t="shared" si="460"/>
        <v>34006388.21</v>
      </c>
    </row>
    <row r="1588">
      <c r="B1588" s="3">
        <f t="shared" si="461"/>
        <v>500000000</v>
      </c>
      <c r="C1588" s="3">
        <v>2048.0</v>
      </c>
      <c r="D1588" s="66">
        <f t="shared" si="458"/>
        <v>244140.625</v>
      </c>
      <c r="E1588" s="30">
        <f t="shared" si="464"/>
        <v>244140.625</v>
      </c>
      <c r="F1588" s="30">
        <f>F1587/1.2</f>
        <v>2296990.171</v>
      </c>
      <c r="G1588" s="30">
        <f t="shared" si="463"/>
        <v>31250000</v>
      </c>
      <c r="H1588" s="30">
        <f t="shared" si="460"/>
        <v>33546990.17</v>
      </c>
    </row>
    <row r="1589">
      <c r="B1589" s="3">
        <f t="shared" si="461"/>
        <v>500000000</v>
      </c>
      <c r="C1589" s="3">
        <v>4096.0</v>
      </c>
      <c r="D1589" s="66">
        <f t="shared" si="458"/>
        <v>122070.3125</v>
      </c>
      <c r="E1589" s="30">
        <f t="shared" si="464"/>
        <v>122070.3125</v>
      </c>
      <c r="F1589" s="30">
        <f>F1588/1.1</f>
        <v>2088172.883</v>
      </c>
      <c r="G1589" s="30">
        <f t="shared" si="463"/>
        <v>31250000</v>
      </c>
      <c r="H1589" s="30">
        <f t="shared" si="460"/>
        <v>33338172.88</v>
      </c>
    </row>
    <row r="1590">
      <c r="B1590" s="3">
        <f t="shared" si="461"/>
        <v>500000000</v>
      </c>
      <c r="C1590" s="3">
        <v>8192.0</v>
      </c>
      <c r="D1590" s="66">
        <f t="shared" si="458"/>
        <v>61035.15625</v>
      </c>
      <c r="E1590" s="30">
        <f t="shared" si="464"/>
        <v>61035.15625</v>
      </c>
      <c r="F1590" s="30">
        <f>F1589/1</f>
        <v>2088172.883</v>
      </c>
      <c r="G1590" s="30">
        <f t="shared" si="463"/>
        <v>31250000</v>
      </c>
      <c r="H1590" s="30">
        <f t="shared" si="460"/>
        <v>33338172.88</v>
      </c>
    </row>
    <row r="1591">
      <c r="A1591" s="3" t="s">
        <v>327</v>
      </c>
      <c r="B1591" s="3" t="s">
        <v>530</v>
      </c>
      <c r="E1591" s="3"/>
      <c r="J1591" s="3" t="s">
        <v>531</v>
      </c>
      <c r="M1591" s="3"/>
      <c r="R1591" s="3" t="s">
        <v>532</v>
      </c>
      <c r="U1591" s="3"/>
    </row>
    <row r="1592">
      <c r="E1592" s="3"/>
      <c r="F1592" s="3" t="s">
        <v>482</v>
      </c>
      <c r="G1592" s="73" t="s">
        <v>529</v>
      </c>
      <c r="H1592" s="3" t="s">
        <v>533</v>
      </c>
      <c r="M1592" s="3"/>
      <c r="N1592" s="3" t="s">
        <v>482</v>
      </c>
      <c r="O1592" s="73" t="s">
        <v>529</v>
      </c>
      <c r="P1592" s="3" t="s">
        <v>533</v>
      </c>
      <c r="U1592" s="3"/>
      <c r="V1592" s="3" t="s">
        <v>482</v>
      </c>
      <c r="W1592" s="73" t="s">
        <v>529</v>
      </c>
      <c r="X1592" s="3" t="s">
        <v>533</v>
      </c>
    </row>
    <row r="1593">
      <c r="B1593" s="3" t="s">
        <v>463</v>
      </c>
      <c r="C1593" s="3">
        <v>1.0</v>
      </c>
      <c r="D1593" s="3">
        <v>6.5378974E7</v>
      </c>
      <c r="E1593" s="3">
        <v>3.334849E7</v>
      </c>
      <c r="F1593" s="30">
        <f t="shared" ref="F1593:F1606" si="465">D1593+E1593</f>
        <v>98727464</v>
      </c>
      <c r="G1593" s="30">
        <f t="shared" ref="G1593:G1606" si="466">H1577</f>
        <v>93750000</v>
      </c>
      <c r="H1593" s="77">
        <f t="shared" ref="H1593:H1606" si="467">ABS((F1593-G1593)/F1593)*100</f>
        <v>5.041620435</v>
      </c>
      <c r="J1593" s="3" t="s">
        <v>463</v>
      </c>
      <c r="K1593" s="3">
        <v>1.0</v>
      </c>
      <c r="L1593" s="3">
        <v>6.5885078E7</v>
      </c>
      <c r="M1593" s="3">
        <v>3.306621E7</v>
      </c>
      <c r="N1593" s="30">
        <f t="shared" ref="N1593:N1606" si="468">L1593+M1593</f>
        <v>98951288</v>
      </c>
      <c r="O1593" s="30">
        <f t="shared" ref="O1593:O1606" si="469">H1577</f>
        <v>93750000</v>
      </c>
      <c r="P1593" s="77">
        <f t="shared" ref="P1593:P1606" si="470">ABS((N1593-O1593)/N1593)*100</f>
        <v>5.25641263</v>
      </c>
      <c r="R1593" s="3" t="s">
        <v>463</v>
      </c>
      <c r="S1593" s="3">
        <v>1.0</v>
      </c>
      <c r="T1593" s="3">
        <v>6.6794602E7</v>
      </c>
      <c r="U1593" s="3">
        <v>3.3761274E7</v>
      </c>
      <c r="V1593" s="30">
        <f t="shared" ref="V1593:V1606" si="471">T1593+U1593</f>
        <v>100555876</v>
      </c>
      <c r="W1593" s="30">
        <f t="shared" ref="W1593:W1606" si="472">H1577</f>
        <v>93750000</v>
      </c>
      <c r="X1593" s="77">
        <f t="shared" ref="X1593:X1606" si="473">ABS((V1593-W1593)/V1593)*100</f>
        <v>6.768252906</v>
      </c>
    </row>
    <row r="1594">
      <c r="B1594" s="3" t="s">
        <v>463</v>
      </c>
      <c r="C1594" s="3">
        <v>2.0</v>
      </c>
      <c r="D1594" s="3">
        <v>6.5195732E7</v>
      </c>
      <c r="E1594" s="3">
        <v>3.3111255E7</v>
      </c>
      <c r="F1594" s="30">
        <f t="shared" si="465"/>
        <v>98306987</v>
      </c>
      <c r="G1594" s="30">
        <f t="shared" si="466"/>
        <v>93750000</v>
      </c>
      <c r="H1594" s="77">
        <f t="shared" si="467"/>
        <v>4.635466043</v>
      </c>
      <c r="J1594" s="3" t="s">
        <v>463</v>
      </c>
      <c r="K1594" s="3">
        <v>2.0</v>
      </c>
      <c r="L1594" s="3">
        <v>6.5920921E7</v>
      </c>
      <c r="M1594" s="3">
        <v>3.3078804E7</v>
      </c>
      <c r="N1594" s="30">
        <f t="shared" si="468"/>
        <v>98999725</v>
      </c>
      <c r="O1594" s="30">
        <f t="shared" si="469"/>
        <v>93750000</v>
      </c>
      <c r="P1594" s="77">
        <f t="shared" si="470"/>
        <v>5.302767255</v>
      </c>
      <c r="R1594" s="3" t="s">
        <v>463</v>
      </c>
      <c r="S1594" s="3">
        <v>2.0</v>
      </c>
      <c r="T1594" s="3">
        <v>6.6750244E7</v>
      </c>
      <c r="U1594" s="3">
        <v>3.3726132E7</v>
      </c>
      <c r="V1594" s="30">
        <f t="shared" si="471"/>
        <v>100476376</v>
      </c>
      <c r="W1594" s="30">
        <f t="shared" si="472"/>
        <v>93750000</v>
      </c>
      <c r="X1594" s="77">
        <f t="shared" si="473"/>
        <v>6.69448508</v>
      </c>
    </row>
    <row r="1595">
      <c r="B1595" s="3" t="s">
        <v>463</v>
      </c>
      <c r="C1595" s="3">
        <v>4.0</v>
      </c>
      <c r="D1595" s="3">
        <v>6.4714801E7</v>
      </c>
      <c r="E1595" s="3">
        <v>3.2680831E7</v>
      </c>
      <c r="F1595" s="30">
        <f t="shared" si="465"/>
        <v>97395632</v>
      </c>
      <c r="G1595" s="30">
        <f t="shared" si="466"/>
        <v>93750000</v>
      </c>
      <c r="H1595" s="77">
        <f t="shared" si="467"/>
        <v>3.743116529</v>
      </c>
      <c r="J1595" s="3" t="s">
        <v>463</v>
      </c>
      <c r="K1595" s="3">
        <v>4.0</v>
      </c>
      <c r="L1595" s="3">
        <v>6.5813239E7</v>
      </c>
      <c r="M1595" s="3">
        <v>3.3049974E7</v>
      </c>
      <c r="N1595" s="30">
        <f t="shared" si="468"/>
        <v>98863213</v>
      </c>
      <c r="O1595" s="30">
        <f t="shared" si="469"/>
        <v>93750000</v>
      </c>
      <c r="P1595" s="77">
        <f t="shared" si="470"/>
        <v>5.172007711</v>
      </c>
      <c r="R1595" s="3" t="s">
        <v>463</v>
      </c>
      <c r="S1595" s="3">
        <v>4.0</v>
      </c>
      <c r="T1595" s="3">
        <v>6.6446208E7</v>
      </c>
      <c r="U1595" s="3">
        <v>3.358307E7</v>
      </c>
      <c r="V1595" s="30">
        <f t="shared" si="471"/>
        <v>100029278</v>
      </c>
      <c r="W1595" s="30">
        <f t="shared" si="472"/>
        <v>93750000</v>
      </c>
      <c r="X1595" s="77">
        <f t="shared" si="473"/>
        <v>6.277440091</v>
      </c>
    </row>
    <row r="1596">
      <c r="B1596" s="3" t="s">
        <v>463</v>
      </c>
      <c r="C1596" s="3">
        <v>8.0</v>
      </c>
      <c r="D1596" s="3">
        <v>6.4605471E7</v>
      </c>
      <c r="E1596" s="3">
        <v>3.2520684E7</v>
      </c>
      <c r="F1596" s="30">
        <f t="shared" si="465"/>
        <v>97126155</v>
      </c>
      <c r="G1596" s="30">
        <f t="shared" si="466"/>
        <v>93750000</v>
      </c>
      <c r="H1596" s="77">
        <f t="shared" si="467"/>
        <v>3.476051327</v>
      </c>
      <c r="J1596" s="3" t="s">
        <v>463</v>
      </c>
      <c r="K1596" s="3">
        <v>8.0</v>
      </c>
      <c r="L1596" s="3">
        <v>6.587093E7</v>
      </c>
      <c r="M1596" s="3">
        <v>3.3049105E7</v>
      </c>
      <c r="N1596" s="30">
        <f t="shared" si="468"/>
        <v>98920035</v>
      </c>
      <c r="O1596" s="30">
        <f t="shared" si="469"/>
        <v>93750000</v>
      </c>
      <c r="P1596" s="77">
        <f t="shared" si="470"/>
        <v>5.226479146</v>
      </c>
      <c r="R1596" s="3" t="s">
        <v>463</v>
      </c>
      <c r="S1596" s="3">
        <v>8.0</v>
      </c>
      <c r="T1596" s="3">
        <v>6.6383482E7</v>
      </c>
      <c r="U1596" s="3">
        <v>3.356632E7</v>
      </c>
      <c r="V1596" s="30">
        <f t="shared" si="471"/>
        <v>99949802</v>
      </c>
      <c r="W1596" s="30">
        <f t="shared" si="472"/>
        <v>93750000</v>
      </c>
      <c r="X1596" s="77">
        <f t="shared" si="473"/>
        <v>6.20291574</v>
      </c>
    </row>
    <row r="1597">
      <c r="B1597" s="3" t="s">
        <v>463</v>
      </c>
      <c r="C1597" s="3">
        <v>16.0</v>
      </c>
      <c r="D1597" s="3">
        <v>6.4377887E7</v>
      </c>
      <c r="E1597" s="3">
        <v>3.2435639E7</v>
      </c>
      <c r="F1597" s="30">
        <f t="shared" si="465"/>
        <v>96813526</v>
      </c>
      <c r="G1597" s="30">
        <f t="shared" si="466"/>
        <v>93750000</v>
      </c>
      <c r="H1597" s="77">
        <f t="shared" si="467"/>
        <v>3.164357427</v>
      </c>
      <c r="J1597" s="3" t="s">
        <v>463</v>
      </c>
      <c r="K1597" s="3">
        <v>16.0</v>
      </c>
      <c r="L1597" s="3">
        <v>6.5829239E7</v>
      </c>
      <c r="M1597" s="3">
        <v>3.3063268E7</v>
      </c>
      <c r="N1597" s="30">
        <f t="shared" si="468"/>
        <v>98892507</v>
      </c>
      <c r="O1597" s="30">
        <f t="shared" si="469"/>
        <v>93750000</v>
      </c>
      <c r="P1597" s="77">
        <f t="shared" si="470"/>
        <v>5.200097718</v>
      </c>
      <c r="R1597" s="3" t="s">
        <v>463</v>
      </c>
      <c r="S1597" s="3">
        <v>16.0</v>
      </c>
      <c r="T1597" s="3">
        <v>6.6318254E7</v>
      </c>
      <c r="U1597" s="3">
        <v>3.3498085E7</v>
      </c>
      <c r="V1597" s="30">
        <f t="shared" si="471"/>
        <v>99816339</v>
      </c>
      <c r="W1597" s="30">
        <f t="shared" si="472"/>
        <v>93750000</v>
      </c>
      <c r="X1597" s="77">
        <f t="shared" si="473"/>
        <v>6.077500999</v>
      </c>
    </row>
    <row r="1598">
      <c r="B1598" s="3" t="s">
        <v>463</v>
      </c>
      <c r="C1598" s="3">
        <v>32.0</v>
      </c>
      <c r="D1598" s="3">
        <v>3.302295E7</v>
      </c>
      <c r="E1598" s="3">
        <v>3.2169712E7</v>
      </c>
      <c r="F1598" s="30">
        <f t="shared" si="465"/>
        <v>65192662</v>
      </c>
      <c r="G1598" s="30">
        <f t="shared" si="466"/>
        <v>62500000</v>
      </c>
      <c r="H1598" s="77">
        <f t="shared" si="467"/>
        <v>4.130314544</v>
      </c>
      <c r="J1598" s="3" t="s">
        <v>463</v>
      </c>
      <c r="K1598" s="3">
        <v>32.0</v>
      </c>
      <c r="L1598" s="3">
        <v>3.3986401E7</v>
      </c>
      <c r="M1598" s="3">
        <v>3.2442045E7</v>
      </c>
      <c r="N1598" s="30">
        <f t="shared" si="468"/>
        <v>66428446</v>
      </c>
      <c r="O1598" s="30">
        <f t="shared" si="469"/>
        <v>62500000</v>
      </c>
      <c r="P1598" s="77">
        <f t="shared" si="470"/>
        <v>5.913800844</v>
      </c>
      <c r="R1598" s="3" t="s">
        <v>463</v>
      </c>
      <c r="S1598" s="3">
        <v>32.0</v>
      </c>
      <c r="T1598" s="3">
        <v>3.4389929E7</v>
      </c>
      <c r="U1598" s="3">
        <v>3.2861317E7</v>
      </c>
      <c r="V1598" s="30">
        <f t="shared" si="471"/>
        <v>67251246</v>
      </c>
      <c r="W1598" s="30">
        <f t="shared" si="472"/>
        <v>62500000</v>
      </c>
      <c r="X1598" s="77">
        <f t="shared" si="473"/>
        <v>7.064918916</v>
      </c>
    </row>
    <row r="1599">
      <c r="B1599" s="3" t="s">
        <v>463</v>
      </c>
      <c r="C1599" s="3">
        <v>64.0</v>
      </c>
      <c r="D1599" s="3">
        <v>1.7330757E7</v>
      </c>
      <c r="E1599" s="3">
        <v>3.2032292E7</v>
      </c>
      <c r="F1599" s="30">
        <f t="shared" si="465"/>
        <v>49363049</v>
      </c>
      <c r="G1599" s="30">
        <f t="shared" si="466"/>
        <v>47697368.42</v>
      </c>
      <c r="H1599" s="77">
        <f t="shared" si="467"/>
        <v>3.374347032</v>
      </c>
      <c r="J1599" s="3" t="s">
        <v>463</v>
      </c>
      <c r="K1599" s="3">
        <v>64.0</v>
      </c>
      <c r="L1599" s="3">
        <v>1.7975888E7</v>
      </c>
      <c r="M1599" s="3">
        <v>3.2125597E7</v>
      </c>
      <c r="N1599" s="30">
        <f t="shared" si="468"/>
        <v>50101485</v>
      </c>
      <c r="O1599" s="30">
        <f t="shared" si="469"/>
        <v>47697368.42</v>
      </c>
      <c r="P1599" s="77">
        <f t="shared" si="470"/>
        <v>4.798493655</v>
      </c>
      <c r="R1599" s="3" t="s">
        <v>463</v>
      </c>
      <c r="S1599" s="3">
        <v>64.0</v>
      </c>
      <c r="T1599" s="3">
        <v>1.8156079E7</v>
      </c>
      <c r="U1599" s="3">
        <v>3.2292921E7</v>
      </c>
      <c r="V1599" s="30">
        <f t="shared" si="471"/>
        <v>50449000</v>
      </c>
      <c r="W1599" s="30">
        <f t="shared" si="472"/>
        <v>47697368.42</v>
      </c>
      <c r="X1599" s="77">
        <f t="shared" si="473"/>
        <v>5.45428369</v>
      </c>
    </row>
    <row r="1600">
      <c r="B1600" s="3" t="s">
        <v>463</v>
      </c>
      <c r="C1600" s="3">
        <v>128.0</v>
      </c>
      <c r="D1600" s="3">
        <v>9501349.0</v>
      </c>
      <c r="E1600" s="3">
        <v>3.1971342E7</v>
      </c>
      <c r="F1600" s="30">
        <f t="shared" si="465"/>
        <v>41472691</v>
      </c>
      <c r="G1600" s="30">
        <f t="shared" si="466"/>
        <v>40387426.9</v>
      </c>
      <c r="H1600" s="77">
        <f t="shared" si="467"/>
        <v>2.616816207</v>
      </c>
      <c r="J1600" s="3" t="s">
        <v>463</v>
      </c>
      <c r="K1600" s="3">
        <v>128.0</v>
      </c>
      <c r="L1600" s="3">
        <v>1.0107195E7</v>
      </c>
      <c r="M1600" s="3">
        <v>3.2083639E7</v>
      </c>
      <c r="N1600" s="30">
        <f t="shared" si="468"/>
        <v>42190834</v>
      </c>
      <c r="O1600" s="30">
        <f t="shared" si="469"/>
        <v>40387426.9</v>
      </c>
      <c r="P1600" s="77">
        <f t="shared" si="470"/>
        <v>4.274404956</v>
      </c>
      <c r="R1600" s="3" t="s">
        <v>463</v>
      </c>
      <c r="S1600" s="3">
        <v>128.0</v>
      </c>
      <c r="T1600" s="3">
        <v>1.0247555E7</v>
      </c>
      <c r="U1600" s="3">
        <v>3.2181834E7</v>
      </c>
      <c r="V1600" s="30">
        <f t="shared" si="471"/>
        <v>42429389</v>
      </c>
      <c r="W1600" s="30">
        <f t="shared" si="472"/>
        <v>40387426.9</v>
      </c>
      <c r="X1600" s="77">
        <f t="shared" si="473"/>
        <v>4.812612549</v>
      </c>
    </row>
    <row r="1601">
      <c r="B1601" s="3" t="s">
        <v>463</v>
      </c>
      <c r="C1601" s="3">
        <v>256.0</v>
      </c>
      <c r="D1601" s="3">
        <v>5591525.0</v>
      </c>
      <c r="E1601" s="3">
        <v>3.1916385E7</v>
      </c>
      <c r="F1601" s="30">
        <f t="shared" si="465"/>
        <v>37507910</v>
      </c>
      <c r="G1601" s="30">
        <f t="shared" si="466"/>
        <v>36624957</v>
      </c>
      <c r="H1601" s="77">
        <f t="shared" si="467"/>
        <v>2.354044786</v>
      </c>
      <c r="J1601" s="3" t="s">
        <v>463</v>
      </c>
      <c r="K1601" s="3">
        <v>256.0</v>
      </c>
      <c r="L1601" s="3">
        <v>6180130.0</v>
      </c>
      <c r="M1601" s="3">
        <v>3.2050899E7</v>
      </c>
      <c r="N1601" s="30">
        <f t="shared" si="468"/>
        <v>38231029</v>
      </c>
      <c r="O1601" s="30">
        <f t="shared" si="469"/>
        <v>36624957</v>
      </c>
      <c r="P1601" s="77">
        <f t="shared" si="470"/>
        <v>4.200964613</v>
      </c>
      <c r="R1601" s="3" t="s">
        <v>463</v>
      </c>
      <c r="S1601" s="3">
        <v>256.0</v>
      </c>
      <c r="T1601" s="3">
        <v>6448016.0</v>
      </c>
      <c r="U1601" s="3">
        <v>3.2251987E7</v>
      </c>
      <c r="V1601" s="30">
        <f t="shared" si="471"/>
        <v>38700003</v>
      </c>
      <c r="W1601" s="30">
        <f t="shared" si="472"/>
        <v>36624957</v>
      </c>
      <c r="X1601" s="77">
        <f t="shared" si="473"/>
        <v>5.361875552</v>
      </c>
    </row>
    <row r="1602">
      <c r="B1602" s="3" t="s">
        <v>463</v>
      </c>
      <c r="C1602" s="3">
        <v>512.0</v>
      </c>
      <c r="D1602" s="3">
        <v>3634247.0</v>
      </c>
      <c r="E1602" s="3">
        <v>3.1894157E7</v>
      </c>
      <c r="F1602" s="30">
        <f t="shared" si="465"/>
        <v>35528404</v>
      </c>
      <c r="G1602" s="30">
        <f t="shared" si="466"/>
        <v>34833304.67</v>
      </c>
      <c r="H1602" s="77">
        <f t="shared" si="467"/>
        <v>1.956460901</v>
      </c>
      <c r="J1602" s="3" t="s">
        <v>463</v>
      </c>
      <c r="K1602" s="3">
        <v>512.0</v>
      </c>
      <c r="L1602" s="3">
        <v>4305943.0</v>
      </c>
      <c r="M1602" s="3">
        <v>3.2099202E7</v>
      </c>
      <c r="N1602" s="30">
        <f t="shared" si="468"/>
        <v>36405145</v>
      </c>
      <c r="O1602" s="30">
        <f t="shared" si="469"/>
        <v>34833304.67</v>
      </c>
      <c r="P1602" s="77">
        <f t="shared" si="470"/>
        <v>4.317632393</v>
      </c>
      <c r="R1602" s="3" t="s">
        <v>463</v>
      </c>
      <c r="S1602" s="3">
        <v>512.0</v>
      </c>
      <c r="T1602" s="3">
        <v>4460944.0</v>
      </c>
      <c r="U1602" s="3">
        <v>3.2242485E7</v>
      </c>
      <c r="V1602" s="30">
        <f t="shared" si="471"/>
        <v>36703429</v>
      </c>
      <c r="W1602" s="30">
        <f t="shared" si="472"/>
        <v>34833304.67</v>
      </c>
      <c r="X1602" s="77">
        <f t="shared" si="473"/>
        <v>5.095230566</v>
      </c>
    </row>
    <row r="1603">
      <c r="B1603" s="3" t="s">
        <v>463</v>
      </c>
      <c r="C1603" s="3">
        <v>1024.0</v>
      </c>
      <c r="D1603" s="3">
        <v>2652513.0</v>
      </c>
      <c r="E1603" s="3">
        <v>3.1902545E7</v>
      </c>
      <c r="F1603" s="30">
        <f t="shared" si="465"/>
        <v>34555058</v>
      </c>
      <c r="G1603" s="30">
        <f t="shared" si="466"/>
        <v>34006388.21</v>
      </c>
      <c r="H1603" s="77">
        <f t="shared" si="467"/>
        <v>1.587813265</v>
      </c>
      <c r="J1603" s="3" t="s">
        <v>463</v>
      </c>
      <c r="K1603" s="3">
        <v>1024.0</v>
      </c>
      <c r="L1603" s="3">
        <v>3233467.0</v>
      </c>
      <c r="M1603" s="3">
        <v>3.2055713E7</v>
      </c>
      <c r="N1603" s="30">
        <f t="shared" si="468"/>
        <v>35289180</v>
      </c>
      <c r="O1603" s="30">
        <f t="shared" si="469"/>
        <v>34006388.21</v>
      </c>
      <c r="P1603" s="77">
        <f t="shared" si="470"/>
        <v>3.6350853</v>
      </c>
      <c r="R1603" s="3" t="s">
        <v>463</v>
      </c>
      <c r="S1603" s="3">
        <v>1024.0</v>
      </c>
      <c r="T1603" s="3">
        <v>3352144.0</v>
      </c>
      <c r="U1603" s="3">
        <v>3.218638E7</v>
      </c>
      <c r="V1603" s="30">
        <f t="shared" si="471"/>
        <v>35538524</v>
      </c>
      <c r="W1603" s="30">
        <f t="shared" si="472"/>
        <v>34006388.21</v>
      </c>
      <c r="X1603" s="77">
        <f t="shared" si="473"/>
        <v>4.31119704</v>
      </c>
    </row>
    <row r="1604">
      <c r="B1604" s="3" t="s">
        <v>463</v>
      </c>
      <c r="C1604" s="3">
        <v>2048.0</v>
      </c>
      <c r="D1604" s="3">
        <v>2153235.0</v>
      </c>
      <c r="E1604" s="3">
        <v>3.1894341E7</v>
      </c>
      <c r="F1604" s="30">
        <f t="shared" si="465"/>
        <v>34047576</v>
      </c>
      <c r="G1604" s="30">
        <f t="shared" si="466"/>
        <v>33546990.17</v>
      </c>
      <c r="H1604" s="77">
        <f t="shared" si="467"/>
        <v>1.470253944</v>
      </c>
      <c r="J1604" s="3" t="s">
        <v>463</v>
      </c>
      <c r="K1604" s="3">
        <v>2048.0</v>
      </c>
      <c r="L1604" s="3">
        <v>2630737.0</v>
      </c>
      <c r="M1604" s="3">
        <v>3.192063E7</v>
      </c>
      <c r="N1604" s="30">
        <f t="shared" si="468"/>
        <v>34551367</v>
      </c>
      <c r="O1604" s="30">
        <f t="shared" si="469"/>
        <v>33546990.17</v>
      </c>
      <c r="P1604" s="77">
        <f t="shared" si="470"/>
        <v>2.906909093</v>
      </c>
      <c r="R1604" s="3" t="s">
        <v>463</v>
      </c>
      <c r="S1604" s="3">
        <v>2048.0</v>
      </c>
      <c r="T1604" s="3">
        <v>2685681.0</v>
      </c>
      <c r="U1604" s="3">
        <v>3.1991008E7</v>
      </c>
      <c r="V1604" s="30">
        <f t="shared" si="471"/>
        <v>34676689</v>
      </c>
      <c r="W1604" s="30">
        <f t="shared" si="472"/>
        <v>33546990.17</v>
      </c>
      <c r="X1604" s="77">
        <f t="shared" si="473"/>
        <v>3.257804772</v>
      </c>
    </row>
    <row r="1605">
      <c r="B1605" s="3" t="s">
        <v>463</v>
      </c>
      <c r="C1605" s="3">
        <v>4096.0</v>
      </c>
      <c r="D1605" s="3">
        <v>1920756.0</v>
      </c>
      <c r="E1605" s="3">
        <v>3.1854281E7</v>
      </c>
      <c r="F1605" s="30">
        <f t="shared" si="465"/>
        <v>33775037</v>
      </c>
      <c r="G1605" s="30">
        <f t="shared" si="466"/>
        <v>33338172.88</v>
      </c>
      <c r="H1605" s="77">
        <f t="shared" si="467"/>
        <v>1.293452668</v>
      </c>
      <c r="J1605" s="3" t="s">
        <v>463</v>
      </c>
      <c r="K1605" s="3">
        <v>4096.0</v>
      </c>
      <c r="L1605" s="3">
        <v>2375562.0</v>
      </c>
      <c r="M1605" s="3">
        <v>3.1863371E7</v>
      </c>
      <c r="N1605" s="30">
        <f t="shared" si="468"/>
        <v>34238933</v>
      </c>
      <c r="O1605" s="30">
        <f t="shared" si="469"/>
        <v>33338172.88</v>
      </c>
      <c r="P1605" s="77">
        <f t="shared" si="470"/>
        <v>2.630806624</v>
      </c>
      <c r="R1605" s="3" t="s">
        <v>463</v>
      </c>
      <c r="S1605" s="3">
        <v>4096.0</v>
      </c>
      <c r="T1605" s="3">
        <v>2328147.0</v>
      </c>
      <c r="U1605" s="3">
        <v>3.1824645E7</v>
      </c>
      <c r="V1605" s="30">
        <f t="shared" si="471"/>
        <v>34152792</v>
      </c>
      <c r="W1605" s="30">
        <f t="shared" si="472"/>
        <v>33338172.88</v>
      </c>
      <c r="X1605" s="77">
        <f t="shared" si="473"/>
        <v>2.385219683</v>
      </c>
    </row>
    <row r="1606">
      <c r="B1606" s="3" t="s">
        <v>463</v>
      </c>
      <c r="C1606" s="3">
        <v>8192.0</v>
      </c>
      <c r="D1606" s="3">
        <v>1794735.0</v>
      </c>
      <c r="E1606" s="3">
        <v>3.1888719E7</v>
      </c>
      <c r="F1606" s="30">
        <f t="shared" si="465"/>
        <v>33683454</v>
      </c>
      <c r="G1606" s="30">
        <f t="shared" si="466"/>
        <v>33338172.88</v>
      </c>
      <c r="H1606" s="77">
        <f t="shared" si="467"/>
        <v>1.025076339</v>
      </c>
      <c r="J1606" s="3" t="s">
        <v>463</v>
      </c>
      <c r="K1606" s="3">
        <v>8192.0</v>
      </c>
      <c r="L1606" s="3">
        <v>2134075.0</v>
      </c>
      <c r="M1606" s="3">
        <v>3.1798784E7</v>
      </c>
      <c r="N1606" s="30">
        <f t="shared" si="468"/>
        <v>33932859</v>
      </c>
      <c r="O1606" s="30">
        <f t="shared" si="469"/>
        <v>33338172.88</v>
      </c>
      <c r="P1606" s="77">
        <f t="shared" si="470"/>
        <v>1.752537613</v>
      </c>
      <c r="R1606" s="3" t="s">
        <v>463</v>
      </c>
      <c r="S1606" s="3">
        <v>8192.0</v>
      </c>
      <c r="T1606" s="3">
        <v>2288888.0</v>
      </c>
      <c r="U1606" s="3">
        <v>3.1864973E7</v>
      </c>
      <c r="V1606" s="30">
        <f t="shared" si="471"/>
        <v>34153861</v>
      </c>
      <c r="W1606" s="30">
        <f t="shared" si="472"/>
        <v>33338172.88</v>
      </c>
      <c r="X1606" s="77">
        <f t="shared" si="473"/>
        <v>2.388274981</v>
      </c>
    </row>
    <row r="1607">
      <c r="E1607" s="3"/>
    </row>
    <row r="1608">
      <c r="E1608" s="3"/>
    </row>
    <row r="1609">
      <c r="E1609" s="3"/>
    </row>
    <row r="1610">
      <c r="C1610" s="3" t="s">
        <v>324</v>
      </c>
      <c r="D1610" s="3" t="s">
        <v>534</v>
      </c>
      <c r="E1610" s="3" t="s">
        <v>535</v>
      </c>
      <c r="F1610" s="3" t="s">
        <v>536</v>
      </c>
    </row>
    <row r="1611">
      <c r="C1611" s="3">
        <v>1.0</v>
      </c>
      <c r="D1611" s="77">
        <f t="shared" ref="D1611:D1624" si="474">H1593</f>
        <v>5.041620435</v>
      </c>
      <c r="E1611" s="81">
        <f t="shared" ref="E1611:E1624" si="475">P1593</f>
        <v>5.25641263</v>
      </c>
      <c r="F1611" s="77">
        <f t="shared" ref="F1611:F1624" si="476">X1593</f>
        <v>6.768252906</v>
      </c>
      <c r="H1611" s="30" t="str">
        <f>D1610&amp;"=["&amp;D1611&amp;", "&amp;D1612&amp;", "&amp;D1613&amp;", "&amp;D1614&amp;", "&amp;D1615&amp;", "&amp;D1616&amp;", "&amp;D1617&amp;", "&amp;D1618&amp;", "&amp;D1619&amp;", "&amp;D1620&amp;", "&amp;D1621&amp;", "&amp;D1622&amp;", "&amp;D1623&amp;", "&amp;D1624&amp;"]"</f>
        <v>bwell=[5.04162043501897, 4.63546604271373, 3.74311652908623, 3.47605132726607, 3.16435742666784, 4.13031454368285, 3.37434703222519, 2.61681620663392, 2.35404478590249, 1.95646090126649, 1.58781326512427, 1.47025394381327, 1.293452667997, 1.02507633924204]</v>
      </c>
    </row>
    <row r="1612">
      <c r="C1612" s="3">
        <v>2.0</v>
      </c>
      <c r="D1612" s="77">
        <f t="shared" si="474"/>
        <v>4.635466043</v>
      </c>
      <c r="E1612" s="81">
        <f t="shared" si="475"/>
        <v>5.302767255</v>
      </c>
      <c r="F1612" s="77">
        <f t="shared" si="476"/>
        <v>6.69448508</v>
      </c>
      <c r="H1612" s="82" t="str">
        <f>E1610&amp;"=["&amp;E1611&amp;", "&amp;E1612&amp;", "&amp;E1613&amp;", "&amp;E1614&amp;", "&amp;E1615&amp;", "&amp;E1616&amp;", "&amp;E1617&amp;", "&amp;E1618&amp;", "&amp;E1619&amp;", "&amp;E1620&amp;", "&amp;E1621&amp;", "&amp;E1622&amp;", "&amp;E1623&amp;", "&amp;E1624&amp;"]"</f>
        <v>slake=[5.25641263002054, 5.30276725516157, 5.17200771130107, 5.22647914550374, 5.20009771822247, 5.91380084369278, 4.79849365532252, 4.27440495586128, 4.20096461347143, 4.31763239263022, 3.6350853000704, 2.90690909251961, 2.63080662354015, 1.75253761315389]</v>
      </c>
    </row>
    <row r="1613">
      <c r="C1613" s="3">
        <v>4.0</v>
      </c>
      <c r="D1613" s="77">
        <f t="shared" si="474"/>
        <v>3.743116529</v>
      </c>
      <c r="E1613" s="81">
        <f t="shared" si="475"/>
        <v>5.172007711</v>
      </c>
      <c r="F1613" s="77">
        <f t="shared" si="476"/>
        <v>6.277440091</v>
      </c>
      <c r="H1613" s="82" t="str">
        <f>F1610&amp;"=["&amp;F1611&amp;", "&amp;F1612&amp;", "&amp;F1613&amp;", "&amp;F1614&amp;", "&amp;F1615&amp;", "&amp;F1616&amp;", "&amp;F1617&amp;", "&amp;F1618&amp;", "&amp;F1619&amp;", "&amp;F1620&amp;", "&amp;F1621&amp;", "&amp;F1622&amp;", "&amp;F1623&amp;", "&amp;F1624&amp;"]"</f>
        <v>clake=[6.76825290647361, 6.69448507975646, 6.27744009109013, 6.20291573964299, 6.07750099910998, 7.06491891614915, 5.45428369035534, 4.81261254885194, 5.36187555245409, 5.09523056579809, 4.31119703985282, 3.25780477170938, 2.38521968333797, 2.38827498066317]</v>
      </c>
    </row>
    <row r="1614">
      <c r="C1614" s="3">
        <v>8.0</v>
      </c>
      <c r="D1614" s="77">
        <f t="shared" si="474"/>
        <v>3.476051327</v>
      </c>
      <c r="E1614" s="81">
        <f t="shared" si="475"/>
        <v>5.226479146</v>
      </c>
      <c r="F1614" s="77">
        <f t="shared" si="476"/>
        <v>6.20291574</v>
      </c>
    </row>
    <row r="1615">
      <c r="C1615" s="3">
        <v>16.0</v>
      </c>
      <c r="D1615" s="77">
        <f t="shared" si="474"/>
        <v>3.164357427</v>
      </c>
      <c r="E1615" s="81">
        <f t="shared" si="475"/>
        <v>5.200097718</v>
      </c>
      <c r="F1615" s="77">
        <f t="shared" si="476"/>
        <v>6.077500999</v>
      </c>
    </row>
    <row r="1616">
      <c r="C1616" s="3">
        <v>32.0</v>
      </c>
      <c r="D1616" s="77">
        <f t="shared" si="474"/>
        <v>4.130314544</v>
      </c>
      <c r="E1616" s="81">
        <f t="shared" si="475"/>
        <v>5.913800844</v>
      </c>
      <c r="F1616" s="77">
        <f t="shared" si="476"/>
        <v>7.064918916</v>
      </c>
    </row>
    <row r="1617">
      <c r="C1617" s="3">
        <v>64.0</v>
      </c>
      <c r="D1617" s="77">
        <f t="shared" si="474"/>
        <v>3.374347032</v>
      </c>
      <c r="E1617" s="81">
        <f t="shared" si="475"/>
        <v>4.798493655</v>
      </c>
      <c r="F1617" s="77">
        <f t="shared" si="476"/>
        <v>5.45428369</v>
      </c>
    </row>
    <row r="1618">
      <c r="C1618" s="3">
        <v>128.0</v>
      </c>
      <c r="D1618" s="77">
        <f t="shared" si="474"/>
        <v>2.616816207</v>
      </c>
      <c r="E1618" s="81">
        <f t="shared" si="475"/>
        <v>4.274404956</v>
      </c>
      <c r="F1618" s="77">
        <f t="shared" si="476"/>
        <v>4.812612549</v>
      </c>
    </row>
    <row r="1619">
      <c r="C1619" s="3">
        <v>256.0</v>
      </c>
      <c r="D1619" s="77">
        <f t="shared" si="474"/>
        <v>2.354044786</v>
      </c>
      <c r="E1619" s="81">
        <f t="shared" si="475"/>
        <v>4.200964613</v>
      </c>
      <c r="F1619" s="77">
        <f t="shared" si="476"/>
        <v>5.361875552</v>
      </c>
    </row>
    <row r="1620">
      <c r="C1620" s="3">
        <v>512.0</v>
      </c>
      <c r="D1620" s="77">
        <f t="shared" si="474"/>
        <v>1.956460901</v>
      </c>
      <c r="E1620" s="81">
        <f t="shared" si="475"/>
        <v>4.317632393</v>
      </c>
      <c r="F1620" s="77">
        <f t="shared" si="476"/>
        <v>5.095230566</v>
      </c>
    </row>
    <row r="1621">
      <c r="C1621" s="3">
        <v>1024.0</v>
      </c>
      <c r="D1621" s="77">
        <f t="shared" si="474"/>
        <v>1.587813265</v>
      </c>
      <c r="E1621" s="81">
        <f t="shared" si="475"/>
        <v>3.6350853</v>
      </c>
      <c r="F1621" s="77">
        <f t="shared" si="476"/>
        <v>4.31119704</v>
      </c>
    </row>
    <row r="1622">
      <c r="C1622" s="3">
        <v>2048.0</v>
      </c>
      <c r="D1622" s="77">
        <f t="shared" si="474"/>
        <v>1.470253944</v>
      </c>
      <c r="E1622" s="81">
        <f t="shared" si="475"/>
        <v>2.906909093</v>
      </c>
      <c r="F1622" s="77">
        <f t="shared" si="476"/>
        <v>3.257804772</v>
      </c>
    </row>
    <row r="1623">
      <c r="C1623" s="3">
        <v>4096.0</v>
      </c>
      <c r="D1623" s="77">
        <f t="shared" si="474"/>
        <v>1.293452668</v>
      </c>
      <c r="E1623" s="81">
        <f t="shared" si="475"/>
        <v>2.630806624</v>
      </c>
      <c r="F1623" s="77">
        <f t="shared" si="476"/>
        <v>2.385219683</v>
      </c>
    </row>
    <row r="1624">
      <c r="C1624" s="3">
        <v>8192.0</v>
      </c>
      <c r="D1624" s="77">
        <f t="shared" si="474"/>
        <v>1.025076339</v>
      </c>
      <c r="E1624" s="81">
        <f t="shared" si="475"/>
        <v>1.752537613</v>
      </c>
      <c r="F1624" s="77">
        <f t="shared" si="476"/>
        <v>2.388274981</v>
      </c>
    </row>
    <row r="1625">
      <c r="E1625" s="3"/>
    </row>
    <row r="1626">
      <c r="A1626" s="3" t="s">
        <v>525</v>
      </c>
      <c r="E1626" s="3"/>
    </row>
    <row r="1627">
      <c r="A1627" s="3" t="s">
        <v>537</v>
      </c>
      <c r="B1627" s="3" t="s">
        <v>459</v>
      </c>
      <c r="C1627" s="3" t="s">
        <v>447</v>
      </c>
      <c r="D1627" s="3" t="s">
        <v>515</v>
      </c>
      <c r="E1627" s="3" t="s">
        <v>526</v>
      </c>
      <c r="F1627" s="3" t="s">
        <v>527</v>
      </c>
      <c r="G1627" s="3" t="s">
        <v>528</v>
      </c>
      <c r="H1627" s="3" t="s">
        <v>529</v>
      </c>
    </row>
    <row r="1628">
      <c r="A1628" s="3">
        <v>5.0E7</v>
      </c>
      <c r="B1628" s="3">
        <f>A1628</f>
        <v>50000000</v>
      </c>
      <c r="C1628" s="3">
        <v>1.0</v>
      </c>
      <c r="D1628" s="66">
        <f t="shared" ref="D1628:D1641" si="477">B1628/C1628</f>
        <v>50000000</v>
      </c>
      <c r="E1628" s="30">
        <f>D1628/64*4</f>
        <v>3125000</v>
      </c>
      <c r="F1628" s="30">
        <f t="shared" ref="F1628:F1633" si="478">E1628*2</f>
        <v>6250000</v>
      </c>
      <c r="G1628" s="30">
        <f>E1628</f>
        <v>3125000</v>
      </c>
      <c r="H1628" s="30">
        <f t="shared" ref="H1628:H1641" si="479">F1628+G1628</f>
        <v>9375000</v>
      </c>
    </row>
    <row r="1629">
      <c r="B1629" s="3">
        <f t="shared" ref="B1629:B1641" si="480">B1628</f>
        <v>50000000</v>
      </c>
      <c r="C1629" s="3">
        <v>2.0</v>
      </c>
      <c r="D1629" s="66">
        <f t="shared" si="477"/>
        <v>25000000</v>
      </c>
      <c r="E1629" s="30">
        <f t="shared" ref="E1629:E1632" si="481">E1628</f>
        <v>3125000</v>
      </c>
      <c r="F1629" s="30">
        <f t="shared" si="478"/>
        <v>6250000</v>
      </c>
      <c r="G1629" s="30">
        <f t="shared" ref="G1629:G1641" si="482">G1628</f>
        <v>3125000</v>
      </c>
      <c r="H1629" s="30">
        <f t="shared" si="479"/>
        <v>9375000</v>
      </c>
    </row>
    <row r="1630">
      <c r="B1630" s="3">
        <f t="shared" si="480"/>
        <v>50000000</v>
      </c>
      <c r="C1630" s="3">
        <v>4.0</v>
      </c>
      <c r="D1630" s="66">
        <f t="shared" si="477"/>
        <v>12500000</v>
      </c>
      <c r="E1630" s="30">
        <f t="shared" si="481"/>
        <v>3125000</v>
      </c>
      <c r="F1630" s="30">
        <f t="shared" si="478"/>
        <v>6250000</v>
      </c>
      <c r="G1630" s="30">
        <f t="shared" si="482"/>
        <v>3125000</v>
      </c>
      <c r="H1630" s="30">
        <f t="shared" si="479"/>
        <v>9375000</v>
      </c>
    </row>
    <row r="1631">
      <c r="B1631" s="3">
        <f t="shared" si="480"/>
        <v>50000000</v>
      </c>
      <c r="C1631" s="3">
        <v>8.0</v>
      </c>
      <c r="D1631" s="66">
        <f t="shared" si="477"/>
        <v>6250000</v>
      </c>
      <c r="E1631" s="30">
        <f t="shared" si="481"/>
        <v>3125000</v>
      </c>
      <c r="F1631" s="30">
        <f t="shared" si="478"/>
        <v>6250000</v>
      </c>
      <c r="G1631" s="30">
        <f t="shared" si="482"/>
        <v>3125000</v>
      </c>
      <c r="H1631" s="30">
        <f t="shared" si="479"/>
        <v>9375000</v>
      </c>
    </row>
    <row r="1632">
      <c r="B1632" s="3">
        <f t="shared" si="480"/>
        <v>50000000</v>
      </c>
      <c r="C1632" s="3">
        <v>16.0</v>
      </c>
      <c r="D1632" s="66">
        <f t="shared" si="477"/>
        <v>3125000</v>
      </c>
      <c r="E1632" s="30">
        <f t="shared" si="481"/>
        <v>3125000</v>
      </c>
      <c r="F1632" s="30">
        <f t="shared" si="478"/>
        <v>6250000</v>
      </c>
      <c r="G1632" s="30">
        <f t="shared" si="482"/>
        <v>3125000</v>
      </c>
      <c r="H1632" s="30">
        <f t="shared" si="479"/>
        <v>9375000</v>
      </c>
    </row>
    <row r="1633">
      <c r="B1633" s="3">
        <f t="shared" si="480"/>
        <v>50000000</v>
      </c>
      <c r="C1633" s="3">
        <v>32.0</v>
      </c>
      <c r="D1633" s="66">
        <f t="shared" si="477"/>
        <v>1562500</v>
      </c>
      <c r="E1633" s="30">
        <f t="shared" ref="E1633:E1641" si="483">E1632/2</f>
        <v>1562500</v>
      </c>
      <c r="F1633" s="30">
        <f t="shared" si="478"/>
        <v>3125000</v>
      </c>
      <c r="G1633" s="30">
        <f t="shared" si="482"/>
        <v>3125000</v>
      </c>
      <c r="H1633" s="30">
        <f t="shared" si="479"/>
        <v>6250000</v>
      </c>
    </row>
    <row r="1634">
      <c r="B1634" s="3">
        <f t="shared" si="480"/>
        <v>50000000</v>
      </c>
      <c r="C1634" s="3">
        <v>64.0</v>
      </c>
      <c r="D1634" s="66">
        <f t="shared" si="477"/>
        <v>781250</v>
      </c>
      <c r="E1634" s="30">
        <f t="shared" si="483"/>
        <v>781250</v>
      </c>
      <c r="F1634" s="30">
        <f>F1633/1.9</f>
        <v>1644736.842</v>
      </c>
      <c r="G1634" s="30">
        <f t="shared" si="482"/>
        <v>3125000</v>
      </c>
      <c r="H1634" s="30">
        <f t="shared" si="479"/>
        <v>4769736.842</v>
      </c>
    </row>
    <row r="1635">
      <c r="B1635" s="3">
        <f t="shared" si="480"/>
        <v>50000000</v>
      </c>
      <c r="C1635" s="3">
        <v>128.0</v>
      </c>
      <c r="D1635" s="66">
        <f t="shared" si="477"/>
        <v>390625</v>
      </c>
      <c r="E1635" s="30">
        <f t="shared" si="483"/>
        <v>390625</v>
      </c>
      <c r="F1635" s="30">
        <f>F1634/1.8</f>
        <v>913742.6901</v>
      </c>
      <c r="G1635" s="30">
        <f t="shared" si="482"/>
        <v>3125000</v>
      </c>
      <c r="H1635" s="30">
        <f t="shared" si="479"/>
        <v>4038742.69</v>
      </c>
    </row>
    <row r="1636">
      <c r="B1636" s="3">
        <f t="shared" si="480"/>
        <v>50000000</v>
      </c>
      <c r="C1636" s="3">
        <v>256.0</v>
      </c>
      <c r="D1636" s="66">
        <f t="shared" si="477"/>
        <v>195312.5</v>
      </c>
      <c r="E1636" s="30">
        <f t="shared" si="483"/>
        <v>195312.5</v>
      </c>
      <c r="F1636" s="30">
        <f>F1635/1.7</f>
        <v>537495.7</v>
      </c>
      <c r="G1636" s="30">
        <f t="shared" si="482"/>
        <v>3125000</v>
      </c>
      <c r="H1636" s="30">
        <f t="shared" si="479"/>
        <v>3662495.7</v>
      </c>
    </row>
    <row r="1637">
      <c r="B1637" s="3">
        <f t="shared" si="480"/>
        <v>50000000</v>
      </c>
      <c r="C1637" s="3">
        <v>512.0</v>
      </c>
      <c r="D1637" s="66">
        <f t="shared" si="477"/>
        <v>97656.25</v>
      </c>
      <c r="E1637" s="30">
        <f t="shared" si="483"/>
        <v>97656.25</v>
      </c>
      <c r="F1637" s="30">
        <f>F1636/1.5</f>
        <v>358330.4667</v>
      </c>
      <c r="G1637" s="30">
        <f t="shared" si="482"/>
        <v>3125000</v>
      </c>
      <c r="H1637" s="30">
        <f t="shared" si="479"/>
        <v>3483330.467</v>
      </c>
    </row>
    <row r="1638">
      <c r="B1638" s="3">
        <f t="shared" si="480"/>
        <v>50000000</v>
      </c>
      <c r="C1638" s="3">
        <v>1024.0</v>
      </c>
      <c r="D1638" s="66">
        <f t="shared" si="477"/>
        <v>48828.125</v>
      </c>
      <c r="E1638" s="30">
        <f t="shared" si="483"/>
        <v>48828.125</v>
      </c>
      <c r="F1638" s="30">
        <f>F1637/1.3</f>
        <v>275638.8205</v>
      </c>
      <c r="G1638" s="30">
        <f t="shared" si="482"/>
        <v>3125000</v>
      </c>
      <c r="H1638" s="30">
        <f t="shared" si="479"/>
        <v>3400638.821</v>
      </c>
    </row>
    <row r="1639">
      <c r="B1639" s="3">
        <f t="shared" si="480"/>
        <v>50000000</v>
      </c>
      <c r="C1639" s="3">
        <v>2048.0</v>
      </c>
      <c r="D1639" s="66">
        <f t="shared" si="477"/>
        <v>24414.0625</v>
      </c>
      <c r="E1639" s="30">
        <f t="shared" si="483"/>
        <v>24414.0625</v>
      </c>
      <c r="F1639" s="30">
        <f>F1638/1.2</f>
        <v>229699.0171</v>
      </c>
      <c r="G1639" s="30">
        <f t="shared" si="482"/>
        <v>3125000</v>
      </c>
      <c r="H1639" s="30">
        <f t="shared" si="479"/>
        <v>3354699.017</v>
      </c>
    </row>
    <row r="1640">
      <c r="B1640" s="3">
        <f t="shared" si="480"/>
        <v>50000000</v>
      </c>
      <c r="C1640" s="3">
        <v>4096.0</v>
      </c>
      <c r="D1640" s="66">
        <f t="shared" si="477"/>
        <v>12207.03125</v>
      </c>
      <c r="E1640" s="30">
        <f t="shared" si="483"/>
        <v>12207.03125</v>
      </c>
      <c r="F1640" s="30">
        <f>F1639/1.1</f>
        <v>208817.2883</v>
      </c>
      <c r="G1640" s="30">
        <f t="shared" si="482"/>
        <v>3125000</v>
      </c>
      <c r="H1640" s="30">
        <f t="shared" si="479"/>
        <v>3333817.288</v>
      </c>
    </row>
    <row r="1641">
      <c r="B1641" s="3">
        <f t="shared" si="480"/>
        <v>50000000</v>
      </c>
      <c r="C1641" s="3">
        <v>8192.0</v>
      </c>
      <c r="D1641" s="66">
        <f t="shared" si="477"/>
        <v>6103.515625</v>
      </c>
      <c r="E1641" s="30">
        <f t="shared" si="483"/>
        <v>6103.515625</v>
      </c>
      <c r="F1641" s="30">
        <f>F1640/1</f>
        <v>208817.2883</v>
      </c>
      <c r="G1641" s="30">
        <f t="shared" si="482"/>
        <v>3125000</v>
      </c>
      <c r="H1641" s="30">
        <f t="shared" si="479"/>
        <v>3333817.288</v>
      </c>
    </row>
    <row r="1642">
      <c r="A1642" s="3" t="s">
        <v>327</v>
      </c>
      <c r="B1642" s="3" t="s">
        <v>530</v>
      </c>
      <c r="E1642" s="3"/>
      <c r="J1642" s="3" t="s">
        <v>531</v>
      </c>
      <c r="M1642" s="3"/>
      <c r="R1642" s="3" t="s">
        <v>532</v>
      </c>
      <c r="U1642" s="3"/>
    </row>
    <row r="1643">
      <c r="E1643" s="3"/>
      <c r="F1643" s="3" t="s">
        <v>482</v>
      </c>
      <c r="G1643" s="73" t="s">
        <v>529</v>
      </c>
      <c r="H1643" s="3" t="s">
        <v>533</v>
      </c>
      <c r="M1643" s="3"/>
      <c r="N1643" s="3" t="s">
        <v>482</v>
      </c>
      <c r="O1643" s="73" t="s">
        <v>529</v>
      </c>
      <c r="P1643" s="3" t="s">
        <v>533</v>
      </c>
      <c r="U1643" s="3"/>
      <c r="V1643" s="3" t="s">
        <v>482</v>
      </c>
      <c r="W1643" s="73" t="s">
        <v>529</v>
      </c>
      <c r="X1643" s="3" t="s">
        <v>533</v>
      </c>
    </row>
    <row r="1644">
      <c r="B1644" s="3" t="s">
        <v>463</v>
      </c>
      <c r="C1644" s="3">
        <v>1.0</v>
      </c>
      <c r="D1644" s="3">
        <v>6565030.0</v>
      </c>
      <c r="E1644" s="3">
        <v>3641461.0</v>
      </c>
      <c r="F1644" s="30">
        <f t="shared" ref="F1644:F1657" si="484">D1644+E1644</f>
        <v>10206491</v>
      </c>
      <c r="G1644" s="30">
        <f t="shared" ref="G1644:G1657" si="485">H1628</f>
        <v>9375000</v>
      </c>
      <c r="H1644" s="77">
        <f t="shared" ref="H1644:H1657" si="486">ABS((F1644-G1644)/F1644)*100</f>
        <v>8.14668822</v>
      </c>
      <c r="J1644" s="3" t="s">
        <v>463</v>
      </c>
      <c r="K1644" s="3">
        <v>1.0</v>
      </c>
      <c r="L1644" s="3">
        <v>6588389.0</v>
      </c>
      <c r="M1644" s="3">
        <v>3329860.0</v>
      </c>
      <c r="N1644" s="30">
        <f t="shared" ref="N1644:N1657" si="487">L1644+M1644</f>
        <v>9918249</v>
      </c>
      <c r="O1644" s="30">
        <f t="shared" ref="O1644:O1657" si="488">H1628</f>
        <v>9375000</v>
      </c>
      <c r="P1644" s="77">
        <f t="shared" ref="P1644:P1657" si="489">ABS((N1644-O1644)/N1644)*100</f>
        <v>5.477267207</v>
      </c>
      <c r="R1644" s="3" t="s">
        <v>463</v>
      </c>
      <c r="S1644" s="3">
        <v>1.0</v>
      </c>
      <c r="T1644" s="3">
        <v>6763191.0</v>
      </c>
      <c r="U1644" s="3">
        <v>3442766.0</v>
      </c>
      <c r="V1644" s="30">
        <f t="shared" ref="V1644:V1657" si="490">T1644+U1644</f>
        <v>10205957</v>
      </c>
      <c r="W1644" s="30">
        <f t="shared" ref="W1644:W1657" si="491">H1628</f>
        <v>9375000</v>
      </c>
      <c r="X1644" s="77">
        <f t="shared" ref="X1644:X1657" si="492">ABS((V1644-W1644)/V1644)*100</f>
        <v>8.141882236</v>
      </c>
    </row>
    <row r="1645">
      <c r="B1645" s="3" t="s">
        <v>463</v>
      </c>
      <c r="C1645" s="3">
        <v>2.0</v>
      </c>
      <c r="D1645" s="3">
        <v>6531017.0</v>
      </c>
      <c r="E1645" s="3">
        <v>3613205.0</v>
      </c>
      <c r="F1645" s="30">
        <f t="shared" si="484"/>
        <v>10144222</v>
      </c>
      <c r="G1645" s="30">
        <f t="shared" si="485"/>
        <v>9375000</v>
      </c>
      <c r="H1645" s="77">
        <f t="shared" si="486"/>
        <v>7.582858498</v>
      </c>
      <c r="J1645" s="3" t="s">
        <v>463</v>
      </c>
      <c r="K1645" s="3">
        <v>2.0</v>
      </c>
      <c r="L1645" s="3">
        <v>6600070.0</v>
      </c>
      <c r="M1645" s="3">
        <v>3342434.0</v>
      </c>
      <c r="N1645" s="30">
        <f t="shared" si="487"/>
        <v>9942504</v>
      </c>
      <c r="O1645" s="30">
        <f t="shared" si="488"/>
        <v>9375000</v>
      </c>
      <c r="P1645" s="77">
        <f t="shared" si="489"/>
        <v>5.7078579</v>
      </c>
      <c r="R1645" s="3" t="s">
        <v>463</v>
      </c>
      <c r="S1645" s="3">
        <v>2.0</v>
      </c>
      <c r="T1645" s="3">
        <v>6757417.0</v>
      </c>
      <c r="U1645" s="3">
        <v>3426310.0</v>
      </c>
      <c r="V1645" s="30">
        <f t="shared" si="490"/>
        <v>10183727</v>
      </c>
      <c r="W1645" s="30">
        <f t="shared" si="491"/>
        <v>9375000</v>
      </c>
      <c r="X1645" s="77">
        <f t="shared" si="492"/>
        <v>7.941365671</v>
      </c>
    </row>
    <row r="1646">
      <c r="B1646" s="3" t="s">
        <v>463</v>
      </c>
      <c r="C1646" s="3">
        <v>4.0</v>
      </c>
      <c r="D1646" s="3">
        <v>6471058.0</v>
      </c>
      <c r="E1646" s="3">
        <v>3476587.0</v>
      </c>
      <c r="F1646" s="30">
        <f t="shared" si="484"/>
        <v>9947645</v>
      </c>
      <c r="G1646" s="30">
        <f t="shared" si="485"/>
        <v>9375000</v>
      </c>
      <c r="H1646" s="77">
        <f t="shared" si="486"/>
        <v>5.75658862</v>
      </c>
      <c r="J1646" s="3" t="s">
        <v>463</v>
      </c>
      <c r="K1646" s="3">
        <v>4.0</v>
      </c>
      <c r="L1646" s="3">
        <v>6587996.0</v>
      </c>
      <c r="M1646" s="3">
        <v>3328941.0</v>
      </c>
      <c r="N1646" s="30">
        <f t="shared" si="487"/>
        <v>9916937</v>
      </c>
      <c r="O1646" s="30">
        <f t="shared" si="488"/>
        <v>9375000</v>
      </c>
      <c r="P1646" s="77">
        <f t="shared" si="489"/>
        <v>5.464761952</v>
      </c>
      <c r="R1646" s="3" t="s">
        <v>463</v>
      </c>
      <c r="S1646" s="3">
        <v>4.0</v>
      </c>
      <c r="T1646" s="3">
        <v>6644021.0</v>
      </c>
      <c r="U1646" s="3">
        <v>3388727.0</v>
      </c>
      <c r="V1646" s="30">
        <f t="shared" si="490"/>
        <v>10032748</v>
      </c>
      <c r="W1646" s="30">
        <f t="shared" si="491"/>
        <v>9375000</v>
      </c>
      <c r="X1646" s="77">
        <f t="shared" si="492"/>
        <v>6.556010377</v>
      </c>
    </row>
    <row r="1647">
      <c r="B1647" s="3" t="s">
        <v>463</v>
      </c>
      <c r="C1647" s="3">
        <v>8.0</v>
      </c>
      <c r="D1647" s="3">
        <v>6478236.0</v>
      </c>
      <c r="E1647" s="3">
        <v>3526815.0</v>
      </c>
      <c r="F1647" s="30">
        <f t="shared" si="484"/>
        <v>10005051</v>
      </c>
      <c r="G1647" s="30">
        <f t="shared" si="485"/>
        <v>9375000</v>
      </c>
      <c r="H1647" s="77">
        <f t="shared" si="486"/>
        <v>6.297329219</v>
      </c>
      <c r="J1647" s="3" t="s">
        <v>463</v>
      </c>
      <c r="K1647" s="3">
        <v>8.0</v>
      </c>
      <c r="L1647" s="3">
        <v>6587675.0</v>
      </c>
      <c r="M1647" s="3">
        <v>3330678.0</v>
      </c>
      <c r="N1647" s="30">
        <f t="shared" si="487"/>
        <v>9918353</v>
      </c>
      <c r="O1647" s="30">
        <f t="shared" si="488"/>
        <v>9375000</v>
      </c>
      <c r="P1647" s="77">
        <f t="shared" si="489"/>
        <v>5.478258336</v>
      </c>
      <c r="R1647" s="3" t="s">
        <v>463</v>
      </c>
      <c r="S1647" s="3">
        <v>8.0</v>
      </c>
      <c r="T1647" s="3">
        <v>6630439.0</v>
      </c>
      <c r="U1647" s="3">
        <v>3347936.0</v>
      </c>
      <c r="V1647" s="30">
        <f t="shared" si="490"/>
        <v>9978375</v>
      </c>
      <c r="W1647" s="30">
        <f t="shared" si="491"/>
        <v>9375000</v>
      </c>
      <c r="X1647" s="77">
        <f t="shared" si="492"/>
        <v>6.046826262</v>
      </c>
    </row>
    <row r="1648">
      <c r="B1648" s="3" t="s">
        <v>463</v>
      </c>
      <c r="C1648" s="3">
        <v>16.0</v>
      </c>
      <c r="D1648" s="3">
        <v>6448674.0</v>
      </c>
      <c r="E1648" s="3">
        <v>3529939.0</v>
      </c>
      <c r="F1648" s="30">
        <f t="shared" si="484"/>
        <v>9978613</v>
      </c>
      <c r="G1648" s="30">
        <f t="shared" si="485"/>
        <v>9375000</v>
      </c>
      <c r="H1648" s="77">
        <f t="shared" si="486"/>
        <v>6.04906714</v>
      </c>
      <c r="J1648" s="3" t="s">
        <v>463</v>
      </c>
      <c r="K1648" s="3">
        <v>16.0</v>
      </c>
      <c r="L1648" s="3">
        <v>6589371.0</v>
      </c>
      <c r="M1648" s="3">
        <v>3330967.0</v>
      </c>
      <c r="N1648" s="30">
        <f t="shared" si="487"/>
        <v>9920338</v>
      </c>
      <c r="O1648" s="30">
        <f t="shared" si="488"/>
        <v>9375000</v>
      </c>
      <c r="P1648" s="77">
        <f t="shared" si="489"/>
        <v>5.497171568</v>
      </c>
      <c r="R1648" s="3" t="s">
        <v>463</v>
      </c>
      <c r="S1648" s="3">
        <v>16.0</v>
      </c>
      <c r="T1648" s="3">
        <v>6633037.0</v>
      </c>
      <c r="U1648" s="3">
        <v>3357403.0</v>
      </c>
      <c r="V1648" s="30">
        <f t="shared" si="490"/>
        <v>9990440</v>
      </c>
      <c r="W1648" s="30">
        <f t="shared" si="491"/>
        <v>9375000</v>
      </c>
      <c r="X1648" s="77">
        <f t="shared" si="492"/>
        <v>6.160289237</v>
      </c>
    </row>
    <row r="1649">
      <c r="B1649" s="3" t="s">
        <v>463</v>
      </c>
      <c r="C1649" s="3">
        <v>32.0</v>
      </c>
      <c r="D1649" s="3">
        <v>3307483.0</v>
      </c>
      <c r="E1649" s="3">
        <v>3347793.0</v>
      </c>
      <c r="F1649" s="30">
        <f t="shared" si="484"/>
        <v>6655276</v>
      </c>
      <c r="G1649" s="30">
        <f t="shared" si="485"/>
        <v>6250000</v>
      </c>
      <c r="H1649" s="77">
        <f t="shared" si="486"/>
        <v>6.089544596</v>
      </c>
      <c r="J1649" s="3" t="s">
        <v>463</v>
      </c>
      <c r="K1649" s="3">
        <v>32.0</v>
      </c>
      <c r="L1649" s="3">
        <v>3404092.0</v>
      </c>
      <c r="M1649" s="3">
        <v>3253919.0</v>
      </c>
      <c r="N1649" s="30">
        <f t="shared" si="487"/>
        <v>6658011</v>
      </c>
      <c r="O1649" s="30">
        <f t="shared" si="488"/>
        <v>6250000</v>
      </c>
      <c r="P1649" s="77">
        <f t="shared" si="489"/>
        <v>6.128121446</v>
      </c>
      <c r="R1649" s="3" t="s">
        <v>463</v>
      </c>
      <c r="S1649" s="3">
        <v>32.0</v>
      </c>
      <c r="T1649" s="3">
        <v>3434664.0</v>
      </c>
      <c r="U1649" s="3">
        <v>3222905.0</v>
      </c>
      <c r="V1649" s="30">
        <f t="shared" si="490"/>
        <v>6657569</v>
      </c>
      <c r="W1649" s="30">
        <f t="shared" si="491"/>
        <v>6250000</v>
      </c>
      <c r="X1649" s="77">
        <f t="shared" si="492"/>
        <v>6.121889236</v>
      </c>
    </row>
    <row r="1650">
      <c r="B1650" s="3" t="s">
        <v>463</v>
      </c>
      <c r="C1650" s="3">
        <v>64.0</v>
      </c>
      <c r="D1650" s="3">
        <v>1741280.0</v>
      </c>
      <c r="E1650" s="3">
        <v>3248735.0</v>
      </c>
      <c r="F1650" s="30">
        <f t="shared" si="484"/>
        <v>4990015</v>
      </c>
      <c r="G1650" s="30">
        <f t="shared" si="485"/>
        <v>4769736.842</v>
      </c>
      <c r="H1650" s="77">
        <f t="shared" si="486"/>
        <v>4.414378672</v>
      </c>
      <c r="J1650" s="3" t="s">
        <v>463</v>
      </c>
      <c r="K1650" s="3">
        <v>64.0</v>
      </c>
      <c r="L1650" s="3">
        <v>1801343.0</v>
      </c>
      <c r="M1650" s="3">
        <v>3207238.0</v>
      </c>
      <c r="N1650" s="30">
        <f t="shared" si="487"/>
        <v>5008581</v>
      </c>
      <c r="O1650" s="30">
        <f t="shared" si="488"/>
        <v>4769736.842</v>
      </c>
      <c r="P1650" s="77">
        <f t="shared" si="489"/>
        <v>4.768699116</v>
      </c>
      <c r="R1650" s="3" t="s">
        <v>463</v>
      </c>
      <c r="S1650" s="3">
        <v>64.0</v>
      </c>
      <c r="T1650" s="3">
        <v>1816756.0</v>
      </c>
      <c r="U1650" s="3">
        <v>3207235.0</v>
      </c>
      <c r="V1650" s="30">
        <f t="shared" si="490"/>
        <v>5023991</v>
      </c>
      <c r="W1650" s="30">
        <f t="shared" si="491"/>
        <v>4769736.842</v>
      </c>
      <c r="X1650" s="77">
        <f t="shared" si="492"/>
        <v>5.060800425</v>
      </c>
    </row>
    <row r="1651">
      <c r="B1651" s="3" t="s">
        <v>463</v>
      </c>
      <c r="C1651" s="3">
        <v>128.0</v>
      </c>
      <c r="D1651" s="3">
        <v>952054.0</v>
      </c>
      <c r="E1651" s="3">
        <v>3214442.0</v>
      </c>
      <c r="F1651" s="30">
        <f t="shared" si="484"/>
        <v>4166496</v>
      </c>
      <c r="G1651" s="30">
        <f t="shared" si="485"/>
        <v>4038742.69</v>
      </c>
      <c r="H1651" s="77">
        <f t="shared" si="486"/>
        <v>3.06620503</v>
      </c>
      <c r="J1651" s="3" t="s">
        <v>463</v>
      </c>
      <c r="K1651" s="3">
        <v>128.0</v>
      </c>
      <c r="L1651" s="3">
        <v>1011463.0</v>
      </c>
      <c r="M1651" s="3">
        <v>3198996.0</v>
      </c>
      <c r="N1651" s="30">
        <f t="shared" si="487"/>
        <v>4210459</v>
      </c>
      <c r="O1651" s="30">
        <f t="shared" si="488"/>
        <v>4038742.69</v>
      </c>
      <c r="P1651" s="77">
        <f t="shared" si="489"/>
        <v>4.078327563</v>
      </c>
      <c r="R1651" s="3" t="s">
        <v>463</v>
      </c>
      <c r="S1651" s="3">
        <v>128.0</v>
      </c>
      <c r="T1651" s="3">
        <v>1027385.0</v>
      </c>
      <c r="U1651" s="3">
        <v>3158565.0</v>
      </c>
      <c r="V1651" s="30">
        <f t="shared" si="490"/>
        <v>4185950</v>
      </c>
      <c r="W1651" s="30">
        <f t="shared" si="491"/>
        <v>4038742.69</v>
      </c>
      <c r="X1651" s="77">
        <f t="shared" si="492"/>
        <v>3.51670015</v>
      </c>
    </row>
    <row r="1652">
      <c r="B1652" s="3" t="s">
        <v>463</v>
      </c>
      <c r="C1652" s="3">
        <v>256.0</v>
      </c>
      <c r="D1652" s="3">
        <v>562740.0</v>
      </c>
      <c r="E1652" s="3">
        <v>3210576.0</v>
      </c>
      <c r="F1652" s="30">
        <f t="shared" si="484"/>
        <v>3773316</v>
      </c>
      <c r="G1652" s="30">
        <f t="shared" si="485"/>
        <v>3662495.7</v>
      </c>
      <c r="H1652" s="77">
        <f t="shared" si="486"/>
        <v>2.936947236</v>
      </c>
      <c r="J1652" s="3" t="s">
        <v>463</v>
      </c>
      <c r="K1652" s="3">
        <v>256.0</v>
      </c>
      <c r="L1652" s="3">
        <v>617843.0</v>
      </c>
      <c r="M1652" s="3">
        <v>3194977.0</v>
      </c>
      <c r="N1652" s="30">
        <f t="shared" si="487"/>
        <v>3812820</v>
      </c>
      <c r="O1652" s="30">
        <f t="shared" si="488"/>
        <v>3662495.7</v>
      </c>
      <c r="P1652" s="77">
        <f t="shared" si="489"/>
        <v>3.942601538</v>
      </c>
      <c r="R1652" s="3" t="s">
        <v>463</v>
      </c>
      <c r="S1652" s="3">
        <v>256.0</v>
      </c>
      <c r="T1652" s="3">
        <v>633813.0</v>
      </c>
      <c r="U1652" s="3">
        <v>3200638.0</v>
      </c>
      <c r="V1652" s="30">
        <f t="shared" si="490"/>
        <v>3834451</v>
      </c>
      <c r="W1652" s="30">
        <f t="shared" si="491"/>
        <v>3662495.7</v>
      </c>
      <c r="X1652" s="77">
        <f t="shared" si="492"/>
        <v>4.484482915</v>
      </c>
    </row>
    <row r="1653">
      <c r="B1653" s="3" t="s">
        <v>463</v>
      </c>
      <c r="C1653" s="3">
        <v>512.0</v>
      </c>
      <c r="D1653" s="3">
        <v>363120.0</v>
      </c>
      <c r="E1653" s="3">
        <v>3146218.0</v>
      </c>
      <c r="F1653" s="30">
        <f t="shared" si="484"/>
        <v>3509338</v>
      </c>
      <c r="G1653" s="30">
        <f t="shared" si="485"/>
        <v>3483330.467</v>
      </c>
      <c r="H1653" s="77">
        <f t="shared" si="486"/>
        <v>0.7410951385</v>
      </c>
      <c r="J1653" s="3" t="s">
        <v>463</v>
      </c>
      <c r="K1653" s="3">
        <v>512.0</v>
      </c>
      <c r="L1653" s="3">
        <v>428071.0</v>
      </c>
      <c r="M1653" s="3">
        <v>3192380.0</v>
      </c>
      <c r="N1653" s="30">
        <f t="shared" si="487"/>
        <v>3620451</v>
      </c>
      <c r="O1653" s="30">
        <f t="shared" si="488"/>
        <v>3483330.467</v>
      </c>
      <c r="P1653" s="77">
        <f t="shared" si="489"/>
        <v>3.787388182</v>
      </c>
      <c r="R1653" s="3" t="s">
        <v>463</v>
      </c>
      <c r="S1653" s="3">
        <v>512.0</v>
      </c>
      <c r="T1653" s="3">
        <v>434855.0</v>
      </c>
      <c r="U1653" s="3">
        <v>3165344.0</v>
      </c>
      <c r="V1653" s="30">
        <f t="shared" si="490"/>
        <v>3600199</v>
      </c>
      <c r="W1653" s="30">
        <f t="shared" si="491"/>
        <v>3483330.467</v>
      </c>
      <c r="X1653" s="77">
        <f t="shared" si="492"/>
        <v>3.246168707</v>
      </c>
    </row>
    <row r="1654">
      <c r="B1654" s="3" t="s">
        <v>463</v>
      </c>
      <c r="C1654" s="3">
        <v>1024.0</v>
      </c>
      <c r="D1654" s="3">
        <v>263755.0</v>
      </c>
      <c r="E1654" s="3">
        <v>3176502.0</v>
      </c>
      <c r="F1654" s="30">
        <f t="shared" si="484"/>
        <v>3440257</v>
      </c>
      <c r="G1654" s="30">
        <f t="shared" si="485"/>
        <v>3400638.821</v>
      </c>
      <c r="H1654" s="77">
        <f t="shared" si="486"/>
        <v>1.151605228</v>
      </c>
      <c r="J1654" s="3" t="s">
        <v>463</v>
      </c>
      <c r="K1654" s="3">
        <v>1024.0</v>
      </c>
      <c r="L1654" s="3">
        <v>331158.0</v>
      </c>
      <c r="M1654" s="3">
        <v>3186423.0</v>
      </c>
      <c r="N1654" s="30">
        <f t="shared" si="487"/>
        <v>3517581</v>
      </c>
      <c r="O1654" s="30">
        <f t="shared" si="488"/>
        <v>3400638.821</v>
      </c>
      <c r="P1654" s="77">
        <f t="shared" si="489"/>
        <v>3.324505661</v>
      </c>
      <c r="R1654" s="3" t="s">
        <v>463</v>
      </c>
      <c r="S1654" s="3">
        <v>1024.0</v>
      </c>
      <c r="T1654" s="3">
        <v>334319.0</v>
      </c>
      <c r="U1654" s="3">
        <v>3136135.0</v>
      </c>
      <c r="V1654" s="30">
        <f t="shared" si="490"/>
        <v>3470454</v>
      </c>
      <c r="W1654" s="30">
        <f t="shared" si="491"/>
        <v>3400638.821</v>
      </c>
      <c r="X1654" s="77">
        <f t="shared" si="492"/>
        <v>2.011701624</v>
      </c>
    </row>
    <row r="1655">
      <c r="B1655" s="3" t="s">
        <v>463</v>
      </c>
      <c r="C1655" s="3">
        <v>2048.0</v>
      </c>
      <c r="D1655" s="3">
        <v>215847.0</v>
      </c>
      <c r="E1655" s="3">
        <v>3137363.0</v>
      </c>
      <c r="F1655" s="30">
        <f t="shared" si="484"/>
        <v>3353210</v>
      </c>
      <c r="G1655" s="30">
        <f t="shared" si="485"/>
        <v>3354699.017</v>
      </c>
      <c r="H1655" s="77">
        <f t="shared" si="486"/>
        <v>0.04440572194</v>
      </c>
      <c r="J1655" s="3" t="s">
        <v>463</v>
      </c>
      <c r="K1655" s="3">
        <v>2048.0</v>
      </c>
      <c r="L1655" s="3">
        <v>284175.0</v>
      </c>
      <c r="M1655" s="3">
        <v>3182473.0</v>
      </c>
      <c r="N1655" s="30">
        <f t="shared" si="487"/>
        <v>3466648</v>
      </c>
      <c r="O1655" s="30">
        <f t="shared" si="488"/>
        <v>3354699.017</v>
      </c>
      <c r="P1655" s="77">
        <f t="shared" si="489"/>
        <v>3.229314972</v>
      </c>
      <c r="R1655" s="3" t="s">
        <v>463</v>
      </c>
      <c r="S1655" s="3">
        <v>2048.0</v>
      </c>
      <c r="T1655" s="3">
        <v>267559.0</v>
      </c>
      <c r="U1655" s="3">
        <v>3160180.0</v>
      </c>
      <c r="V1655" s="30">
        <f t="shared" si="490"/>
        <v>3427739</v>
      </c>
      <c r="W1655" s="30">
        <f t="shared" si="491"/>
        <v>3354699.017</v>
      </c>
      <c r="X1655" s="77">
        <f t="shared" si="492"/>
        <v>2.130850187</v>
      </c>
    </row>
    <row r="1656">
      <c r="B1656" s="3" t="s">
        <v>463</v>
      </c>
      <c r="C1656" s="3">
        <v>4096.0</v>
      </c>
      <c r="D1656" s="3">
        <v>193776.0</v>
      </c>
      <c r="E1656" s="3">
        <v>3164127.0</v>
      </c>
      <c r="F1656" s="30">
        <f t="shared" si="484"/>
        <v>3357903</v>
      </c>
      <c r="G1656" s="30">
        <f t="shared" si="485"/>
        <v>3333817.288</v>
      </c>
      <c r="H1656" s="77">
        <f t="shared" si="486"/>
        <v>0.7172843206</v>
      </c>
      <c r="J1656" s="3" t="s">
        <v>463</v>
      </c>
      <c r="K1656" s="3">
        <v>4096.0</v>
      </c>
      <c r="L1656" s="3">
        <v>237130.0</v>
      </c>
      <c r="M1656" s="3">
        <v>3169680.0</v>
      </c>
      <c r="N1656" s="30">
        <f t="shared" si="487"/>
        <v>3406810</v>
      </c>
      <c r="O1656" s="30">
        <f t="shared" si="488"/>
        <v>3333817.288</v>
      </c>
      <c r="P1656" s="77">
        <f t="shared" si="489"/>
        <v>2.142553055</v>
      </c>
      <c r="R1656" s="3" t="s">
        <v>463</v>
      </c>
      <c r="S1656" s="3">
        <v>4096.0</v>
      </c>
      <c r="T1656" s="3">
        <v>234081.0</v>
      </c>
      <c r="U1656" s="3">
        <v>3139241.0</v>
      </c>
      <c r="V1656" s="30">
        <f t="shared" si="490"/>
        <v>3373322</v>
      </c>
      <c r="W1656" s="30">
        <f t="shared" si="491"/>
        <v>3333817.288</v>
      </c>
      <c r="X1656" s="77">
        <f t="shared" si="492"/>
        <v>1.171092227</v>
      </c>
    </row>
    <row r="1657">
      <c r="B1657" s="3" t="s">
        <v>463</v>
      </c>
      <c r="C1657" s="3">
        <v>8192.0</v>
      </c>
      <c r="D1657" s="3">
        <v>177994.0</v>
      </c>
      <c r="E1657" s="3">
        <v>3166606.0</v>
      </c>
      <c r="F1657" s="30">
        <f t="shared" si="484"/>
        <v>3344600</v>
      </c>
      <c r="G1657" s="30">
        <f t="shared" si="485"/>
        <v>3333817.288</v>
      </c>
      <c r="H1657" s="77">
        <f t="shared" si="486"/>
        <v>0.3223916677</v>
      </c>
      <c r="J1657" s="3" t="s">
        <v>463</v>
      </c>
      <c r="K1657" s="3">
        <v>8192.0</v>
      </c>
      <c r="L1657" s="3">
        <v>219442.0</v>
      </c>
      <c r="M1657" s="3">
        <v>3122534.0</v>
      </c>
      <c r="N1657" s="30">
        <f t="shared" si="487"/>
        <v>3341976</v>
      </c>
      <c r="O1657" s="30">
        <f t="shared" si="488"/>
        <v>3333817.288</v>
      </c>
      <c r="P1657" s="77">
        <f t="shared" si="489"/>
        <v>0.2441283755</v>
      </c>
      <c r="R1657" s="3" t="s">
        <v>463</v>
      </c>
      <c r="S1657" s="3">
        <v>8192.0</v>
      </c>
      <c r="T1657" s="3">
        <v>218054.0</v>
      </c>
      <c r="U1657" s="3">
        <v>3145966.0</v>
      </c>
      <c r="V1657" s="30">
        <f t="shared" si="490"/>
        <v>3364020</v>
      </c>
      <c r="W1657" s="30">
        <f t="shared" si="491"/>
        <v>3333817.288</v>
      </c>
      <c r="X1657" s="77">
        <f t="shared" si="492"/>
        <v>0.897816057</v>
      </c>
    </row>
    <row r="1658">
      <c r="E1658" s="3"/>
    </row>
    <row r="1659">
      <c r="E1659" s="3"/>
    </row>
    <row r="1660">
      <c r="E1660" s="3"/>
    </row>
    <row r="1661">
      <c r="C1661" s="3" t="s">
        <v>324</v>
      </c>
      <c r="D1661" s="3" t="s">
        <v>534</v>
      </c>
      <c r="E1661" s="3" t="s">
        <v>535</v>
      </c>
      <c r="F1661" s="3" t="s">
        <v>536</v>
      </c>
    </row>
    <row r="1662">
      <c r="C1662" s="3">
        <v>1.0</v>
      </c>
      <c r="D1662" s="77">
        <f t="shared" ref="D1662:D1675" si="493">H1644</f>
        <v>8.14668822</v>
      </c>
      <c r="E1662" s="81">
        <f t="shared" ref="E1662:E1675" si="494">P1644</f>
        <v>5.477267207</v>
      </c>
      <c r="F1662" s="77">
        <f t="shared" ref="F1662:F1675" si="495">X1644</f>
        <v>8.141882236</v>
      </c>
      <c r="H1662" s="30" t="str">
        <f>D1661&amp;"=["&amp;D1662&amp;", "&amp;D1663&amp;", "&amp;D1664&amp;", "&amp;D1665&amp;", "&amp;D1666&amp;", "&amp;D1667&amp;", "&amp;D1668&amp;", "&amp;D1669&amp;", "&amp;D1670&amp;", "&amp;D1671&amp;", "&amp;D1672&amp;", "&amp;D1673&amp;", "&amp;D1674&amp;", "&amp;D1675&amp;"]"</f>
        <v>bwell=[8.14668822027081, 7.58285849816773, 5.75658861971854, 6.29732921901148, 6.04906713989209, 6.08954459589655, 4.41437867210293, 3.06620503035453, 2.93694723594845, 0.74109513846772, 1.15160522802623, 0.0444057219416002, 0.717284320581838, 0.322391667743442]</v>
      </c>
    </row>
    <row r="1663">
      <c r="C1663" s="3">
        <v>2.0</v>
      </c>
      <c r="D1663" s="77">
        <f t="shared" si="493"/>
        <v>7.582858498</v>
      </c>
      <c r="E1663" s="81">
        <f t="shared" si="494"/>
        <v>5.7078579</v>
      </c>
      <c r="F1663" s="77">
        <f t="shared" si="495"/>
        <v>7.941365671</v>
      </c>
      <c r="H1663" s="82" t="str">
        <f>E1661&amp;"=["&amp;E1662&amp;", "&amp;E1663&amp;", "&amp;E1664&amp;", "&amp;E1665&amp;", "&amp;E1666&amp;", "&amp;E1667&amp;", "&amp;E1668&amp;", "&amp;E1669&amp;", "&amp;E1670&amp;", "&amp;E1671&amp;", "&amp;E1672&amp;", "&amp;E1673&amp;", "&amp;E1674&amp;", "&amp;E1675&amp;"]"</f>
        <v>slake=[5.47726720714513, 5.70785789978058, 5.46476195220359, 5.47825833583459, 5.49717156814617, 6.12812144648004, 4.76869911647105, 4.07832756337303, 3.94260153811616, 3.78738818203589, 3.32450566083733, 3.22931497202145, 2.14255305459791, 0.244128375528345]</v>
      </c>
    </row>
    <row r="1664">
      <c r="C1664" s="3">
        <v>4.0</v>
      </c>
      <c r="D1664" s="77">
        <f t="shared" si="493"/>
        <v>5.75658862</v>
      </c>
      <c r="E1664" s="81">
        <f t="shared" si="494"/>
        <v>5.464761952</v>
      </c>
      <c r="F1664" s="77">
        <f t="shared" si="495"/>
        <v>6.556010377</v>
      </c>
      <c r="H1664" s="82" t="str">
        <f>F1661&amp;"=["&amp;F1662&amp;", "&amp;F1663&amp;", "&amp;F1664&amp;", "&amp;F1665&amp;", "&amp;F1666&amp;", "&amp;F1667&amp;", "&amp;F1668&amp;", "&amp;F1669&amp;", "&amp;F1670&amp;", "&amp;F1671&amp;", "&amp;F1672&amp;", "&amp;F1673&amp;", "&amp;F1674&amp;", "&amp;F1675&amp;"]"</f>
        <v>clake=[8.14188223603137, 7.94136567093757, 6.55601037721669, 6.04682626179112, 6.1602892365101, 6.12188923614611, 5.0608004252941, 3.5167001503009, 4.48448291464933, 3.24616870651873, 2.0117016237512, 2.13085018699738, 1.17109222657508, 0.897816056960041]</v>
      </c>
    </row>
    <row r="1665">
      <c r="C1665" s="3">
        <v>8.0</v>
      </c>
      <c r="D1665" s="77">
        <f t="shared" si="493"/>
        <v>6.297329219</v>
      </c>
      <c r="E1665" s="81">
        <f t="shared" si="494"/>
        <v>5.478258336</v>
      </c>
      <c r="F1665" s="77">
        <f t="shared" si="495"/>
        <v>6.046826262</v>
      </c>
    </row>
    <row r="1666">
      <c r="C1666" s="3">
        <v>16.0</v>
      </c>
      <c r="D1666" s="77">
        <f t="shared" si="493"/>
        <v>6.04906714</v>
      </c>
      <c r="E1666" s="81">
        <f t="shared" si="494"/>
        <v>5.497171568</v>
      </c>
      <c r="F1666" s="77">
        <f t="shared" si="495"/>
        <v>6.160289237</v>
      </c>
    </row>
    <row r="1667">
      <c r="C1667" s="3">
        <v>32.0</v>
      </c>
      <c r="D1667" s="77">
        <f t="shared" si="493"/>
        <v>6.089544596</v>
      </c>
      <c r="E1667" s="81">
        <f t="shared" si="494"/>
        <v>6.128121446</v>
      </c>
      <c r="F1667" s="77">
        <f t="shared" si="495"/>
        <v>6.121889236</v>
      </c>
    </row>
    <row r="1668">
      <c r="C1668" s="3">
        <v>64.0</v>
      </c>
      <c r="D1668" s="77">
        <f t="shared" si="493"/>
        <v>4.414378672</v>
      </c>
      <c r="E1668" s="81">
        <f t="shared" si="494"/>
        <v>4.768699116</v>
      </c>
      <c r="F1668" s="77">
        <f t="shared" si="495"/>
        <v>5.060800425</v>
      </c>
    </row>
    <row r="1669">
      <c r="C1669" s="3">
        <v>128.0</v>
      </c>
      <c r="D1669" s="77">
        <f t="shared" si="493"/>
        <v>3.06620503</v>
      </c>
      <c r="E1669" s="81">
        <f t="shared" si="494"/>
        <v>4.078327563</v>
      </c>
      <c r="F1669" s="77">
        <f t="shared" si="495"/>
        <v>3.51670015</v>
      </c>
    </row>
    <row r="1670">
      <c r="C1670" s="3">
        <v>256.0</v>
      </c>
      <c r="D1670" s="77">
        <f t="shared" si="493"/>
        <v>2.936947236</v>
      </c>
      <c r="E1670" s="81">
        <f t="shared" si="494"/>
        <v>3.942601538</v>
      </c>
      <c r="F1670" s="77">
        <f t="shared" si="495"/>
        <v>4.484482915</v>
      </c>
    </row>
    <row r="1671">
      <c r="C1671" s="3">
        <v>512.0</v>
      </c>
      <c r="D1671" s="77">
        <f t="shared" si="493"/>
        <v>0.7410951385</v>
      </c>
      <c r="E1671" s="81">
        <f t="shared" si="494"/>
        <v>3.787388182</v>
      </c>
      <c r="F1671" s="77">
        <f t="shared" si="495"/>
        <v>3.246168707</v>
      </c>
    </row>
    <row r="1672">
      <c r="C1672" s="3">
        <v>1024.0</v>
      </c>
      <c r="D1672" s="77">
        <f t="shared" si="493"/>
        <v>1.151605228</v>
      </c>
      <c r="E1672" s="81">
        <f t="shared" si="494"/>
        <v>3.324505661</v>
      </c>
      <c r="F1672" s="77">
        <f t="shared" si="495"/>
        <v>2.011701624</v>
      </c>
    </row>
    <row r="1673">
      <c r="C1673" s="3">
        <v>2048.0</v>
      </c>
      <c r="D1673" s="77">
        <f t="shared" si="493"/>
        <v>0.04440572194</v>
      </c>
      <c r="E1673" s="81">
        <f t="shared" si="494"/>
        <v>3.229314972</v>
      </c>
      <c r="F1673" s="77">
        <f t="shared" si="495"/>
        <v>2.130850187</v>
      </c>
    </row>
    <row r="1674">
      <c r="C1674" s="3">
        <v>4096.0</v>
      </c>
      <c r="D1674" s="77">
        <f t="shared" si="493"/>
        <v>0.7172843206</v>
      </c>
      <c r="E1674" s="81">
        <f t="shared" si="494"/>
        <v>2.142553055</v>
      </c>
      <c r="F1674" s="77">
        <f t="shared" si="495"/>
        <v>1.171092227</v>
      </c>
    </row>
    <row r="1675">
      <c r="C1675" s="3">
        <v>8192.0</v>
      </c>
      <c r="D1675" s="77">
        <f t="shared" si="493"/>
        <v>0.3223916677</v>
      </c>
      <c r="E1675" s="81">
        <f t="shared" si="494"/>
        <v>0.2441283755</v>
      </c>
      <c r="F1675" s="77">
        <f t="shared" si="495"/>
        <v>0.897816057</v>
      </c>
    </row>
    <row r="1676">
      <c r="E1676" s="3"/>
    </row>
    <row r="1677">
      <c r="E1677" s="3"/>
    </row>
    <row r="1678">
      <c r="A1678" s="3" t="s">
        <v>525</v>
      </c>
      <c r="E1678" s="3"/>
    </row>
    <row r="1679">
      <c r="A1679" s="3" t="s">
        <v>538</v>
      </c>
      <c r="B1679" s="3" t="s">
        <v>459</v>
      </c>
      <c r="C1679" s="3" t="s">
        <v>447</v>
      </c>
      <c r="D1679" s="3" t="s">
        <v>515</v>
      </c>
      <c r="E1679" s="3" t="s">
        <v>526</v>
      </c>
      <c r="F1679" s="3" t="s">
        <v>527</v>
      </c>
      <c r="G1679" s="3" t="s">
        <v>528</v>
      </c>
      <c r="H1679" s="3" t="s">
        <v>529</v>
      </c>
    </row>
    <row r="1680">
      <c r="A1680" s="3">
        <v>5000000.0</v>
      </c>
      <c r="B1680" s="3">
        <f>A1680</f>
        <v>5000000</v>
      </c>
      <c r="C1680" s="3">
        <v>1.0</v>
      </c>
      <c r="D1680" s="66">
        <f t="shared" ref="D1680:D1693" si="496">B1680/C1680</f>
        <v>5000000</v>
      </c>
      <c r="E1680" s="30">
        <f>D1680/64*4</f>
        <v>312500</v>
      </c>
      <c r="F1680" s="30">
        <f t="shared" ref="F1680:F1685" si="497">E1680*2</f>
        <v>625000</v>
      </c>
      <c r="G1680" s="30">
        <f>E1680</f>
        <v>312500</v>
      </c>
      <c r="H1680" s="30">
        <f t="shared" ref="H1680:H1693" si="498">F1680+G1680</f>
        <v>937500</v>
      </c>
    </row>
    <row r="1681">
      <c r="B1681" s="3">
        <f t="shared" ref="B1681:B1693" si="499">B1680</f>
        <v>5000000</v>
      </c>
      <c r="C1681" s="3">
        <v>2.0</v>
      </c>
      <c r="D1681" s="66">
        <f t="shared" si="496"/>
        <v>2500000</v>
      </c>
      <c r="E1681" s="30">
        <f t="shared" ref="E1681:E1684" si="500">E1680</f>
        <v>312500</v>
      </c>
      <c r="F1681" s="30">
        <f t="shared" si="497"/>
        <v>625000</v>
      </c>
      <c r="G1681" s="30">
        <f t="shared" ref="G1681:G1693" si="501">G1680</f>
        <v>312500</v>
      </c>
      <c r="H1681" s="30">
        <f t="shared" si="498"/>
        <v>937500</v>
      </c>
    </row>
    <row r="1682">
      <c r="B1682" s="3">
        <f t="shared" si="499"/>
        <v>5000000</v>
      </c>
      <c r="C1682" s="3">
        <v>4.0</v>
      </c>
      <c r="D1682" s="66">
        <f t="shared" si="496"/>
        <v>1250000</v>
      </c>
      <c r="E1682" s="30">
        <f t="shared" si="500"/>
        <v>312500</v>
      </c>
      <c r="F1682" s="30">
        <f t="shared" si="497"/>
        <v>625000</v>
      </c>
      <c r="G1682" s="30">
        <f t="shared" si="501"/>
        <v>312500</v>
      </c>
      <c r="H1682" s="30">
        <f t="shared" si="498"/>
        <v>937500</v>
      </c>
    </row>
    <row r="1683">
      <c r="B1683" s="3">
        <f t="shared" si="499"/>
        <v>5000000</v>
      </c>
      <c r="C1683" s="3">
        <v>8.0</v>
      </c>
      <c r="D1683" s="66">
        <f t="shared" si="496"/>
        <v>625000</v>
      </c>
      <c r="E1683" s="30">
        <f t="shared" si="500"/>
        <v>312500</v>
      </c>
      <c r="F1683" s="30">
        <f t="shared" si="497"/>
        <v>625000</v>
      </c>
      <c r="G1683" s="30">
        <f t="shared" si="501"/>
        <v>312500</v>
      </c>
      <c r="H1683" s="30">
        <f t="shared" si="498"/>
        <v>937500</v>
      </c>
    </row>
    <row r="1684">
      <c r="B1684" s="3">
        <f t="shared" si="499"/>
        <v>5000000</v>
      </c>
      <c r="C1684" s="3">
        <v>16.0</v>
      </c>
      <c r="D1684" s="66">
        <f t="shared" si="496"/>
        <v>312500</v>
      </c>
      <c r="E1684" s="30">
        <f t="shared" si="500"/>
        <v>312500</v>
      </c>
      <c r="F1684" s="30">
        <f t="shared" si="497"/>
        <v>625000</v>
      </c>
      <c r="G1684" s="30">
        <f t="shared" si="501"/>
        <v>312500</v>
      </c>
      <c r="H1684" s="30">
        <f t="shared" si="498"/>
        <v>937500</v>
      </c>
    </row>
    <row r="1685">
      <c r="B1685" s="3">
        <f t="shared" si="499"/>
        <v>5000000</v>
      </c>
      <c r="C1685" s="3">
        <v>32.0</v>
      </c>
      <c r="D1685" s="66">
        <f t="shared" si="496"/>
        <v>156250</v>
      </c>
      <c r="E1685" s="30">
        <f t="shared" ref="E1685:E1693" si="502">E1684/2</f>
        <v>156250</v>
      </c>
      <c r="F1685" s="30">
        <f t="shared" si="497"/>
        <v>312500</v>
      </c>
      <c r="G1685" s="30">
        <f t="shared" si="501"/>
        <v>312500</v>
      </c>
      <c r="H1685" s="30">
        <f t="shared" si="498"/>
        <v>625000</v>
      </c>
    </row>
    <row r="1686">
      <c r="B1686" s="3">
        <f t="shared" si="499"/>
        <v>5000000</v>
      </c>
      <c r="C1686" s="3">
        <v>64.0</v>
      </c>
      <c r="D1686" s="66">
        <f t="shared" si="496"/>
        <v>78125</v>
      </c>
      <c r="E1686" s="30">
        <f t="shared" si="502"/>
        <v>78125</v>
      </c>
      <c r="F1686" s="30">
        <f>F1685/1.9</f>
        <v>164473.6842</v>
      </c>
      <c r="G1686" s="30">
        <f t="shared" si="501"/>
        <v>312500</v>
      </c>
      <c r="H1686" s="30">
        <f t="shared" si="498"/>
        <v>476973.6842</v>
      </c>
    </row>
    <row r="1687">
      <c r="B1687" s="3">
        <f t="shared" si="499"/>
        <v>5000000</v>
      </c>
      <c r="C1687" s="3">
        <v>128.0</v>
      </c>
      <c r="D1687" s="66">
        <f t="shared" si="496"/>
        <v>39062.5</v>
      </c>
      <c r="E1687" s="30">
        <f t="shared" si="502"/>
        <v>39062.5</v>
      </c>
      <c r="F1687" s="30">
        <f>F1686/1.8</f>
        <v>91374.26901</v>
      </c>
      <c r="G1687" s="30">
        <f t="shared" si="501"/>
        <v>312500</v>
      </c>
      <c r="H1687" s="30">
        <f t="shared" si="498"/>
        <v>403874.269</v>
      </c>
    </row>
    <row r="1688">
      <c r="B1688" s="3">
        <f t="shared" si="499"/>
        <v>5000000</v>
      </c>
      <c r="C1688" s="3">
        <v>256.0</v>
      </c>
      <c r="D1688" s="66">
        <f t="shared" si="496"/>
        <v>19531.25</v>
      </c>
      <c r="E1688" s="30">
        <f t="shared" si="502"/>
        <v>19531.25</v>
      </c>
      <c r="F1688" s="30">
        <f>F1687/1.7</f>
        <v>53749.57</v>
      </c>
      <c r="G1688" s="30">
        <f t="shared" si="501"/>
        <v>312500</v>
      </c>
      <c r="H1688" s="30">
        <f t="shared" si="498"/>
        <v>366249.57</v>
      </c>
    </row>
    <row r="1689">
      <c r="B1689" s="3">
        <f t="shared" si="499"/>
        <v>5000000</v>
      </c>
      <c r="C1689" s="3">
        <v>512.0</v>
      </c>
      <c r="D1689" s="66">
        <f t="shared" si="496"/>
        <v>9765.625</v>
      </c>
      <c r="E1689" s="30">
        <f t="shared" si="502"/>
        <v>9765.625</v>
      </c>
      <c r="F1689" s="30">
        <f>F1688/1.5</f>
        <v>35833.04667</v>
      </c>
      <c r="G1689" s="30">
        <f t="shared" si="501"/>
        <v>312500</v>
      </c>
      <c r="H1689" s="30">
        <f t="shared" si="498"/>
        <v>348333.0467</v>
      </c>
    </row>
    <row r="1690">
      <c r="B1690" s="3">
        <f t="shared" si="499"/>
        <v>5000000</v>
      </c>
      <c r="C1690" s="3">
        <v>1024.0</v>
      </c>
      <c r="D1690" s="66">
        <f t="shared" si="496"/>
        <v>4882.8125</v>
      </c>
      <c r="E1690" s="30">
        <f t="shared" si="502"/>
        <v>4882.8125</v>
      </c>
      <c r="F1690" s="30">
        <f>F1689/1.3</f>
        <v>27563.88205</v>
      </c>
      <c r="G1690" s="30">
        <f t="shared" si="501"/>
        <v>312500</v>
      </c>
      <c r="H1690" s="30">
        <f t="shared" si="498"/>
        <v>340063.8821</v>
      </c>
    </row>
    <row r="1691">
      <c r="B1691" s="3">
        <f t="shared" si="499"/>
        <v>5000000</v>
      </c>
      <c r="C1691" s="3">
        <v>2048.0</v>
      </c>
      <c r="D1691" s="66">
        <f t="shared" si="496"/>
        <v>2441.40625</v>
      </c>
      <c r="E1691" s="30">
        <f t="shared" si="502"/>
        <v>2441.40625</v>
      </c>
      <c r="F1691" s="30">
        <f>F1690/1.2</f>
        <v>22969.90171</v>
      </c>
      <c r="G1691" s="30">
        <f t="shared" si="501"/>
        <v>312500</v>
      </c>
      <c r="H1691" s="30">
        <f t="shared" si="498"/>
        <v>335469.9017</v>
      </c>
    </row>
    <row r="1692">
      <c r="B1692" s="3">
        <f t="shared" si="499"/>
        <v>5000000</v>
      </c>
      <c r="C1692" s="3">
        <v>4096.0</v>
      </c>
      <c r="D1692" s="66">
        <f t="shared" si="496"/>
        <v>1220.703125</v>
      </c>
      <c r="E1692" s="30">
        <f t="shared" si="502"/>
        <v>1220.703125</v>
      </c>
      <c r="F1692" s="30">
        <f>F1691/1.1</f>
        <v>20881.72883</v>
      </c>
      <c r="G1692" s="30">
        <f t="shared" si="501"/>
        <v>312500</v>
      </c>
      <c r="H1692" s="30">
        <f t="shared" si="498"/>
        <v>333381.7288</v>
      </c>
    </row>
    <row r="1693">
      <c r="B1693" s="3">
        <f t="shared" si="499"/>
        <v>5000000</v>
      </c>
      <c r="C1693" s="3">
        <v>8192.0</v>
      </c>
      <c r="D1693" s="66">
        <f t="shared" si="496"/>
        <v>610.3515625</v>
      </c>
      <c r="E1693" s="30">
        <f t="shared" si="502"/>
        <v>610.3515625</v>
      </c>
      <c r="F1693" s="30">
        <f>F1692/1</f>
        <v>20881.72883</v>
      </c>
      <c r="G1693" s="30">
        <f t="shared" si="501"/>
        <v>312500</v>
      </c>
      <c r="H1693" s="30">
        <f t="shared" si="498"/>
        <v>333381.7288</v>
      </c>
    </row>
    <row r="1694">
      <c r="A1694" s="3" t="s">
        <v>327</v>
      </c>
      <c r="B1694" s="3" t="s">
        <v>530</v>
      </c>
      <c r="E1694" s="3"/>
      <c r="J1694" s="3" t="s">
        <v>531</v>
      </c>
      <c r="M1694" s="3"/>
      <c r="R1694" s="3" t="s">
        <v>532</v>
      </c>
      <c r="U1694" s="3"/>
    </row>
    <row r="1695">
      <c r="E1695" s="3"/>
      <c r="F1695" s="3" t="s">
        <v>482</v>
      </c>
      <c r="G1695" s="73" t="s">
        <v>529</v>
      </c>
      <c r="H1695" s="3" t="s">
        <v>533</v>
      </c>
      <c r="M1695" s="3"/>
      <c r="N1695" s="3" t="s">
        <v>482</v>
      </c>
      <c r="O1695" s="73" t="s">
        <v>529</v>
      </c>
      <c r="P1695" s="3" t="s">
        <v>533</v>
      </c>
      <c r="U1695" s="3"/>
      <c r="V1695" s="3" t="s">
        <v>482</v>
      </c>
      <c r="W1695" s="73" t="s">
        <v>529</v>
      </c>
      <c r="X1695" s="3" t="s">
        <v>533</v>
      </c>
    </row>
    <row r="1696">
      <c r="B1696" s="3" t="s">
        <v>463</v>
      </c>
      <c r="C1696" s="3">
        <v>1.0</v>
      </c>
      <c r="D1696" s="3">
        <v>656265.0</v>
      </c>
      <c r="E1696" s="3">
        <v>656719.0</v>
      </c>
      <c r="F1696" s="30">
        <f t="shared" ref="F1696:F1709" si="503">D1696+E1696</f>
        <v>1312984</v>
      </c>
      <c r="G1696" s="30">
        <f t="shared" ref="G1696:G1709" si="504">H1680</f>
        <v>937500</v>
      </c>
      <c r="H1696" s="77">
        <f t="shared" ref="H1696:H1709" si="505">ABS((F1696-G1696)/F1696)*100</f>
        <v>28.597759</v>
      </c>
      <c r="J1696" s="3" t="s">
        <v>463</v>
      </c>
      <c r="K1696" s="3">
        <v>1.0</v>
      </c>
      <c r="L1696" s="3">
        <v>673137.0</v>
      </c>
      <c r="M1696" s="3">
        <v>378504.0</v>
      </c>
      <c r="N1696" s="30">
        <f t="shared" ref="N1696:N1709" si="506">L1696+M1696</f>
        <v>1051641</v>
      </c>
      <c r="O1696" s="30">
        <f t="shared" ref="O1696:O1709" si="507">H1680</f>
        <v>937500</v>
      </c>
      <c r="P1696" s="77">
        <f t="shared" ref="P1696:P1709" si="508">ABS((N1696-O1696)/N1696)*100</f>
        <v>10.85360879</v>
      </c>
      <c r="R1696" s="3" t="s">
        <v>463</v>
      </c>
      <c r="S1696" s="3">
        <v>1.0</v>
      </c>
      <c r="T1696" s="3">
        <v>677315.0</v>
      </c>
      <c r="U1696" s="3">
        <v>390390.0</v>
      </c>
      <c r="V1696" s="30">
        <f t="shared" ref="V1696:V1709" si="509">T1696+U1696</f>
        <v>1067705</v>
      </c>
      <c r="W1696" s="30">
        <f t="shared" ref="W1696:W1709" si="510">H1680</f>
        <v>937500</v>
      </c>
      <c r="X1696" s="77">
        <f t="shared" ref="X1696:X1709" si="511">ABS((V1696-W1696)/V1696)*100</f>
        <v>12.19484783</v>
      </c>
    </row>
    <row r="1697">
      <c r="B1697" s="3" t="s">
        <v>463</v>
      </c>
      <c r="C1697" s="3">
        <v>2.0</v>
      </c>
      <c r="D1697" s="3">
        <v>652460.0</v>
      </c>
      <c r="E1697" s="3">
        <v>656538.0</v>
      </c>
      <c r="F1697" s="30">
        <f t="shared" si="503"/>
        <v>1308998</v>
      </c>
      <c r="G1697" s="30">
        <f t="shared" si="504"/>
        <v>937500</v>
      </c>
      <c r="H1697" s="77">
        <f t="shared" si="505"/>
        <v>28.38033366</v>
      </c>
      <c r="J1697" s="3" t="s">
        <v>463</v>
      </c>
      <c r="K1697" s="3">
        <v>2.0</v>
      </c>
      <c r="L1697" s="3">
        <v>671772.0</v>
      </c>
      <c r="M1697" s="3">
        <v>356287.0</v>
      </c>
      <c r="N1697" s="30">
        <f t="shared" si="506"/>
        <v>1028059</v>
      </c>
      <c r="O1697" s="30">
        <f t="shared" si="507"/>
        <v>937500</v>
      </c>
      <c r="P1697" s="77">
        <f t="shared" si="508"/>
        <v>8.808735685</v>
      </c>
      <c r="R1697" s="3" t="s">
        <v>463</v>
      </c>
      <c r="S1697" s="3">
        <v>2.0</v>
      </c>
      <c r="T1697" s="3">
        <v>668827.0</v>
      </c>
      <c r="U1697" s="3">
        <v>335282.0</v>
      </c>
      <c r="V1697" s="30">
        <f t="shared" si="509"/>
        <v>1004109</v>
      </c>
      <c r="W1697" s="30">
        <f t="shared" si="510"/>
        <v>937500</v>
      </c>
      <c r="X1697" s="77">
        <f t="shared" si="511"/>
        <v>6.633642364</v>
      </c>
    </row>
    <row r="1698">
      <c r="B1698" s="3" t="s">
        <v>463</v>
      </c>
      <c r="C1698" s="3">
        <v>4.0</v>
      </c>
      <c r="D1698" s="3">
        <v>648917.0</v>
      </c>
      <c r="E1698" s="3">
        <v>655895.0</v>
      </c>
      <c r="F1698" s="30">
        <f t="shared" si="503"/>
        <v>1304812</v>
      </c>
      <c r="G1698" s="30">
        <f t="shared" si="504"/>
        <v>937500</v>
      </c>
      <c r="H1698" s="77">
        <f t="shared" si="505"/>
        <v>28.15056882</v>
      </c>
      <c r="J1698" s="3" t="s">
        <v>463</v>
      </c>
      <c r="K1698" s="3">
        <v>4.0</v>
      </c>
      <c r="L1698" s="3">
        <v>674413.0</v>
      </c>
      <c r="M1698" s="3">
        <v>367837.0</v>
      </c>
      <c r="N1698" s="30">
        <f t="shared" si="506"/>
        <v>1042250</v>
      </c>
      <c r="O1698" s="30">
        <f t="shared" si="507"/>
        <v>937500</v>
      </c>
      <c r="P1698" s="77">
        <f t="shared" si="508"/>
        <v>10.05037179</v>
      </c>
      <c r="R1698" s="3" t="s">
        <v>463</v>
      </c>
      <c r="S1698" s="3">
        <v>4.0</v>
      </c>
      <c r="T1698" s="3">
        <v>664900.0</v>
      </c>
      <c r="U1698" s="3">
        <v>377952.0</v>
      </c>
      <c r="V1698" s="30">
        <f t="shared" si="509"/>
        <v>1042852</v>
      </c>
      <c r="W1698" s="30">
        <f t="shared" si="510"/>
        <v>937500</v>
      </c>
      <c r="X1698" s="77">
        <f t="shared" si="511"/>
        <v>10.10229639</v>
      </c>
    </row>
    <row r="1699">
      <c r="B1699" s="3" t="s">
        <v>463</v>
      </c>
      <c r="C1699" s="3">
        <v>8.0</v>
      </c>
      <c r="D1699" s="3">
        <v>646435.0</v>
      </c>
      <c r="E1699" s="3">
        <v>643970.0</v>
      </c>
      <c r="F1699" s="30">
        <f t="shared" si="503"/>
        <v>1290405</v>
      </c>
      <c r="G1699" s="30">
        <f t="shared" si="504"/>
        <v>937500</v>
      </c>
      <c r="H1699" s="77">
        <f t="shared" si="505"/>
        <v>27.34839062</v>
      </c>
      <c r="J1699" s="3" t="s">
        <v>463</v>
      </c>
      <c r="K1699" s="3">
        <v>8.0</v>
      </c>
      <c r="L1699" s="3">
        <v>663090.0</v>
      </c>
      <c r="M1699" s="3">
        <v>347773.0</v>
      </c>
      <c r="N1699" s="30">
        <f t="shared" si="506"/>
        <v>1010863</v>
      </c>
      <c r="O1699" s="30">
        <f t="shared" si="507"/>
        <v>937500</v>
      </c>
      <c r="P1699" s="77">
        <f t="shared" si="508"/>
        <v>7.257462188</v>
      </c>
      <c r="R1699" s="3" t="s">
        <v>463</v>
      </c>
      <c r="S1699" s="3">
        <v>8.0</v>
      </c>
      <c r="T1699" s="3">
        <v>665130.0</v>
      </c>
      <c r="U1699" s="3">
        <v>312060.0</v>
      </c>
      <c r="V1699" s="30">
        <f t="shared" si="509"/>
        <v>977190</v>
      </c>
      <c r="W1699" s="30">
        <f t="shared" si="510"/>
        <v>937500</v>
      </c>
      <c r="X1699" s="77">
        <f t="shared" si="511"/>
        <v>4.061646149</v>
      </c>
    </row>
    <row r="1700">
      <c r="B1700" s="3" t="s">
        <v>463</v>
      </c>
      <c r="C1700" s="3">
        <v>16.0</v>
      </c>
      <c r="D1700" s="3">
        <v>644562.0</v>
      </c>
      <c r="E1700" s="3">
        <v>636206.0</v>
      </c>
      <c r="F1700" s="30">
        <f t="shared" si="503"/>
        <v>1280768</v>
      </c>
      <c r="G1700" s="30">
        <f t="shared" si="504"/>
        <v>937500</v>
      </c>
      <c r="H1700" s="77">
        <f t="shared" si="505"/>
        <v>26.80173146</v>
      </c>
      <c r="J1700" s="3" t="s">
        <v>463</v>
      </c>
      <c r="K1700" s="3">
        <v>16.0</v>
      </c>
      <c r="L1700" s="3">
        <v>671878.0</v>
      </c>
      <c r="M1700" s="3">
        <v>385152.0</v>
      </c>
      <c r="N1700" s="30">
        <f t="shared" si="506"/>
        <v>1057030</v>
      </c>
      <c r="O1700" s="30">
        <f t="shared" si="507"/>
        <v>937500</v>
      </c>
      <c r="P1700" s="77">
        <f t="shared" si="508"/>
        <v>11.30809911</v>
      </c>
      <c r="R1700" s="3" t="s">
        <v>463</v>
      </c>
      <c r="S1700" s="3">
        <v>16.0</v>
      </c>
      <c r="T1700" s="3">
        <v>675805.0</v>
      </c>
      <c r="U1700" s="3">
        <v>377816.0</v>
      </c>
      <c r="V1700" s="30">
        <f t="shared" si="509"/>
        <v>1053621</v>
      </c>
      <c r="W1700" s="30">
        <f t="shared" si="510"/>
        <v>937500</v>
      </c>
      <c r="X1700" s="77">
        <f t="shared" si="511"/>
        <v>11.02113568</v>
      </c>
    </row>
    <row r="1701">
      <c r="B1701" s="3" t="s">
        <v>463</v>
      </c>
      <c r="C1701" s="3">
        <v>32.0</v>
      </c>
      <c r="D1701" s="3">
        <v>332509.0</v>
      </c>
      <c r="E1701" s="3">
        <v>474036.0</v>
      </c>
      <c r="F1701" s="30">
        <f t="shared" si="503"/>
        <v>806545</v>
      </c>
      <c r="G1701" s="30">
        <f t="shared" si="504"/>
        <v>625000</v>
      </c>
      <c r="H1701" s="77">
        <f t="shared" si="505"/>
        <v>22.50897346</v>
      </c>
      <c r="J1701" s="3" t="s">
        <v>463</v>
      </c>
      <c r="K1701" s="3">
        <v>32.0</v>
      </c>
      <c r="L1701" s="3">
        <v>344510.0</v>
      </c>
      <c r="M1701" s="3">
        <v>321570.0</v>
      </c>
      <c r="N1701" s="30">
        <f t="shared" si="506"/>
        <v>666080</v>
      </c>
      <c r="O1701" s="30">
        <f t="shared" si="507"/>
        <v>625000</v>
      </c>
      <c r="P1701" s="77">
        <f t="shared" si="508"/>
        <v>6.167427336</v>
      </c>
      <c r="R1701" s="3" t="s">
        <v>463</v>
      </c>
      <c r="S1701" s="3">
        <v>32.0</v>
      </c>
      <c r="T1701" s="3">
        <v>345542.0</v>
      </c>
      <c r="U1701" s="3">
        <v>339752.0</v>
      </c>
      <c r="V1701" s="30">
        <f t="shared" si="509"/>
        <v>685294</v>
      </c>
      <c r="W1701" s="30">
        <f t="shared" si="510"/>
        <v>625000</v>
      </c>
      <c r="X1701" s="77">
        <f t="shared" si="511"/>
        <v>8.798267605</v>
      </c>
    </row>
    <row r="1702">
      <c r="B1702" s="3" t="s">
        <v>463</v>
      </c>
      <c r="C1702" s="3">
        <v>64.0</v>
      </c>
      <c r="D1702" s="3">
        <v>175097.0</v>
      </c>
      <c r="E1702" s="3">
        <v>384759.0</v>
      </c>
      <c r="F1702" s="30">
        <f t="shared" si="503"/>
        <v>559856</v>
      </c>
      <c r="G1702" s="30">
        <f t="shared" si="504"/>
        <v>476973.6842</v>
      </c>
      <c r="H1702" s="77">
        <f t="shared" si="505"/>
        <v>14.80422033</v>
      </c>
      <c r="J1702" s="3" t="s">
        <v>463</v>
      </c>
      <c r="K1702" s="3">
        <v>64.0</v>
      </c>
      <c r="L1702" s="3">
        <v>181802.0</v>
      </c>
      <c r="M1702" s="3">
        <v>316397.0</v>
      </c>
      <c r="N1702" s="30">
        <f t="shared" si="506"/>
        <v>498199</v>
      </c>
      <c r="O1702" s="30">
        <f t="shared" si="507"/>
        <v>476973.6842</v>
      </c>
      <c r="P1702" s="77">
        <f t="shared" si="508"/>
        <v>4.260409152</v>
      </c>
      <c r="R1702" s="3" t="s">
        <v>463</v>
      </c>
      <c r="S1702" s="3">
        <v>64.0</v>
      </c>
      <c r="T1702" s="3">
        <v>182482.0</v>
      </c>
      <c r="U1702" s="3">
        <v>289531.0</v>
      </c>
      <c r="V1702" s="30">
        <f t="shared" si="509"/>
        <v>472013</v>
      </c>
      <c r="W1702" s="30">
        <f t="shared" si="510"/>
        <v>476973.6842</v>
      </c>
      <c r="X1702" s="77">
        <f t="shared" si="511"/>
        <v>1.050963471</v>
      </c>
    </row>
    <row r="1703">
      <c r="B1703" s="3" t="s">
        <v>463</v>
      </c>
      <c r="C1703" s="3">
        <v>128.0</v>
      </c>
      <c r="D1703" s="3">
        <v>99214.0</v>
      </c>
      <c r="E1703" s="3">
        <v>294969.0</v>
      </c>
      <c r="F1703" s="30">
        <f t="shared" si="503"/>
        <v>394183</v>
      </c>
      <c r="G1703" s="30">
        <f t="shared" si="504"/>
        <v>403874.269</v>
      </c>
      <c r="H1703" s="77">
        <f t="shared" si="505"/>
        <v>2.458571021</v>
      </c>
      <c r="J1703" s="3" t="s">
        <v>463</v>
      </c>
      <c r="K1703" s="3">
        <v>128.0</v>
      </c>
      <c r="L1703" s="3">
        <v>104150.0</v>
      </c>
      <c r="M1703" s="3">
        <v>314350.0</v>
      </c>
      <c r="N1703" s="30">
        <f t="shared" si="506"/>
        <v>418500</v>
      </c>
      <c r="O1703" s="30">
        <f t="shared" si="507"/>
        <v>403874.269</v>
      </c>
      <c r="P1703" s="77">
        <f t="shared" si="508"/>
        <v>3.494798326</v>
      </c>
      <c r="R1703" s="3" t="s">
        <v>463</v>
      </c>
      <c r="S1703" s="3">
        <v>128.0</v>
      </c>
      <c r="T1703" s="3">
        <v>100793.0</v>
      </c>
      <c r="U1703" s="3">
        <v>235626.0</v>
      </c>
      <c r="V1703" s="30">
        <f t="shared" si="509"/>
        <v>336419</v>
      </c>
      <c r="W1703" s="30">
        <f t="shared" si="510"/>
        <v>403874.269</v>
      </c>
      <c r="X1703" s="77">
        <f t="shared" si="511"/>
        <v>20.05096888</v>
      </c>
    </row>
    <row r="1704">
      <c r="B1704" s="3" t="s">
        <v>463</v>
      </c>
      <c r="C1704" s="3">
        <v>256.0</v>
      </c>
      <c r="D1704" s="3">
        <v>59099.0</v>
      </c>
      <c r="E1704" s="3">
        <v>275952.0</v>
      </c>
      <c r="F1704" s="30">
        <f t="shared" si="503"/>
        <v>335051</v>
      </c>
      <c r="G1704" s="30">
        <f t="shared" si="504"/>
        <v>366249.57</v>
      </c>
      <c r="H1704" s="77">
        <f t="shared" si="505"/>
        <v>9.311588386</v>
      </c>
      <c r="J1704" s="3" t="s">
        <v>463</v>
      </c>
      <c r="K1704" s="3">
        <v>256.0</v>
      </c>
      <c r="L1704" s="3">
        <v>63842.0</v>
      </c>
      <c r="M1704" s="3">
        <v>311419.0</v>
      </c>
      <c r="N1704" s="30">
        <f t="shared" si="506"/>
        <v>375261</v>
      </c>
      <c r="O1704" s="30">
        <f t="shared" si="507"/>
        <v>366249.57</v>
      </c>
      <c r="P1704" s="77">
        <f t="shared" si="508"/>
        <v>2.401376641</v>
      </c>
      <c r="R1704" s="3" t="s">
        <v>463</v>
      </c>
      <c r="S1704" s="3">
        <v>256.0</v>
      </c>
      <c r="T1704" s="3">
        <v>62744.0</v>
      </c>
      <c r="U1704" s="3">
        <v>268577.0</v>
      </c>
      <c r="V1704" s="30">
        <f t="shared" si="509"/>
        <v>331321</v>
      </c>
      <c r="W1704" s="30">
        <f t="shared" si="510"/>
        <v>366249.57</v>
      </c>
      <c r="X1704" s="77">
        <f t="shared" si="511"/>
        <v>10.54221435</v>
      </c>
    </row>
    <row r="1705">
      <c r="B1705" s="3" t="s">
        <v>463</v>
      </c>
      <c r="C1705" s="3">
        <v>512.0</v>
      </c>
      <c r="D1705" s="3">
        <v>37006.0</v>
      </c>
      <c r="E1705" s="3">
        <v>284591.0</v>
      </c>
      <c r="F1705" s="30">
        <f t="shared" si="503"/>
        <v>321597</v>
      </c>
      <c r="G1705" s="30">
        <f t="shared" si="504"/>
        <v>348333.0467</v>
      </c>
      <c r="H1705" s="77">
        <f t="shared" si="505"/>
        <v>8.313524899</v>
      </c>
      <c r="J1705" s="3" t="s">
        <v>463</v>
      </c>
      <c r="K1705" s="3">
        <v>512.0</v>
      </c>
      <c r="L1705" s="3">
        <v>43578.0</v>
      </c>
      <c r="M1705" s="3">
        <v>309588.0</v>
      </c>
      <c r="N1705" s="30">
        <f t="shared" si="506"/>
        <v>353166</v>
      </c>
      <c r="O1705" s="30">
        <f t="shared" si="507"/>
        <v>348333.0467</v>
      </c>
      <c r="P1705" s="77">
        <f t="shared" si="508"/>
        <v>1.368465065</v>
      </c>
      <c r="R1705" s="3" t="s">
        <v>463</v>
      </c>
      <c r="S1705" s="3">
        <v>512.0</v>
      </c>
      <c r="T1705" s="3">
        <v>42938.0</v>
      </c>
      <c r="U1705" s="3">
        <v>298545.0</v>
      </c>
      <c r="V1705" s="30">
        <f t="shared" si="509"/>
        <v>341483</v>
      </c>
      <c r="W1705" s="30">
        <f t="shared" si="510"/>
        <v>348333.0467</v>
      </c>
      <c r="X1705" s="77">
        <f t="shared" si="511"/>
        <v>2.005970039</v>
      </c>
    </row>
    <row r="1706">
      <c r="B1706" s="3" t="s">
        <v>463</v>
      </c>
      <c r="C1706" s="3">
        <v>1024.0</v>
      </c>
      <c r="D1706" s="3">
        <v>26952.0</v>
      </c>
      <c r="E1706" s="3">
        <v>297385.0</v>
      </c>
      <c r="F1706" s="30">
        <f t="shared" si="503"/>
        <v>324337</v>
      </c>
      <c r="G1706" s="30">
        <f t="shared" si="504"/>
        <v>340063.8821</v>
      </c>
      <c r="H1706" s="77">
        <f t="shared" si="505"/>
        <v>4.848932454</v>
      </c>
      <c r="J1706" s="3" t="s">
        <v>463</v>
      </c>
      <c r="K1706" s="3">
        <v>1024.0</v>
      </c>
      <c r="L1706" s="3">
        <v>33656.0</v>
      </c>
      <c r="M1706" s="3">
        <v>309520.0</v>
      </c>
      <c r="N1706" s="30">
        <f t="shared" si="506"/>
        <v>343176</v>
      </c>
      <c r="O1706" s="30">
        <f t="shared" si="507"/>
        <v>340063.8821</v>
      </c>
      <c r="P1706" s="77">
        <f t="shared" si="508"/>
        <v>0.9068576902</v>
      </c>
      <c r="R1706" s="3" t="s">
        <v>463</v>
      </c>
      <c r="S1706" s="3">
        <v>1024.0</v>
      </c>
      <c r="T1706" s="3">
        <v>34254.0</v>
      </c>
      <c r="U1706" s="3">
        <v>302925.0</v>
      </c>
      <c r="V1706" s="30">
        <f t="shared" si="509"/>
        <v>337179</v>
      </c>
      <c r="W1706" s="30">
        <f t="shared" si="510"/>
        <v>340063.8821</v>
      </c>
      <c r="X1706" s="77">
        <f t="shared" si="511"/>
        <v>0.8555936322</v>
      </c>
    </row>
    <row r="1707">
      <c r="B1707" s="3" t="s">
        <v>463</v>
      </c>
      <c r="C1707" s="3">
        <v>2048.0</v>
      </c>
      <c r="D1707" s="3">
        <v>20754.0</v>
      </c>
      <c r="E1707" s="3">
        <v>290802.0</v>
      </c>
      <c r="F1707" s="30">
        <f t="shared" si="503"/>
        <v>311556</v>
      </c>
      <c r="G1707" s="30">
        <f t="shared" si="504"/>
        <v>335469.9017</v>
      </c>
      <c r="H1707" s="77">
        <f t="shared" si="505"/>
        <v>7.675635106</v>
      </c>
      <c r="J1707" s="3" t="s">
        <v>463</v>
      </c>
      <c r="K1707" s="3">
        <v>2048.0</v>
      </c>
      <c r="L1707" s="3">
        <v>25996.0</v>
      </c>
      <c r="M1707" s="3">
        <v>281628.0</v>
      </c>
      <c r="N1707" s="30">
        <f t="shared" si="506"/>
        <v>307624</v>
      </c>
      <c r="O1707" s="30">
        <f t="shared" si="507"/>
        <v>335469.9017</v>
      </c>
      <c r="P1707" s="77">
        <f t="shared" si="508"/>
        <v>9.051927584</v>
      </c>
      <c r="R1707" s="3" t="s">
        <v>463</v>
      </c>
      <c r="S1707" s="3">
        <v>2048.0</v>
      </c>
      <c r="T1707" s="3">
        <v>24446.0</v>
      </c>
      <c r="U1707" s="3">
        <v>250373.0</v>
      </c>
      <c r="V1707" s="30">
        <f t="shared" si="509"/>
        <v>274819</v>
      </c>
      <c r="W1707" s="30">
        <f t="shared" si="510"/>
        <v>335469.9017</v>
      </c>
      <c r="X1707" s="77">
        <f t="shared" si="511"/>
        <v>22.06939903</v>
      </c>
    </row>
    <row r="1708">
      <c r="B1708" s="3" t="s">
        <v>463</v>
      </c>
      <c r="C1708" s="3">
        <v>4096.0</v>
      </c>
      <c r="D1708" s="3">
        <v>17310.0</v>
      </c>
      <c r="E1708" s="3">
        <v>266914.0</v>
      </c>
      <c r="F1708" s="30">
        <f t="shared" si="503"/>
        <v>284224</v>
      </c>
      <c r="G1708" s="30">
        <f t="shared" si="504"/>
        <v>333381.7288</v>
      </c>
      <c r="H1708" s="77">
        <f t="shared" si="505"/>
        <v>17.29541799</v>
      </c>
      <c r="J1708" s="3" t="s">
        <v>463</v>
      </c>
      <c r="K1708" s="3">
        <v>4096.0</v>
      </c>
      <c r="L1708" s="3">
        <v>23784.0</v>
      </c>
      <c r="M1708" s="3">
        <v>285515.0</v>
      </c>
      <c r="N1708" s="30">
        <f t="shared" si="506"/>
        <v>309299</v>
      </c>
      <c r="O1708" s="30">
        <f t="shared" si="507"/>
        <v>333381.7288</v>
      </c>
      <c r="P1708" s="77">
        <f t="shared" si="508"/>
        <v>7.786229127</v>
      </c>
      <c r="R1708" s="3" t="s">
        <v>463</v>
      </c>
      <c r="S1708" s="3">
        <v>4096.0</v>
      </c>
      <c r="T1708" s="3">
        <v>22104.0</v>
      </c>
      <c r="U1708" s="3">
        <v>284771.0</v>
      </c>
      <c r="V1708" s="30">
        <f t="shared" si="509"/>
        <v>306875</v>
      </c>
      <c r="W1708" s="30">
        <f t="shared" si="510"/>
        <v>333381.7288</v>
      </c>
      <c r="X1708" s="77">
        <f t="shared" si="511"/>
        <v>8.637630575</v>
      </c>
    </row>
    <row r="1709">
      <c r="B1709" s="3" t="s">
        <v>463</v>
      </c>
      <c r="C1709" s="3">
        <v>8192.0</v>
      </c>
      <c r="D1709" s="3">
        <v>17143.0</v>
      </c>
      <c r="E1709" s="3">
        <v>287613.0</v>
      </c>
      <c r="F1709" s="30">
        <f t="shared" si="503"/>
        <v>304756</v>
      </c>
      <c r="G1709" s="30">
        <f t="shared" si="504"/>
        <v>333381.7288</v>
      </c>
      <c r="H1709" s="77">
        <f t="shared" si="505"/>
        <v>9.392999261</v>
      </c>
      <c r="J1709" s="3" t="s">
        <v>463</v>
      </c>
      <c r="K1709" s="3">
        <v>8192.0</v>
      </c>
      <c r="L1709" s="3">
        <v>19817.0</v>
      </c>
      <c r="M1709" s="3">
        <v>260863.0</v>
      </c>
      <c r="N1709" s="30">
        <f t="shared" si="506"/>
        <v>280680</v>
      </c>
      <c r="O1709" s="30">
        <f t="shared" si="507"/>
        <v>333381.7288</v>
      </c>
      <c r="P1709" s="77">
        <f t="shared" si="508"/>
        <v>18.77644607</v>
      </c>
      <c r="R1709" s="3" t="s">
        <v>463</v>
      </c>
      <c r="S1709" s="3">
        <v>8192.0</v>
      </c>
      <c r="T1709" s="3">
        <v>20712.0</v>
      </c>
      <c r="U1709" s="3">
        <v>285947.0</v>
      </c>
      <c r="V1709" s="30">
        <f t="shared" si="509"/>
        <v>306659</v>
      </c>
      <c r="W1709" s="30">
        <f t="shared" si="510"/>
        <v>333381.7288</v>
      </c>
      <c r="X1709" s="77">
        <f t="shared" si="511"/>
        <v>8.714151167</v>
      </c>
    </row>
    <row r="1710">
      <c r="E1710" s="3"/>
    </row>
    <row r="1711">
      <c r="E1711" s="3"/>
    </row>
    <row r="1712">
      <c r="E1712" s="3"/>
    </row>
    <row r="1713">
      <c r="C1713" s="3" t="s">
        <v>324</v>
      </c>
      <c r="D1713" s="3" t="s">
        <v>534</v>
      </c>
      <c r="E1713" s="3" t="s">
        <v>535</v>
      </c>
      <c r="F1713" s="3" t="s">
        <v>536</v>
      </c>
    </row>
    <row r="1714">
      <c r="C1714" s="3">
        <v>1.0</v>
      </c>
      <c r="D1714" s="77">
        <f t="shared" ref="D1714:D1727" si="512">H1696</f>
        <v>28.597759</v>
      </c>
      <c r="E1714" s="81">
        <f t="shared" ref="E1714:E1727" si="513">P1696</f>
        <v>10.85360879</v>
      </c>
      <c r="F1714" s="77">
        <f t="shared" ref="F1714:F1727" si="514">X1696</f>
        <v>12.19484783</v>
      </c>
      <c r="H1714" s="30" t="str">
        <f>D1713&amp;"=["&amp;D1714&amp;", "&amp;D1715&amp;", "&amp;D1716&amp;", "&amp;D1717&amp;", "&amp;D1718&amp;", "&amp;D1719&amp;", "&amp;D1720&amp;", "&amp;D1721&amp;", "&amp;D1722&amp;", "&amp;D1723&amp;", "&amp;D1724&amp;", "&amp;D1725&amp;", "&amp;D1726&amp;", "&amp;D1727&amp;"]"</f>
        <v>bwell=[28.5977589978248, 28.3803336597917, 28.1505688175768, 27.3483906215491, 26.8017314611233, 22.5089734608732, 14.8042203333489, 2.45857102052802, 9.31158838607853, 8.31352489885165, 4.84893245391249, 7.6756351060072, 17.295417990059, 9.3929992610696]</v>
      </c>
    </row>
    <row r="1715">
      <c r="C1715" s="3">
        <v>2.0</v>
      </c>
      <c r="D1715" s="77">
        <f t="shared" si="512"/>
        <v>28.38033366</v>
      </c>
      <c r="E1715" s="81">
        <f t="shared" si="513"/>
        <v>8.808735685</v>
      </c>
      <c r="F1715" s="77">
        <f t="shared" si="514"/>
        <v>6.633642364</v>
      </c>
      <c r="H1715" s="82" t="str">
        <f>E1713&amp;"=["&amp;E1714&amp;", "&amp;E1715&amp;", "&amp;E1716&amp;", "&amp;E1717&amp;", "&amp;E1718&amp;", "&amp;E1719&amp;", "&amp;E1720&amp;", "&amp;E1721&amp;", "&amp;E1722&amp;", "&amp;E1723&amp;", "&amp;E1724&amp;", "&amp;E1725&amp;", "&amp;E1726&amp;", "&amp;E1727&amp;"]"</f>
        <v>slake=[10.8536087885505, 8.80873568540327, 10.0503717917966, 7.25746218824905, 11.3080991078777, 6.16742733605573, 4.26040915165902, 3.49479832596225, 2.40137664094058, 1.36846506488168, 0.906857690209648, 9.05192758395697, 7.78622912717638, 18.7764460695686]</v>
      </c>
    </row>
    <row r="1716">
      <c r="C1716" s="3">
        <v>4.0</v>
      </c>
      <c r="D1716" s="77">
        <f t="shared" si="512"/>
        <v>28.15056882</v>
      </c>
      <c r="E1716" s="81">
        <f t="shared" si="513"/>
        <v>10.05037179</v>
      </c>
      <c r="F1716" s="77">
        <f t="shared" si="514"/>
        <v>10.10229639</v>
      </c>
      <c r="H1716" s="82" t="str">
        <f>F1713&amp;"=["&amp;F1714&amp;", "&amp;F1715&amp;", "&amp;F1716&amp;", "&amp;F1717&amp;", "&amp;F1718&amp;", "&amp;F1719&amp;", "&amp;F1720&amp;", "&amp;F1721&amp;", "&amp;F1722&amp;", "&amp;F1723&amp;", "&amp;F1724&amp;", "&amp;F1725&amp;", "&amp;F1726&amp;", "&amp;F1727&amp;"]"</f>
        <v>clake=[12.1948478278176, 6.63364236352826, 10.1022963948863, 4.06164614865072, 11.0211356835143, 8.79826760485281, 1.05096347145657, 20.0509688828063, 10.5422143490572, 2.0059700391996, 0.855593632179388, 22.0693990265854, 8.63763057533695, 8.71415116727873]</v>
      </c>
    </row>
    <row r="1717">
      <c r="C1717" s="3">
        <v>8.0</v>
      </c>
      <c r="D1717" s="77">
        <f t="shared" si="512"/>
        <v>27.34839062</v>
      </c>
      <c r="E1717" s="81">
        <f t="shared" si="513"/>
        <v>7.257462188</v>
      </c>
      <c r="F1717" s="77">
        <f t="shared" si="514"/>
        <v>4.061646149</v>
      </c>
    </row>
    <row r="1718">
      <c r="C1718" s="3">
        <v>16.0</v>
      </c>
      <c r="D1718" s="77">
        <f t="shared" si="512"/>
        <v>26.80173146</v>
      </c>
      <c r="E1718" s="81">
        <f t="shared" si="513"/>
        <v>11.30809911</v>
      </c>
      <c r="F1718" s="77">
        <f t="shared" si="514"/>
        <v>11.02113568</v>
      </c>
      <c r="J1718" s="3"/>
      <c r="L1718" s="3" t="s">
        <v>448</v>
      </c>
      <c r="M1718" s="3" t="s">
        <v>449</v>
      </c>
      <c r="N1718" s="3" t="s">
        <v>515</v>
      </c>
      <c r="P1718" s="3" t="s">
        <v>516</v>
      </c>
      <c r="Q1718" s="3" t="s">
        <v>517</v>
      </c>
      <c r="R1718" s="3" t="s">
        <v>542</v>
      </c>
    </row>
    <row r="1719">
      <c r="C1719" s="3">
        <v>32.0</v>
      </c>
      <c r="D1719" s="77">
        <f t="shared" si="512"/>
        <v>22.50897346</v>
      </c>
      <c r="E1719" s="81">
        <f t="shared" si="513"/>
        <v>6.167427336</v>
      </c>
      <c r="F1719" s="77">
        <f t="shared" si="514"/>
        <v>8.798267605</v>
      </c>
      <c r="J1719" s="3">
        <v>1.0E8</v>
      </c>
      <c r="K1719" s="3">
        <v>1.0</v>
      </c>
      <c r="L1719" s="3">
        <v>1.2959083E7</v>
      </c>
      <c r="M1719" s="3">
        <v>6810151.0</v>
      </c>
      <c r="N1719" s="30">
        <f t="shared" ref="N1719:N1745" si="515">J1719/K1719</f>
        <v>100000000</v>
      </c>
      <c r="O1719" s="30">
        <f>N1719/64*4</f>
        <v>6250000</v>
      </c>
      <c r="P1719" s="30">
        <f t="shared" ref="P1719:P1745" si="516">O1719*2</f>
        <v>12500000</v>
      </c>
      <c r="Q1719" s="30">
        <f t="shared" ref="Q1719:Q1745" si="517">100-ABS(((L1719-P1719)/L1719)*100)</f>
        <v>96.45744224</v>
      </c>
    </row>
    <row r="1720">
      <c r="C1720" s="3">
        <v>64.0</v>
      </c>
      <c r="D1720" s="77">
        <f t="shared" si="512"/>
        <v>14.80422033</v>
      </c>
      <c r="E1720" s="81">
        <f t="shared" si="513"/>
        <v>4.260409152</v>
      </c>
      <c r="F1720" s="77">
        <f t="shared" si="514"/>
        <v>1.050963471</v>
      </c>
      <c r="J1720" s="3">
        <v>1.0E8</v>
      </c>
      <c r="K1720" s="3">
        <v>2.0</v>
      </c>
      <c r="L1720" s="3">
        <v>1.2919283E7</v>
      </c>
      <c r="M1720" s="3">
        <v>6769421.0</v>
      </c>
      <c r="N1720" s="30">
        <f t="shared" si="515"/>
        <v>50000000</v>
      </c>
      <c r="O1720" s="30">
        <v>6250000.0</v>
      </c>
      <c r="P1720" s="30">
        <f t="shared" si="516"/>
        <v>12500000</v>
      </c>
      <c r="Q1720" s="30">
        <f t="shared" si="517"/>
        <v>96.75459544</v>
      </c>
      <c r="R1720" s="30">
        <f t="shared" ref="R1720:R1745" si="518">L1719/L1720</f>
        <v>1.003080666</v>
      </c>
    </row>
    <row r="1721">
      <c r="C1721" s="3">
        <v>128.0</v>
      </c>
      <c r="D1721" s="77">
        <f t="shared" si="512"/>
        <v>2.458571021</v>
      </c>
      <c r="E1721" s="81">
        <f t="shared" si="513"/>
        <v>3.494798326</v>
      </c>
      <c r="F1721" s="77">
        <f t="shared" si="514"/>
        <v>20.05096888</v>
      </c>
      <c r="J1721" s="3">
        <v>1.0E8</v>
      </c>
      <c r="K1721" s="3">
        <v>4.0</v>
      </c>
      <c r="L1721" s="3">
        <v>1.2902727E7</v>
      </c>
      <c r="M1721" s="3">
        <v>6756843.0</v>
      </c>
      <c r="N1721" s="30">
        <f t="shared" si="515"/>
        <v>25000000</v>
      </c>
      <c r="O1721" s="30">
        <v>6250000.0</v>
      </c>
      <c r="P1721" s="30">
        <f t="shared" si="516"/>
        <v>12500000</v>
      </c>
      <c r="Q1721" s="30">
        <f t="shared" si="517"/>
        <v>96.87874509</v>
      </c>
      <c r="R1721" s="30">
        <f t="shared" si="518"/>
        <v>1.00128314</v>
      </c>
    </row>
    <row r="1722">
      <c r="C1722" s="3">
        <v>256.0</v>
      </c>
      <c r="D1722" s="77">
        <f t="shared" si="512"/>
        <v>9.311588386</v>
      </c>
      <c r="E1722" s="81">
        <f t="shared" si="513"/>
        <v>2.401376641</v>
      </c>
      <c r="F1722" s="77">
        <f t="shared" si="514"/>
        <v>10.54221435</v>
      </c>
      <c r="J1722" s="3">
        <v>1.0E8</v>
      </c>
      <c r="K1722" s="3">
        <v>8.0</v>
      </c>
      <c r="L1722" s="3">
        <v>1.2898788E7</v>
      </c>
      <c r="M1722" s="3">
        <v>6761755.0</v>
      </c>
      <c r="N1722" s="30">
        <f t="shared" si="515"/>
        <v>12500000</v>
      </c>
      <c r="O1722" s="30">
        <v>6250000.0</v>
      </c>
      <c r="P1722" s="30">
        <f t="shared" si="516"/>
        <v>12500000</v>
      </c>
      <c r="Q1722" s="30">
        <f t="shared" si="517"/>
        <v>96.90832968</v>
      </c>
      <c r="R1722" s="30">
        <f t="shared" si="518"/>
        <v>1.000305378</v>
      </c>
    </row>
    <row r="1723">
      <c r="C1723" s="3">
        <v>512.0</v>
      </c>
      <c r="D1723" s="77">
        <f t="shared" si="512"/>
        <v>8.313524899</v>
      </c>
      <c r="E1723" s="81">
        <f t="shared" si="513"/>
        <v>1.368465065</v>
      </c>
      <c r="F1723" s="77">
        <f t="shared" si="514"/>
        <v>2.005970039</v>
      </c>
      <c r="J1723" s="3">
        <v>1.0E8</v>
      </c>
      <c r="K1723" s="3">
        <v>16.0</v>
      </c>
      <c r="L1723" s="3">
        <v>1.2904748E7</v>
      </c>
      <c r="M1723" s="3">
        <v>6762840.0</v>
      </c>
      <c r="N1723" s="30">
        <f t="shared" si="515"/>
        <v>6250000</v>
      </c>
      <c r="O1723" s="30">
        <v>6250000.0</v>
      </c>
      <c r="P1723" s="30">
        <f t="shared" si="516"/>
        <v>12500000</v>
      </c>
      <c r="Q1723" s="30">
        <f t="shared" si="517"/>
        <v>96.863573</v>
      </c>
      <c r="R1723" s="30">
        <f t="shared" si="518"/>
        <v>0.9995381545</v>
      </c>
    </row>
    <row r="1724">
      <c r="C1724" s="3">
        <v>1024.0</v>
      </c>
      <c r="D1724" s="77">
        <f t="shared" si="512"/>
        <v>4.848932454</v>
      </c>
      <c r="E1724" s="81">
        <f t="shared" si="513"/>
        <v>0.9068576902</v>
      </c>
      <c r="F1724" s="77">
        <f t="shared" si="514"/>
        <v>0.8555936322</v>
      </c>
      <c r="J1724" s="3">
        <v>1.0E8</v>
      </c>
      <c r="K1724" s="3">
        <v>32.0</v>
      </c>
      <c r="L1724" s="3">
        <v>1.2332178E7</v>
      </c>
      <c r="M1724" s="3">
        <v>6692095.0</v>
      </c>
      <c r="N1724" s="30">
        <f t="shared" si="515"/>
        <v>3125000</v>
      </c>
      <c r="O1724" s="30">
        <v>6250000.0</v>
      </c>
      <c r="P1724" s="30">
        <f t="shared" si="516"/>
        <v>12500000</v>
      </c>
      <c r="Q1724" s="30">
        <f t="shared" si="517"/>
        <v>98.6391536</v>
      </c>
      <c r="R1724" s="30">
        <f t="shared" si="518"/>
        <v>1.046428944</v>
      </c>
    </row>
    <row r="1725">
      <c r="C1725" s="3">
        <v>2048.0</v>
      </c>
      <c r="D1725" s="77">
        <f t="shared" si="512"/>
        <v>7.675635106</v>
      </c>
      <c r="E1725" s="81">
        <f t="shared" si="513"/>
        <v>9.051927584</v>
      </c>
      <c r="F1725" s="77">
        <f t="shared" si="514"/>
        <v>22.06939903</v>
      </c>
      <c r="J1725" s="3">
        <v>1.0E8</v>
      </c>
      <c r="K1725" s="3">
        <v>64.0</v>
      </c>
      <c r="L1725" s="3">
        <v>8041268.0</v>
      </c>
      <c r="M1725" s="3">
        <v>6550141.0</v>
      </c>
      <c r="N1725" s="30">
        <f t="shared" si="515"/>
        <v>1562500</v>
      </c>
      <c r="O1725" s="30">
        <f>N1725*3</f>
        <v>4687500</v>
      </c>
      <c r="P1725" s="30">
        <f t="shared" si="516"/>
        <v>9375000</v>
      </c>
      <c r="Q1725" s="30">
        <f t="shared" si="517"/>
        <v>83.41390935</v>
      </c>
      <c r="R1725" s="30">
        <f t="shared" si="518"/>
        <v>1.533611117</v>
      </c>
    </row>
    <row r="1726">
      <c r="C1726" s="3">
        <v>4096.0</v>
      </c>
      <c r="D1726" s="77">
        <f t="shared" si="512"/>
        <v>17.29541799</v>
      </c>
      <c r="E1726" s="81">
        <f t="shared" si="513"/>
        <v>7.786229127</v>
      </c>
      <c r="F1726" s="77">
        <f t="shared" si="514"/>
        <v>8.637630575</v>
      </c>
      <c r="J1726" s="3">
        <v>1.0E8</v>
      </c>
      <c r="K1726" s="3">
        <v>128.0</v>
      </c>
      <c r="L1726" s="3">
        <v>1933513.0</v>
      </c>
      <c r="M1726" s="3">
        <v>6390571.0</v>
      </c>
      <c r="N1726" s="30">
        <f t="shared" si="515"/>
        <v>781250</v>
      </c>
      <c r="O1726" s="30">
        <f>O1724/8</f>
        <v>781250</v>
      </c>
      <c r="P1726" s="30">
        <f t="shared" si="516"/>
        <v>1562500</v>
      </c>
      <c r="Q1726" s="30">
        <f t="shared" si="517"/>
        <v>80.81145563</v>
      </c>
      <c r="R1726" s="30">
        <f t="shared" si="518"/>
        <v>4.158890062</v>
      </c>
    </row>
    <row r="1727">
      <c r="C1727" s="3">
        <v>8192.0</v>
      </c>
      <c r="D1727" s="77">
        <f t="shared" si="512"/>
        <v>9.392999261</v>
      </c>
      <c r="E1727" s="81">
        <f t="shared" si="513"/>
        <v>18.77644607</v>
      </c>
      <c r="F1727" s="77">
        <f t="shared" si="514"/>
        <v>8.714151167</v>
      </c>
      <c r="J1727" s="3">
        <v>1.0E8</v>
      </c>
      <c r="K1727" s="3">
        <v>256.0</v>
      </c>
      <c r="L1727" s="3">
        <v>1145951.0</v>
      </c>
      <c r="M1727" s="3">
        <v>6379540.0</v>
      </c>
      <c r="N1727" s="30">
        <f t="shared" si="515"/>
        <v>390625</v>
      </c>
      <c r="O1727" s="30">
        <f t="shared" ref="O1727:O1732" si="519">O1726/2</f>
        <v>390625</v>
      </c>
      <c r="P1727" s="30">
        <f t="shared" si="516"/>
        <v>781250</v>
      </c>
      <c r="Q1727" s="30">
        <f t="shared" si="517"/>
        <v>68.17481725</v>
      </c>
      <c r="R1727" s="30">
        <f t="shared" si="518"/>
        <v>1.687256261</v>
      </c>
    </row>
    <row r="1728">
      <c r="E1728" s="3"/>
      <c r="J1728" s="3">
        <v>1.0E8</v>
      </c>
      <c r="K1728" s="3">
        <v>512.0</v>
      </c>
      <c r="L1728" s="3">
        <v>748236.0</v>
      </c>
      <c r="M1728" s="3">
        <v>6363557.0</v>
      </c>
      <c r="N1728" s="30">
        <f t="shared" si="515"/>
        <v>195312.5</v>
      </c>
      <c r="O1728" s="30">
        <f t="shared" si="519"/>
        <v>195312.5</v>
      </c>
      <c r="P1728" s="30">
        <f t="shared" si="516"/>
        <v>390625</v>
      </c>
      <c r="Q1728" s="30">
        <f t="shared" si="517"/>
        <v>52.20612213</v>
      </c>
      <c r="R1728" s="30">
        <f t="shared" si="518"/>
        <v>1.531536841</v>
      </c>
    </row>
    <row r="1729">
      <c r="E1729" s="3"/>
      <c r="J1729" s="3">
        <v>1.0E8</v>
      </c>
      <c r="K1729" s="3">
        <v>1024.0</v>
      </c>
      <c r="L1729" s="3">
        <v>556137.0</v>
      </c>
      <c r="M1729" s="3">
        <v>6370635.0</v>
      </c>
      <c r="N1729" s="30">
        <f t="shared" si="515"/>
        <v>97656.25</v>
      </c>
      <c r="O1729" s="30">
        <f t="shared" si="519"/>
        <v>97656.25</v>
      </c>
      <c r="P1729" s="30">
        <f t="shared" si="516"/>
        <v>195312.5</v>
      </c>
      <c r="Q1729" s="30">
        <f t="shared" si="517"/>
        <v>35.11949394</v>
      </c>
      <c r="R1729" s="30">
        <f t="shared" si="518"/>
        <v>1.345416687</v>
      </c>
    </row>
    <row r="1730">
      <c r="A1730" s="27" t="s">
        <v>543</v>
      </c>
      <c r="E1730" s="3"/>
      <c r="J1730" s="3">
        <v>1.0E8</v>
      </c>
      <c r="K1730" s="3">
        <v>2048.0</v>
      </c>
      <c r="L1730" s="3">
        <v>455652.0</v>
      </c>
      <c r="M1730" s="3">
        <v>6314946.0</v>
      </c>
      <c r="N1730" s="30">
        <f t="shared" si="515"/>
        <v>48828.125</v>
      </c>
      <c r="O1730" s="30">
        <f t="shared" si="519"/>
        <v>48828.125</v>
      </c>
      <c r="P1730" s="30">
        <f t="shared" si="516"/>
        <v>97656.25</v>
      </c>
      <c r="Q1730" s="30">
        <f t="shared" si="517"/>
        <v>21.43220045</v>
      </c>
      <c r="R1730" s="30">
        <f t="shared" si="518"/>
        <v>1.220530141</v>
      </c>
    </row>
    <row r="1731">
      <c r="E1731" s="3"/>
      <c r="J1731" s="3">
        <v>1.0E8</v>
      </c>
      <c r="K1731" s="3">
        <v>4096.0</v>
      </c>
      <c r="L1731" s="3">
        <v>410271.0</v>
      </c>
      <c r="M1731" s="3">
        <v>6352228.0</v>
      </c>
      <c r="N1731" s="30">
        <f t="shared" si="515"/>
        <v>24414.0625</v>
      </c>
      <c r="O1731" s="30">
        <f t="shared" si="519"/>
        <v>24414.0625</v>
      </c>
      <c r="P1731" s="30">
        <f t="shared" si="516"/>
        <v>48828.125</v>
      </c>
      <c r="Q1731" s="30">
        <f t="shared" si="517"/>
        <v>11.90143222</v>
      </c>
      <c r="R1731" s="30">
        <f t="shared" si="518"/>
        <v>1.110612254</v>
      </c>
    </row>
    <row r="1732">
      <c r="A1732" s="3" t="s">
        <v>525</v>
      </c>
      <c r="E1732" s="3"/>
      <c r="J1732" s="3">
        <v>1.0E8</v>
      </c>
      <c r="K1732" s="3">
        <v>8192.0</v>
      </c>
      <c r="L1732" s="3">
        <v>383331.0</v>
      </c>
      <c r="M1732" s="3">
        <v>6344483.0</v>
      </c>
      <c r="N1732" s="30">
        <f t="shared" si="515"/>
        <v>12207.03125</v>
      </c>
      <c r="O1732" s="30">
        <f t="shared" si="519"/>
        <v>12207.03125</v>
      </c>
      <c r="P1732" s="30">
        <f t="shared" si="516"/>
        <v>24414.0625</v>
      </c>
      <c r="Q1732" s="30">
        <f t="shared" si="517"/>
        <v>6.368924637</v>
      </c>
      <c r="R1732" s="30">
        <f t="shared" si="518"/>
        <v>1.070278689</v>
      </c>
    </row>
    <row r="1733">
      <c r="A1733" s="3" t="s">
        <v>456</v>
      </c>
      <c r="B1733" s="3" t="s">
        <v>459</v>
      </c>
      <c r="C1733" s="3" t="s">
        <v>447</v>
      </c>
      <c r="D1733" s="3" t="s">
        <v>515</v>
      </c>
      <c r="E1733" s="3" t="s">
        <v>526</v>
      </c>
      <c r="F1733" s="3" t="s">
        <v>527</v>
      </c>
      <c r="G1733" s="3" t="s">
        <v>528</v>
      </c>
      <c r="H1733" s="3" t="s">
        <v>529</v>
      </c>
      <c r="J1733" s="3">
        <v>1.0E8</v>
      </c>
      <c r="K1733" s="3">
        <v>16384.0</v>
      </c>
      <c r="L1733" s="3">
        <v>379650.0</v>
      </c>
      <c r="M1733" s="3">
        <v>6350067.0</v>
      </c>
      <c r="N1733" s="30">
        <f t="shared" si="515"/>
        <v>6103.515625</v>
      </c>
      <c r="O1733" s="30">
        <f t="shared" ref="O1733:O1745" si="520">N1733*3</f>
        <v>18310.54688</v>
      </c>
      <c r="P1733" s="30">
        <f t="shared" si="516"/>
        <v>36621.09375</v>
      </c>
      <c r="Q1733" s="30">
        <f t="shared" si="517"/>
        <v>9.646014421</v>
      </c>
      <c r="R1733" s="30">
        <f t="shared" si="518"/>
        <v>1.009695772</v>
      </c>
    </row>
    <row r="1734">
      <c r="A1734" s="3">
        <v>5.0E8</v>
      </c>
      <c r="B1734" s="3">
        <f>A1734</f>
        <v>500000000</v>
      </c>
      <c r="C1734" s="3">
        <v>1.0</v>
      </c>
      <c r="D1734" s="66">
        <f t="shared" ref="D1734:D1747" si="521">B1734/C1734</f>
        <v>500000000</v>
      </c>
      <c r="E1734" s="30">
        <f>D1734/64*4</f>
        <v>31250000</v>
      </c>
      <c r="F1734" s="30">
        <f t="shared" ref="F1734:F1738" si="522">E1734*2</f>
        <v>62500000</v>
      </c>
      <c r="G1734" s="30">
        <f>E1734</f>
        <v>31250000</v>
      </c>
      <c r="H1734" s="30">
        <f t="shared" ref="H1734:H1747" si="523">F1734+G1734</f>
        <v>93750000</v>
      </c>
      <c r="J1734" s="3">
        <v>1.0E8</v>
      </c>
      <c r="K1734" s="3">
        <v>32768.0</v>
      </c>
      <c r="L1734" s="3">
        <v>371440.0</v>
      </c>
      <c r="M1734" s="3">
        <v>6343315.0</v>
      </c>
      <c r="N1734" s="30">
        <f t="shared" si="515"/>
        <v>3051.757813</v>
      </c>
      <c r="O1734" s="30">
        <f t="shared" si="520"/>
        <v>9155.273438</v>
      </c>
      <c r="P1734" s="30">
        <f t="shared" si="516"/>
        <v>18310.54688</v>
      </c>
      <c r="Q1734" s="30">
        <f t="shared" si="517"/>
        <v>4.92961094</v>
      </c>
      <c r="R1734" s="30">
        <f t="shared" si="518"/>
        <v>1.022103166</v>
      </c>
    </row>
    <row r="1735">
      <c r="B1735" s="3">
        <f t="shared" ref="B1735:B1747" si="524">B1734</f>
        <v>500000000</v>
      </c>
      <c r="C1735" s="3">
        <v>2.0</v>
      </c>
      <c r="D1735" s="66">
        <f t="shared" si="521"/>
        <v>250000000</v>
      </c>
      <c r="E1735" s="30">
        <f t="shared" ref="E1735:E1738" si="525">E1734</f>
        <v>31250000</v>
      </c>
      <c r="F1735" s="30">
        <f t="shared" si="522"/>
        <v>62500000</v>
      </c>
      <c r="G1735" s="30">
        <f t="shared" ref="G1735:G1738" si="526">G1734</f>
        <v>31250000</v>
      </c>
      <c r="H1735" s="30">
        <f t="shared" si="523"/>
        <v>93750000</v>
      </c>
      <c r="J1735" s="3">
        <v>1.0E8</v>
      </c>
      <c r="K1735" s="3">
        <v>65536.0</v>
      </c>
      <c r="L1735" s="3">
        <v>375630.0</v>
      </c>
      <c r="M1735" s="3">
        <v>6324412.0</v>
      </c>
      <c r="N1735" s="30">
        <f t="shared" si="515"/>
        <v>1525.878906</v>
      </c>
      <c r="O1735" s="30">
        <f t="shared" si="520"/>
        <v>4577.636719</v>
      </c>
      <c r="P1735" s="30">
        <f t="shared" si="516"/>
        <v>9155.273438</v>
      </c>
      <c r="Q1735" s="30">
        <f t="shared" si="517"/>
        <v>2.437311567</v>
      </c>
      <c r="R1735" s="30">
        <f t="shared" si="518"/>
        <v>0.9888454064</v>
      </c>
    </row>
    <row r="1736">
      <c r="B1736" s="3">
        <f t="shared" si="524"/>
        <v>500000000</v>
      </c>
      <c r="C1736" s="3">
        <v>4.0</v>
      </c>
      <c r="D1736" s="66">
        <f t="shared" si="521"/>
        <v>125000000</v>
      </c>
      <c r="E1736" s="30">
        <f t="shared" si="525"/>
        <v>31250000</v>
      </c>
      <c r="F1736" s="30">
        <f t="shared" si="522"/>
        <v>62500000</v>
      </c>
      <c r="G1736" s="30">
        <f t="shared" si="526"/>
        <v>31250000</v>
      </c>
      <c r="H1736" s="30">
        <f t="shared" si="523"/>
        <v>93750000</v>
      </c>
      <c r="J1736" s="3">
        <v>1.0E8</v>
      </c>
      <c r="K1736" s="3">
        <v>131072.0</v>
      </c>
      <c r="L1736" s="3">
        <v>359555.0</v>
      </c>
      <c r="M1736" s="3">
        <v>6342024.0</v>
      </c>
      <c r="N1736" s="30">
        <f t="shared" si="515"/>
        <v>762.9394531</v>
      </c>
      <c r="O1736" s="30">
        <f t="shared" si="520"/>
        <v>2288.818359</v>
      </c>
      <c r="P1736" s="30">
        <f t="shared" si="516"/>
        <v>4577.636719</v>
      </c>
      <c r="Q1736" s="30">
        <f t="shared" si="517"/>
        <v>1.273139497</v>
      </c>
      <c r="R1736" s="30">
        <f t="shared" si="518"/>
        <v>1.044708042</v>
      </c>
    </row>
    <row r="1737">
      <c r="B1737" s="3">
        <f t="shared" si="524"/>
        <v>500000000</v>
      </c>
      <c r="C1737" s="3">
        <v>8.0</v>
      </c>
      <c r="D1737" s="66">
        <f t="shared" si="521"/>
        <v>62500000</v>
      </c>
      <c r="E1737" s="30">
        <f t="shared" si="525"/>
        <v>31250000</v>
      </c>
      <c r="F1737" s="30">
        <f t="shared" si="522"/>
        <v>62500000</v>
      </c>
      <c r="G1737" s="30">
        <f t="shared" si="526"/>
        <v>31250000</v>
      </c>
      <c r="H1737" s="30">
        <f t="shared" si="523"/>
        <v>93750000</v>
      </c>
      <c r="J1737" s="3">
        <v>1.0E8</v>
      </c>
      <c r="K1737" s="3">
        <v>262144.0</v>
      </c>
      <c r="L1737" s="3">
        <v>364233.0</v>
      </c>
      <c r="M1737" s="3">
        <v>6336080.0</v>
      </c>
      <c r="N1737" s="30">
        <f t="shared" si="515"/>
        <v>381.4697266</v>
      </c>
      <c r="O1737" s="30">
        <f t="shared" si="520"/>
        <v>1144.40918</v>
      </c>
      <c r="P1737" s="30">
        <f t="shared" si="516"/>
        <v>2288.818359</v>
      </c>
      <c r="Q1737" s="30">
        <f t="shared" si="517"/>
        <v>0.6283940114</v>
      </c>
      <c r="R1737" s="30">
        <f t="shared" si="518"/>
        <v>0.9871565729</v>
      </c>
    </row>
    <row r="1738">
      <c r="B1738" s="3">
        <f t="shared" si="524"/>
        <v>500000000</v>
      </c>
      <c r="C1738" s="3">
        <v>16.0</v>
      </c>
      <c r="D1738" s="66">
        <f t="shared" si="521"/>
        <v>31250000</v>
      </c>
      <c r="E1738" s="30">
        <f t="shared" si="525"/>
        <v>31250000</v>
      </c>
      <c r="F1738" s="30">
        <f t="shared" si="522"/>
        <v>62500000</v>
      </c>
      <c r="G1738" s="30">
        <f t="shared" si="526"/>
        <v>31250000</v>
      </c>
      <c r="H1738" s="30">
        <f t="shared" si="523"/>
        <v>93750000</v>
      </c>
      <c r="J1738" s="3">
        <v>1.0E8</v>
      </c>
      <c r="K1738" s="3">
        <v>524288.0</v>
      </c>
      <c r="L1738" s="3">
        <v>357222.0</v>
      </c>
      <c r="M1738" s="3">
        <v>6319889.0</v>
      </c>
      <c r="N1738" s="30">
        <f t="shared" si="515"/>
        <v>190.7348633</v>
      </c>
      <c r="O1738" s="30">
        <f t="shared" si="520"/>
        <v>572.2045898</v>
      </c>
      <c r="P1738" s="30">
        <f t="shared" si="516"/>
        <v>1144.40918</v>
      </c>
      <c r="Q1738" s="30">
        <f t="shared" si="517"/>
        <v>0.3203635777</v>
      </c>
      <c r="R1738" s="30">
        <f t="shared" si="518"/>
        <v>1.019626451</v>
      </c>
    </row>
    <row r="1739">
      <c r="B1739" s="3">
        <f t="shared" si="524"/>
        <v>500000000</v>
      </c>
      <c r="C1739" s="3">
        <v>32.0</v>
      </c>
      <c r="D1739" s="66">
        <f t="shared" si="521"/>
        <v>15625000</v>
      </c>
      <c r="E1739" s="30">
        <f>E1738/2</f>
        <v>15625000</v>
      </c>
      <c r="F1739" s="30">
        <f t="shared" ref="F1739:G1739" si="527">F1738</f>
        <v>62500000</v>
      </c>
      <c r="G1739" s="30">
        <f t="shared" si="527"/>
        <v>31250000</v>
      </c>
      <c r="H1739" s="30">
        <f t="shared" si="523"/>
        <v>93750000</v>
      </c>
      <c r="J1739" s="3">
        <v>1.0E8</v>
      </c>
      <c r="K1739" s="3">
        <v>1048576.0</v>
      </c>
      <c r="L1739" s="3">
        <v>176823.0</v>
      </c>
      <c r="M1739" s="3">
        <v>3162908.0</v>
      </c>
      <c r="N1739" s="30">
        <f t="shared" si="515"/>
        <v>95.36743164</v>
      </c>
      <c r="O1739" s="30">
        <f t="shared" si="520"/>
        <v>286.1022949</v>
      </c>
      <c r="P1739" s="30">
        <f t="shared" si="516"/>
        <v>572.2045898</v>
      </c>
      <c r="Q1739" s="30">
        <f t="shared" si="517"/>
        <v>0.3236030323</v>
      </c>
      <c r="R1739" s="30">
        <f t="shared" si="518"/>
        <v>2.020223613</v>
      </c>
    </row>
    <row r="1740">
      <c r="B1740" s="3">
        <f t="shared" si="524"/>
        <v>500000000</v>
      </c>
      <c r="C1740" s="3">
        <v>64.0</v>
      </c>
      <c r="D1740" s="66">
        <f t="shared" si="521"/>
        <v>7812500</v>
      </c>
      <c r="E1740" s="30">
        <f>D1740*3</f>
        <v>23437500</v>
      </c>
      <c r="F1740" s="30">
        <f>E1740*2</f>
        <v>46875000</v>
      </c>
      <c r="G1740" s="30">
        <f t="shared" ref="G1740:G1747" si="528">G1739</f>
        <v>31250000</v>
      </c>
      <c r="H1740" s="30">
        <f t="shared" si="523"/>
        <v>78125000</v>
      </c>
      <c r="J1740" s="3">
        <v>1.0E8</v>
      </c>
      <c r="K1740" s="3">
        <v>2097152.0</v>
      </c>
      <c r="L1740" s="3">
        <v>91798.0</v>
      </c>
      <c r="M1740" s="3">
        <v>1561251.0</v>
      </c>
      <c r="N1740" s="30">
        <f t="shared" si="515"/>
        <v>47.68371582</v>
      </c>
      <c r="O1740" s="30">
        <f t="shared" si="520"/>
        <v>143.0511475</v>
      </c>
      <c r="P1740" s="30">
        <f t="shared" si="516"/>
        <v>286.1022949</v>
      </c>
      <c r="Q1740" s="30">
        <f t="shared" si="517"/>
        <v>0.3116650634</v>
      </c>
      <c r="R1740" s="30">
        <f t="shared" si="518"/>
        <v>1.926218436</v>
      </c>
    </row>
    <row r="1741">
      <c r="B1741" s="3">
        <f t="shared" si="524"/>
        <v>500000000</v>
      </c>
      <c r="C1741" s="3">
        <v>128.0</v>
      </c>
      <c r="D1741" s="66">
        <f t="shared" si="521"/>
        <v>3906250</v>
      </c>
      <c r="E1741" s="30">
        <f t="shared" ref="E1741:E1747" si="529">E1740/2</f>
        <v>11718750</v>
      </c>
      <c r="F1741" s="30">
        <f>F1738/8</f>
        <v>7812500</v>
      </c>
      <c r="G1741" s="30">
        <f t="shared" si="528"/>
        <v>31250000</v>
      </c>
      <c r="H1741" s="30">
        <f t="shared" si="523"/>
        <v>39062500</v>
      </c>
      <c r="J1741" s="3">
        <v>1.0E8</v>
      </c>
      <c r="K1741" s="3">
        <v>4194304.0</v>
      </c>
      <c r="L1741" s="3">
        <v>42924.0</v>
      </c>
      <c r="M1741" s="3">
        <v>755448.0</v>
      </c>
      <c r="N1741" s="30">
        <f t="shared" si="515"/>
        <v>23.84185791</v>
      </c>
      <c r="O1741" s="30">
        <f t="shared" si="520"/>
        <v>71.52557373</v>
      </c>
      <c r="P1741" s="30">
        <f t="shared" si="516"/>
        <v>143.0511475</v>
      </c>
      <c r="Q1741" s="30">
        <f t="shared" si="517"/>
        <v>0.3332661156</v>
      </c>
      <c r="R1741" s="30">
        <f t="shared" si="518"/>
        <v>2.138617091</v>
      </c>
    </row>
    <row r="1742">
      <c r="B1742" s="3">
        <f t="shared" si="524"/>
        <v>500000000</v>
      </c>
      <c r="C1742" s="3">
        <v>256.0</v>
      </c>
      <c r="D1742" s="66">
        <f t="shared" si="521"/>
        <v>1953125</v>
      </c>
      <c r="E1742" s="30">
        <f t="shared" si="529"/>
        <v>5859375</v>
      </c>
      <c r="F1742" s="30">
        <f>F1741/1.7</f>
        <v>4595588.235</v>
      </c>
      <c r="G1742" s="30">
        <f t="shared" si="528"/>
        <v>31250000</v>
      </c>
      <c r="H1742" s="30">
        <f t="shared" si="523"/>
        <v>35845588.24</v>
      </c>
      <c r="J1742" s="3">
        <v>1.0E8</v>
      </c>
      <c r="K1742" s="3">
        <v>8388608.0</v>
      </c>
      <c r="L1742" s="3">
        <v>23070.0</v>
      </c>
      <c r="M1742" s="3">
        <v>359941.0</v>
      </c>
      <c r="N1742" s="30">
        <f t="shared" si="515"/>
        <v>11.92092896</v>
      </c>
      <c r="O1742" s="30">
        <f t="shared" si="520"/>
        <v>35.76278687</v>
      </c>
      <c r="P1742" s="30">
        <f t="shared" si="516"/>
        <v>71.52557373</v>
      </c>
      <c r="Q1742" s="30">
        <f t="shared" si="517"/>
        <v>0.310037164</v>
      </c>
      <c r="R1742" s="30">
        <f t="shared" si="518"/>
        <v>1.860598179</v>
      </c>
    </row>
    <row r="1743">
      <c r="B1743" s="3">
        <f t="shared" si="524"/>
        <v>500000000</v>
      </c>
      <c r="C1743" s="3">
        <v>512.0</v>
      </c>
      <c r="D1743" s="66">
        <f t="shared" si="521"/>
        <v>976562.5</v>
      </c>
      <c r="E1743" s="30">
        <f t="shared" si="529"/>
        <v>2929687.5</v>
      </c>
      <c r="F1743" s="30">
        <f>F1742/1.5</f>
        <v>3063725.49</v>
      </c>
      <c r="G1743" s="30">
        <f t="shared" si="528"/>
        <v>31250000</v>
      </c>
      <c r="H1743" s="30">
        <f t="shared" si="523"/>
        <v>34313725.49</v>
      </c>
      <c r="J1743" s="3">
        <v>1.0E8</v>
      </c>
      <c r="K1743" s="3">
        <v>1.6777216E7</v>
      </c>
      <c r="L1743" s="3">
        <v>9425.0</v>
      </c>
      <c r="M1743" s="3">
        <v>160736.0</v>
      </c>
      <c r="N1743" s="30">
        <f t="shared" si="515"/>
        <v>5.960464478</v>
      </c>
      <c r="O1743" s="30">
        <f t="shared" si="520"/>
        <v>17.88139343</v>
      </c>
      <c r="P1743" s="30">
        <f t="shared" si="516"/>
        <v>35.76278687</v>
      </c>
      <c r="Q1743" s="30">
        <f t="shared" si="517"/>
        <v>0.3794460145</v>
      </c>
      <c r="R1743" s="30">
        <f t="shared" si="518"/>
        <v>2.447745358</v>
      </c>
    </row>
    <row r="1744">
      <c r="B1744" s="3">
        <f t="shared" si="524"/>
        <v>500000000</v>
      </c>
      <c r="C1744" s="3">
        <v>1024.0</v>
      </c>
      <c r="D1744" s="66">
        <f t="shared" si="521"/>
        <v>488281.25</v>
      </c>
      <c r="E1744" s="30">
        <f t="shared" si="529"/>
        <v>1464843.75</v>
      </c>
      <c r="F1744" s="30">
        <f>F1743/1.3</f>
        <v>2356711.916</v>
      </c>
      <c r="G1744" s="30">
        <f t="shared" si="528"/>
        <v>31250000</v>
      </c>
      <c r="H1744" s="30">
        <f t="shared" si="523"/>
        <v>33606711.92</v>
      </c>
      <c r="J1744" s="3">
        <v>1.0E8</v>
      </c>
      <c r="K1744" s="3">
        <v>3.3554432E7</v>
      </c>
      <c r="L1744" s="3">
        <v>3862.0</v>
      </c>
      <c r="M1744" s="3">
        <v>53189.0</v>
      </c>
      <c r="N1744" s="30">
        <f t="shared" si="515"/>
        <v>2.980232239</v>
      </c>
      <c r="O1744" s="30">
        <f t="shared" si="520"/>
        <v>8.940696716</v>
      </c>
      <c r="P1744" s="30">
        <f t="shared" si="516"/>
        <v>17.88139343</v>
      </c>
      <c r="Q1744" s="30">
        <f t="shared" si="517"/>
        <v>0.4630086337</v>
      </c>
      <c r="R1744" s="30">
        <f t="shared" si="518"/>
        <v>2.440445365</v>
      </c>
    </row>
    <row r="1745">
      <c r="B1745" s="3">
        <f t="shared" si="524"/>
        <v>500000000</v>
      </c>
      <c r="C1745" s="3">
        <v>2048.0</v>
      </c>
      <c r="D1745" s="66">
        <f t="shared" si="521"/>
        <v>244140.625</v>
      </c>
      <c r="E1745" s="30">
        <f t="shared" si="529"/>
        <v>732421.875</v>
      </c>
      <c r="F1745" s="30">
        <f>F1744/1.2</f>
        <v>1963926.596</v>
      </c>
      <c r="G1745" s="30">
        <f t="shared" si="528"/>
        <v>31250000</v>
      </c>
      <c r="H1745" s="30">
        <f t="shared" si="523"/>
        <v>33213926.6</v>
      </c>
      <c r="J1745" s="3">
        <v>1.0E8</v>
      </c>
      <c r="K1745" s="3">
        <v>6.7108864E7</v>
      </c>
      <c r="L1745" s="3">
        <v>2046.0</v>
      </c>
      <c r="M1745" s="3">
        <v>29941.0</v>
      </c>
      <c r="N1745" s="30">
        <f t="shared" si="515"/>
        <v>1.490116119</v>
      </c>
      <c r="O1745" s="30">
        <f t="shared" si="520"/>
        <v>4.470348358</v>
      </c>
      <c r="P1745" s="30">
        <f t="shared" si="516"/>
        <v>8.940696716</v>
      </c>
      <c r="Q1745" s="30">
        <f t="shared" si="517"/>
        <v>0.4369841992</v>
      </c>
      <c r="R1745" s="30">
        <f t="shared" si="518"/>
        <v>1.887585533</v>
      </c>
    </row>
    <row r="1746">
      <c r="B1746" s="3">
        <f t="shared" si="524"/>
        <v>500000000</v>
      </c>
      <c r="C1746" s="3">
        <v>4096.0</v>
      </c>
      <c r="D1746" s="66">
        <f t="shared" si="521"/>
        <v>122070.3125</v>
      </c>
      <c r="E1746" s="30">
        <f t="shared" si="529"/>
        <v>366210.9375</v>
      </c>
      <c r="F1746" s="30">
        <f>F1745/1.1</f>
        <v>1785387.815</v>
      </c>
      <c r="G1746" s="30">
        <f t="shared" si="528"/>
        <v>31250000</v>
      </c>
      <c r="H1746" s="30">
        <f t="shared" si="523"/>
        <v>33035387.81</v>
      </c>
    </row>
    <row r="1747">
      <c r="B1747" s="3">
        <f t="shared" si="524"/>
        <v>500000000</v>
      </c>
      <c r="C1747" s="3">
        <v>8192.0</v>
      </c>
      <c r="D1747" s="66">
        <f t="shared" si="521"/>
        <v>61035.15625</v>
      </c>
      <c r="E1747" s="30">
        <f t="shared" si="529"/>
        <v>183105.4688</v>
      </c>
      <c r="F1747" s="30">
        <f>F1746/1</f>
        <v>1785387.815</v>
      </c>
      <c r="G1747" s="30">
        <f t="shared" si="528"/>
        <v>31250000</v>
      </c>
      <c r="H1747" s="30">
        <f t="shared" si="523"/>
        <v>33035387.81</v>
      </c>
    </row>
    <row r="1748">
      <c r="A1748" s="3" t="s">
        <v>327</v>
      </c>
      <c r="B1748" s="3" t="s">
        <v>530</v>
      </c>
      <c r="E1748" s="3"/>
      <c r="J1748" s="3" t="s">
        <v>531</v>
      </c>
      <c r="M1748" s="3"/>
      <c r="R1748" s="3" t="s">
        <v>532</v>
      </c>
      <c r="U1748" s="3"/>
    </row>
    <row r="1749">
      <c r="E1749" s="3"/>
      <c r="F1749" s="3" t="s">
        <v>482</v>
      </c>
      <c r="G1749" s="73" t="s">
        <v>529</v>
      </c>
      <c r="H1749" s="3" t="s">
        <v>533</v>
      </c>
      <c r="M1749" s="3"/>
      <c r="N1749" s="3" t="s">
        <v>482</v>
      </c>
      <c r="O1749" s="73" t="s">
        <v>529</v>
      </c>
      <c r="P1749" s="3" t="s">
        <v>533</v>
      </c>
      <c r="U1749" s="3"/>
      <c r="V1749" s="3" t="s">
        <v>482</v>
      </c>
      <c r="W1749" s="73" t="s">
        <v>529</v>
      </c>
      <c r="X1749" s="3" t="s">
        <v>533</v>
      </c>
    </row>
    <row r="1750">
      <c r="B1750" s="3" t="s">
        <v>463</v>
      </c>
      <c r="C1750" s="3">
        <v>1.0</v>
      </c>
      <c r="D1750" s="3">
        <v>6.4826442E7</v>
      </c>
      <c r="E1750" s="3">
        <v>3.2663393E7</v>
      </c>
      <c r="F1750" s="30">
        <f t="shared" ref="F1750:F1763" si="530">D1750+E1750</f>
        <v>97489835</v>
      </c>
      <c r="G1750" s="30">
        <f t="shared" ref="G1750:G1763" si="531">H1734</f>
        <v>93750000</v>
      </c>
      <c r="H1750" s="77">
        <f t="shared" ref="H1750:H1763" si="532">ABS((F1750-G1750)/F1750)*100</f>
        <v>3.836128146</v>
      </c>
      <c r="J1750" s="3" t="s">
        <v>463</v>
      </c>
      <c r="K1750" s="3">
        <v>1.0</v>
      </c>
      <c r="L1750" s="3">
        <v>6.5952819E7</v>
      </c>
      <c r="M1750" s="3">
        <v>3.3059146E7</v>
      </c>
      <c r="N1750" s="30">
        <f t="shared" ref="N1750:N1763" si="533">L1750+M1750</f>
        <v>99011965</v>
      </c>
      <c r="O1750" s="30">
        <f t="shared" ref="O1750:O1763" si="534">H1734</f>
        <v>93750000</v>
      </c>
      <c r="P1750" s="77">
        <f t="shared" ref="P1750:P1763" si="535">ABS((N1750-O1750)/N1750)*100</f>
        <v>5.314473862</v>
      </c>
      <c r="R1750" s="3" t="s">
        <v>463</v>
      </c>
      <c r="S1750" s="3">
        <v>1.0</v>
      </c>
      <c r="T1750" s="3">
        <v>6.6515515E7</v>
      </c>
      <c r="U1750" s="3">
        <v>3.355793E7</v>
      </c>
      <c r="V1750" s="30">
        <f t="shared" ref="V1750:V1763" si="536">T1750+U1750</f>
        <v>100073445</v>
      </c>
      <c r="W1750" s="30">
        <f t="shared" ref="W1750:W1763" si="537">H1734</f>
        <v>93750000</v>
      </c>
      <c r="X1750" s="77">
        <f t="shared" ref="X1750:X1763" si="538">ABS((V1750-W1750)/V1750)*100</f>
        <v>6.318804154</v>
      </c>
    </row>
    <row r="1751">
      <c r="B1751" s="3" t="s">
        <v>463</v>
      </c>
      <c r="C1751" s="3">
        <v>2.0</v>
      </c>
      <c r="D1751" s="3">
        <v>6.4627591E7</v>
      </c>
      <c r="E1751" s="3">
        <v>3.2473095E7</v>
      </c>
      <c r="F1751" s="30">
        <f t="shared" si="530"/>
        <v>97100686</v>
      </c>
      <c r="G1751" s="30">
        <f t="shared" si="531"/>
        <v>93750000</v>
      </c>
      <c r="H1751" s="77">
        <f t="shared" si="532"/>
        <v>3.450733602</v>
      </c>
      <c r="J1751" s="3" t="s">
        <v>463</v>
      </c>
      <c r="K1751" s="3">
        <v>2.0</v>
      </c>
      <c r="L1751" s="3">
        <v>6.6007982E7</v>
      </c>
      <c r="M1751" s="3">
        <v>3.312028E7</v>
      </c>
      <c r="N1751" s="30">
        <f t="shared" si="533"/>
        <v>99128262</v>
      </c>
      <c r="O1751" s="30">
        <f t="shared" si="534"/>
        <v>93750000</v>
      </c>
      <c r="P1751" s="77">
        <f t="shared" si="535"/>
        <v>5.425558657</v>
      </c>
      <c r="R1751" s="3" t="s">
        <v>463</v>
      </c>
      <c r="S1751" s="3">
        <v>2.0</v>
      </c>
      <c r="T1751" s="3">
        <v>6.6433284E7</v>
      </c>
      <c r="U1751" s="3">
        <v>3.3506361E7</v>
      </c>
      <c r="V1751" s="30">
        <f t="shared" si="536"/>
        <v>99939645</v>
      </c>
      <c r="W1751" s="30">
        <f t="shared" si="537"/>
        <v>93750000</v>
      </c>
      <c r="X1751" s="77">
        <f t="shared" si="538"/>
        <v>6.193383016</v>
      </c>
    </row>
    <row r="1752">
      <c r="B1752" s="3" t="s">
        <v>463</v>
      </c>
      <c r="C1752" s="3">
        <v>4.0</v>
      </c>
      <c r="D1752" s="3">
        <v>6.451785E7</v>
      </c>
      <c r="E1752" s="3">
        <v>3.2410173E7</v>
      </c>
      <c r="F1752" s="30">
        <f t="shared" si="530"/>
        <v>96928023</v>
      </c>
      <c r="G1752" s="30">
        <f t="shared" si="531"/>
        <v>93750000</v>
      </c>
      <c r="H1752" s="77">
        <f t="shared" si="532"/>
        <v>3.278745302</v>
      </c>
      <c r="J1752" s="3" t="s">
        <v>463</v>
      </c>
      <c r="K1752" s="3">
        <v>4.0</v>
      </c>
      <c r="L1752" s="3">
        <v>6.5964775E7</v>
      </c>
      <c r="M1752" s="3">
        <v>3.3025539E7</v>
      </c>
      <c r="N1752" s="30">
        <f t="shared" si="533"/>
        <v>98990314</v>
      </c>
      <c r="O1752" s="30">
        <f t="shared" si="534"/>
        <v>93750000</v>
      </c>
      <c r="P1752" s="77">
        <f t="shared" si="535"/>
        <v>5.293764398</v>
      </c>
      <c r="R1752" s="3" t="s">
        <v>463</v>
      </c>
      <c r="S1752" s="3">
        <v>4.0</v>
      </c>
      <c r="T1752" s="3">
        <v>6.6396781E7</v>
      </c>
      <c r="U1752" s="3">
        <v>3.3493891E7</v>
      </c>
      <c r="V1752" s="30">
        <f t="shared" si="536"/>
        <v>99890672</v>
      </c>
      <c r="W1752" s="30">
        <f t="shared" si="537"/>
        <v>93750000</v>
      </c>
      <c r="X1752" s="77">
        <f t="shared" si="538"/>
        <v>6.147392822</v>
      </c>
    </row>
    <row r="1753">
      <c r="B1753" s="3" t="s">
        <v>463</v>
      </c>
      <c r="C1753" s="3">
        <v>8.0</v>
      </c>
      <c r="D1753" s="3">
        <v>6.4526698E7</v>
      </c>
      <c r="E1753" s="3">
        <v>3.2411122E7</v>
      </c>
      <c r="F1753" s="30">
        <f t="shared" si="530"/>
        <v>96937820</v>
      </c>
      <c r="G1753" s="30">
        <f t="shared" si="531"/>
        <v>93750000</v>
      </c>
      <c r="H1753" s="77">
        <f t="shared" si="532"/>
        <v>3.288520414</v>
      </c>
      <c r="J1753" s="3" t="s">
        <v>463</v>
      </c>
      <c r="K1753" s="3">
        <v>8.0</v>
      </c>
      <c r="L1753" s="3">
        <v>6.599109E7</v>
      </c>
      <c r="M1753" s="3">
        <v>3.3073021E7</v>
      </c>
      <c r="N1753" s="30">
        <f t="shared" si="533"/>
        <v>99064111</v>
      </c>
      <c r="O1753" s="30">
        <f t="shared" si="534"/>
        <v>93750000</v>
      </c>
      <c r="P1753" s="77">
        <f t="shared" si="535"/>
        <v>5.364315034</v>
      </c>
      <c r="R1753" s="3" t="s">
        <v>463</v>
      </c>
      <c r="S1753" s="3">
        <v>8.0</v>
      </c>
      <c r="T1753" s="3">
        <v>6.636561E7</v>
      </c>
      <c r="U1753" s="3">
        <v>3.346638E7</v>
      </c>
      <c r="V1753" s="30">
        <f t="shared" si="536"/>
        <v>99831990</v>
      </c>
      <c r="W1753" s="30">
        <f t="shared" si="537"/>
        <v>93750000</v>
      </c>
      <c r="X1753" s="77">
        <f t="shared" si="538"/>
        <v>6.092225548</v>
      </c>
    </row>
    <row r="1754">
      <c r="B1754" s="3" t="s">
        <v>463</v>
      </c>
      <c r="C1754" s="3">
        <v>16.0</v>
      </c>
      <c r="D1754" s="3">
        <v>6.4526635E7</v>
      </c>
      <c r="E1754" s="3">
        <v>3.2394967E7</v>
      </c>
      <c r="F1754" s="30">
        <f t="shared" si="530"/>
        <v>96921602</v>
      </c>
      <c r="G1754" s="30">
        <f t="shared" si="531"/>
        <v>93750000</v>
      </c>
      <c r="H1754" s="77">
        <f t="shared" si="532"/>
        <v>3.272337574</v>
      </c>
      <c r="J1754" s="3" t="s">
        <v>463</v>
      </c>
      <c r="K1754" s="3">
        <v>16.0</v>
      </c>
      <c r="L1754" s="3">
        <v>6.5979912E7</v>
      </c>
      <c r="M1754" s="3">
        <v>3.3025401E7</v>
      </c>
      <c r="N1754" s="30">
        <f t="shared" si="533"/>
        <v>99005313</v>
      </c>
      <c r="O1754" s="30">
        <f t="shared" si="534"/>
        <v>93750000</v>
      </c>
      <c r="P1754" s="77">
        <f t="shared" si="535"/>
        <v>5.308112101</v>
      </c>
      <c r="R1754" s="3" t="s">
        <v>463</v>
      </c>
      <c r="S1754" s="3">
        <v>16.0</v>
      </c>
      <c r="T1754" s="3">
        <v>6.6356977E7</v>
      </c>
      <c r="U1754" s="3">
        <v>3.3454856E7</v>
      </c>
      <c r="V1754" s="30">
        <f t="shared" si="536"/>
        <v>99811833</v>
      </c>
      <c r="W1754" s="30">
        <f t="shared" si="537"/>
        <v>93750000</v>
      </c>
      <c r="X1754" s="77">
        <f t="shared" si="538"/>
        <v>6.073260873</v>
      </c>
    </row>
    <row r="1755">
      <c r="B1755" s="3" t="s">
        <v>463</v>
      </c>
      <c r="C1755" s="3">
        <v>32.0</v>
      </c>
      <c r="D1755" s="3">
        <v>6.1570724E7</v>
      </c>
      <c r="E1755" s="3">
        <v>3.2307713E7</v>
      </c>
      <c r="F1755" s="30">
        <f t="shared" si="530"/>
        <v>93878437</v>
      </c>
      <c r="G1755" s="30">
        <f t="shared" si="531"/>
        <v>93750000</v>
      </c>
      <c r="H1755" s="77">
        <f t="shared" si="532"/>
        <v>0.1368120349</v>
      </c>
      <c r="J1755" s="3" t="s">
        <v>463</v>
      </c>
      <c r="K1755" s="3">
        <v>32.0</v>
      </c>
      <c r="L1755" s="3">
        <v>4.9354159E7</v>
      </c>
      <c r="M1755" s="3">
        <v>3.2534956E7</v>
      </c>
      <c r="N1755" s="30">
        <f t="shared" si="533"/>
        <v>81889115</v>
      </c>
      <c r="O1755" s="30">
        <f t="shared" si="534"/>
        <v>93750000</v>
      </c>
      <c r="P1755" s="77">
        <f t="shared" si="535"/>
        <v>14.48408009</v>
      </c>
      <c r="R1755" s="3" t="s">
        <v>463</v>
      </c>
      <c r="S1755" s="3">
        <v>32.0</v>
      </c>
      <c r="T1755" s="3">
        <v>5.0107809E7</v>
      </c>
      <c r="U1755" s="3">
        <v>3.2811771E7</v>
      </c>
      <c r="V1755" s="30">
        <f t="shared" si="536"/>
        <v>82919580</v>
      </c>
      <c r="W1755" s="30">
        <f t="shared" si="537"/>
        <v>93750000</v>
      </c>
      <c r="X1755" s="77">
        <f t="shared" si="538"/>
        <v>13.06135415</v>
      </c>
    </row>
    <row r="1756">
      <c r="B1756" s="3" t="s">
        <v>463</v>
      </c>
      <c r="C1756" s="3">
        <v>64.0</v>
      </c>
      <c r="D1756" s="3">
        <v>3.9625639E7</v>
      </c>
      <c r="E1756" s="3">
        <v>3.2283239E7</v>
      </c>
      <c r="F1756" s="30">
        <f t="shared" si="530"/>
        <v>71908878</v>
      </c>
      <c r="G1756" s="30">
        <f t="shared" si="531"/>
        <v>78125000</v>
      </c>
      <c r="H1756" s="77">
        <f t="shared" si="532"/>
        <v>8.644443041</v>
      </c>
      <c r="J1756" s="3" t="s">
        <v>463</v>
      </c>
      <c r="K1756" s="3">
        <v>64.0</v>
      </c>
      <c r="L1756" s="3">
        <v>2.669422E7</v>
      </c>
      <c r="M1756" s="3">
        <v>3.2152587E7</v>
      </c>
      <c r="N1756" s="30">
        <f t="shared" si="533"/>
        <v>58846807</v>
      </c>
      <c r="O1756" s="30">
        <f t="shared" si="534"/>
        <v>78125000</v>
      </c>
      <c r="P1756" s="77">
        <f t="shared" si="535"/>
        <v>32.75996436</v>
      </c>
      <c r="R1756" s="3" t="s">
        <v>463</v>
      </c>
      <c r="S1756" s="3">
        <v>64.0</v>
      </c>
      <c r="T1756" s="3">
        <v>2.7787238E7</v>
      </c>
      <c r="U1756" s="3">
        <v>3.2328945E7</v>
      </c>
      <c r="V1756" s="30">
        <f t="shared" si="536"/>
        <v>60116183</v>
      </c>
      <c r="W1756" s="30">
        <f t="shared" si="537"/>
        <v>78125000</v>
      </c>
      <c r="X1756" s="77">
        <f t="shared" si="538"/>
        <v>29.95668737</v>
      </c>
    </row>
    <row r="1757">
      <c r="B1757" s="3" t="s">
        <v>463</v>
      </c>
      <c r="C1757" s="3">
        <v>128.0</v>
      </c>
      <c r="D1757" s="3">
        <v>9625435.0</v>
      </c>
      <c r="E1757" s="3">
        <v>3.1976053E7</v>
      </c>
      <c r="F1757" s="30">
        <f t="shared" si="530"/>
        <v>41601488</v>
      </c>
      <c r="G1757" s="30">
        <f t="shared" si="531"/>
        <v>39062500</v>
      </c>
      <c r="H1757" s="77">
        <f t="shared" si="532"/>
        <v>6.103118235</v>
      </c>
      <c r="J1757" s="3" t="s">
        <v>463</v>
      </c>
      <c r="K1757" s="3">
        <v>128.0</v>
      </c>
      <c r="L1757" s="3">
        <v>1.0211826E7</v>
      </c>
      <c r="M1757" s="3">
        <v>3.2045088E7</v>
      </c>
      <c r="N1757" s="30">
        <f t="shared" si="533"/>
        <v>42256914</v>
      </c>
      <c r="O1757" s="30">
        <f t="shared" si="534"/>
        <v>39062500</v>
      </c>
      <c r="P1757" s="77">
        <f t="shared" si="535"/>
        <v>7.55950612</v>
      </c>
      <c r="R1757" s="3" t="s">
        <v>463</v>
      </c>
      <c r="S1757" s="3">
        <v>128.0</v>
      </c>
      <c r="T1757" s="3">
        <v>1.0399647E7</v>
      </c>
      <c r="U1757" s="3">
        <v>3.2230767E7</v>
      </c>
      <c r="V1757" s="30">
        <f t="shared" si="536"/>
        <v>42630414</v>
      </c>
      <c r="W1757" s="30">
        <f t="shared" si="537"/>
        <v>39062500</v>
      </c>
      <c r="X1757" s="77">
        <f t="shared" si="538"/>
        <v>8.36940969</v>
      </c>
    </row>
    <row r="1758">
      <c r="B1758" s="3" t="s">
        <v>463</v>
      </c>
      <c r="C1758" s="3">
        <v>256.0</v>
      </c>
      <c r="D1758" s="3">
        <v>5734073.0</v>
      </c>
      <c r="E1758" s="3">
        <v>3.1911905E7</v>
      </c>
      <c r="F1758" s="30">
        <f t="shared" si="530"/>
        <v>37645978</v>
      </c>
      <c r="G1758" s="30">
        <f t="shared" si="531"/>
        <v>35845588.24</v>
      </c>
      <c r="H1758" s="77">
        <f t="shared" si="532"/>
        <v>4.782422613</v>
      </c>
      <c r="J1758" s="3" t="s">
        <v>463</v>
      </c>
      <c r="K1758" s="3">
        <v>256.0</v>
      </c>
      <c r="L1758" s="3">
        <v>6266811.0</v>
      </c>
      <c r="M1758" s="3">
        <v>3.2055456E7</v>
      </c>
      <c r="N1758" s="30">
        <f t="shared" si="533"/>
        <v>38322267</v>
      </c>
      <c r="O1758" s="30">
        <f t="shared" si="534"/>
        <v>35845588.24</v>
      </c>
      <c r="P1758" s="77">
        <f t="shared" si="535"/>
        <v>6.462766842</v>
      </c>
      <c r="R1758" s="3" t="s">
        <v>463</v>
      </c>
      <c r="S1758" s="3">
        <v>256.0</v>
      </c>
      <c r="T1758" s="3">
        <v>6451708.0</v>
      </c>
      <c r="U1758" s="3">
        <v>3.2206084E7</v>
      </c>
      <c r="V1758" s="30">
        <f t="shared" si="536"/>
        <v>38657792</v>
      </c>
      <c r="W1758" s="30">
        <f t="shared" si="537"/>
        <v>35845588.24</v>
      </c>
      <c r="X1758" s="77">
        <f t="shared" si="538"/>
        <v>7.274610419</v>
      </c>
    </row>
    <row r="1759">
      <c r="B1759" s="3" t="s">
        <v>463</v>
      </c>
      <c r="C1759" s="3">
        <v>512.0</v>
      </c>
      <c r="D1759" s="3">
        <v>3756097.0</v>
      </c>
      <c r="E1759" s="3">
        <v>3.1893397E7</v>
      </c>
      <c r="F1759" s="30">
        <f t="shared" si="530"/>
        <v>35649494</v>
      </c>
      <c r="G1759" s="30">
        <f t="shared" si="531"/>
        <v>34313725.49</v>
      </c>
      <c r="H1759" s="77">
        <f t="shared" si="532"/>
        <v>3.746949423</v>
      </c>
      <c r="J1759" s="3" t="s">
        <v>463</v>
      </c>
      <c r="K1759" s="3">
        <v>512.0</v>
      </c>
      <c r="L1759" s="3">
        <v>4306990.0</v>
      </c>
      <c r="M1759" s="3">
        <v>3.2044879E7</v>
      </c>
      <c r="N1759" s="30">
        <f t="shared" si="533"/>
        <v>36351869</v>
      </c>
      <c r="O1759" s="30">
        <f t="shared" si="534"/>
        <v>34313725.49</v>
      </c>
      <c r="P1759" s="77">
        <f t="shared" si="535"/>
        <v>5.606708997</v>
      </c>
      <c r="R1759" s="3" t="s">
        <v>463</v>
      </c>
      <c r="S1759" s="3">
        <v>512.0</v>
      </c>
      <c r="T1759" s="3">
        <v>4459684.0</v>
      </c>
      <c r="U1759" s="3">
        <v>3.2191313E7</v>
      </c>
      <c r="V1759" s="30">
        <f t="shared" si="536"/>
        <v>36650997</v>
      </c>
      <c r="W1759" s="30">
        <f t="shared" si="537"/>
        <v>34313725.49</v>
      </c>
      <c r="X1759" s="77">
        <f t="shared" si="538"/>
        <v>6.377102129</v>
      </c>
    </row>
    <row r="1760">
      <c r="B1760" s="3" t="s">
        <v>463</v>
      </c>
      <c r="C1760" s="3">
        <v>1024.0</v>
      </c>
      <c r="D1760" s="3">
        <v>2781390.0</v>
      </c>
      <c r="E1760" s="3">
        <v>3.191603E7</v>
      </c>
      <c r="F1760" s="30">
        <f t="shared" si="530"/>
        <v>34697420</v>
      </c>
      <c r="G1760" s="30">
        <f t="shared" si="531"/>
        <v>33606711.92</v>
      </c>
      <c r="H1760" s="77">
        <f t="shared" si="532"/>
        <v>3.143484687</v>
      </c>
      <c r="J1760" s="3" t="s">
        <v>463</v>
      </c>
      <c r="K1760" s="3">
        <v>1024.0</v>
      </c>
      <c r="L1760" s="3">
        <v>3330822.0</v>
      </c>
      <c r="M1760" s="3">
        <v>3.2047354E7</v>
      </c>
      <c r="N1760" s="30">
        <f t="shared" si="533"/>
        <v>35378176</v>
      </c>
      <c r="O1760" s="30">
        <f t="shared" si="534"/>
        <v>33606711.92</v>
      </c>
      <c r="P1760" s="77">
        <f t="shared" si="535"/>
        <v>5.007222771</v>
      </c>
      <c r="R1760" s="3" t="s">
        <v>463</v>
      </c>
      <c r="S1760" s="3">
        <v>1024.0</v>
      </c>
      <c r="T1760" s="3">
        <v>3481449.0</v>
      </c>
      <c r="U1760" s="3">
        <v>3.2190307E7</v>
      </c>
      <c r="V1760" s="30">
        <f t="shared" si="536"/>
        <v>35671756</v>
      </c>
      <c r="W1760" s="30">
        <f t="shared" si="537"/>
        <v>33606711.92</v>
      </c>
      <c r="X1760" s="77">
        <f t="shared" si="538"/>
        <v>5.789017183</v>
      </c>
    </row>
    <row r="1761">
      <c r="B1761" s="3" t="s">
        <v>463</v>
      </c>
      <c r="C1761" s="3">
        <v>2048.0</v>
      </c>
      <c r="D1761" s="3">
        <v>2294461.0</v>
      </c>
      <c r="E1761" s="3">
        <v>3.1890774E7</v>
      </c>
      <c r="F1761" s="30">
        <f t="shared" si="530"/>
        <v>34185235</v>
      </c>
      <c r="G1761" s="30">
        <f t="shared" si="531"/>
        <v>33213926.6</v>
      </c>
      <c r="H1761" s="77">
        <f t="shared" si="532"/>
        <v>2.841309717</v>
      </c>
      <c r="J1761" s="3" t="s">
        <v>463</v>
      </c>
      <c r="K1761" s="3">
        <v>2048.0</v>
      </c>
      <c r="L1761" s="3">
        <v>2714810.0</v>
      </c>
      <c r="M1761" s="3">
        <v>3.1890257E7</v>
      </c>
      <c r="N1761" s="30">
        <f t="shared" si="533"/>
        <v>34605067</v>
      </c>
      <c r="O1761" s="30">
        <f t="shared" si="534"/>
        <v>33213926.6</v>
      </c>
      <c r="P1761" s="77">
        <f t="shared" si="535"/>
        <v>4.020048289</v>
      </c>
      <c r="R1761" s="3" t="s">
        <v>463</v>
      </c>
      <c r="S1761" s="3">
        <v>2048.0</v>
      </c>
      <c r="T1761" s="3">
        <v>2810864.0</v>
      </c>
      <c r="U1761" s="3">
        <v>3.1978317E7</v>
      </c>
      <c r="V1761" s="30">
        <f t="shared" si="536"/>
        <v>34789181</v>
      </c>
      <c r="W1761" s="30">
        <f t="shared" si="537"/>
        <v>33213926.6</v>
      </c>
      <c r="X1761" s="77">
        <f t="shared" si="538"/>
        <v>4.528000828</v>
      </c>
    </row>
    <row r="1762">
      <c r="B1762" s="3" t="s">
        <v>463</v>
      </c>
      <c r="C1762" s="3">
        <v>4096.0</v>
      </c>
      <c r="D1762" s="3">
        <v>2038632.0</v>
      </c>
      <c r="E1762" s="3">
        <v>3.188415E7</v>
      </c>
      <c r="F1762" s="30">
        <f t="shared" si="530"/>
        <v>33922782</v>
      </c>
      <c r="G1762" s="30">
        <f t="shared" si="531"/>
        <v>33035387.81</v>
      </c>
      <c r="H1762" s="77">
        <f t="shared" si="532"/>
        <v>2.615923969</v>
      </c>
      <c r="J1762" s="3" t="s">
        <v>463</v>
      </c>
      <c r="K1762" s="3">
        <v>4096.0</v>
      </c>
      <c r="L1762" s="3">
        <v>2393790.0</v>
      </c>
      <c r="M1762" s="3">
        <v>3.180077E7</v>
      </c>
      <c r="N1762" s="30">
        <f t="shared" si="533"/>
        <v>34194560</v>
      </c>
      <c r="O1762" s="30">
        <f t="shared" si="534"/>
        <v>33035387.81</v>
      </c>
      <c r="P1762" s="77">
        <f t="shared" si="535"/>
        <v>3.389931572</v>
      </c>
      <c r="R1762" s="3" t="s">
        <v>463</v>
      </c>
      <c r="S1762" s="3">
        <v>4096.0</v>
      </c>
      <c r="T1762" s="3">
        <v>2470122.0</v>
      </c>
      <c r="U1762" s="3">
        <v>3.1879986E7</v>
      </c>
      <c r="V1762" s="30">
        <f t="shared" si="536"/>
        <v>34350108</v>
      </c>
      <c r="W1762" s="30">
        <f t="shared" si="537"/>
        <v>33035387.81</v>
      </c>
      <c r="X1762" s="77">
        <f t="shared" si="538"/>
        <v>3.827412086</v>
      </c>
    </row>
    <row r="1763">
      <c r="B1763" s="3" t="s">
        <v>463</v>
      </c>
      <c r="C1763" s="3">
        <v>8192.0</v>
      </c>
      <c r="D1763" s="3">
        <v>1917748.0</v>
      </c>
      <c r="E1763" s="3">
        <v>3.1890567E7</v>
      </c>
      <c r="F1763" s="30">
        <f t="shared" si="530"/>
        <v>33808315</v>
      </c>
      <c r="G1763" s="30">
        <f t="shared" si="531"/>
        <v>33035387.81</v>
      </c>
      <c r="H1763" s="77">
        <f t="shared" si="532"/>
        <v>2.2862044</v>
      </c>
      <c r="J1763" s="3" t="s">
        <v>463</v>
      </c>
      <c r="K1763" s="3">
        <v>8192.0</v>
      </c>
      <c r="L1763" s="3">
        <v>2275110.0</v>
      </c>
      <c r="M1763" s="3">
        <v>3.1840098E7</v>
      </c>
      <c r="N1763" s="30">
        <f t="shared" si="533"/>
        <v>34115208</v>
      </c>
      <c r="O1763" s="30">
        <f t="shared" si="534"/>
        <v>33035387.81</v>
      </c>
      <c r="P1763" s="77">
        <f t="shared" si="535"/>
        <v>3.165216478</v>
      </c>
      <c r="R1763" s="3" t="s">
        <v>463</v>
      </c>
      <c r="S1763" s="3">
        <v>8192.0</v>
      </c>
      <c r="T1763" s="3">
        <v>2308959.0</v>
      </c>
      <c r="U1763" s="3">
        <v>3.179552E7</v>
      </c>
      <c r="V1763" s="30">
        <f t="shared" si="536"/>
        <v>34104479</v>
      </c>
      <c r="W1763" s="30">
        <f t="shared" si="537"/>
        <v>33035387.81</v>
      </c>
      <c r="X1763" s="77">
        <f t="shared" si="538"/>
        <v>3.134753019</v>
      </c>
    </row>
    <row r="1765">
      <c r="E1765" s="3"/>
    </row>
    <row r="1766">
      <c r="E1766" s="3"/>
    </row>
    <row r="1767">
      <c r="C1767" s="3" t="s">
        <v>324</v>
      </c>
      <c r="D1767" s="3" t="s">
        <v>534</v>
      </c>
      <c r="E1767" s="3" t="s">
        <v>535</v>
      </c>
      <c r="F1767" s="3" t="s">
        <v>536</v>
      </c>
    </row>
    <row r="1768">
      <c r="C1768" s="3">
        <v>1.0</v>
      </c>
      <c r="D1768" s="77">
        <f t="shared" ref="D1768:D1781" si="539">H1750</f>
        <v>3.836128146</v>
      </c>
      <c r="E1768" s="81">
        <f t="shared" ref="E1768:E1781" si="540">P1750</f>
        <v>5.314473862</v>
      </c>
      <c r="F1768" s="77">
        <f t="shared" ref="F1768:F1781" si="541">X1750</f>
        <v>6.318804154</v>
      </c>
      <c r="H1768" s="30" t="str">
        <f>D1767&amp;"=["&amp;D1768&amp;", "&amp;D1769&amp;", "&amp;D1770&amp;", "&amp;D1771&amp;", "&amp;D1772&amp;", "&amp;D1773&amp;", "&amp;D1774&amp;", "&amp;D1775&amp;", "&amp;D1776&amp;", "&amp;D1777&amp;", "&amp;D1778&amp;", "&amp;D1779&amp;", "&amp;D1780&amp;", "&amp;D1781&amp;"]"</f>
        <v>bwell=[3.836128146078, 3.4507336024382, 3.27874530155227, 3.28852041442649, 3.27233757444496, 0.136812034908506, 8.64444304081618, 6.10311823461699, 4.7824226128642, 3.74694942319215, 3.14348468694375, 2.84130971666704, 2.61592396873706, 2.28620440030927]</v>
      </c>
    </row>
    <row r="1769">
      <c r="C1769" s="3">
        <v>2.0</v>
      </c>
      <c r="D1769" s="77">
        <f t="shared" si="539"/>
        <v>3.450733602</v>
      </c>
      <c r="E1769" s="81">
        <f t="shared" si="540"/>
        <v>5.425558657</v>
      </c>
      <c r="F1769" s="77">
        <f t="shared" si="541"/>
        <v>6.193383016</v>
      </c>
      <c r="H1769" s="82" t="str">
        <f>E1767&amp;"=["&amp;E1768&amp;", "&amp;E1769&amp;", "&amp;E1770&amp;", "&amp;E1771&amp;", "&amp;E1772&amp;", "&amp;E1773&amp;", "&amp;E1774&amp;", "&amp;E1775&amp;", "&amp;E1776&amp;", "&amp;E1777&amp;", "&amp;E1778&amp;", "&amp;E1779&amp;", "&amp;E1780&amp;", "&amp;E1781&amp;"]"</f>
        <v>slake=[5.31447386182064, 5.42555865652119, 5.29376439799959, 5.36431503433166, 5.30811210101422, 14.4840800880557, 32.7599643596636, 7.5595061201109, 6.46276684180996, 5.60670899700899, 5.00722277051411, 4.02004828865224, 3.38993157157285, 3.1652164782358]</v>
      </c>
    </row>
    <row r="1770">
      <c r="C1770" s="3">
        <v>4.0</v>
      </c>
      <c r="D1770" s="77">
        <f t="shared" si="539"/>
        <v>3.278745302</v>
      </c>
      <c r="E1770" s="81">
        <f t="shared" si="540"/>
        <v>5.293764398</v>
      </c>
      <c r="F1770" s="77">
        <f t="shared" si="541"/>
        <v>6.147392822</v>
      </c>
      <c r="H1770" s="82" t="str">
        <f>F1767&amp;"=["&amp;F1768&amp;", "&amp;F1769&amp;", "&amp;F1770&amp;", "&amp;F1771&amp;", "&amp;F1772&amp;", "&amp;F1773&amp;", "&amp;F1774&amp;", "&amp;F1775&amp;", "&amp;F1776&amp;", "&amp;F1777&amp;", "&amp;F1778&amp;", "&amp;F1779&amp;", "&amp;F1780&amp;", "&amp;F1781&amp;"]"</f>
        <v>clake=[6.31880415428888, 6.1933830163195, 6.14739282162403, 6.09222554814344, 6.0732608727865, 13.061354145788, 29.9566873698551, 8.36940968952354, 7.27461041930662, 6.37710212850123, 5.78901718341132, 4.52800082795988, 3.82741208615827, 3.13475301939203]</v>
      </c>
    </row>
    <row r="1771">
      <c r="C1771" s="3">
        <v>8.0</v>
      </c>
      <c r="D1771" s="77">
        <f t="shared" si="539"/>
        <v>3.288520414</v>
      </c>
      <c r="E1771" s="81">
        <f t="shared" si="540"/>
        <v>5.364315034</v>
      </c>
      <c r="F1771" s="77">
        <f t="shared" si="541"/>
        <v>6.092225548</v>
      </c>
    </row>
    <row r="1772">
      <c r="C1772" s="3">
        <v>16.0</v>
      </c>
      <c r="D1772" s="77">
        <f t="shared" si="539"/>
        <v>3.272337574</v>
      </c>
      <c r="E1772" s="81">
        <f t="shared" si="540"/>
        <v>5.308112101</v>
      </c>
      <c r="F1772" s="77">
        <f t="shared" si="541"/>
        <v>6.073260873</v>
      </c>
    </row>
    <row r="1773">
      <c r="C1773" s="3">
        <v>32.0</v>
      </c>
      <c r="D1773" s="77">
        <f t="shared" si="539"/>
        <v>0.1368120349</v>
      </c>
      <c r="E1773" s="81">
        <f t="shared" si="540"/>
        <v>14.48408009</v>
      </c>
      <c r="F1773" s="77">
        <f t="shared" si="541"/>
        <v>13.06135415</v>
      </c>
    </row>
    <row r="1774">
      <c r="C1774" s="3">
        <v>64.0</v>
      </c>
      <c r="D1774" s="77">
        <f t="shared" si="539"/>
        <v>8.644443041</v>
      </c>
      <c r="E1774" s="81">
        <f t="shared" si="540"/>
        <v>32.75996436</v>
      </c>
      <c r="F1774" s="77">
        <f t="shared" si="541"/>
        <v>29.95668737</v>
      </c>
    </row>
    <row r="1775">
      <c r="C1775" s="3">
        <v>128.0</v>
      </c>
      <c r="D1775" s="77">
        <f t="shared" si="539"/>
        <v>6.103118235</v>
      </c>
      <c r="E1775" s="81">
        <f t="shared" si="540"/>
        <v>7.55950612</v>
      </c>
      <c r="F1775" s="77">
        <f t="shared" si="541"/>
        <v>8.36940969</v>
      </c>
    </row>
    <row r="1776">
      <c r="C1776" s="3">
        <v>256.0</v>
      </c>
      <c r="D1776" s="77">
        <f t="shared" si="539"/>
        <v>4.782422613</v>
      </c>
      <c r="E1776" s="81">
        <f t="shared" si="540"/>
        <v>6.462766842</v>
      </c>
      <c r="F1776" s="77">
        <f t="shared" si="541"/>
        <v>7.274610419</v>
      </c>
    </row>
    <row r="1777">
      <c r="C1777" s="3">
        <v>512.0</v>
      </c>
      <c r="D1777" s="77">
        <f t="shared" si="539"/>
        <v>3.746949423</v>
      </c>
      <c r="E1777" s="81">
        <f t="shared" si="540"/>
        <v>5.606708997</v>
      </c>
      <c r="F1777" s="77">
        <f t="shared" si="541"/>
        <v>6.377102129</v>
      </c>
    </row>
    <row r="1778">
      <c r="C1778" s="3">
        <v>1024.0</v>
      </c>
      <c r="D1778" s="77">
        <f t="shared" si="539"/>
        <v>3.143484687</v>
      </c>
      <c r="E1778" s="81">
        <f t="shared" si="540"/>
        <v>5.007222771</v>
      </c>
      <c r="F1778" s="77">
        <f t="shared" si="541"/>
        <v>5.789017183</v>
      </c>
    </row>
    <row r="1779">
      <c r="C1779" s="3">
        <v>2048.0</v>
      </c>
      <c r="D1779" s="77">
        <f t="shared" si="539"/>
        <v>2.841309717</v>
      </c>
      <c r="E1779" s="81">
        <f t="shared" si="540"/>
        <v>4.020048289</v>
      </c>
      <c r="F1779" s="77">
        <f t="shared" si="541"/>
        <v>4.528000828</v>
      </c>
    </row>
    <row r="1780">
      <c r="C1780" s="3">
        <v>4096.0</v>
      </c>
      <c r="D1780" s="77">
        <f t="shared" si="539"/>
        <v>2.615923969</v>
      </c>
      <c r="E1780" s="81">
        <f t="shared" si="540"/>
        <v>3.389931572</v>
      </c>
      <c r="F1780" s="77">
        <f t="shared" si="541"/>
        <v>3.827412086</v>
      </c>
    </row>
    <row r="1781">
      <c r="C1781" s="3">
        <v>8192.0</v>
      </c>
      <c r="D1781" s="77">
        <f t="shared" si="539"/>
        <v>2.2862044</v>
      </c>
      <c r="E1781" s="81">
        <f t="shared" si="540"/>
        <v>3.165216478</v>
      </c>
      <c r="F1781" s="77">
        <f t="shared" si="541"/>
        <v>3.134753019</v>
      </c>
    </row>
    <row r="1782">
      <c r="E1782" s="3"/>
    </row>
    <row r="1783">
      <c r="E1783" s="3"/>
    </row>
    <row r="1784">
      <c r="A1784" s="3" t="s">
        <v>525</v>
      </c>
      <c r="E1784" s="3"/>
    </row>
    <row r="1785">
      <c r="A1785" s="3" t="s">
        <v>537</v>
      </c>
      <c r="B1785" s="3" t="s">
        <v>459</v>
      </c>
      <c r="C1785" s="3" t="s">
        <v>447</v>
      </c>
      <c r="D1785" s="3" t="s">
        <v>515</v>
      </c>
      <c r="E1785" s="3" t="s">
        <v>526</v>
      </c>
      <c r="F1785" s="3" t="s">
        <v>527</v>
      </c>
      <c r="G1785" s="3" t="s">
        <v>528</v>
      </c>
      <c r="H1785" s="3" t="s">
        <v>529</v>
      </c>
    </row>
    <row r="1786">
      <c r="A1786" s="3">
        <v>5.0E7</v>
      </c>
      <c r="B1786" s="3">
        <f>A1786</f>
        <v>50000000</v>
      </c>
      <c r="C1786" s="3">
        <v>1.0</v>
      </c>
      <c r="D1786" s="66">
        <f t="shared" ref="D1786:D1799" si="542">B1786/C1786</f>
        <v>50000000</v>
      </c>
      <c r="E1786" s="30">
        <f>D1786/64*4</f>
        <v>3125000</v>
      </c>
      <c r="F1786" s="30">
        <f t="shared" ref="F1786:F1790" si="543">E1786*2</f>
        <v>6250000</v>
      </c>
      <c r="G1786" s="30">
        <f>E1786</f>
        <v>3125000</v>
      </c>
      <c r="H1786" s="30">
        <f t="shared" ref="H1786:H1799" si="544">F1786+G1786</f>
        <v>9375000</v>
      </c>
    </row>
    <row r="1787">
      <c r="B1787" s="3">
        <f t="shared" ref="B1787:B1799" si="545">B1786</f>
        <v>50000000</v>
      </c>
      <c r="C1787" s="3">
        <v>2.0</v>
      </c>
      <c r="D1787" s="66">
        <f t="shared" si="542"/>
        <v>25000000</v>
      </c>
      <c r="E1787" s="30">
        <f t="shared" ref="E1787:E1790" si="546">E1786</f>
        <v>3125000</v>
      </c>
      <c r="F1787" s="30">
        <f t="shared" si="543"/>
        <v>6250000</v>
      </c>
      <c r="G1787" s="30">
        <f t="shared" ref="G1787:G1790" si="547">G1786</f>
        <v>3125000</v>
      </c>
      <c r="H1787" s="30">
        <f t="shared" si="544"/>
        <v>9375000</v>
      </c>
    </row>
    <row r="1788">
      <c r="B1788" s="3">
        <f t="shared" si="545"/>
        <v>50000000</v>
      </c>
      <c r="C1788" s="3">
        <v>4.0</v>
      </c>
      <c r="D1788" s="66">
        <f t="shared" si="542"/>
        <v>12500000</v>
      </c>
      <c r="E1788" s="30">
        <f t="shared" si="546"/>
        <v>3125000</v>
      </c>
      <c r="F1788" s="30">
        <f t="shared" si="543"/>
        <v>6250000</v>
      </c>
      <c r="G1788" s="30">
        <f t="shared" si="547"/>
        <v>3125000</v>
      </c>
      <c r="H1788" s="30">
        <f t="shared" si="544"/>
        <v>9375000</v>
      </c>
    </row>
    <row r="1789">
      <c r="B1789" s="3">
        <f t="shared" si="545"/>
        <v>50000000</v>
      </c>
      <c r="C1789" s="3">
        <v>8.0</v>
      </c>
      <c r="D1789" s="66">
        <f t="shared" si="542"/>
        <v>6250000</v>
      </c>
      <c r="E1789" s="30">
        <f t="shared" si="546"/>
        <v>3125000</v>
      </c>
      <c r="F1789" s="30">
        <f t="shared" si="543"/>
        <v>6250000</v>
      </c>
      <c r="G1789" s="30">
        <f t="shared" si="547"/>
        <v>3125000</v>
      </c>
      <c r="H1789" s="30">
        <f t="shared" si="544"/>
        <v>9375000</v>
      </c>
    </row>
    <row r="1790">
      <c r="B1790" s="3">
        <f t="shared" si="545"/>
        <v>50000000</v>
      </c>
      <c r="C1790" s="3">
        <v>16.0</v>
      </c>
      <c r="D1790" s="66">
        <f t="shared" si="542"/>
        <v>3125000</v>
      </c>
      <c r="E1790" s="30">
        <f t="shared" si="546"/>
        <v>3125000</v>
      </c>
      <c r="F1790" s="30">
        <f t="shared" si="543"/>
        <v>6250000</v>
      </c>
      <c r="G1790" s="30">
        <f t="shared" si="547"/>
        <v>3125000</v>
      </c>
      <c r="H1790" s="30">
        <f t="shared" si="544"/>
        <v>9375000</v>
      </c>
    </row>
    <row r="1791">
      <c r="B1791" s="3">
        <f t="shared" si="545"/>
        <v>50000000</v>
      </c>
      <c r="C1791" s="3">
        <v>32.0</v>
      </c>
      <c r="D1791" s="66">
        <f t="shared" si="542"/>
        <v>1562500</v>
      </c>
      <c r="E1791" s="30">
        <f>E1790/2</f>
        <v>1562500</v>
      </c>
      <c r="F1791" s="30">
        <f t="shared" ref="F1791:G1791" si="548">F1790</f>
        <v>6250000</v>
      </c>
      <c r="G1791" s="30">
        <f t="shared" si="548"/>
        <v>3125000</v>
      </c>
      <c r="H1791" s="30">
        <f t="shared" si="544"/>
        <v>9375000</v>
      </c>
    </row>
    <row r="1792">
      <c r="B1792" s="3">
        <f t="shared" si="545"/>
        <v>50000000</v>
      </c>
      <c r="C1792" s="3">
        <v>64.0</v>
      </c>
      <c r="D1792" s="66">
        <f t="shared" si="542"/>
        <v>781250</v>
      </c>
      <c r="E1792" s="30">
        <f>D1792*3</f>
        <v>2343750</v>
      </c>
      <c r="F1792" s="30">
        <f>E1792*2</f>
        <v>4687500</v>
      </c>
      <c r="G1792" s="30">
        <f t="shared" ref="G1792:G1799" si="549">G1791</f>
        <v>3125000</v>
      </c>
      <c r="H1792" s="30">
        <f t="shared" si="544"/>
        <v>7812500</v>
      </c>
    </row>
    <row r="1793">
      <c r="B1793" s="3">
        <f t="shared" si="545"/>
        <v>50000000</v>
      </c>
      <c r="C1793" s="3">
        <v>128.0</v>
      </c>
      <c r="D1793" s="66">
        <f t="shared" si="542"/>
        <v>390625</v>
      </c>
      <c r="E1793" s="30">
        <f t="shared" ref="E1793:E1799" si="550">E1792/2</f>
        <v>1171875</v>
      </c>
      <c r="F1793" s="30">
        <f>F1790/8</f>
        <v>781250</v>
      </c>
      <c r="G1793" s="30">
        <f t="shared" si="549"/>
        <v>3125000</v>
      </c>
      <c r="H1793" s="30">
        <f t="shared" si="544"/>
        <v>3906250</v>
      </c>
    </row>
    <row r="1794">
      <c r="B1794" s="3">
        <f t="shared" si="545"/>
        <v>50000000</v>
      </c>
      <c r="C1794" s="3">
        <v>256.0</v>
      </c>
      <c r="D1794" s="66">
        <f t="shared" si="542"/>
        <v>195312.5</v>
      </c>
      <c r="E1794" s="30">
        <f t="shared" si="550"/>
        <v>585937.5</v>
      </c>
      <c r="F1794" s="30">
        <f>F1793/1.7</f>
        <v>459558.8235</v>
      </c>
      <c r="G1794" s="30">
        <f t="shared" si="549"/>
        <v>3125000</v>
      </c>
      <c r="H1794" s="30">
        <f t="shared" si="544"/>
        <v>3584558.824</v>
      </c>
    </row>
    <row r="1795">
      <c r="B1795" s="3">
        <f t="shared" si="545"/>
        <v>50000000</v>
      </c>
      <c r="C1795" s="3">
        <v>512.0</v>
      </c>
      <c r="D1795" s="66">
        <f t="shared" si="542"/>
        <v>97656.25</v>
      </c>
      <c r="E1795" s="30">
        <f t="shared" si="550"/>
        <v>292968.75</v>
      </c>
      <c r="F1795" s="30">
        <f>F1794/1.5</f>
        <v>306372.549</v>
      </c>
      <c r="G1795" s="30">
        <f t="shared" si="549"/>
        <v>3125000</v>
      </c>
      <c r="H1795" s="30">
        <f t="shared" si="544"/>
        <v>3431372.549</v>
      </c>
    </row>
    <row r="1796">
      <c r="B1796" s="3">
        <f t="shared" si="545"/>
        <v>50000000</v>
      </c>
      <c r="C1796" s="3">
        <v>1024.0</v>
      </c>
      <c r="D1796" s="66">
        <f t="shared" si="542"/>
        <v>48828.125</v>
      </c>
      <c r="E1796" s="30">
        <f t="shared" si="550"/>
        <v>146484.375</v>
      </c>
      <c r="F1796" s="30">
        <f>F1795/1.3</f>
        <v>235671.1916</v>
      </c>
      <c r="G1796" s="30">
        <f t="shared" si="549"/>
        <v>3125000</v>
      </c>
      <c r="H1796" s="30">
        <f t="shared" si="544"/>
        <v>3360671.192</v>
      </c>
    </row>
    <row r="1797">
      <c r="B1797" s="3">
        <f t="shared" si="545"/>
        <v>50000000</v>
      </c>
      <c r="C1797" s="3">
        <v>2048.0</v>
      </c>
      <c r="D1797" s="66">
        <f t="shared" si="542"/>
        <v>24414.0625</v>
      </c>
      <c r="E1797" s="30">
        <f t="shared" si="550"/>
        <v>73242.1875</v>
      </c>
      <c r="F1797" s="30">
        <f>F1796/1.2</f>
        <v>196392.6596</v>
      </c>
      <c r="G1797" s="30">
        <f t="shared" si="549"/>
        <v>3125000</v>
      </c>
      <c r="H1797" s="30">
        <f t="shared" si="544"/>
        <v>3321392.66</v>
      </c>
    </row>
    <row r="1798">
      <c r="B1798" s="3">
        <f t="shared" si="545"/>
        <v>50000000</v>
      </c>
      <c r="C1798" s="3">
        <v>4096.0</v>
      </c>
      <c r="D1798" s="66">
        <f t="shared" si="542"/>
        <v>12207.03125</v>
      </c>
      <c r="E1798" s="30">
        <f t="shared" si="550"/>
        <v>36621.09375</v>
      </c>
      <c r="F1798" s="30">
        <f>F1797/1.1</f>
        <v>178538.7815</v>
      </c>
      <c r="G1798" s="30">
        <f t="shared" si="549"/>
        <v>3125000</v>
      </c>
      <c r="H1798" s="30">
        <f t="shared" si="544"/>
        <v>3303538.781</v>
      </c>
    </row>
    <row r="1799">
      <c r="B1799" s="3">
        <f t="shared" si="545"/>
        <v>50000000</v>
      </c>
      <c r="C1799" s="3">
        <v>8192.0</v>
      </c>
      <c r="D1799" s="66">
        <f t="shared" si="542"/>
        <v>6103.515625</v>
      </c>
      <c r="E1799" s="30">
        <f t="shared" si="550"/>
        <v>18310.54688</v>
      </c>
      <c r="F1799" s="30">
        <f>F1798/1</f>
        <v>178538.7815</v>
      </c>
      <c r="G1799" s="30">
        <f t="shared" si="549"/>
        <v>3125000</v>
      </c>
      <c r="H1799" s="30">
        <f t="shared" si="544"/>
        <v>3303538.781</v>
      </c>
    </row>
    <row r="1800">
      <c r="A1800" s="3" t="s">
        <v>327</v>
      </c>
      <c r="B1800" s="3" t="s">
        <v>530</v>
      </c>
      <c r="E1800" s="3"/>
      <c r="J1800" s="3" t="s">
        <v>531</v>
      </c>
      <c r="M1800" s="3"/>
      <c r="R1800" s="3" t="s">
        <v>532</v>
      </c>
      <c r="U1800" s="3"/>
    </row>
    <row r="1801">
      <c r="E1801" s="3"/>
      <c r="F1801" s="3" t="s">
        <v>482</v>
      </c>
      <c r="G1801" s="73" t="s">
        <v>529</v>
      </c>
      <c r="H1801" s="3" t="s">
        <v>533</v>
      </c>
      <c r="M1801" s="3"/>
      <c r="N1801" s="3" t="s">
        <v>482</v>
      </c>
      <c r="O1801" s="73" t="s">
        <v>529</v>
      </c>
      <c r="P1801" s="3" t="s">
        <v>533</v>
      </c>
      <c r="U1801" s="3"/>
      <c r="V1801" s="3" t="s">
        <v>482</v>
      </c>
      <c r="W1801" s="73" t="s">
        <v>529</v>
      </c>
      <c r="X1801" s="3" t="s">
        <v>533</v>
      </c>
    </row>
    <row r="1802">
      <c r="B1802" s="3" t="s">
        <v>463</v>
      </c>
      <c r="C1802" s="3">
        <v>1.0</v>
      </c>
      <c r="D1802" s="3">
        <v>6486284.0</v>
      </c>
      <c r="E1802" s="3">
        <v>3582527.0</v>
      </c>
      <c r="F1802" s="30">
        <f t="shared" ref="F1802:F1815" si="551">D1802+E1802</f>
        <v>10068811</v>
      </c>
      <c r="G1802" s="30">
        <f t="shared" ref="G1802:G1815" si="552">H1786</f>
        <v>9375000</v>
      </c>
      <c r="H1802" s="77">
        <f t="shared" ref="H1802:H1815" si="553">ABS((F1802-G1802)/F1802)*100</f>
        <v>6.890694442</v>
      </c>
      <c r="J1802" s="3" t="s">
        <v>463</v>
      </c>
      <c r="K1802" s="3">
        <v>1.0</v>
      </c>
      <c r="L1802" s="3">
        <v>6616233.0</v>
      </c>
      <c r="M1802" s="3">
        <v>3345390.0</v>
      </c>
      <c r="N1802" s="30">
        <f t="shared" ref="N1802:N1815" si="554">L1802+M1802</f>
        <v>9961623</v>
      </c>
      <c r="O1802" s="30">
        <f t="shared" ref="O1802:O1815" si="555">H1786</f>
        <v>9375000</v>
      </c>
      <c r="P1802" s="77">
        <f t="shared" ref="P1802:P1815" si="556">ABS((N1802-O1802)/N1802)*100</f>
        <v>5.888829561</v>
      </c>
      <c r="R1802" s="3" t="s">
        <v>463</v>
      </c>
      <c r="S1802" s="3">
        <v>1.0</v>
      </c>
      <c r="T1802" s="3">
        <v>6668702.0</v>
      </c>
      <c r="U1802" s="3">
        <v>3376970.0</v>
      </c>
      <c r="V1802" s="30">
        <f t="shared" ref="V1802:V1815" si="557">T1802+U1802</f>
        <v>10045672</v>
      </c>
      <c r="W1802" s="30">
        <f t="shared" ref="W1802:W1815" si="558">H1786</f>
        <v>9375000</v>
      </c>
      <c r="X1802" s="77">
        <f t="shared" ref="X1802:X1815" si="559">ABS((V1802-W1802)/V1802)*100</f>
        <v>6.67622833</v>
      </c>
    </row>
    <row r="1803">
      <c r="B1803" s="3" t="s">
        <v>463</v>
      </c>
      <c r="C1803" s="3">
        <v>2.0</v>
      </c>
      <c r="D1803" s="3">
        <v>6469720.0</v>
      </c>
      <c r="E1803" s="3">
        <v>3553817.0</v>
      </c>
      <c r="F1803" s="30">
        <f t="shared" si="551"/>
        <v>10023537</v>
      </c>
      <c r="G1803" s="30">
        <f t="shared" si="552"/>
        <v>9375000</v>
      </c>
      <c r="H1803" s="77">
        <f t="shared" si="553"/>
        <v>6.470141229</v>
      </c>
      <c r="J1803" s="3" t="s">
        <v>463</v>
      </c>
      <c r="K1803" s="3">
        <v>2.0</v>
      </c>
      <c r="L1803" s="3">
        <v>6617382.0</v>
      </c>
      <c r="M1803" s="3">
        <v>3354392.0</v>
      </c>
      <c r="N1803" s="30">
        <f t="shared" si="554"/>
        <v>9971774</v>
      </c>
      <c r="O1803" s="30">
        <f t="shared" si="555"/>
        <v>9375000</v>
      </c>
      <c r="P1803" s="77">
        <f t="shared" si="556"/>
        <v>5.984632223</v>
      </c>
      <c r="R1803" s="3" t="s">
        <v>463</v>
      </c>
      <c r="S1803" s="3">
        <v>2.0</v>
      </c>
      <c r="T1803" s="3">
        <v>6666288.0</v>
      </c>
      <c r="U1803" s="3">
        <v>3391184.0</v>
      </c>
      <c r="V1803" s="30">
        <f t="shared" si="557"/>
        <v>10057472</v>
      </c>
      <c r="W1803" s="30">
        <f t="shared" si="558"/>
        <v>9375000</v>
      </c>
      <c r="X1803" s="77">
        <f t="shared" si="559"/>
        <v>6.785721104</v>
      </c>
    </row>
    <row r="1804">
      <c r="B1804" s="3" t="s">
        <v>463</v>
      </c>
      <c r="C1804" s="3">
        <v>4.0</v>
      </c>
      <c r="D1804" s="3">
        <v>6459840.0</v>
      </c>
      <c r="E1804" s="3">
        <v>3559015.0</v>
      </c>
      <c r="F1804" s="30">
        <f t="shared" si="551"/>
        <v>10018855</v>
      </c>
      <c r="G1804" s="30">
        <f t="shared" si="552"/>
        <v>9375000</v>
      </c>
      <c r="H1804" s="77">
        <f t="shared" si="553"/>
        <v>6.426432961</v>
      </c>
      <c r="J1804" s="3" t="s">
        <v>463</v>
      </c>
      <c r="K1804" s="3">
        <v>4.0</v>
      </c>
      <c r="L1804" s="3">
        <v>6616812.0</v>
      </c>
      <c r="M1804" s="3">
        <v>3358797.0</v>
      </c>
      <c r="N1804" s="30">
        <f t="shared" si="554"/>
        <v>9975609</v>
      </c>
      <c r="O1804" s="30">
        <f t="shared" si="555"/>
        <v>9375000</v>
      </c>
      <c r="P1804" s="77">
        <f t="shared" si="556"/>
        <v>6.020775273</v>
      </c>
      <c r="R1804" s="3" t="s">
        <v>463</v>
      </c>
      <c r="S1804" s="3">
        <v>4.0</v>
      </c>
      <c r="T1804" s="3">
        <v>6652594.0</v>
      </c>
      <c r="U1804" s="3">
        <v>3367832.0</v>
      </c>
      <c r="V1804" s="30">
        <f t="shared" si="557"/>
        <v>10020426</v>
      </c>
      <c r="W1804" s="30">
        <f t="shared" si="558"/>
        <v>9375000</v>
      </c>
      <c r="X1804" s="77">
        <f t="shared" si="559"/>
        <v>6.441103402</v>
      </c>
    </row>
    <row r="1805">
      <c r="B1805" s="3" t="s">
        <v>463</v>
      </c>
      <c r="C1805" s="3">
        <v>8.0</v>
      </c>
      <c r="D1805" s="3">
        <v>6457030.0</v>
      </c>
      <c r="E1805" s="3">
        <v>3562860.0</v>
      </c>
      <c r="F1805" s="30">
        <f t="shared" si="551"/>
        <v>10019890</v>
      </c>
      <c r="G1805" s="30">
        <f t="shared" si="552"/>
        <v>9375000</v>
      </c>
      <c r="H1805" s="77">
        <f t="shared" si="553"/>
        <v>6.4360986</v>
      </c>
      <c r="J1805" s="3" t="s">
        <v>463</v>
      </c>
      <c r="K1805" s="3">
        <v>8.0</v>
      </c>
      <c r="L1805" s="3">
        <v>6633358.0</v>
      </c>
      <c r="M1805" s="3">
        <v>3347642.0</v>
      </c>
      <c r="N1805" s="30">
        <f t="shared" si="554"/>
        <v>9981000</v>
      </c>
      <c r="O1805" s="30">
        <f t="shared" si="555"/>
        <v>9375000</v>
      </c>
      <c r="P1805" s="77">
        <f t="shared" si="556"/>
        <v>6.071535918</v>
      </c>
      <c r="R1805" s="3" t="s">
        <v>463</v>
      </c>
      <c r="S1805" s="3">
        <v>8.0</v>
      </c>
      <c r="T1805" s="3">
        <v>6651716.0</v>
      </c>
      <c r="U1805" s="3">
        <v>3382238.0</v>
      </c>
      <c r="V1805" s="30">
        <f t="shared" si="557"/>
        <v>10033954</v>
      </c>
      <c r="W1805" s="30">
        <f t="shared" si="558"/>
        <v>9375000</v>
      </c>
      <c r="X1805" s="77">
        <f t="shared" si="559"/>
        <v>6.567241588</v>
      </c>
    </row>
    <row r="1806">
      <c r="B1806" s="3" t="s">
        <v>463</v>
      </c>
      <c r="C1806" s="3">
        <v>16.0</v>
      </c>
      <c r="D1806" s="3">
        <v>6452527.0</v>
      </c>
      <c r="E1806" s="3">
        <v>3562276.0</v>
      </c>
      <c r="F1806" s="30">
        <f t="shared" si="551"/>
        <v>10014803</v>
      </c>
      <c r="G1806" s="30">
        <f t="shared" si="552"/>
        <v>9375000</v>
      </c>
      <c r="H1806" s="77">
        <f t="shared" si="553"/>
        <v>6.388572995</v>
      </c>
      <c r="J1806" s="3" t="s">
        <v>463</v>
      </c>
      <c r="K1806" s="3">
        <v>16.0</v>
      </c>
      <c r="L1806" s="3">
        <v>6614474.0</v>
      </c>
      <c r="M1806" s="3">
        <v>3350623.0</v>
      </c>
      <c r="N1806" s="30">
        <f t="shared" si="554"/>
        <v>9965097</v>
      </c>
      <c r="O1806" s="30">
        <f t="shared" si="555"/>
        <v>9375000</v>
      </c>
      <c r="P1806" s="77">
        <f t="shared" si="556"/>
        <v>5.921638294</v>
      </c>
      <c r="R1806" s="3" t="s">
        <v>463</v>
      </c>
      <c r="S1806" s="3">
        <v>16.0</v>
      </c>
      <c r="T1806" s="3">
        <v>6648187.0</v>
      </c>
      <c r="U1806" s="3">
        <v>3370266.0</v>
      </c>
      <c r="V1806" s="30">
        <f t="shared" si="557"/>
        <v>10018453</v>
      </c>
      <c r="W1806" s="30">
        <f t="shared" si="558"/>
        <v>9375000</v>
      </c>
      <c r="X1806" s="77">
        <f t="shared" si="559"/>
        <v>6.422678232</v>
      </c>
    </row>
    <row r="1807">
      <c r="B1807" s="3" t="s">
        <v>463</v>
      </c>
      <c r="C1807" s="3">
        <v>32.0</v>
      </c>
      <c r="D1807" s="3">
        <v>6187594.0</v>
      </c>
      <c r="E1807" s="3">
        <v>3503696.0</v>
      </c>
      <c r="F1807" s="30">
        <f t="shared" si="551"/>
        <v>9691290</v>
      </c>
      <c r="G1807" s="30">
        <f t="shared" si="552"/>
        <v>9375000</v>
      </c>
      <c r="H1807" s="77">
        <f t="shared" si="553"/>
        <v>3.263652207</v>
      </c>
      <c r="J1807" s="3" t="s">
        <v>463</v>
      </c>
      <c r="K1807" s="3">
        <v>32.0</v>
      </c>
      <c r="L1807" s="3">
        <v>4955484.0</v>
      </c>
      <c r="M1807" s="3">
        <v>3279584.0</v>
      </c>
      <c r="N1807" s="30">
        <f t="shared" si="554"/>
        <v>8235068</v>
      </c>
      <c r="O1807" s="30">
        <f t="shared" si="555"/>
        <v>9375000</v>
      </c>
      <c r="P1807" s="77">
        <f t="shared" si="556"/>
        <v>13.8424115</v>
      </c>
      <c r="R1807" s="3" t="s">
        <v>463</v>
      </c>
      <c r="S1807" s="3">
        <v>32.0</v>
      </c>
      <c r="T1807" s="3">
        <v>5052011.0</v>
      </c>
      <c r="U1807" s="3">
        <v>3298307.0</v>
      </c>
      <c r="V1807" s="30">
        <f t="shared" si="557"/>
        <v>8350318</v>
      </c>
      <c r="W1807" s="30">
        <f t="shared" si="558"/>
        <v>9375000</v>
      </c>
      <c r="X1807" s="77">
        <f t="shared" si="559"/>
        <v>12.27117339</v>
      </c>
    </row>
    <row r="1808">
      <c r="B1808" s="3" t="s">
        <v>463</v>
      </c>
      <c r="C1808" s="3">
        <v>64.0</v>
      </c>
      <c r="D1808" s="3">
        <v>3951773.0</v>
      </c>
      <c r="E1808" s="3">
        <v>3384090.0</v>
      </c>
      <c r="F1808" s="30">
        <f t="shared" si="551"/>
        <v>7335863</v>
      </c>
      <c r="G1808" s="30">
        <f t="shared" si="552"/>
        <v>7812500</v>
      </c>
      <c r="H1808" s="77">
        <f t="shared" si="553"/>
        <v>6.497354163</v>
      </c>
      <c r="J1808" s="3" t="s">
        <v>463</v>
      </c>
      <c r="K1808" s="3">
        <v>64.0</v>
      </c>
      <c r="L1808" s="3">
        <v>2712015.0</v>
      </c>
      <c r="M1808" s="3">
        <v>3228636.0</v>
      </c>
      <c r="N1808" s="30">
        <f t="shared" si="554"/>
        <v>5940651</v>
      </c>
      <c r="O1808" s="30">
        <f t="shared" si="555"/>
        <v>7812500</v>
      </c>
      <c r="P1808" s="77">
        <f t="shared" si="556"/>
        <v>31.50915615</v>
      </c>
      <c r="R1808" s="3" t="s">
        <v>463</v>
      </c>
      <c r="S1808" s="3">
        <v>64.0</v>
      </c>
      <c r="T1808" s="3">
        <v>2788135.0</v>
      </c>
      <c r="U1808" s="3">
        <v>3241671.0</v>
      </c>
      <c r="V1808" s="30">
        <f t="shared" si="557"/>
        <v>6029806</v>
      </c>
      <c r="W1808" s="30">
        <f t="shared" si="558"/>
        <v>7812500</v>
      </c>
      <c r="X1808" s="77">
        <f t="shared" si="559"/>
        <v>29.5646991</v>
      </c>
    </row>
    <row r="1809">
      <c r="B1809" s="3" t="s">
        <v>463</v>
      </c>
      <c r="C1809" s="3">
        <v>128.0</v>
      </c>
      <c r="D1809" s="3">
        <v>966930.0</v>
      </c>
      <c r="E1809" s="3">
        <v>3213313.0</v>
      </c>
      <c r="F1809" s="30">
        <f t="shared" si="551"/>
        <v>4180243</v>
      </c>
      <c r="G1809" s="30">
        <f t="shared" si="552"/>
        <v>3906250</v>
      </c>
      <c r="H1809" s="77">
        <f t="shared" si="553"/>
        <v>6.554475422</v>
      </c>
      <c r="J1809" s="3" t="s">
        <v>463</v>
      </c>
      <c r="K1809" s="3">
        <v>128.0</v>
      </c>
      <c r="L1809" s="3">
        <v>1027774.0</v>
      </c>
      <c r="M1809" s="3">
        <v>3179036.0</v>
      </c>
      <c r="N1809" s="30">
        <f t="shared" si="554"/>
        <v>4206810</v>
      </c>
      <c r="O1809" s="30">
        <f t="shared" si="555"/>
        <v>3906250</v>
      </c>
      <c r="P1809" s="77">
        <f t="shared" si="556"/>
        <v>7.144606008</v>
      </c>
      <c r="R1809" s="3" t="s">
        <v>463</v>
      </c>
      <c r="S1809" s="3">
        <v>128.0</v>
      </c>
      <c r="T1809" s="3">
        <v>1040854.0</v>
      </c>
      <c r="U1809" s="3">
        <v>3198791.0</v>
      </c>
      <c r="V1809" s="30">
        <f t="shared" si="557"/>
        <v>4239645</v>
      </c>
      <c r="W1809" s="30">
        <f t="shared" si="558"/>
        <v>3906250</v>
      </c>
      <c r="X1809" s="77">
        <f t="shared" si="559"/>
        <v>7.863748026</v>
      </c>
    </row>
    <row r="1810">
      <c r="B1810" s="3" t="s">
        <v>463</v>
      </c>
      <c r="C1810" s="3">
        <v>256.0</v>
      </c>
      <c r="D1810" s="3">
        <v>577962.0</v>
      </c>
      <c r="E1810" s="3">
        <v>3174404.0</v>
      </c>
      <c r="F1810" s="30">
        <f t="shared" si="551"/>
        <v>3752366</v>
      </c>
      <c r="G1810" s="30">
        <f t="shared" si="552"/>
        <v>3584558.824</v>
      </c>
      <c r="H1810" s="77">
        <f t="shared" si="553"/>
        <v>4.472036482</v>
      </c>
      <c r="J1810" s="3" t="s">
        <v>463</v>
      </c>
      <c r="K1810" s="3">
        <v>256.0</v>
      </c>
      <c r="L1810" s="3">
        <v>629947.0</v>
      </c>
      <c r="M1810" s="3">
        <v>3179487.0</v>
      </c>
      <c r="N1810" s="30">
        <f t="shared" si="554"/>
        <v>3809434</v>
      </c>
      <c r="O1810" s="30">
        <f t="shared" si="555"/>
        <v>3584558.824</v>
      </c>
      <c r="P1810" s="77">
        <f t="shared" si="556"/>
        <v>5.903112548</v>
      </c>
      <c r="R1810" s="3" t="s">
        <v>463</v>
      </c>
      <c r="S1810" s="3">
        <v>256.0</v>
      </c>
      <c r="T1810" s="3">
        <v>644345.0</v>
      </c>
      <c r="U1810" s="3">
        <v>3197259.0</v>
      </c>
      <c r="V1810" s="30">
        <f t="shared" si="557"/>
        <v>3841604</v>
      </c>
      <c r="W1810" s="30">
        <f t="shared" si="558"/>
        <v>3584558.824</v>
      </c>
      <c r="X1810" s="77">
        <f t="shared" si="559"/>
        <v>6.69108988</v>
      </c>
    </row>
    <row r="1811">
      <c r="B1811" s="3" t="s">
        <v>463</v>
      </c>
      <c r="C1811" s="3">
        <v>512.0</v>
      </c>
      <c r="D1811" s="3">
        <v>374315.0</v>
      </c>
      <c r="E1811" s="3">
        <v>3154364.0</v>
      </c>
      <c r="F1811" s="30">
        <f t="shared" si="551"/>
        <v>3528679</v>
      </c>
      <c r="G1811" s="30">
        <f t="shared" si="552"/>
        <v>3431372.549</v>
      </c>
      <c r="H1811" s="77">
        <f t="shared" si="553"/>
        <v>2.757588632</v>
      </c>
      <c r="J1811" s="3" t="s">
        <v>463</v>
      </c>
      <c r="K1811" s="3">
        <v>512.0</v>
      </c>
      <c r="L1811" s="3">
        <v>434573.0</v>
      </c>
      <c r="M1811" s="3">
        <v>3184072.0</v>
      </c>
      <c r="N1811" s="30">
        <f t="shared" si="554"/>
        <v>3618645</v>
      </c>
      <c r="O1811" s="30">
        <f t="shared" si="555"/>
        <v>3431372.549</v>
      </c>
      <c r="P1811" s="77">
        <f t="shared" si="556"/>
        <v>5.175209256</v>
      </c>
      <c r="R1811" s="3" t="s">
        <v>463</v>
      </c>
      <c r="S1811" s="3">
        <v>512.0</v>
      </c>
      <c r="T1811" s="3">
        <v>448503.0</v>
      </c>
      <c r="U1811" s="3">
        <v>3196272.0</v>
      </c>
      <c r="V1811" s="30">
        <f t="shared" si="557"/>
        <v>3644775</v>
      </c>
      <c r="W1811" s="30">
        <f t="shared" si="558"/>
        <v>3431372.549</v>
      </c>
      <c r="X1811" s="77">
        <f t="shared" si="559"/>
        <v>5.855024</v>
      </c>
    </row>
    <row r="1812">
      <c r="B1812" s="3" t="s">
        <v>463</v>
      </c>
      <c r="C1812" s="3">
        <v>1024.0</v>
      </c>
      <c r="D1812" s="3">
        <v>281717.0</v>
      </c>
      <c r="E1812" s="3">
        <v>3155424.0</v>
      </c>
      <c r="F1812" s="30">
        <f t="shared" si="551"/>
        <v>3437141</v>
      </c>
      <c r="G1812" s="30">
        <f t="shared" si="552"/>
        <v>3360671.192</v>
      </c>
      <c r="H1812" s="77">
        <f t="shared" si="553"/>
        <v>2.224808597</v>
      </c>
      <c r="J1812" s="3" t="s">
        <v>463</v>
      </c>
      <c r="K1812" s="3">
        <v>1024.0</v>
      </c>
      <c r="L1812" s="3">
        <v>335765.0</v>
      </c>
      <c r="M1812" s="3">
        <v>3183350.0</v>
      </c>
      <c r="N1812" s="30">
        <f t="shared" si="554"/>
        <v>3519115</v>
      </c>
      <c r="O1812" s="30">
        <f t="shared" si="555"/>
        <v>3360671.192</v>
      </c>
      <c r="P1812" s="77">
        <f t="shared" si="556"/>
        <v>4.502376548</v>
      </c>
      <c r="R1812" s="3" t="s">
        <v>463</v>
      </c>
      <c r="S1812" s="3">
        <v>1024.0</v>
      </c>
      <c r="T1812" s="3">
        <v>349468.0</v>
      </c>
      <c r="U1812" s="3">
        <v>3193794.0</v>
      </c>
      <c r="V1812" s="30">
        <f t="shared" si="557"/>
        <v>3543262</v>
      </c>
      <c r="W1812" s="30">
        <f t="shared" si="558"/>
        <v>3360671.192</v>
      </c>
      <c r="X1812" s="77">
        <f t="shared" si="559"/>
        <v>5.153183943</v>
      </c>
    </row>
    <row r="1813">
      <c r="B1813" s="3" t="s">
        <v>463</v>
      </c>
      <c r="C1813" s="3">
        <v>2048.0</v>
      </c>
      <c r="D1813" s="3">
        <v>228269.0</v>
      </c>
      <c r="E1813" s="3">
        <v>3143385.0</v>
      </c>
      <c r="F1813" s="30">
        <f t="shared" si="551"/>
        <v>3371654</v>
      </c>
      <c r="G1813" s="30">
        <f t="shared" si="552"/>
        <v>3321392.66</v>
      </c>
      <c r="H1813" s="77">
        <f t="shared" si="553"/>
        <v>1.490702794</v>
      </c>
      <c r="J1813" s="3" t="s">
        <v>463</v>
      </c>
      <c r="K1813" s="3">
        <v>2048.0</v>
      </c>
      <c r="L1813" s="3">
        <v>271707.0</v>
      </c>
      <c r="M1813" s="3">
        <v>3177393.0</v>
      </c>
      <c r="N1813" s="30">
        <f t="shared" si="554"/>
        <v>3449100</v>
      </c>
      <c r="O1813" s="30">
        <f t="shared" si="555"/>
        <v>3321392.66</v>
      </c>
      <c r="P1813" s="77">
        <f t="shared" si="556"/>
        <v>3.702627943</v>
      </c>
      <c r="R1813" s="3" t="s">
        <v>463</v>
      </c>
      <c r="S1813" s="3">
        <v>2048.0</v>
      </c>
      <c r="T1813" s="3">
        <v>278309.0</v>
      </c>
      <c r="U1813" s="3">
        <v>3152773.0</v>
      </c>
      <c r="V1813" s="30">
        <f t="shared" si="557"/>
        <v>3431082</v>
      </c>
      <c r="W1813" s="30">
        <f t="shared" si="558"/>
        <v>3321392.66</v>
      </c>
      <c r="X1813" s="77">
        <f t="shared" si="559"/>
        <v>3.196931474</v>
      </c>
    </row>
    <row r="1814">
      <c r="B1814" s="3" t="s">
        <v>463</v>
      </c>
      <c r="C1814" s="3">
        <v>4096.0</v>
      </c>
      <c r="D1814" s="3">
        <v>204148.0</v>
      </c>
      <c r="E1814" s="3">
        <v>3137824.0</v>
      </c>
      <c r="F1814" s="30">
        <f t="shared" si="551"/>
        <v>3341972</v>
      </c>
      <c r="G1814" s="30">
        <f t="shared" si="552"/>
        <v>3303538.781</v>
      </c>
      <c r="H1814" s="77">
        <f t="shared" si="553"/>
        <v>1.150016174</v>
      </c>
      <c r="J1814" s="3" t="s">
        <v>463</v>
      </c>
      <c r="K1814" s="3">
        <v>4096.0</v>
      </c>
      <c r="L1814" s="3">
        <v>246352.0</v>
      </c>
      <c r="M1814" s="3">
        <v>3149861.0</v>
      </c>
      <c r="N1814" s="30">
        <f t="shared" si="554"/>
        <v>3396213</v>
      </c>
      <c r="O1814" s="30">
        <f t="shared" si="555"/>
        <v>3303538.781</v>
      </c>
      <c r="P1814" s="77">
        <f t="shared" si="556"/>
        <v>2.728751657</v>
      </c>
      <c r="R1814" s="3" t="s">
        <v>463</v>
      </c>
      <c r="S1814" s="3">
        <v>4096.0</v>
      </c>
      <c r="T1814" s="3">
        <v>243469.0</v>
      </c>
      <c r="U1814" s="3">
        <v>3111662.0</v>
      </c>
      <c r="V1814" s="30">
        <f t="shared" si="557"/>
        <v>3355131</v>
      </c>
      <c r="W1814" s="30">
        <f t="shared" si="558"/>
        <v>3303538.781</v>
      </c>
      <c r="X1814" s="77">
        <f t="shared" si="559"/>
        <v>1.537711002</v>
      </c>
    </row>
    <row r="1815">
      <c r="B1815" s="3" t="s">
        <v>463</v>
      </c>
      <c r="C1815" s="3">
        <v>8192.0</v>
      </c>
      <c r="D1815" s="3">
        <v>188113.0</v>
      </c>
      <c r="E1815" s="3">
        <v>3135039.0</v>
      </c>
      <c r="F1815" s="30">
        <f t="shared" si="551"/>
        <v>3323152</v>
      </c>
      <c r="G1815" s="30">
        <f t="shared" si="552"/>
        <v>3303538.781</v>
      </c>
      <c r="H1815" s="77">
        <f t="shared" si="553"/>
        <v>0.5901992602</v>
      </c>
      <c r="J1815" s="3" t="s">
        <v>463</v>
      </c>
      <c r="K1815" s="3">
        <v>8192.0</v>
      </c>
      <c r="L1815" s="3">
        <v>224630.0</v>
      </c>
      <c r="M1815" s="3">
        <v>3158891.0</v>
      </c>
      <c r="N1815" s="30">
        <f t="shared" si="554"/>
        <v>3383521</v>
      </c>
      <c r="O1815" s="30">
        <f t="shared" si="555"/>
        <v>3303538.781</v>
      </c>
      <c r="P1815" s="77">
        <f t="shared" si="556"/>
        <v>2.363875339</v>
      </c>
      <c r="R1815" s="3" t="s">
        <v>463</v>
      </c>
      <c r="S1815" s="3">
        <v>8192.0</v>
      </c>
      <c r="T1815" s="3">
        <v>233194.0</v>
      </c>
      <c r="U1815" s="3">
        <v>3151650.0</v>
      </c>
      <c r="V1815" s="30">
        <f t="shared" si="557"/>
        <v>3384844</v>
      </c>
      <c r="W1815" s="30">
        <f t="shared" si="558"/>
        <v>3303538.781</v>
      </c>
      <c r="X1815" s="77">
        <f t="shared" si="559"/>
        <v>2.402037391</v>
      </c>
    </row>
    <row r="1817">
      <c r="E1817" s="3"/>
    </row>
    <row r="1818">
      <c r="E1818" s="3"/>
    </row>
    <row r="1819">
      <c r="C1819" s="3" t="s">
        <v>324</v>
      </c>
      <c r="D1819" s="3" t="s">
        <v>534</v>
      </c>
      <c r="E1819" s="3" t="s">
        <v>535</v>
      </c>
      <c r="F1819" s="3" t="s">
        <v>536</v>
      </c>
    </row>
    <row r="1820">
      <c r="C1820" s="3">
        <v>1.0</v>
      </c>
      <c r="D1820" s="77">
        <f t="shared" ref="D1820:D1833" si="560">H1802</f>
        <v>6.890694442</v>
      </c>
      <c r="E1820" s="81">
        <f t="shared" ref="E1820:E1833" si="561">P1802</f>
        <v>5.888829561</v>
      </c>
      <c r="F1820" s="77">
        <f t="shared" ref="F1820:F1833" si="562">X1802</f>
        <v>6.67622833</v>
      </c>
      <c r="H1820" s="30" t="str">
        <f>D1819&amp;"=["&amp;D1820&amp;", "&amp;D1821&amp;", "&amp;D1822&amp;", "&amp;D1823&amp;", "&amp;D1824&amp;", "&amp;D1825&amp;", "&amp;D1826&amp;", "&amp;D1827&amp;", "&amp;D1828&amp;", "&amp;D1829&amp;", "&amp;D1830&amp;", "&amp;D1831&amp;", "&amp;D1832&amp;", "&amp;D1833&amp;"]"</f>
        <v>bwell=[6.89069444247191, 6.47014122859027, 6.42643296065269, 6.43609859988483, 6.38857299539492, 3.26365220729129, 6.49735416269361, 6.55447542164415, 4.47203648233109, 2.75758863247103, 2.22480859663468, 1.49070279370441, 1.15001617368554, 0.590199260221682]</v>
      </c>
    </row>
    <row r="1821">
      <c r="C1821" s="3">
        <v>2.0</v>
      </c>
      <c r="D1821" s="77">
        <f t="shared" si="560"/>
        <v>6.470141229</v>
      </c>
      <c r="E1821" s="81">
        <f t="shared" si="561"/>
        <v>5.984632223</v>
      </c>
      <c r="F1821" s="77">
        <f t="shared" si="562"/>
        <v>6.785721104</v>
      </c>
      <c r="H1821" s="82" t="str">
        <f>E1819&amp;"=["&amp;E1820&amp;", "&amp;E1821&amp;", "&amp;E1822&amp;", "&amp;E1823&amp;", "&amp;E1824&amp;", "&amp;E1825&amp;", "&amp;E1826&amp;", "&amp;E1827&amp;", "&amp;E1828&amp;", "&amp;E1829&amp;", "&amp;E1830&amp;", "&amp;E1831&amp;", "&amp;E1832&amp;", "&amp;E1833&amp;"]"</f>
        <v>slake=[5.88882956120705, 5.98463222291239, 6.0207752729683, 6.07153591824467, 5.92163829413803, 13.8424115016415, 31.509156151405, 7.1446060078777, 5.90311254823126, 5.17520925596162, 4.50237654769609, 3.70262794271104, 2.72875165721473, 2.36387533932971]</v>
      </c>
    </row>
    <row r="1822">
      <c r="C1822" s="3">
        <v>4.0</v>
      </c>
      <c r="D1822" s="77">
        <f t="shared" si="560"/>
        <v>6.426432961</v>
      </c>
      <c r="E1822" s="81">
        <f t="shared" si="561"/>
        <v>6.020775273</v>
      </c>
      <c r="F1822" s="77">
        <f t="shared" si="562"/>
        <v>6.441103402</v>
      </c>
      <c r="H1822" s="82" t="str">
        <f>F1819&amp;"=["&amp;F1820&amp;", "&amp;F1821&amp;", "&amp;F1822&amp;", "&amp;F1823&amp;", "&amp;F1824&amp;", "&amp;F1825&amp;", "&amp;F1826&amp;", "&amp;F1827&amp;", "&amp;F1828&amp;", "&amp;F1829&amp;", "&amp;F1830&amp;", "&amp;F1831&amp;", "&amp;F1832&amp;", "&amp;F1833&amp;"]"</f>
        <v>clake=[6.67622832997136, 6.78572110367297, 6.44110340219069, 6.5672415879124, 6.42267823185875, 12.2711733852531, 29.5646990964552, 7.86374802607294, 6.69108987991964, 5.85502399957178, 5.15318394311387, 3.19693147444586, 1.53771100204558, 2.40203739138471]</v>
      </c>
    </row>
    <row r="1823">
      <c r="C1823" s="3">
        <v>8.0</v>
      </c>
      <c r="D1823" s="77">
        <f t="shared" si="560"/>
        <v>6.4360986</v>
      </c>
      <c r="E1823" s="81">
        <f t="shared" si="561"/>
        <v>6.071535918</v>
      </c>
      <c r="F1823" s="77">
        <f t="shared" si="562"/>
        <v>6.567241588</v>
      </c>
    </row>
    <row r="1824">
      <c r="C1824" s="3">
        <v>16.0</v>
      </c>
      <c r="D1824" s="77">
        <f t="shared" si="560"/>
        <v>6.388572995</v>
      </c>
      <c r="E1824" s="81">
        <f t="shared" si="561"/>
        <v>5.921638294</v>
      </c>
      <c r="F1824" s="77">
        <f t="shared" si="562"/>
        <v>6.422678232</v>
      </c>
    </row>
    <row r="1825">
      <c r="C1825" s="3">
        <v>32.0</v>
      </c>
      <c r="D1825" s="77">
        <f t="shared" si="560"/>
        <v>3.263652207</v>
      </c>
      <c r="E1825" s="81">
        <f t="shared" si="561"/>
        <v>13.8424115</v>
      </c>
      <c r="F1825" s="77">
        <f t="shared" si="562"/>
        <v>12.27117339</v>
      </c>
    </row>
    <row r="1826">
      <c r="C1826" s="3">
        <v>64.0</v>
      </c>
      <c r="D1826" s="77">
        <f t="shared" si="560"/>
        <v>6.497354163</v>
      </c>
      <c r="E1826" s="81">
        <f t="shared" si="561"/>
        <v>31.50915615</v>
      </c>
      <c r="F1826" s="77">
        <f t="shared" si="562"/>
        <v>29.5646991</v>
      </c>
    </row>
    <row r="1827">
      <c r="C1827" s="3">
        <v>128.0</v>
      </c>
      <c r="D1827" s="77">
        <f t="shared" si="560"/>
        <v>6.554475422</v>
      </c>
      <c r="E1827" s="81">
        <f t="shared" si="561"/>
        <v>7.144606008</v>
      </c>
      <c r="F1827" s="77">
        <f t="shared" si="562"/>
        <v>7.863748026</v>
      </c>
    </row>
    <row r="1828">
      <c r="C1828" s="3">
        <v>256.0</v>
      </c>
      <c r="D1828" s="77">
        <f t="shared" si="560"/>
        <v>4.472036482</v>
      </c>
      <c r="E1828" s="81">
        <f t="shared" si="561"/>
        <v>5.903112548</v>
      </c>
      <c r="F1828" s="77">
        <f t="shared" si="562"/>
        <v>6.69108988</v>
      </c>
    </row>
    <row r="1829">
      <c r="C1829" s="3">
        <v>512.0</v>
      </c>
      <c r="D1829" s="77">
        <f t="shared" si="560"/>
        <v>2.757588632</v>
      </c>
      <c r="E1829" s="81">
        <f t="shared" si="561"/>
        <v>5.175209256</v>
      </c>
      <c r="F1829" s="77">
        <f t="shared" si="562"/>
        <v>5.855024</v>
      </c>
    </row>
    <row r="1830">
      <c r="C1830" s="3">
        <v>1024.0</v>
      </c>
      <c r="D1830" s="77">
        <f t="shared" si="560"/>
        <v>2.224808597</v>
      </c>
      <c r="E1830" s="81">
        <f t="shared" si="561"/>
        <v>4.502376548</v>
      </c>
      <c r="F1830" s="77">
        <f t="shared" si="562"/>
        <v>5.153183943</v>
      </c>
    </row>
    <row r="1831">
      <c r="C1831" s="3">
        <v>2048.0</v>
      </c>
      <c r="D1831" s="77">
        <f t="shared" si="560"/>
        <v>1.490702794</v>
      </c>
      <c r="E1831" s="81">
        <f t="shared" si="561"/>
        <v>3.702627943</v>
      </c>
      <c r="F1831" s="77">
        <f t="shared" si="562"/>
        <v>3.196931474</v>
      </c>
    </row>
    <row r="1832">
      <c r="C1832" s="3">
        <v>4096.0</v>
      </c>
      <c r="D1832" s="77">
        <f t="shared" si="560"/>
        <v>1.150016174</v>
      </c>
      <c r="E1832" s="81">
        <f t="shared" si="561"/>
        <v>2.728751657</v>
      </c>
      <c r="F1832" s="77">
        <f t="shared" si="562"/>
        <v>1.537711002</v>
      </c>
    </row>
    <row r="1833">
      <c r="C1833" s="3">
        <v>8192.0</v>
      </c>
      <c r="D1833" s="77">
        <f t="shared" si="560"/>
        <v>0.5901992602</v>
      </c>
      <c r="E1833" s="81">
        <f t="shared" si="561"/>
        <v>2.363875339</v>
      </c>
      <c r="F1833" s="77">
        <f t="shared" si="562"/>
        <v>2.402037391</v>
      </c>
    </row>
    <row r="1834">
      <c r="E1834" s="3"/>
    </row>
    <row r="1835">
      <c r="E1835" s="3"/>
    </row>
    <row r="1836">
      <c r="A1836" s="83" t="s">
        <v>525</v>
      </c>
      <c r="B1836" s="83"/>
      <c r="C1836" s="83"/>
      <c r="D1836" s="83"/>
      <c r="E1836" s="85"/>
      <c r="F1836" s="83"/>
      <c r="G1836" s="83"/>
      <c r="H1836" s="83"/>
      <c r="I1836" s="83"/>
      <c r="J1836" s="89"/>
      <c r="K1836" s="89"/>
      <c r="L1836" s="89"/>
      <c r="M1836" s="89"/>
      <c r="N1836" s="89"/>
      <c r="O1836" s="89"/>
      <c r="P1836" s="89"/>
      <c r="Q1836" s="89"/>
      <c r="R1836" s="89"/>
      <c r="S1836" s="83"/>
      <c r="T1836" s="83"/>
      <c r="U1836" s="83"/>
      <c r="V1836" s="83"/>
      <c r="W1836" s="83"/>
      <c r="X1836" s="83"/>
      <c r="Y1836" s="83"/>
      <c r="Z1836" s="83"/>
      <c r="AA1836" s="83"/>
    </row>
    <row r="1837">
      <c r="A1837" s="84" t="s">
        <v>538</v>
      </c>
      <c r="B1837" s="83" t="s">
        <v>459</v>
      </c>
      <c r="C1837" s="83" t="s">
        <v>447</v>
      </c>
      <c r="D1837" s="83" t="s">
        <v>515</v>
      </c>
      <c r="E1837" s="85" t="s">
        <v>526</v>
      </c>
      <c r="F1837" s="83" t="s">
        <v>527</v>
      </c>
      <c r="G1837" s="83" t="s">
        <v>528</v>
      </c>
      <c r="H1837" s="83" t="s">
        <v>529</v>
      </c>
      <c r="I1837" s="83"/>
      <c r="J1837" s="89"/>
      <c r="K1837" s="89"/>
      <c r="L1837" s="89"/>
      <c r="M1837" s="89"/>
      <c r="N1837" s="89"/>
      <c r="O1837" s="89"/>
      <c r="P1837" s="89"/>
      <c r="Q1837" s="89"/>
      <c r="R1837" s="89"/>
      <c r="S1837" s="83"/>
      <c r="T1837" s="83"/>
      <c r="U1837" s="83"/>
      <c r="V1837" s="83"/>
      <c r="W1837" s="83"/>
      <c r="X1837" s="83"/>
      <c r="Y1837" s="83"/>
      <c r="Z1837" s="83"/>
      <c r="AA1837" s="83"/>
    </row>
    <row r="1838">
      <c r="A1838" s="86">
        <v>5000000.0</v>
      </c>
      <c r="B1838" s="89">
        <f>A1838</f>
        <v>5000000</v>
      </c>
      <c r="C1838" s="89">
        <v>1.0</v>
      </c>
      <c r="D1838" s="89">
        <f t="shared" ref="D1838:D1851" si="563">B1838/C1838</f>
        <v>5000000</v>
      </c>
      <c r="E1838" s="90">
        <f>D1838/64*4</f>
        <v>312500</v>
      </c>
      <c r="F1838" s="89">
        <f t="shared" ref="F1838:F1842" si="564">E1838*2</f>
        <v>625000</v>
      </c>
      <c r="G1838" s="89">
        <f>E1838</f>
        <v>312500</v>
      </c>
      <c r="H1838" s="89">
        <f t="shared" ref="H1838:H1851" si="565">F1838+G1838</f>
        <v>937500</v>
      </c>
      <c r="I1838" s="83"/>
      <c r="J1838" s="89"/>
      <c r="K1838" s="89"/>
      <c r="L1838" s="89"/>
      <c r="M1838" s="89"/>
      <c r="N1838" s="89"/>
      <c r="O1838" s="89"/>
      <c r="P1838" s="89"/>
      <c r="Q1838" s="89"/>
      <c r="R1838" s="89"/>
      <c r="S1838" s="83"/>
      <c r="T1838" s="83"/>
      <c r="U1838" s="83"/>
      <c r="V1838" s="83"/>
      <c r="W1838" s="83"/>
      <c r="X1838" s="83"/>
      <c r="Y1838" s="83"/>
      <c r="Z1838" s="83"/>
      <c r="AA1838" s="83"/>
    </row>
    <row r="1839">
      <c r="A1839" s="83"/>
      <c r="B1839" s="89">
        <f t="shared" ref="B1839:B1851" si="566">B1838</f>
        <v>5000000</v>
      </c>
      <c r="C1839" s="89">
        <v>2.0</v>
      </c>
      <c r="D1839" s="89">
        <f t="shared" si="563"/>
        <v>2500000</v>
      </c>
      <c r="E1839" s="90">
        <f t="shared" ref="E1839:E1842" si="567">E1838</f>
        <v>312500</v>
      </c>
      <c r="F1839" s="89">
        <f t="shared" si="564"/>
        <v>625000</v>
      </c>
      <c r="G1839" s="89">
        <f t="shared" ref="G1839:G1842" si="568">G1838</f>
        <v>312500</v>
      </c>
      <c r="H1839" s="89">
        <f t="shared" si="565"/>
        <v>937500</v>
      </c>
      <c r="I1839" s="83"/>
      <c r="J1839" s="89"/>
      <c r="K1839" s="89"/>
      <c r="L1839" s="89"/>
      <c r="M1839" s="89"/>
      <c r="N1839" s="89"/>
      <c r="O1839" s="89"/>
      <c r="P1839" s="89"/>
      <c r="Q1839" s="89"/>
      <c r="R1839" s="89"/>
      <c r="S1839" s="83"/>
      <c r="T1839" s="83"/>
      <c r="U1839" s="83"/>
      <c r="V1839" s="83"/>
      <c r="W1839" s="83"/>
      <c r="X1839" s="83"/>
      <c r="Y1839" s="83"/>
      <c r="Z1839" s="83"/>
      <c r="AA1839" s="83"/>
    </row>
    <row r="1840">
      <c r="A1840" s="83"/>
      <c r="B1840" s="89">
        <f t="shared" si="566"/>
        <v>5000000</v>
      </c>
      <c r="C1840" s="89">
        <v>4.0</v>
      </c>
      <c r="D1840" s="89">
        <f t="shared" si="563"/>
        <v>1250000</v>
      </c>
      <c r="E1840" s="90">
        <f t="shared" si="567"/>
        <v>312500</v>
      </c>
      <c r="F1840" s="89">
        <f t="shared" si="564"/>
        <v>625000</v>
      </c>
      <c r="G1840" s="89">
        <f t="shared" si="568"/>
        <v>312500</v>
      </c>
      <c r="H1840" s="89">
        <f t="shared" si="565"/>
        <v>937500</v>
      </c>
      <c r="I1840" s="83"/>
      <c r="J1840" s="89"/>
      <c r="K1840" s="89"/>
      <c r="L1840" s="89"/>
      <c r="M1840" s="89"/>
      <c r="N1840" s="89"/>
      <c r="O1840" s="89"/>
      <c r="P1840" s="89"/>
      <c r="Q1840" s="89"/>
      <c r="R1840" s="89"/>
      <c r="S1840" s="83"/>
      <c r="T1840" s="83"/>
      <c r="U1840" s="83"/>
      <c r="V1840" s="83"/>
      <c r="W1840" s="83"/>
      <c r="X1840" s="83"/>
      <c r="Y1840" s="83"/>
      <c r="Z1840" s="83"/>
      <c r="AA1840" s="83"/>
    </row>
    <row r="1841">
      <c r="A1841" s="83"/>
      <c r="B1841" s="89">
        <f t="shared" si="566"/>
        <v>5000000</v>
      </c>
      <c r="C1841" s="89">
        <v>8.0</v>
      </c>
      <c r="D1841" s="89">
        <f t="shared" si="563"/>
        <v>625000</v>
      </c>
      <c r="E1841" s="90">
        <f t="shared" si="567"/>
        <v>312500</v>
      </c>
      <c r="F1841" s="89">
        <f t="shared" si="564"/>
        <v>625000</v>
      </c>
      <c r="G1841" s="89">
        <f t="shared" si="568"/>
        <v>312500</v>
      </c>
      <c r="H1841" s="89">
        <f t="shared" si="565"/>
        <v>937500</v>
      </c>
      <c r="I1841" s="83"/>
      <c r="J1841" s="89"/>
      <c r="K1841" s="89"/>
      <c r="L1841" s="89"/>
      <c r="M1841" s="89"/>
      <c r="N1841" s="89"/>
      <c r="O1841" s="89"/>
      <c r="P1841" s="89"/>
      <c r="Q1841" s="89"/>
      <c r="R1841" s="89"/>
      <c r="S1841" s="83"/>
      <c r="T1841" s="83"/>
      <c r="U1841" s="83"/>
      <c r="V1841" s="83"/>
      <c r="W1841" s="83"/>
      <c r="X1841" s="83"/>
      <c r="Y1841" s="83"/>
      <c r="Z1841" s="83"/>
      <c r="AA1841" s="83"/>
    </row>
    <row r="1842">
      <c r="A1842" s="83"/>
      <c r="B1842" s="89">
        <f t="shared" si="566"/>
        <v>5000000</v>
      </c>
      <c r="C1842" s="89">
        <v>16.0</v>
      </c>
      <c r="D1842" s="89">
        <f t="shared" si="563"/>
        <v>312500</v>
      </c>
      <c r="E1842" s="90">
        <f t="shared" si="567"/>
        <v>312500</v>
      </c>
      <c r="F1842" s="89">
        <f t="shared" si="564"/>
        <v>625000</v>
      </c>
      <c r="G1842" s="89">
        <f t="shared" si="568"/>
        <v>312500</v>
      </c>
      <c r="H1842" s="89">
        <f t="shared" si="565"/>
        <v>937500</v>
      </c>
      <c r="I1842" s="83"/>
      <c r="J1842" s="89"/>
      <c r="K1842" s="89"/>
      <c r="L1842" s="89"/>
      <c r="M1842" s="89"/>
      <c r="N1842" s="89"/>
      <c r="O1842" s="89"/>
      <c r="P1842" s="89"/>
      <c r="Q1842" s="89"/>
      <c r="R1842" s="89"/>
      <c r="S1842" s="83"/>
      <c r="T1842" s="83"/>
      <c r="U1842" s="83"/>
      <c r="V1842" s="83"/>
      <c r="W1842" s="83"/>
      <c r="X1842" s="83"/>
      <c r="Y1842" s="83"/>
      <c r="Z1842" s="83"/>
      <c r="AA1842" s="83"/>
    </row>
    <row r="1843">
      <c r="A1843" s="83"/>
      <c r="B1843" s="89">
        <f t="shared" si="566"/>
        <v>5000000</v>
      </c>
      <c r="C1843" s="89">
        <v>32.0</v>
      </c>
      <c r="D1843" s="89">
        <f t="shared" si="563"/>
        <v>156250</v>
      </c>
      <c r="E1843" s="90">
        <f>E1842/2</f>
        <v>156250</v>
      </c>
      <c r="F1843" s="89">
        <f t="shared" ref="F1843:G1843" si="569">F1842</f>
        <v>625000</v>
      </c>
      <c r="G1843" s="89">
        <f t="shared" si="569"/>
        <v>312500</v>
      </c>
      <c r="H1843" s="89">
        <f t="shared" si="565"/>
        <v>937500</v>
      </c>
      <c r="I1843" s="83"/>
      <c r="J1843" s="89"/>
      <c r="K1843" s="89"/>
      <c r="L1843" s="89"/>
      <c r="M1843" s="89"/>
      <c r="N1843" s="89"/>
      <c r="O1843" s="89"/>
      <c r="P1843" s="89"/>
      <c r="Q1843" s="89"/>
      <c r="R1843" s="89"/>
      <c r="S1843" s="83"/>
      <c r="T1843" s="83"/>
      <c r="U1843" s="83"/>
      <c r="V1843" s="83"/>
      <c r="W1843" s="83"/>
      <c r="X1843" s="83"/>
      <c r="Y1843" s="83"/>
      <c r="Z1843" s="83"/>
      <c r="AA1843" s="83"/>
    </row>
    <row r="1844">
      <c r="A1844" s="83"/>
      <c r="B1844" s="89">
        <f t="shared" si="566"/>
        <v>5000000</v>
      </c>
      <c r="C1844" s="89">
        <v>64.0</v>
      </c>
      <c r="D1844" s="89">
        <f t="shared" si="563"/>
        <v>78125</v>
      </c>
      <c r="E1844" s="90">
        <f>D1844*3</f>
        <v>234375</v>
      </c>
      <c r="F1844" s="89">
        <f>E1844*2</f>
        <v>468750</v>
      </c>
      <c r="G1844" s="89">
        <f t="shared" ref="G1844:G1851" si="570">G1843</f>
        <v>312500</v>
      </c>
      <c r="H1844" s="89">
        <f t="shared" si="565"/>
        <v>781250</v>
      </c>
      <c r="I1844" s="83"/>
      <c r="J1844" s="89"/>
      <c r="K1844" s="89"/>
      <c r="L1844" s="89"/>
      <c r="M1844" s="89"/>
      <c r="N1844" s="89"/>
      <c r="O1844" s="89"/>
      <c r="P1844" s="89"/>
      <c r="Q1844" s="89"/>
      <c r="R1844" s="89"/>
      <c r="S1844" s="83"/>
      <c r="T1844" s="83"/>
      <c r="U1844" s="83"/>
      <c r="V1844" s="83"/>
      <c r="W1844" s="83"/>
      <c r="X1844" s="83"/>
      <c r="Y1844" s="83"/>
      <c r="Z1844" s="83"/>
      <c r="AA1844" s="83"/>
    </row>
    <row r="1845">
      <c r="A1845" s="83"/>
      <c r="B1845" s="89">
        <f t="shared" si="566"/>
        <v>5000000</v>
      </c>
      <c r="C1845" s="89">
        <v>128.0</v>
      </c>
      <c r="D1845" s="89">
        <f t="shared" si="563"/>
        <v>39062.5</v>
      </c>
      <c r="E1845" s="90">
        <f t="shared" ref="E1845:E1851" si="571">E1844/2</f>
        <v>117187.5</v>
      </c>
      <c r="F1845" s="89">
        <f>F1842/8</f>
        <v>78125</v>
      </c>
      <c r="G1845" s="89">
        <f t="shared" si="570"/>
        <v>312500</v>
      </c>
      <c r="H1845" s="89">
        <f t="shared" si="565"/>
        <v>390625</v>
      </c>
      <c r="I1845" s="83"/>
      <c r="J1845" s="89"/>
      <c r="K1845" s="89"/>
      <c r="L1845" s="89"/>
      <c r="M1845" s="89"/>
      <c r="N1845" s="89"/>
      <c r="O1845" s="89"/>
      <c r="P1845" s="89"/>
      <c r="Q1845" s="89"/>
      <c r="R1845" s="89"/>
      <c r="S1845" s="83"/>
      <c r="T1845" s="83"/>
      <c r="U1845" s="83"/>
      <c r="V1845" s="83"/>
      <c r="W1845" s="83"/>
      <c r="X1845" s="83"/>
      <c r="Y1845" s="83"/>
      <c r="Z1845" s="83"/>
      <c r="AA1845" s="83"/>
    </row>
    <row r="1846">
      <c r="A1846" s="83"/>
      <c r="B1846" s="89">
        <f t="shared" si="566"/>
        <v>5000000</v>
      </c>
      <c r="C1846" s="89">
        <v>256.0</v>
      </c>
      <c r="D1846" s="89">
        <f t="shared" si="563"/>
        <v>19531.25</v>
      </c>
      <c r="E1846" s="90">
        <f t="shared" si="571"/>
        <v>58593.75</v>
      </c>
      <c r="F1846" s="89">
        <f>F1845/1.7</f>
        <v>45955.88235</v>
      </c>
      <c r="G1846" s="89">
        <f t="shared" si="570"/>
        <v>312500</v>
      </c>
      <c r="H1846" s="89">
        <f t="shared" si="565"/>
        <v>358455.8824</v>
      </c>
      <c r="I1846" s="83"/>
      <c r="J1846" s="89"/>
      <c r="K1846" s="89"/>
      <c r="L1846" s="89"/>
      <c r="M1846" s="89"/>
      <c r="N1846" s="89"/>
      <c r="O1846" s="89"/>
      <c r="P1846" s="89"/>
      <c r="Q1846" s="89"/>
      <c r="R1846" s="89"/>
      <c r="S1846" s="83"/>
      <c r="T1846" s="83"/>
      <c r="U1846" s="83"/>
      <c r="V1846" s="83"/>
      <c r="W1846" s="83"/>
      <c r="X1846" s="83"/>
      <c r="Y1846" s="83"/>
      <c r="Z1846" s="83"/>
      <c r="AA1846" s="83"/>
    </row>
    <row r="1847">
      <c r="A1847" s="83"/>
      <c r="B1847" s="89">
        <f t="shared" si="566"/>
        <v>5000000</v>
      </c>
      <c r="C1847" s="89">
        <v>512.0</v>
      </c>
      <c r="D1847" s="89">
        <f t="shared" si="563"/>
        <v>9765.625</v>
      </c>
      <c r="E1847" s="90">
        <f t="shared" si="571"/>
        <v>29296.875</v>
      </c>
      <c r="F1847" s="89">
        <f>F1846/1.5</f>
        <v>30637.2549</v>
      </c>
      <c r="G1847" s="89">
        <f t="shared" si="570"/>
        <v>312500</v>
      </c>
      <c r="H1847" s="89">
        <f t="shared" si="565"/>
        <v>343137.2549</v>
      </c>
      <c r="I1847" s="83"/>
      <c r="J1847" s="89"/>
      <c r="K1847" s="89"/>
      <c r="L1847" s="89"/>
      <c r="M1847" s="89"/>
      <c r="N1847" s="89"/>
      <c r="O1847" s="89"/>
      <c r="P1847" s="89"/>
      <c r="Q1847" s="89"/>
      <c r="R1847" s="89"/>
      <c r="S1847" s="83"/>
      <c r="T1847" s="83"/>
      <c r="U1847" s="83"/>
      <c r="V1847" s="83"/>
      <c r="W1847" s="83"/>
      <c r="X1847" s="83"/>
      <c r="Y1847" s="83"/>
      <c r="Z1847" s="83"/>
      <c r="AA1847" s="83"/>
    </row>
    <row r="1848">
      <c r="A1848" s="83"/>
      <c r="B1848" s="89">
        <f t="shared" si="566"/>
        <v>5000000</v>
      </c>
      <c r="C1848" s="89">
        <v>1024.0</v>
      </c>
      <c r="D1848" s="89">
        <f t="shared" si="563"/>
        <v>4882.8125</v>
      </c>
      <c r="E1848" s="90">
        <f t="shared" si="571"/>
        <v>14648.4375</v>
      </c>
      <c r="F1848" s="89">
        <f>F1847/1.3</f>
        <v>23567.11916</v>
      </c>
      <c r="G1848" s="89">
        <f t="shared" si="570"/>
        <v>312500</v>
      </c>
      <c r="H1848" s="89">
        <f t="shared" si="565"/>
        <v>336067.1192</v>
      </c>
      <c r="I1848" s="83"/>
      <c r="J1848" s="89"/>
      <c r="K1848" s="89"/>
      <c r="L1848" s="89"/>
      <c r="M1848" s="89"/>
      <c r="N1848" s="89"/>
      <c r="O1848" s="89"/>
      <c r="P1848" s="89"/>
      <c r="Q1848" s="89"/>
      <c r="R1848" s="89"/>
      <c r="S1848" s="83"/>
      <c r="T1848" s="83"/>
      <c r="U1848" s="83"/>
      <c r="V1848" s="83"/>
      <c r="W1848" s="83"/>
      <c r="X1848" s="83"/>
      <c r="Y1848" s="83"/>
      <c r="Z1848" s="83"/>
      <c r="AA1848" s="83"/>
    </row>
    <row r="1849">
      <c r="A1849" s="83"/>
      <c r="B1849" s="89">
        <f t="shared" si="566"/>
        <v>5000000</v>
      </c>
      <c r="C1849" s="89">
        <v>2048.0</v>
      </c>
      <c r="D1849" s="89">
        <f t="shared" si="563"/>
        <v>2441.40625</v>
      </c>
      <c r="E1849" s="90">
        <f t="shared" si="571"/>
        <v>7324.21875</v>
      </c>
      <c r="F1849" s="89">
        <f>F1848/1.2</f>
        <v>19639.26596</v>
      </c>
      <c r="G1849" s="89">
        <f t="shared" si="570"/>
        <v>312500</v>
      </c>
      <c r="H1849" s="89">
        <f t="shared" si="565"/>
        <v>332139.266</v>
      </c>
      <c r="I1849" s="83"/>
      <c r="J1849" s="89"/>
      <c r="K1849" s="89"/>
      <c r="L1849" s="89"/>
      <c r="M1849" s="89"/>
      <c r="N1849" s="89"/>
      <c r="O1849" s="89"/>
      <c r="P1849" s="89"/>
      <c r="Q1849" s="89"/>
      <c r="R1849" s="89"/>
      <c r="S1849" s="83"/>
      <c r="T1849" s="83"/>
      <c r="U1849" s="83"/>
      <c r="V1849" s="83"/>
      <c r="W1849" s="83"/>
      <c r="X1849" s="83"/>
      <c r="Y1849" s="83"/>
      <c r="Z1849" s="83"/>
      <c r="AA1849" s="83"/>
    </row>
    <row r="1850">
      <c r="A1850" s="83"/>
      <c r="B1850" s="89">
        <f t="shared" si="566"/>
        <v>5000000</v>
      </c>
      <c r="C1850" s="89">
        <v>4096.0</v>
      </c>
      <c r="D1850" s="89">
        <f t="shared" si="563"/>
        <v>1220.703125</v>
      </c>
      <c r="E1850" s="90">
        <f t="shared" si="571"/>
        <v>3662.109375</v>
      </c>
      <c r="F1850" s="89">
        <f>F1849/1.1</f>
        <v>17853.87815</v>
      </c>
      <c r="G1850" s="89">
        <f t="shared" si="570"/>
        <v>312500</v>
      </c>
      <c r="H1850" s="89">
        <f t="shared" si="565"/>
        <v>330353.8781</v>
      </c>
      <c r="I1850" s="83"/>
      <c r="J1850" s="83"/>
      <c r="K1850" s="83"/>
      <c r="L1850" s="83"/>
      <c r="M1850" s="83"/>
      <c r="N1850" s="83"/>
      <c r="O1850" s="83"/>
      <c r="P1850" s="83"/>
      <c r="Q1850" s="83"/>
      <c r="R1850" s="83"/>
      <c r="S1850" s="83"/>
      <c r="T1850" s="83"/>
      <c r="U1850" s="83"/>
      <c r="V1850" s="83"/>
      <c r="W1850" s="83"/>
      <c r="X1850" s="83"/>
      <c r="Y1850" s="83"/>
      <c r="Z1850" s="83"/>
      <c r="AA1850" s="83"/>
    </row>
    <row r="1851">
      <c r="A1851" s="83"/>
      <c r="B1851" s="89">
        <f t="shared" si="566"/>
        <v>5000000</v>
      </c>
      <c r="C1851" s="89">
        <v>8192.0</v>
      </c>
      <c r="D1851" s="89">
        <f t="shared" si="563"/>
        <v>610.3515625</v>
      </c>
      <c r="E1851" s="90">
        <f t="shared" si="571"/>
        <v>1831.054688</v>
      </c>
      <c r="F1851" s="89">
        <f>F1850/1</f>
        <v>17853.87815</v>
      </c>
      <c r="G1851" s="89">
        <f t="shared" si="570"/>
        <v>312500</v>
      </c>
      <c r="H1851" s="89">
        <f t="shared" si="565"/>
        <v>330353.8781</v>
      </c>
      <c r="I1851" s="83"/>
      <c r="J1851" s="83"/>
      <c r="K1851" s="83"/>
      <c r="L1851" s="83"/>
      <c r="M1851" s="83"/>
      <c r="N1851" s="83"/>
      <c r="O1851" s="83"/>
      <c r="P1851" s="83"/>
      <c r="Q1851" s="83"/>
      <c r="R1851" s="83"/>
      <c r="S1851" s="83"/>
      <c r="T1851" s="83"/>
      <c r="U1851" s="83"/>
      <c r="V1851" s="83"/>
      <c r="W1851" s="83"/>
      <c r="X1851" s="83"/>
      <c r="Y1851" s="83"/>
      <c r="Z1851" s="83"/>
      <c r="AA1851" s="83"/>
    </row>
    <row r="1852">
      <c r="A1852" s="83" t="s">
        <v>327</v>
      </c>
      <c r="B1852" s="83" t="s">
        <v>530</v>
      </c>
      <c r="C1852" s="83"/>
      <c r="D1852" s="83"/>
      <c r="E1852" s="85"/>
      <c r="F1852" s="83"/>
      <c r="G1852" s="83"/>
      <c r="H1852" s="83"/>
      <c r="I1852" s="83"/>
      <c r="J1852" s="83" t="s">
        <v>531</v>
      </c>
      <c r="K1852" s="83"/>
      <c r="L1852" s="83"/>
      <c r="M1852" s="83"/>
      <c r="N1852" s="83"/>
      <c r="O1852" s="83"/>
      <c r="P1852" s="83"/>
      <c r="Q1852" s="83"/>
      <c r="R1852" s="83" t="s">
        <v>532</v>
      </c>
      <c r="S1852" s="83"/>
      <c r="T1852" s="83"/>
      <c r="U1852" s="83"/>
      <c r="V1852" s="83"/>
      <c r="W1852" s="83"/>
      <c r="X1852" s="83"/>
      <c r="Y1852" s="83"/>
      <c r="Z1852" s="83"/>
      <c r="AA1852" s="83"/>
    </row>
    <row r="1853">
      <c r="A1853" s="83"/>
      <c r="B1853" s="83"/>
      <c r="C1853" s="83"/>
      <c r="D1853" s="83"/>
      <c r="E1853" s="85"/>
      <c r="F1853" s="83" t="s">
        <v>482</v>
      </c>
      <c r="G1853" s="83" t="s">
        <v>529</v>
      </c>
      <c r="H1853" s="83" t="s">
        <v>533</v>
      </c>
      <c r="I1853" s="83"/>
      <c r="J1853" s="83"/>
      <c r="K1853" s="83"/>
      <c r="L1853" s="83"/>
      <c r="M1853" s="83"/>
      <c r="N1853" s="83" t="s">
        <v>482</v>
      </c>
      <c r="O1853" s="83" t="s">
        <v>529</v>
      </c>
      <c r="P1853" s="83" t="s">
        <v>533</v>
      </c>
      <c r="Q1853" s="83"/>
      <c r="R1853" s="83"/>
      <c r="S1853" s="83"/>
      <c r="T1853" s="83"/>
      <c r="U1853" s="83"/>
      <c r="V1853" s="83" t="s">
        <v>482</v>
      </c>
      <c r="W1853" s="83" t="s">
        <v>529</v>
      </c>
      <c r="X1853" s="83" t="s">
        <v>533</v>
      </c>
      <c r="Y1853" s="83"/>
      <c r="Z1853" s="83"/>
      <c r="AA1853" s="83"/>
    </row>
    <row r="1854">
      <c r="A1854" s="83"/>
      <c r="B1854" s="84" t="s">
        <v>463</v>
      </c>
      <c r="C1854" s="84">
        <v>1.0</v>
      </c>
      <c r="D1854" s="84">
        <v>661538.0</v>
      </c>
      <c r="E1854" s="84">
        <v>671336.0</v>
      </c>
      <c r="F1854" s="89">
        <f t="shared" ref="F1854:F1867" si="572">D1854+E1854</f>
        <v>1332874</v>
      </c>
      <c r="G1854" s="89">
        <f t="shared" ref="G1854:G1867" si="573">H1838</f>
        <v>937500</v>
      </c>
      <c r="H1854" s="89">
        <f t="shared" ref="H1854:H1867" si="574">ABS((F1854-G1854)/F1854)*100</f>
        <v>29.663269</v>
      </c>
      <c r="I1854" s="83"/>
      <c r="J1854" s="84" t="s">
        <v>463</v>
      </c>
      <c r="K1854" s="84">
        <v>1.0</v>
      </c>
      <c r="L1854" s="84">
        <v>690573.0</v>
      </c>
      <c r="M1854" s="84">
        <v>420828.0</v>
      </c>
      <c r="N1854" s="89">
        <f t="shared" ref="N1854:N1867" si="575">L1854+M1854</f>
        <v>1111401</v>
      </c>
      <c r="O1854" s="89">
        <f t="shared" ref="O1854:O1867" si="576">H1838</f>
        <v>937500</v>
      </c>
      <c r="P1854" s="89">
        <f t="shared" ref="P1854:P1867" si="577">ABS((N1854-O1854)/N1854)*100</f>
        <v>15.6470077</v>
      </c>
      <c r="Q1854" s="83"/>
      <c r="R1854" s="84" t="s">
        <v>463</v>
      </c>
      <c r="S1854" s="84">
        <v>1.0</v>
      </c>
      <c r="T1854" s="84">
        <v>693441.0</v>
      </c>
      <c r="U1854" s="84">
        <v>394278.0</v>
      </c>
      <c r="V1854" s="89">
        <f t="shared" ref="V1854:V1867" si="578">T1854+U1854</f>
        <v>1087719</v>
      </c>
      <c r="W1854" s="89">
        <f t="shared" ref="W1854:W1867" si="579">H1838</f>
        <v>937500</v>
      </c>
      <c r="X1854" s="89">
        <f t="shared" ref="X1854:X1867" si="580">ABS((V1854-W1854)/V1854)*100</f>
        <v>13.81046024</v>
      </c>
      <c r="Y1854" s="83"/>
      <c r="Z1854" s="83"/>
      <c r="AA1854" s="83"/>
    </row>
    <row r="1855">
      <c r="A1855" s="83"/>
      <c r="B1855" s="84" t="s">
        <v>463</v>
      </c>
      <c r="C1855" s="84">
        <v>2.0</v>
      </c>
      <c r="D1855" s="84">
        <v>657797.0</v>
      </c>
      <c r="E1855" s="84">
        <v>666413.0</v>
      </c>
      <c r="F1855" s="89">
        <f t="shared" si="572"/>
        <v>1324210</v>
      </c>
      <c r="G1855" s="89">
        <f t="shared" si="573"/>
        <v>937500</v>
      </c>
      <c r="H1855" s="89">
        <f t="shared" si="574"/>
        <v>29.20307202</v>
      </c>
      <c r="I1855" s="83"/>
      <c r="J1855" s="84" t="s">
        <v>463</v>
      </c>
      <c r="K1855" s="84">
        <v>2.0</v>
      </c>
      <c r="L1855" s="84">
        <v>689615.0</v>
      </c>
      <c r="M1855" s="84">
        <v>408019.0</v>
      </c>
      <c r="N1855" s="89">
        <f t="shared" si="575"/>
        <v>1097634</v>
      </c>
      <c r="O1855" s="89">
        <f t="shared" si="576"/>
        <v>937500</v>
      </c>
      <c r="P1855" s="89">
        <f t="shared" si="577"/>
        <v>14.58901601</v>
      </c>
      <c r="Q1855" s="83"/>
      <c r="R1855" s="84" t="s">
        <v>463</v>
      </c>
      <c r="S1855" s="84">
        <v>2.0</v>
      </c>
      <c r="T1855" s="84">
        <v>681889.0</v>
      </c>
      <c r="U1855" s="84">
        <v>368500.0</v>
      </c>
      <c r="V1855" s="89">
        <f t="shared" si="578"/>
        <v>1050389</v>
      </c>
      <c r="W1855" s="89">
        <f t="shared" si="579"/>
        <v>937500</v>
      </c>
      <c r="X1855" s="89">
        <f t="shared" si="580"/>
        <v>10.7473517</v>
      </c>
      <c r="Y1855" s="83"/>
      <c r="Z1855" s="83"/>
      <c r="AA1855" s="83"/>
    </row>
    <row r="1856">
      <c r="A1856" s="83"/>
      <c r="B1856" s="84" t="s">
        <v>463</v>
      </c>
      <c r="C1856" s="84">
        <v>4.0</v>
      </c>
      <c r="D1856" s="84">
        <v>656195.0</v>
      </c>
      <c r="E1856" s="84">
        <v>668746.0</v>
      </c>
      <c r="F1856" s="89">
        <f t="shared" si="572"/>
        <v>1324941</v>
      </c>
      <c r="G1856" s="89">
        <f t="shared" si="573"/>
        <v>937500</v>
      </c>
      <c r="H1856" s="89">
        <f t="shared" si="574"/>
        <v>29.24213229</v>
      </c>
      <c r="I1856" s="83"/>
      <c r="J1856" s="84" t="s">
        <v>463</v>
      </c>
      <c r="K1856" s="84">
        <v>4.0</v>
      </c>
      <c r="L1856" s="84">
        <v>718276.0</v>
      </c>
      <c r="M1856" s="84">
        <v>417374.0</v>
      </c>
      <c r="N1856" s="89">
        <f t="shared" si="575"/>
        <v>1135650</v>
      </c>
      <c r="O1856" s="89">
        <f t="shared" si="576"/>
        <v>937500</v>
      </c>
      <c r="P1856" s="89">
        <f t="shared" si="577"/>
        <v>17.44815744</v>
      </c>
      <c r="Q1856" s="83"/>
      <c r="R1856" s="84" t="s">
        <v>463</v>
      </c>
      <c r="S1856" s="84">
        <v>4.0</v>
      </c>
      <c r="T1856" s="84">
        <v>680341.0</v>
      </c>
      <c r="U1856" s="84">
        <v>367015.0</v>
      </c>
      <c r="V1856" s="89">
        <f t="shared" si="578"/>
        <v>1047356</v>
      </c>
      <c r="W1856" s="89">
        <f t="shared" si="579"/>
        <v>937500</v>
      </c>
      <c r="X1856" s="89">
        <f t="shared" si="580"/>
        <v>10.48888821</v>
      </c>
      <c r="Y1856" s="83"/>
      <c r="Z1856" s="83"/>
      <c r="AA1856" s="83"/>
    </row>
    <row r="1857">
      <c r="A1857" s="83"/>
      <c r="B1857" s="84" t="s">
        <v>463</v>
      </c>
      <c r="C1857" s="84">
        <v>8.0</v>
      </c>
      <c r="D1857" s="84">
        <v>657811.0</v>
      </c>
      <c r="E1857" s="84">
        <v>661997.0</v>
      </c>
      <c r="F1857" s="89">
        <f t="shared" si="572"/>
        <v>1319808</v>
      </c>
      <c r="G1857" s="89">
        <f t="shared" si="573"/>
        <v>937500</v>
      </c>
      <c r="H1857" s="89">
        <f t="shared" si="574"/>
        <v>28.96694065</v>
      </c>
      <c r="I1857" s="83"/>
      <c r="J1857" s="84" t="s">
        <v>463</v>
      </c>
      <c r="K1857" s="84">
        <v>8.0</v>
      </c>
      <c r="L1857" s="84">
        <v>689222.0</v>
      </c>
      <c r="M1857" s="84">
        <v>413834.0</v>
      </c>
      <c r="N1857" s="89">
        <f t="shared" si="575"/>
        <v>1103056</v>
      </c>
      <c r="O1857" s="89">
        <f t="shared" si="576"/>
        <v>937500</v>
      </c>
      <c r="P1857" s="89">
        <f t="shared" si="577"/>
        <v>15.00884815</v>
      </c>
      <c r="Q1857" s="83"/>
      <c r="R1857" s="84" t="s">
        <v>463</v>
      </c>
      <c r="S1857" s="84">
        <v>8.0</v>
      </c>
      <c r="T1857" s="84">
        <v>677905.0</v>
      </c>
      <c r="U1857" s="84">
        <v>333138.0</v>
      </c>
      <c r="V1857" s="89">
        <f t="shared" si="578"/>
        <v>1011043</v>
      </c>
      <c r="W1857" s="89">
        <f t="shared" si="579"/>
        <v>937500</v>
      </c>
      <c r="X1857" s="89">
        <f t="shared" si="580"/>
        <v>7.273973511</v>
      </c>
      <c r="Y1857" s="83"/>
      <c r="Z1857" s="83"/>
      <c r="AA1857" s="83"/>
    </row>
    <row r="1858">
      <c r="A1858" s="83"/>
      <c r="B1858" s="84" t="s">
        <v>463</v>
      </c>
      <c r="C1858" s="84">
        <v>16.0</v>
      </c>
      <c r="D1858" s="84">
        <v>653290.0</v>
      </c>
      <c r="E1858" s="84">
        <v>676047.0</v>
      </c>
      <c r="F1858" s="89">
        <f t="shared" si="572"/>
        <v>1329337</v>
      </c>
      <c r="G1858" s="89">
        <f t="shared" si="573"/>
        <v>937500</v>
      </c>
      <c r="H1858" s="89">
        <f t="shared" si="574"/>
        <v>29.47612231</v>
      </c>
      <c r="I1858" s="83"/>
      <c r="J1858" s="84" t="s">
        <v>463</v>
      </c>
      <c r="K1858" s="84">
        <v>16.0</v>
      </c>
      <c r="L1858" s="84">
        <v>680987.0</v>
      </c>
      <c r="M1858" s="84">
        <v>363413.0</v>
      </c>
      <c r="N1858" s="89">
        <f t="shared" si="575"/>
        <v>1044400</v>
      </c>
      <c r="O1858" s="89">
        <f t="shared" si="576"/>
        <v>937500</v>
      </c>
      <c r="P1858" s="89">
        <f t="shared" si="577"/>
        <v>10.23554194</v>
      </c>
      <c r="Q1858" s="83"/>
      <c r="R1858" s="84" t="s">
        <v>463</v>
      </c>
      <c r="S1858" s="84">
        <v>16.0</v>
      </c>
      <c r="T1858" s="84">
        <v>675916.0</v>
      </c>
      <c r="U1858" s="84">
        <v>356200.0</v>
      </c>
      <c r="V1858" s="89">
        <f t="shared" si="578"/>
        <v>1032116</v>
      </c>
      <c r="W1858" s="89">
        <f t="shared" si="579"/>
        <v>937500</v>
      </c>
      <c r="X1858" s="89">
        <f t="shared" si="580"/>
        <v>9.167186634</v>
      </c>
      <c r="Y1858" s="83"/>
      <c r="Z1858" s="83"/>
      <c r="AA1858" s="83"/>
    </row>
    <row r="1859">
      <c r="A1859" s="83"/>
      <c r="B1859" s="84" t="s">
        <v>463</v>
      </c>
      <c r="C1859" s="84">
        <v>32.0</v>
      </c>
      <c r="D1859" s="84">
        <v>612403.0</v>
      </c>
      <c r="E1859" s="84">
        <v>640974.0</v>
      </c>
      <c r="F1859" s="89">
        <f t="shared" si="572"/>
        <v>1253377</v>
      </c>
      <c r="G1859" s="89">
        <f t="shared" si="573"/>
        <v>937500</v>
      </c>
      <c r="H1859" s="89">
        <f t="shared" si="574"/>
        <v>25.20207408</v>
      </c>
      <c r="I1859" s="83"/>
      <c r="J1859" s="84" t="s">
        <v>463</v>
      </c>
      <c r="K1859" s="84">
        <v>32.0</v>
      </c>
      <c r="L1859" s="84">
        <v>535534.0</v>
      </c>
      <c r="M1859" s="84">
        <v>373868.0</v>
      </c>
      <c r="N1859" s="89">
        <f t="shared" si="575"/>
        <v>909402</v>
      </c>
      <c r="O1859" s="89">
        <f t="shared" si="576"/>
        <v>937500</v>
      </c>
      <c r="P1859" s="89">
        <f t="shared" si="577"/>
        <v>3.089722697</v>
      </c>
      <c r="Q1859" s="83"/>
      <c r="R1859" s="84" t="s">
        <v>463</v>
      </c>
      <c r="S1859" s="84">
        <v>32.0</v>
      </c>
      <c r="T1859" s="84">
        <v>521247.0</v>
      </c>
      <c r="U1859" s="84">
        <v>362681.0</v>
      </c>
      <c r="V1859" s="89">
        <f t="shared" si="578"/>
        <v>883928</v>
      </c>
      <c r="W1859" s="89">
        <f t="shared" si="579"/>
        <v>937500</v>
      </c>
      <c r="X1859" s="89">
        <f t="shared" si="580"/>
        <v>6.060674625</v>
      </c>
      <c r="Y1859" s="83"/>
      <c r="Z1859" s="83"/>
      <c r="AA1859" s="83"/>
    </row>
    <row r="1860">
      <c r="A1860" s="83"/>
      <c r="B1860" s="84" t="s">
        <v>463</v>
      </c>
      <c r="C1860" s="84">
        <v>64.0</v>
      </c>
      <c r="D1860" s="84">
        <v>378065.0</v>
      </c>
      <c r="E1860" s="84">
        <v>531613.0</v>
      </c>
      <c r="F1860" s="89">
        <f t="shared" si="572"/>
        <v>909678</v>
      </c>
      <c r="G1860" s="89">
        <f t="shared" si="573"/>
        <v>781250</v>
      </c>
      <c r="H1860" s="89">
        <f t="shared" si="574"/>
        <v>14.11796262</v>
      </c>
      <c r="I1860" s="83"/>
      <c r="J1860" s="84" t="s">
        <v>463</v>
      </c>
      <c r="K1860" s="84">
        <v>64.0</v>
      </c>
      <c r="L1860" s="84">
        <v>309740.0</v>
      </c>
      <c r="M1860" s="84">
        <v>344318.0</v>
      </c>
      <c r="N1860" s="89">
        <f t="shared" si="575"/>
        <v>654058</v>
      </c>
      <c r="O1860" s="89">
        <f t="shared" si="576"/>
        <v>781250</v>
      </c>
      <c r="P1860" s="89">
        <f t="shared" si="577"/>
        <v>19.44659342</v>
      </c>
      <c r="Q1860" s="83"/>
      <c r="R1860" s="84" t="s">
        <v>463</v>
      </c>
      <c r="S1860" s="84">
        <v>64.0</v>
      </c>
      <c r="T1860" s="84">
        <v>289079.0</v>
      </c>
      <c r="U1860" s="84">
        <v>325507.0</v>
      </c>
      <c r="V1860" s="89">
        <f t="shared" si="578"/>
        <v>614586</v>
      </c>
      <c r="W1860" s="89">
        <f t="shared" si="579"/>
        <v>781250</v>
      </c>
      <c r="X1860" s="89">
        <f t="shared" si="580"/>
        <v>27.1180925</v>
      </c>
      <c r="Y1860" s="83"/>
      <c r="Z1860" s="83"/>
      <c r="AA1860" s="83"/>
    </row>
    <row r="1861">
      <c r="A1861" s="83"/>
      <c r="B1861" s="84" t="s">
        <v>463</v>
      </c>
      <c r="C1861" s="84">
        <v>128.0</v>
      </c>
      <c r="D1861" s="84">
        <v>98042.0</v>
      </c>
      <c r="E1861" s="84">
        <v>346368.0</v>
      </c>
      <c r="F1861" s="89">
        <f t="shared" si="572"/>
        <v>444410</v>
      </c>
      <c r="G1861" s="89">
        <f t="shared" si="573"/>
        <v>390625</v>
      </c>
      <c r="H1861" s="89">
        <f t="shared" si="574"/>
        <v>12.10256295</v>
      </c>
      <c r="I1861" s="83"/>
      <c r="J1861" s="84" t="s">
        <v>463</v>
      </c>
      <c r="K1861" s="84">
        <v>128.0</v>
      </c>
      <c r="L1861" s="84">
        <v>106836.0</v>
      </c>
      <c r="M1861" s="84">
        <v>316697.0</v>
      </c>
      <c r="N1861" s="89">
        <f t="shared" si="575"/>
        <v>423533</v>
      </c>
      <c r="O1861" s="89">
        <f t="shared" si="576"/>
        <v>390625</v>
      </c>
      <c r="P1861" s="89">
        <f t="shared" si="577"/>
        <v>7.769878616</v>
      </c>
      <c r="Q1861" s="83"/>
      <c r="R1861" s="84" t="s">
        <v>463</v>
      </c>
      <c r="S1861" s="84">
        <v>128.0</v>
      </c>
      <c r="T1861" s="84">
        <v>104312.0</v>
      </c>
      <c r="U1861" s="84">
        <v>313467.0</v>
      </c>
      <c r="V1861" s="89">
        <f t="shared" si="578"/>
        <v>417779</v>
      </c>
      <c r="W1861" s="89">
        <f t="shared" si="579"/>
        <v>390625</v>
      </c>
      <c r="X1861" s="89">
        <f t="shared" si="580"/>
        <v>6.499608645</v>
      </c>
      <c r="Y1861" s="83"/>
      <c r="Z1861" s="83"/>
      <c r="AA1861" s="83"/>
    </row>
    <row r="1862">
      <c r="A1862" s="83"/>
      <c r="B1862" s="84" t="s">
        <v>463</v>
      </c>
      <c r="C1862" s="84">
        <v>256.0</v>
      </c>
      <c r="D1862" s="84">
        <v>60442.0</v>
      </c>
      <c r="E1862" s="84">
        <v>327992.0</v>
      </c>
      <c r="F1862" s="89">
        <f t="shared" si="572"/>
        <v>388434</v>
      </c>
      <c r="G1862" s="89">
        <f t="shared" si="573"/>
        <v>358455.8824</v>
      </c>
      <c r="H1862" s="89">
        <f t="shared" si="574"/>
        <v>7.717686311</v>
      </c>
      <c r="I1862" s="83"/>
      <c r="J1862" s="84" t="s">
        <v>463</v>
      </c>
      <c r="K1862" s="84">
        <v>256.0</v>
      </c>
      <c r="L1862" s="84">
        <v>65993.0</v>
      </c>
      <c r="M1862" s="84">
        <v>301346.0</v>
      </c>
      <c r="N1862" s="89">
        <f t="shared" si="575"/>
        <v>367339</v>
      </c>
      <c r="O1862" s="89">
        <f t="shared" si="576"/>
        <v>358455.8824</v>
      </c>
      <c r="P1862" s="89">
        <f t="shared" si="577"/>
        <v>2.418234287</v>
      </c>
      <c r="Q1862" s="83"/>
      <c r="R1862" s="84" t="s">
        <v>463</v>
      </c>
      <c r="S1862" s="84">
        <v>256.0</v>
      </c>
      <c r="T1862" s="84">
        <v>63850.0</v>
      </c>
      <c r="U1862" s="84">
        <v>294955.0</v>
      </c>
      <c r="V1862" s="89">
        <f t="shared" si="578"/>
        <v>358805</v>
      </c>
      <c r="W1862" s="89">
        <f t="shared" si="579"/>
        <v>358455.8824</v>
      </c>
      <c r="X1862" s="89">
        <f t="shared" si="580"/>
        <v>0.09730010648</v>
      </c>
      <c r="Y1862" s="83"/>
      <c r="Z1862" s="83"/>
      <c r="AA1862" s="83"/>
    </row>
    <row r="1863">
      <c r="A1863" s="83"/>
      <c r="B1863" s="84" t="s">
        <v>463</v>
      </c>
      <c r="C1863" s="84">
        <v>512.0</v>
      </c>
      <c r="D1863" s="84">
        <v>40911.0</v>
      </c>
      <c r="E1863" s="84">
        <v>320315.0</v>
      </c>
      <c r="F1863" s="89">
        <f t="shared" si="572"/>
        <v>361226</v>
      </c>
      <c r="G1863" s="89">
        <f t="shared" si="573"/>
        <v>343137.2549</v>
      </c>
      <c r="H1863" s="89">
        <f t="shared" si="574"/>
        <v>5.007597764</v>
      </c>
      <c r="I1863" s="83"/>
      <c r="J1863" s="84" t="s">
        <v>463</v>
      </c>
      <c r="K1863" s="84">
        <v>512.0</v>
      </c>
      <c r="L1863" s="84">
        <v>45606.0</v>
      </c>
      <c r="M1863" s="84">
        <v>317591.0</v>
      </c>
      <c r="N1863" s="89">
        <f t="shared" si="575"/>
        <v>363197</v>
      </c>
      <c r="O1863" s="89">
        <f t="shared" si="576"/>
        <v>343137.2549</v>
      </c>
      <c r="P1863" s="89">
        <f t="shared" si="577"/>
        <v>5.523103191</v>
      </c>
      <c r="Q1863" s="83"/>
      <c r="R1863" s="84" t="s">
        <v>463</v>
      </c>
      <c r="S1863" s="84">
        <v>512.0</v>
      </c>
      <c r="T1863" s="84">
        <v>43095.0</v>
      </c>
      <c r="U1863" s="84">
        <v>295971.0</v>
      </c>
      <c r="V1863" s="89">
        <f t="shared" si="578"/>
        <v>339066</v>
      </c>
      <c r="W1863" s="89">
        <f t="shared" si="579"/>
        <v>343137.2549</v>
      </c>
      <c r="X1863" s="89">
        <f t="shared" si="580"/>
        <v>1.200726378</v>
      </c>
      <c r="Y1863" s="83"/>
      <c r="Z1863" s="83"/>
      <c r="AA1863" s="83"/>
    </row>
    <row r="1864">
      <c r="A1864" s="83"/>
      <c r="B1864" s="84" t="s">
        <v>463</v>
      </c>
      <c r="C1864" s="84">
        <v>1024.0</v>
      </c>
      <c r="D1864" s="84">
        <v>33610.0</v>
      </c>
      <c r="E1864" s="84">
        <v>317236.0</v>
      </c>
      <c r="F1864" s="89">
        <f t="shared" si="572"/>
        <v>350846</v>
      </c>
      <c r="G1864" s="89">
        <f t="shared" si="573"/>
        <v>336067.1192</v>
      </c>
      <c r="H1864" s="89">
        <f t="shared" si="574"/>
        <v>4.212355519</v>
      </c>
      <c r="I1864" s="83"/>
      <c r="J1864" s="84" t="s">
        <v>463</v>
      </c>
      <c r="K1864" s="84">
        <v>1024.0</v>
      </c>
      <c r="L1864" s="84">
        <v>34185.0</v>
      </c>
      <c r="M1864" s="84">
        <v>291922.0</v>
      </c>
      <c r="N1864" s="89">
        <f t="shared" si="575"/>
        <v>326107</v>
      </c>
      <c r="O1864" s="89">
        <f t="shared" si="576"/>
        <v>336067.1192</v>
      </c>
      <c r="P1864" s="89">
        <f t="shared" si="577"/>
        <v>3.054248806</v>
      </c>
      <c r="Q1864" s="83"/>
      <c r="R1864" s="84" t="s">
        <v>463</v>
      </c>
      <c r="S1864" s="84">
        <v>1024.0</v>
      </c>
      <c r="T1864" s="84">
        <v>35047.0</v>
      </c>
      <c r="U1864" s="84">
        <v>303863.0</v>
      </c>
      <c r="V1864" s="89">
        <f t="shared" si="578"/>
        <v>338910</v>
      </c>
      <c r="W1864" s="89">
        <f t="shared" si="579"/>
        <v>336067.1192</v>
      </c>
      <c r="X1864" s="89">
        <f t="shared" si="580"/>
        <v>0.8388306172</v>
      </c>
      <c r="Y1864" s="83"/>
      <c r="Z1864" s="83"/>
      <c r="AA1864" s="83"/>
    </row>
    <row r="1865">
      <c r="A1865" s="83"/>
      <c r="B1865" s="84" t="s">
        <v>463</v>
      </c>
      <c r="C1865" s="84">
        <v>2048.0</v>
      </c>
      <c r="D1865" s="84">
        <v>24010.0</v>
      </c>
      <c r="E1865" s="84">
        <v>300829.0</v>
      </c>
      <c r="F1865" s="89">
        <f t="shared" si="572"/>
        <v>324839</v>
      </c>
      <c r="G1865" s="89">
        <f t="shared" si="573"/>
        <v>332139.266</v>
      </c>
      <c r="H1865" s="89">
        <f t="shared" si="574"/>
        <v>2.247348983</v>
      </c>
      <c r="I1865" s="83"/>
      <c r="J1865" s="84" t="s">
        <v>463</v>
      </c>
      <c r="K1865" s="84">
        <v>2048.0</v>
      </c>
      <c r="L1865" s="84">
        <v>27876.0</v>
      </c>
      <c r="M1865" s="84">
        <v>300433.0</v>
      </c>
      <c r="N1865" s="89">
        <f t="shared" si="575"/>
        <v>328309</v>
      </c>
      <c r="O1865" s="89">
        <f t="shared" si="576"/>
        <v>332139.266</v>
      </c>
      <c r="P1865" s="89">
        <f t="shared" si="577"/>
        <v>1.166664929</v>
      </c>
      <c r="Q1865" s="83"/>
      <c r="R1865" s="84" t="s">
        <v>463</v>
      </c>
      <c r="S1865" s="84">
        <v>2048.0</v>
      </c>
      <c r="T1865" s="84">
        <v>25240.0</v>
      </c>
      <c r="U1865" s="84">
        <v>270346.0</v>
      </c>
      <c r="V1865" s="89">
        <f t="shared" si="578"/>
        <v>295586</v>
      </c>
      <c r="W1865" s="89">
        <f t="shared" si="579"/>
        <v>332139.266</v>
      </c>
      <c r="X1865" s="89">
        <f t="shared" si="580"/>
        <v>12.36637255</v>
      </c>
      <c r="Y1865" s="83"/>
      <c r="Z1865" s="83"/>
      <c r="AA1865" s="83"/>
    </row>
    <row r="1866">
      <c r="A1866" s="83"/>
      <c r="B1866" s="84" t="s">
        <v>463</v>
      </c>
      <c r="C1866" s="84">
        <v>4096.0</v>
      </c>
      <c r="D1866" s="84">
        <v>19746.0</v>
      </c>
      <c r="E1866" s="84">
        <v>271523.0</v>
      </c>
      <c r="F1866" s="89">
        <f t="shared" si="572"/>
        <v>291269</v>
      </c>
      <c r="G1866" s="89">
        <f t="shared" si="573"/>
        <v>330353.8781</v>
      </c>
      <c r="H1866" s="89">
        <f t="shared" si="574"/>
        <v>13.41882526</v>
      </c>
      <c r="I1866" s="83"/>
      <c r="J1866" s="84" t="s">
        <v>463</v>
      </c>
      <c r="K1866" s="84">
        <v>4096.0</v>
      </c>
      <c r="L1866" s="84">
        <v>25247.0</v>
      </c>
      <c r="M1866" s="84">
        <v>301621.0</v>
      </c>
      <c r="N1866" s="89">
        <f t="shared" si="575"/>
        <v>326868</v>
      </c>
      <c r="O1866" s="89">
        <f t="shared" si="576"/>
        <v>330353.8781</v>
      </c>
      <c r="P1866" s="89">
        <f t="shared" si="577"/>
        <v>1.066448275</v>
      </c>
      <c r="Q1866" s="83"/>
      <c r="R1866" s="84" t="s">
        <v>463</v>
      </c>
      <c r="S1866" s="84">
        <v>4096.0</v>
      </c>
      <c r="T1866" s="84">
        <v>21279.0</v>
      </c>
      <c r="U1866" s="84">
        <v>251432.0</v>
      </c>
      <c r="V1866" s="89">
        <f t="shared" si="578"/>
        <v>272711</v>
      </c>
      <c r="W1866" s="89">
        <f t="shared" si="579"/>
        <v>330353.8781</v>
      </c>
      <c r="X1866" s="89">
        <f t="shared" si="580"/>
        <v>21.13698316</v>
      </c>
      <c r="Y1866" s="83"/>
      <c r="Z1866" s="83"/>
      <c r="AA1866" s="83"/>
    </row>
    <row r="1867">
      <c r="A1867" s="83"/>
      <c r="B1867" s="84" t="s">
        <v>463</v>
      </c>
      <c r="C1867" s="84">
        <v>8192.0</v>
      </c>
      <c r="D1867" s="84">
        <v>18373.0</v>
      </c>
      <c r="E1867" s="84">
        <v>293675.0</v>
      </c>
      <c r="F1867" s="89">
        <f t="shared" si="572"/>
        <v>312048</v>
      </c>
      <c r="G1867" s="89">
        <f t="shared" si="573"/>
        <v>330353.8781</v>
      </c>
      <c r="H1867" s="89">
        <f t="shared" si="574"/>
        <v>5.866366119</v>
      </c>
      <c r="I1867" s="83"/>
      <c r="J1867" s="84" t="s">
        <v>463</v>
      </c>
      <c r="K1867" s="84">
        <v>8192.0</v>
      </c>
      <c r="L1867" s="84">
        <v>22402.0</v>
      </c>
      <c r="M1867" s="84">
        <v>296588.0</v>
      </c>
      <c r="N1867" s="89">
        <f t="shared" si="575"/>
        <v>318990</v>
      </c>
      <c r="O1867" s="89">
        <f t="shared" si="576"/>
        <v>330353.8781</v>
      </c>
      <c r="P1867" s="89">
        <f t="shared" si="577"/>
        <v>3.562455923</v>
      </c>
      <c r="Q1867" s="83"/>
      <c r="R1867" s="84" t="s">
        <v>463</v>
      </c>
      <c r="S1867" s="84">
        <v>8192.0</v>
      </c>
      <c r="T1867" s="84">
        <v>21805.0</v>
      </c>
      <c r="U1867" s="84">
        <v>278534.0</v>
      </c>
      <c r="V1867" s="89">
        <f t="shared" si="578"/>
        <v>300339</v>
      </c>
      <c r="W1867" s="89">
        <f t="shared" si="579"/>
        <v>330353.8781</v>
      </c>
      <c r="X1867" s="89">
        <f t="shared" si="580"/>
        <v>9.993666539</v>
      </c>
      <c r="Y1867" s="83"/>
      <c r="Z1867" s="83"/>
      <c r="AA1867" s="83"/>
    </row>
    <row r="1868">
      <c r="A1868" s="83"/>
      <c r="B1868" s="83"/>
      <c r="C1868" s="83"/>
      <c r="D1868" s="83"/>
      <c r="E1868" s="85"/>
      <c r="F1868" s="83"/>
      <c r="G1868" s="83"/>
      <c r="H1868" s="83"/>
      <c r="I1868" s="83"/>
      <c r="J1868" s="83"/>
      <c r="K1868" s="83"/>
      <c r="L1868" s="83"/>
      <c r="M1868" s="83"/>
      <c r="N1868" s="83"/>
      <c r="O1868" s="83"/>
      <c r="P1868" s="83"/>
      <c r="Q1868" s="83"/>
      <c r="R1868" s="83"/>
      <c r="S1868" s="83"/>
      <c r="T1868" s="83"/>
      <c r="U1868" s="83"/>
      <c r="V1868" s="83"/>
      <c r="W1868" s="83"/>
      <c r="X1868" s="83"/>
      <c r="Y1868" s="83"/>
      <c r="Z1868" s="83"/>
      <c r="AA1868" s="83"/>
    </row>
    <row r="1869">
      <c r="A1869" s="83"/>
      <c r="B1869" s="83"/>
      <c r="C1869" s="83"/>
      <c r="D1869" s="83"/>
      <c r="E1869" s="85"/>
      <c r="F1869" s="83"/>
      <c r="G1869" s="83"/>
      <c r="H1869" s="83"/>
      <c r="I1869" s="83"/>
      <c r="J1869" s="83"/>
      <c r="K1869" s="83"/>
      <c r="L1869" s="83"/>
      <c r="M1869" s="83"/>
      <c r="N1869" s="83"/>
      <c r="O1869" s="83"/>
      <c r="P1869" s="83"/>
      <c r="Q1869" s="83"/>
      <c r="R1869" s="83"/>
      <c r="S1869" s="83"/>
      <c r="T1869" s="83"/>
      <c r="U1869" s="83"/>
      <c r="V1869" s="83"/>
      <c r="W1869" s="83"/>
      <c r="X1869" s="83"/>
      <c r="Y1869" s="83"/>
      <c r="Z1869" s="83"/>
      <c r="AA1869" s="83"/>
    </row>
    <row r="1870">
      <c r="A1870" s="83"/>
      <c r="B1870" s="83"/>
      <c r="C1870" s="83"/>
      <c r="D1870" s="83"/>
      <c r="E1870" s="85"/>
      <c r="F1870" s="83"/>
      <c r="G1870" s="83"/>
      <c r="H1870" s="83"/>
      <c r="I1870" s="83"/>
      <c r="J1870" s="83"/>
      <c r="K1870" s="83"/>
      <c r="L1870" s="83"/>
      <c r="M1870" s="83"/>
      <c r="N1870" s="83"/>
      <c r="O1870" s="83"/>
      <c r="P1870" s="83"/>
      <c r="Q1870" s="83"/>
      <c r="R1870" s="83"/>
      <c r="S1870" s="83"/>
      <c r="T1870" s="83"/>
      <c r="U1870" s="83"/>
      <c r="V1870" s="83"/>
      <c r="W1870" s="83"/>
      <c r="X1870" s="83"/>
      <c r="Y1870" s="83"/>
      <c r="Z1870" s="83"/>
      <c r="AA1870" s="83"/>
    </row>
    <row r="1871">
      <c r="A1871" s="83"/>
      <c r="B1871" s="83"/>
      <c r="C1871" s="3" t="s">
        <v>324</v>
      </c>
      <c r="D1871" s="3" t="s">
        <v>534</v>
      </c>
      <c r="E1871" s="3" t="s">
        <v>535</v>
      </c>
      <c r="F1871" s="3" t="s">
        <v>536</v>
      </c>
      <c r="G1871" s="83"/>
      <c r="H1871" s="83"/>
      <c r="I1871" s="83"/>
      <c r="J1871" s="83"/>
      <c r="K1871" s="83"/>
      <c r="L1871" s="83"/>
      <c r="M1871" s="83"/>
      <c r="N1871" s="83"/>
      <c r="O1871" s="83"/>
      <c r="P1871" s="83"/>
      <c r="Q1871" s="83"/>
      <c r="R1871" s="83"/>
      <c r="S1871" s="83"/>
      <c r="T1871" s="83"/>
      <c r="U1871" s="83"/>
      <c r="V1871" s="83"/>
      <c r="W1871" s="83"/>
      <c r="X1871" s="83"/>
      <c r="Y1871" s="83"/>
      <c r="Z1871" s="83"/>
      <c r="AA1871" s="83"/>
    </row>
    <row r="1872">
      <c r="A1872" s="83"/>
      <c r="B1872" s="83"/>
      <c r="C1872" s="89">
        <v>1.0</v>
      </c>
      <c r="D1872" s="88">
        <f t="shared" ref="D1872:D1885" si="581">H1854</f>
        <v>29.663269</v>
      </c>
      <c r="E1872" s="88">
        <f t="shared" ref="E1872:E1885" si="582">P1854</f>
        <v>15.6470077</v>
      </c>
      <c r="F1872" s="88">
        <f t="shared" ref="F1872:F1885" si="583">X1854</f>
        <v>13.81046024</v>
      </c>
      <c r="G1872" s="83"/>
      <c r="H1872" s="91" t="str">
        <f>M1412&amp;"=["&amp;M1413&amp;", "&amp;M1414&amp;", "&amp;M1415&amp;", "&amp;D1896&amp;", "&amp;D1876&amp;", "&amp;D1877&amp;", "&amp;D1878&amp;", "&amp;D1879&amp;", "&amp;D1880&amp;", "&amp;D1881&amp;", "&amp;D1882&amp;", "&amp;D1883&amp;", "&amp;D1884&amp;", "&amp;D1885&amp;"]"</f>
        <v>bwell=[94290043, 9456100, 952568, , 29.4761223075864, 25.2020740766745, 14.1179626197402, 12.1025629486285, 7.71768631146058, 5.00759776373772, 4.21235551912963, 2.24734898297167, 13.4188252604966, 5.86636611931363]</v>
      </c>
      <c r="I1872" s="92"/>
      <c r="J1872" s="92"/>
      <c r="K1872" s="92"/>
      <c r="L1872" s="92"/>
      <c r="M1872" s="92"/>
      <c r="N1872" s="92"/>
      <c r="O1872" s="92"/>
      <c r="P1872" s="92"/>
      <c r="Q1872" s="92"/>
      <c r="R1872" s="92"/>
      <c r="S1872" s="92"/>
      <c r="T1872" s="92"/>
      <c r="U1872" s="92"/>
      <c r="V1872" s="92"/>
      <c r="W1872" s="92"/>
      <c r="X1872" s="92"/>
      <c r="Y1872" s="83"/>
      <c r="Z1872" s="83"/>
      <c r="AA1872" s="83"/>
    </row>
    <row r="1873">
      <c r="A1873" s="83"/>
      <c r="B1873" s="83"/>
      <c r="C1873" s="89">
        <v>2.0</v>
      </c>
      <c r="D1873" s="88">
        <f t="shared" si="581"/>
        <v>29.20307202</v>
      </c>
      <c r="E1873" s="88">
        <f t="shared" si="582"/>
        <v>14.58901601</v>
      </c>
      <c r="F1873" s="88">
        <f t="shared" si="583"/>
        <v>10.7473517</v>
      </c>
      <c r="G1873" s="83"/>
      <c r="H1873" s="93" t="str">
        <f>N1412&amp;"=["&amp;N1413&amp;", "&amp;N1414&amp;", "&amp;N1415&amp;", "&amp;E1896&amp;", "&amp;E1876&amp;", "&amp;E1877&amp;", "&amp;E1878&amp;", "&amp;E1879&amp;", "&amp;E1880&amp;", "&amp;E1881&amp;", "&amp;E1882&amp;", "&amp;E1883&amp;", "&amp;E1884&amp;", "&amp;E1885&amp;"]"</f>
        <v>pred=[93750000, 9375000, 937500, , 10.2355419379548, 3.08972269689312, 19.4465934213785, 7.76987861630617, 2.41823428687365, 5.52310319139178, 3.05424880648206, 1.16666492931822, 1.06644827514342, 3.56245592275488]</v>
      </c>
      <c r="I1873" s="92"/>
      <c r="J1873" s="92"/>
      <c r="K1873" s="92"/>
      <c r="L1873" s="92"/>
      <c r="M1873" s="92"/>
      <c r="N1873" s="92"/>
      <c r="O1873" s="92"/>
      <c r="P1873" s="92"/>
      <c r="Q1873" s="92"/>
      <c r="R1873" s="92"/>
      <c r="S1873" s="92"/>
      <c r="T1873" s="92"/>
      <c r="U1873" s="92"/>
      <c r="V1873" s="92"/>
      <c r="W1873" s="92"/>
      <c r="X1873" s="92"/>
      <c r="Y1873" s="92"/>
      <c r="Z1873" s="83"/>
      <c r="AA1873" s="83"/>
    </row>
    <row r="1874">
      <c r="A1874" s="83"/>
      <c r="B1874" s="83"/>
      <c r="C1874" s="89">
        <v>4.0</v>
      </c>
      <c r="D1874" s="88">
        <f t="shared" si="581"/>
        <v>29.24213229</v>
      </c>
      <c r="E1874" s="88">
        <f t="shared" si="582"/>
        <v>17.44815744</v>
      </c>
      <c r="F1874" s="88">
        <f t="shared" si="583"/>
        <v>10.48888821</v>
      </c>
      <c r="G1874" s="83"/>
      <c r="H1874" s="93" t="str">
        <f>O1412&amp;"=["&amp;O1413&amp;", "&amp;O1414&amp;", "&amp;O1415&amp;", "&amp;F1896&amp;", "&amp;F1876&amp;", "&amp;F1877&amp;", "&amp;F1878&amp;", "&amp;F1879&amp;", "&amp;F1880&amp;", "&amp;F1881&amp;", "&amp;F1882&amp;", "&amp;F1883&amp;", "&amp;F1884&amp;", "&amp;F1885&amp;"]"</f>
        <v>accuracy=[0.572746583645104, 0.857647444506721, 1.58182932871984, , 9.16718663406051, 6.06067462508259, 27.1180925045478, 6.49960864476194, 0.0973001064809008, 1.20072637833365, 0.838830617168438, 12.3663725490366, 21.1369831609271, 9.99366653947566]</v>
      </c>
      <c r="I1874" s="92"/>
      <c r="J1874" s="92"/>
      <c r="K1874" s="92"/>
      <c r="L1874" s="92"/>
      <c r="M1874" s="92"/>
      <c r="N1874" s="92"/>
      <c r="O1874" s="92"/>
      <c r="P1874" s="92"/>
      <c r="Q1874" s="92"/>
      <c r="R1874" s="92"/>
      <c r="S1874" s="92"/>
      <c r="T1874" s="92"/>
      <c r="U1874" s="92"/>
      <c r="V1874" s="92"/>
      <c r="W1874" s="92"/>
      <c r="X1874" s="92"/>
      <c r="Y1874" s="92"/>
      <c r="Z1874" s="83"/>
      <c r="AA1874" s="83"/>
    </row>
    <row r="1875">
      <c r="A1875" s="83"/>
      <c r="B1875" s="83"/>
      <c r="C1875" s="89">
        <v>8.0</v>
      </c>
      <c r="D1875" s="88">
        <f t="shared" si="581"/>
        <v>28.96694065</v>
      </c>
      <c r="E1875" s="88">
        <f t="shared" si="582"/>
        <v>15.00884815</v>
      </c>
      <c r="F1875" s="88">
        <f t="shared" si="583"/>
        <v>7.273973511</v>
      </c>
      <c r="G1875" s="83"/>
      <c r="H1875" s="83"/>
      <c r="I1875" s="83"/>
      <c r="J1875" s="83"/>
      <c r="K1875" s="83"/>
      <c r="L1875" s="83"/>
      <c r="M1875" s="83"/>
      <c r="N1875" s="83"/>
      <c r="O1875" s="83"/>
      <c r="P1875" s="83"/>
      <c r="Q1875" s="83"/>
      <c r="R1875" s="83"/>
      <c r="S1875" s="83"/>
      <c r="T1875" s="83"/>
      <c r="U1875" s="83"/>
      <c r="V1875" s="83"/>
      <c r="W1875" s="83"/>
      <c r="X1875" s="83"/>
      <c r="Y1875" s="83"/>
      <c r="Z1875" s="83"/>
      <c r="AA1875" s="83"/>
    </row>
    <row r="1876">
      <c r="A1876" s="83"/>
      <c r="B1876" s="83"/>
      <c r="C1876" s="89">
        <v>16.0</v>
      </c>
      <c r="D1876" s="88">
        <f t="shared" si="581"/>
        <v>29.47612231</v>
      </c>
      <c r="E1876" s="88">
        <f t="shared" si="582"/>
        <v>10.23554194</v>
      </c>
      <c r="F1876" s="88">
        <f t="shared" si="583"/>
        <v>9.167186634</v>
      </c>
      <c r="G1876" s="83"/>
      <c r="H1876" s="83"/>
      <c r="I1876" s="83"/>
      <c r="J1876" s="83"/>
      <c r="K1876" s="83"/>
      <c r="L1876" s="83"/>
      <c r="M1876" s="83"/>
      <c r="N1876" s="83"/>
      <c r="O1876" s="83"/>
      <c r="P1876" s="83"/>
      <c r="Q1876" s="83"/>
      <c r="R1876" s="83"/>
      <c r="S1876" s="83"/>
      <c r="T1876" s="83"/>
      <c r="U1876" s="83"/>
      <c r="V1876" s="83"/>
      <c r="W1876" s="83"/>
      <c r="X1876" s="83"/>
      <c r="Y1876" s="83"/>
      <c r="Z1876" s="83"/>
      <c r="AA1876" s="83"/>
    </row>
    <row r="1877">
      <c r="A1877" s="83"/>
      <c r="B1877" s="83"/>
      <c r="C1877" s="89">
        <v>32.0</v>
      </c>
      <c r="D1877" s="88">
        <f t="shared" si="581"/>
        <v>25.20207408</v>
      </c>
      <c r="E1877" s="88">
        <f t="shared" si="582"/>
        <v>3.089722697</v>
      </c>
      <c r="F1877" s="88">
        <f t="shared" si="583"/>
        <v>6.060674625</v>
      </c>
      <c r="G1877" s="83"/>
      <c r="H1877" s="83"/>
      <c r="I1877" s="83"/>
      <c r="J1877" s="83"/>
      <c r="K1877" s="83"/>
      <c r="L1877" s="83"/>
      <c r="M1877" s="83"/>
      <c r="N1877" s="83"/>
      <c r="O1877" s="83"/>
      <c r="P1877" s="83"/>
      <c r="Q1877" s="83"/>
      <c r="R1877" s="83"/>
      <c r="S1877" s="83"/>
      <c r="T1877" s="83"/>
      <c r="U1877" s="83"/>
      <c r="V1877" s="83"/>
      <c r="W1877" s="83"/>
      <c r="X1877" s="83"/>
      <c r="Y1877" s="83"/>
      <c r="Z1877" s="83"/>
      <c r="AA1877" s="83"/>
    </row>
    <row r="1878">
      <c r="A1878" s="83"/>
      <c r="B1878" s="83"/>
      <c r="C1878" s="89">
        <v>64.0</v>
      </c>
      <c r="D1878" s="88">
        <f t="shared" si="581"/>
        <v>14.11796262</v>
      </c>
      <c r="E1878" s="88">
        <f t="shared" si="582"/>
        <v>19.44659342</v>
      </c>
      <c r="F1878" s="88">
        <f t="shared" si="583"/>
        <v>27.1180925</v>
      </c>
      <c r="G1878" s="83"/>
      <c r="H1878" s="83"/>
      <c r="I1878" s="83"/>
      <c r="J1878" s="83"/>
      <c r="K1878" s="83"/>
      <c r="L1878" s="83"/>
      <c r="M1878" s="83"/>
      <c r="N1878" s="83"/>
      <c r="O1878" s="83"/>
      <c r="P1878" s="83"/>
      <c r="Q1878" s="83"/>
      <c r="R1878" s="83"/>
      <c r="S1878" s="83"/>
      <c r="T1878" s="83"/>
      <c r="U1878" s="83"/>
      <c r="V1878" s="83"/>
      <c r="W1878" s="83"/>
      <c r="X1878" s="83"/>
      <c r="Y1878" s="83"/>
      <c r="Z1878" s="83"/>
      <c r="AA1878" s="83"/>
    </row>
    <row r="1879">
      <c r="A1879" s="83"/>
      <c r="B1879" s="83"/>
      <c r="C1879" s="89">
        <v>128.0</v>
      </c>
      <c r="D1879" s="88">
        <f t="shared" si="581"/>
        <v>12.10256295</v>
      </c>
      <c r="E1879" s="88">
        <f t="shared" si="582"/>
        <v>7.769878616</v>
      </c>
      <c r="F1879" s="88">
        <f t="shared" si="583"/>
        <v>6.499608645</v>
      </c>
      <c r="G1879" s="83"/>
      <c r="H1879" s="83"/>
      <c r="I1879" s="83"/>
      <c r="J1879" s="83"/>
      <c r="K1879" s="83"/>
      <c r="L1879" s="83"/>
      <c r="M1879" s="83"/>
      <c r="N1879" s="83"/>
      <c r="O1879" s="83"/>
      <c r="P1879" s="83"/>
      <c r="Q1879" s="83"/>
      <c r="R1879" s="83"/>
      <c r="S1879" s="83"/>
      <c r="T1879" s="83"/>
      <c r="U1879" s="83"/>
      <c r="V1879" s="83"/>
      <c r="W1879" s="83"/>
      <c r="X1879" s="83"/>
      <c r="Y1879" s="83"/>
      <c r="Z1879" s="83"/>
      <c r="AA1879" s="83"/>
    </row>
    <row r="1880">
      <c r="A1880" s="83"/>
      <c r="B1880" s="83"/>
      <c r="C1880" s="89">
        <v>256.0</v>
      </c>
      <c r="D1880" s="88">
        <f t="shared" si="581"/>
        <v>7.717686311</v>
      </c>
      <c r="E1880" s="88">
        <f t="shared" si="582"/>
        <v>2.418234287</v>
      </c>
      <c r="F1880" s="88">
        <f t="shared" si="583"/>
        <v>0.09730010648</v>
      </c>
      <c r="G1880" s="83"/>
      <c r="H1880" s="83"/>
      <c r="I1880" s="83"/>
      <c r="J1880" s="83"/>
      <c r="K1880" s="83"/>
      <c r="L1880" s="83"/>
      <c r="M1880" s="83"/>
      <c r="N1880" s="83"/>
      <c r="O1880" s="83"/>
      <c r="P1880" s="83"/>
      <c r="Q1880" s="83"/>
      <c r="R1880" s="83"/>
      <c r="S1880" s="83"/>
      <c r="T1880" s="83"/>
      <c r="U1880" s="83"/>
      <c r="V1880" s="83"/>
      <c r="W1880" s="83"/>
      <c r="X1880" s="83"/>
      <c r="Y1880" s="83"/>
      <c r="Z1880" s="83"/>
      <c r="AA1880" s="83"/>
    </row>
    <row r="1881">
      <c r="A1881" s="83"/>
      <c r="B1881" s="83"/>
      <c r="C1881" s="89">
        <v>512.0</v>
      </c>
      <c r="D1881" s="88">
        <f t="shared" si="581"/>
        <v>5.007597764</v>
      </c>
      <c r="E1881" s="88">
        <f t="shared" si="582"/>
        <v>5.523103191</v>
      </c>
      <c r="F1881" s="88">
        <f t="shared" si="583"/>
        <v>1.200726378</v>
      </c>
      <c r="G1881" s="83"/>
      <c r="H1881" s="83"/>
      <c r="I1881" s="83"/>
      <c r="J1881" s="83"/>
      <c r="K1881" s="83"/>
      <c r="L1881" s="83"/>
      <c r="M1881" s="83"/>
      <c r="N1881" s="83"/>
      <c r="O1881" s="83"/>
      <c r="P1881" s="83"/>
      <c r="Q1881" s="83"/>
      <c r="R1881" s="83"/>
      <c r="S1881" s="83"/>
      <c r="T1881" s="83"/>
      <c r="U1881" s="83"/>
      <c r="V1881" s="83"/>
      <c r="W1881" s="83"/>
      <c r="X1881" s="83"/>
      <c r="Y1881" s="83"/>
      <c r="Z1881" s="83"/>
      <c r="AA1881" s="83"/>
    </row>
    <row r="1882">
      <c r="A1882" s="83"/>
      <c r="B1882" s="83"/>
      <c r="C1882" s="89">
        <v>1024.0</v>
      </c>
      <c r="D1882" s="88">
        <f t="shared" si="581"/>
        <v>4.212355519</v>
      </c>
      <c r="E1882" s="88">
        <f t="shared" si="582"/>
        <v>3.054248806</v>
      </c>
      <c r="F1882" s="88">
        <f t="shared" si="583"/>
        <v>0.8388306172</v>
      </c>
      <c r="G1882" s="83"/>
      <c r="H1882" s="83"/>
      <c r="I1882" s="83"/>
      <c r="J1882" s="83"/>
      <c r="K1882" s="83"/>
      <c r="L1882" s="83"/>
      <c r="M1882" s="83"/>
      <c r="N1882" s="83"/>
      <c r="O1882" s="83"/>
      <c r="P1882" s="83"/>
      <c r="Q1882" s="83"/>
      <c r="R1882" s="83"/>
      <c r="S1882" s="83"/>
      <c r="T1882" s="83"/>
      <c r="U1882" s="83"/>
      <c r="V1882" s="83"/>
      <c r="W1882" s="83"/>
      <c r="X1882" s="83"/>
      <c r="Y1882" s="83"/>
      <c r="Z1882" s="83"/>
      <c r="AA1882" s="83"/>
    </row>
    <row r="1883">
      <c r="A1883" s="83"/>
      <c r="B1883" s="83"/>
      <c r="C1883" s="89">
        <v>2048.0</v>
      </c>
      <c r="D1883" s="88">
        <f t="shared" si="581"/>
        <v>2.247348983</v>
      </c>
      <c r="E1883" s="88">
        <f t="shared" si="582"/>
        <v>1.166664929</v>
      </c>
      <c r="F1883" s="88">
        <f t="shared" si="583"/>
        <v>12.36637255</v>
      </c>
      <c r="G1883" s="83"/>
      <c r="H1883" s="83"/>
      <c r="I1883" s="83"/>
      <c r="J1883" s="83"/>
      <c r="K1883" s="83"/>
      <c r="L1883" s="83"/>
      <c r="M1883" s="83"/>
      <c r="N1883" s="83"/>
      <c r="O1883" s="83"/>
      <c r="P1883" s="83"/>
      <c r="Q1883" s="83"/>
      <c r="R1883" s="83"/>
      <c r="S1883" s="83"/>
      <c r="T1883" s="83"/>
      <c r="U1883" s="83"/>
      <c r="V1883" s="83"/>
      <c r="W1883" s="83"/>
      <c r="X1883" s="83"/>
      <c r="Y1883" s="83"/>
      <c r="Z1883" s="83"/>
      <c r="AA1883" s="83"/>
    </row>
    <row r="1884">
      <c r="A1884" s="83"/>
      <c r="B1884" s="83"/>
      <c r="C1884" s="89">
        <v>4096.0</v>
      </c>
      <c r="D1884" s="88">
        <f t="shared" si="581"/>
        <v>13.41882526</v>
      </c>
      <c r="E1884" s="88">
        <f t="shared" si="582"/>
        <v>1.066448275</v>
      </c>
      <c r="F1884" s="88">
        <f t="shared" si="583"/>
        <v>21.13698316</v>
      </c>
      <c r="G1884" s="83"/>
      <c r="H1884" s="83"/>
      <c r="I1884" s="83"/>
      <c r="J1884" s="83"/>
      <c r="K1884" s="83"/>
      <c r="L1884" s="83"/>
      <c r="M1884" s="83"/>
      <c r="N1884" s="83"/>
      <c r="O1884" s="83"/>
      <c r="P1884" s="83"/>
      <c r="Q1884" s="83"/>
      <c r="R1884" s="83"/>
      <c r="S1884" s="83"/>
      <c r="T1884" s="83"/>
      <c r="U1884" s="83"/>
      <c r="V1884" s="83"/>
      <c r="W1884" s="83"/>
      <c r="X1884" s="83"/>
      <c r="Y1884" s="83"/>
      <c r="Z1884" s="83"/>
      <c r="AA1884" s="83"/>
    </row>
    <row r="1885">
      <c r="A1885" s="83"/>
      <c r="B1885" s="83"/>
      <c r="C1885" s="89">
        <v>8192.0</v>
      </c>
      <c r="D1885" s="88">
        <f t="shared" si="581"/>
        <v>5.866366119</v>
      </c>
      <c r="E1885" s="88">
        <f t="shared" si="582"/>
        <v>3.562455923</v>
      </c>
      <c r="F1885" s="88">
        <f t="shared" si="583"/>
        <v>9.993666539</v>
      </c>
      <c r="G1885" s="83"/>
      <c r="H1885" s="83"/>
      <c r="I1885" s="83"/>
      <c r="J1885" s="83"/>
      <c r="K1885" s="83"/>
      <c r="L1885" s="83"/>
      <c r="M1885" s="83"/>
      <c r="N1885" s="83"/>
      <c r="O1885" s="83"/>
      <c r="P1885" s="83"/>
      <c r="Q1885" s="83"/>
      <c r="R1885" s="83"/>
      <c r="S1885" s="83"/>
      <c r="T1885" s="83"/>
      <c r="U1885" s="83"/>
      <c r="V1885" s="83"/>
      <c r="W1885" s="83"/>
      <c r="X1885" s="83"/>
      <c r="Y1885" s="83"/>
      <c r="Z1885" s="83"/>
      <c r="AA1885" s="83"/>
    </row>
    <row r="1886">
      <c r="A1886" s="83"/>
      <c r="B1886" s="83"/>
      <c r="C1886" s="83"/>
      <c r="D1886" s="83"/>
      <c r="E1886" s="85"/>
      <c r="F1886" s="83"/>
      <c r="G1886" s="83"/>
      <c r="H1886" s="83"/>
      <c r="I1886" s="83"/>
      <c r="J1886" s="83"/>
      <c r="K1886" s="83"/>
      <c r="L1886" s="83"/>
      <c r="M1886" s="83"/>
      <c r="N1886" s="83"/>
      <c r="O1886" s="83"/>
      <c r="P1886" s="83"/>
      <c r="Q1886" s="83"/>
      <c r="R1886" s="83"/>
      <c r="S1886" s="83"/>
      <c r="T1886" s="83"/>
      <c r="U1886" s="83"/>
      <c r="V1886" s="83"/>
      <c r="W1886" s="83"/>
      <c r="X1886" s="83"/>
      <c r="Y1886" s="83"/>
      <c r="Z1886" s="83"/>
      <c r="AA1886" s="83"/>
    </row>
    <row r="1887">
      <c r="A1887" s="83"/>
      <c r="B1887" s="83"/>
      <c r="C1887" s="83"/>
      <c r="D1887" s="83"/>
      <c r="E1887" s="85"/>
      <c r="F1887" s="83"/>
      <c r="G1887" s="83"/>
      <c r="H1887" s="83"/>
      <c r="I1887" s="83"/>
      <c r="J1887" s="83"/>
      <c r="K1887" s="83"/>
      <c r="L1887" s="83"/>
      <c r="M1887" s="83"/>
      <c r="N1887" s="83"/>
      <c r="O1887" s="83"/>
      <c r="P1887" s="83"/>
      <c r="Q1887" s="83"/>
      <c r="R1887" s="83"/>
      <c r="S1887" s="83"/>
      <c r="T1887" s="83"/>
      <c r="U1887" s="83"/>
      <c r="V1887" s="83"/>
      <c r="W1887" s="83"/>
      <c r="X1887" s="83"/>
      <c r="Y1887" s="83"/>
      <c r="Z1887" s="83"/>
      <c r="AA1887" s="83"/>
    </row>
    <row r="1888">
      <c r="A1888" s="83"/>
      <c r="B1888" s="83"/>
      <c r="C1888" s="83"/>
      <c r="D1888" s="83"/>
      <c r="E1888" s="85"/>
      <c r="F1888" s="83"/>
      <c r="G1888" s="83"/>
      <c r="H1888" s="83"/>
      <c r="I1888" s="83"/>
      <c r="J1888" s="83"/>
      <c r="K1888" s="83"/>
      <c r="L1888" s="83"/>
      <c r="M1888" s="83"/>
      <c r="N1888" s="83"/>
      <c r="O1888" s="83"/>
      <c r="P1888" s="83"/>
      <c r="Q1888" s="83"/>
      <c r="R1888" s="83"/>
      <c r="S1888" s="83"/>
      <c r="T1888" s="83"/>
      <c r="U1888" s="83"/>
      <c r="V1888" s="83"/>
      <c r="W1888" s="83"/>
      <c r="X1888" s="83"/>
      <c r="Y1888" s="83"/>
      <c r="Z1888" s="83"/>
      <c r="AA1888" s="83"/>
    </row>
    <row r="1889">
      <c r="A1889" s="83"/>
      <c r="B1889" s="83"/>
      <c r="C1889" s="83"/>
      <c r="D1889" s="83"/>
      <c r="E1889" s="85"/>
      <c r="F1889" s="83"/>
      <c r="G1889" s="83"/>
      <c r="H1889" s="83"/>
      <c r="I1889" s="83"/>
      <c r="J1889" s="83"/>
      <c r="K1889" s="83"/>
      <c r="L1889" s="83"/>
      <c r="M1889" s="83"/>
      <c r="N1889" s="83"/>
      <c r="O1889" s="83"/>
      <c r="P1889" s="83"/>
      <c r="Q1889" s="83"/>
      <c r="R1889" s="83"/>
      <c r="S1889" s="83"/>
      <c r="T1889" s="83"/>
      <c r="U1889" s="83"/>
      <c r="V1889" s="83"/>
      <c r="W1889" s="83"/>
      <c r="X1889" s="83"/>
      <c r="Y1889" s="83"/>
      <c r="Z1889" s="83"/>
      <c r="AA1889" s="83"/>
    </row>
    <row r="1890">
      <c r="A1890" s="83"/>
      <c r="B1890" s="83"/>
      <c r="Q1890" s="83"/>
      <c r="R1890" s="83"/>
      <c r="S1890" s="83"/>
      <c r="T1890" s="83"/>
      <c r="U1890" s="83"/>
      <c r="V1890" s="83"/>
      <c r="W1890" s="83"/>
      <c r="X1890" s="83"/>
      <c r="Y1890" s="83"/>
      <c r="Z1890" s="83"/>
      <c r="AA1890" s="83"/>
    </row>
    <row r="1891">
      <c r="A1891" s="83"/>
      <c r="B1891" s="83"/>
      <c r="Q1891" s="83"/>
      <c r="R1891" s="83"/>
      <c r="S1891" s="83"/>
      <c r="T1891" s="83"/>
      <c r="U1891" s="83"/>
      <c r="V1891" s="83"/>
      <c r="W1891" s="83"/>
      <c r="X1891" s="83"/>
      <c r="Y1891" s="83"/>
      <c r="Z1891" s="83"/>
      <c r="AA1891" s="83"/>
    </row>
    <row r="1892">
      <c r="A1892" s="83"/>
      <c r="B1892" s="83"/>
      <c r="Q1892" s="83"/>
      <c r="R1892" s="83"/>
      <c r="S1892" s="83"/>
      <c r="T1892" s="83"/>
      <c r="U1892" s="83"/>
      <c r="V1892" s="83"/>
      <c r="W1892" s="83"/>
      <c r="X1892" s="83"/>
      <c r="Y1892" s="83"/>
      <c r="Z1892" s="83"/>
      <c r="AA1892" s="83"/>
    </row>
    <row r="1894">
      <c r="A1894" s="3" t="s">
        <v>544</v>
      </c>
    </row>
    <row r="1895">
      <c r="A1895" s="3" t="s">
        <v>545</v>
      </c>
    </row>
    <row r="1896">
      <c r="C1896" s="89"/>
      <c r="D1896" s="88"/>
      <c r="E1896" s="88"/>
      <c r="F1896" s="88"/>
    </row>
    <row r="1897">
      <c r="A1897" s="3" t="s">
        <v>546</v>
      </c>
      <c r="B1897" s="3" t="s">
        <v>547</v>
      </c>
      <c r="E1897" s="3"/>
    </row>
    <row r="1898">
      <c r="B1898" s="3" t="s">
        <v>211</v>
      </c>
      <c r="C1898" s="3" t="s">
        <v>212</v>
      </c>
      <c r="D1898" s="3" t="s">
        <v>213</v>
      </c>
      <c r="E1898" s="3">
        <v>4798560.0</v>
      </c>
    </row>
    <row r="1899">
      <c r="B1899" s="3" t="s">
        <v>214</v>
      </c>
      <c r="C1899" s="3" t="s">
        <v>212</v>
      </c>
      <c r="D1899" s="3" t="s">
        <v>213</v>
      </c>
      <c r="E1899" s="3">
        <v>4690090.0</v>
      </c>
    </row>
    <row r="1900">
      <c r="B1900" s="3" t="s">
        <v>215</v>
      </c>
      <c r="C1900" s="3" t="s">
        <v>212</v>
      </c>
      <c r="D1900" s="3" t="s">
        <v>213</v>
      </c>
      <c r="E1900" s="3">
        <v>4798648.0</v>
      </c>
    </row>
    <row r="1901">
      <c r="B1901" s="3" t="s">
        <v>216</v>
      </c>
      <c r="C1901" s="3" t="s">
        <v>212</v>
      </c>
      <c r="D1901" s="3" t="s">
        <v>213</v>
      </c>
      <c r="E1901" s="3">
        <v>4690195.0</v>
      </c>
      <c r="F1901" s="30">
        <f>E1898+E1899+E1900+E1901</f>
        <v>18977493</v>
      </c>
    </row>
    <row r="1902">
      <c r="B1902" s="3" t="s">
        <v>211</v>
      </c>
      <c r="C1902" s="3" t="s">
        <v>217</v>
      </c>
      <c r="D1902" s="3" t="s">
        <v>213</v>
      </c>
      <c r="E1902" s="3">
        <v>1749057.0</v>
      </c>
    </row>
    <row r="1903">
      <c r="B1903" s="3" t="s">
        <v>214</v>
      </c>
      <c r="C1903" s="3" t="s">
        <v>217</v>
      </c>
      <c r="D1903" s="3" t="s">
        <v>213</v>
      </c>
      <c r="E1903" s="3">
        <v>1640740.0</v>
      </c>
    </row>
    <row r="1904">
      <c r="B1904" s="3" t="s">
        <v>215</v>
      </c>
      <c r="C1904" s="3" t="s">
        <v>217</v>
      </c>
      <c r="D1904" s="3" t="s">
        <v>213</v>
      </c>
      <c r="E1904" s="3">
        <v>1749142.0</v>
      </c>
    </row>
    <row r="1905">
      <c r="B1905" s="3" t="s">
        <v>216</v>
      </c>
      <c r="C1905" s="3" t="s">
        <v>217</v>
      </c>
      <c r="D1905" s="3" t="s">
        <v>213</v>
      </c>
      <c r="E1905" s="3">
        <v>1640844.0</v>
      </c>
      <c r="F1905" s="30">
        <f>E1902+E1903+E1904+E1905</f>
        <v>6779783</v>
      </c>
    </row>
    <row r="1906">
      <c r="E1906" s="3"/>
    </row>
    <row r="1907">
      <c r="A1907" s="3" t="s">
        <v>548</v>
      </c>
      <c r="B1907" s="3" t="s">
        <v>549</v>
      </c>
      <c r="E1907" s="3"/>
    </row>
    <row r="1908">
      <c r="B1908" s="3" t="s">
        <v>211</v>
      </c>
      <c r="C1908" s="3" t="s">
        <v>212</v>
      </c>
      <c r="D1908" s="3" t="s">
        <v>213</v>
      </c>
      <c r="E1908" s="3">
        <v>3302337.0</v>
      </c>
    </row>
    <row r="1909">
      <c r="B1909" s="3" t="s">
        <v>214</v>
      </c>
      <c r="C1909" s="3" t="s">
        <v>212</v>
      </c>
      <c r="D1909" s="3" t="s">
        <v>213</v>
      </c>
      <c r="E1909" s="3">
        <v>3284497.0</v>
      </c>
    </row>
    <row r="1910">
      <c r="B1910" s="3" t="s">
        <v>215</v>
      </c>
      <c r="C1910" s="3" t="s">
        <v>212</v>
      </c>
      <c r="D1910" s="3" t="s">
        <v>213</v>
      </c>
      <c r="E1910" s="3">
        <v>3306222.0</v>
      </c>
    </row>
    <row r="1911">
      <c r="B1911" s="3" t="s">
        <v>216</v>
      </c>
      <c r="C1911" s="3" t="s">
        <v>212</v>
      </c>
      <c r="D1911" s="3" t="s">
        <v>213</v>
      </c>
      <c r="E1911" s="3">
        <v>3288312.0</v>
      </c>
      <c r="F1911" s="30">
        <f>E1908+E1909+E1910+E1911</f>
        <v>13181368</v>
      </c>
    </row>
    <row r="1912">
      <c r="B1912" s="3" t="s">
        <v>211</v>
      </c>
      <c r="C1912" s="3" t="s">
        <v>217</v>
      </c>
      <c r="D1912" s="3" t="s">
        <v>213</v>
      </c>
      <c r="E1912" s="3">
        <v>1797741.0</v>
      </c>
    </row>
    <row r="1913">
      <c r="B1913" s="3" t="s">
        <v>214</v>
      </c>
      <c r="C1913" s="3" t="s">
        <v>217</v>
      </c>
      <c r="D1913" s="3" t="s">
        <v>213</v>
      </c>
      <c r="E1913" s="3">
        <v>1779591.0</v>
      </c>
    </row>
    <row r="1914">
      <c r="B1914" s="3" t="s">
        <v>215</v>
      </c>
      <c r="C1914" s="3" t="s">
        <v>217</v>
      </c>
      <c r="D1914" s="3" t="s">
        <v>213</v>
      </c>
      <c r="E1914" s="3">
        <v>1799458.0</v>
      </c>
    </row>
    <row r="1915">
      <c r="B1915" s="3" t="s">
        <v>216</v>
      </c>
      <c r="C1915" s="3" t="s">
        <v>217</v>
      </c>
      <c r="D1915" s="3" t="s">
        <v>213</v>
      </c>
      <c r="E1915" s="3">
        <v>1781509.0</v>
      </c>
      <c r="F1915" s="30">
        <f>E1912+E1913+E1914+E1915</f>
        <v>7158299</v>
      </c>
    </row>
    <row r="1916">
      <c r="E1916" s="3"/>
    </row>
    <row r="1917">
      <c r="E1917" s="3"/>
    </row>
    <row r="1918">
      <c r="E1918" s="3"/>
    </row>
    <row r="1919">
      <c r="A1919" s="3" t="s">
        <v>550</v>
      </c>
      <c r="C1919" s="3" t="s">
        <v>548</v>
      </c>
      <c r="E1919" s="3"/>
    </row>
    <row r="1920">
      <c r="B1920" s="3" t="s">
        <v>283</v>
      </c>
      <c r="C1920" s="3" t="s">
        <v>551</v>
      </c>
      <c r="D1920" s="3" t="s">
        <v>552</v>
      </c>
      <c r="E1920" s="3" t="s">
        <v>552</v>
      </c>
      <c r="F1920" s="3" t="s">
        <v>552</v>
      </c>
      <c r="G1920" s="3" t="s">
        <v>552</v>
      </c>
      <c r="H1920" s="3" t="s">
        <v>552</v>
      </c>
      <c r="I1920" s="3" t="s">
        <v>552</v>
      </c>
      <c r="J1920" s="3" t="s">
        <v>552</v>
      </c>
      <c r="K1920" s="3">
        <v>0.259414</v>
      </c>
    </row>
    <row r="1921">
      <c r="B1921" s="3" t="s">
        <v>211</v>
      </c>
      <c r="C1921" s="3" t="s">
        <v>212</v>
      </c>
      <c r="D1921" s="3" t="s">
        <v>213</v>
      </c>
      <c r="E1921" s="3">
        <v>3434054.0</v>
      </c>
      <c r="F1921" s="3"/>
      <c r="G1921" s="3"/>
      <c r="H1921" s="3"/>
      <c r="I1921" s="3"/>
      <c r="J1921" s="3"/>
      <c r="K1921" s="3"/>
    </row>
    <row r="1922">
      <c r="B1922" s="3" t="s">
        <v>214</v>
      </c>
      <c r="C1922" s="3" t="s">
        <v>212</v>
      </c>
      <c r="D1922" s="3" t="s">
        <v>213</v>
      </c>
      <c r="E1922" s="3">
        <v>3400939.0</v>
      </c>
      <c r="F1922" s="3"/>
      <c r="G1922" s="3"/>
      <c r="H1922" s="3"/>
      <c r="I1922" s="3"/>
      <c r="J1922" s="3"/>
      <c r="K1922" s="3"/>
    </row>
    <row r="1923">
      <c r="B1923" s="3" t="s">
        <v>215</v>
      </c>
      <c r="C1923" s="3" t="s">
        <v>212</v>
      </c>
      <c r="D1923" s="3" t="s">
        <v>213</v>
      </c>
      <c r="E1923" s="3">
        <v>3435133.0</v>
      </c>
      <c r="F1923" s="3"/>
      <c r="G1923" s="3"/>
      <c r="H1923" s="3"/>
      <c r="I1923" s="3"/>
      <c r="J1923" s="3"/>
      <c r="K1923" s="3"/>
    </row>
    <row r="1924">
      <c r="B1924" s="3" t="s">
        <v>216</v>
      </c>
      <c r="C1924" s="3" t="s">
        <v>212</v>
      </c>
      <c r="D1924" s="3" t="s">
        <v>213</v>
      </c>
      <c r="E1924" s="3">
        <v>3403881.0</v>
      </c>
      <c r="F1924" s="30">
        <f>E1921+E1922+E1923+E1924</f>
        <v>13674007</v>
      </c>
      <c r="G1924" s="3"/>
      <c r="H1924" s="3"/>
      <c r="I1924" s="3"/>
      <c r="J1924" s="3"/>
      <c r="K1924" s="3"/>
    </row>
    <row r="1925">
      <c r="B1925" s="3" t="s">
        <v>211</v>
      </c>
      <c r="C1925" s="3" t="s">
        <v>217</v>
      </c>
      <c r="D1925" s="3" t="s">
        <v>213</v>
      </c>
      <c r="E1925" s="3">
        <v>3214860.0</v>
      </c>
      <c r="G1925" s="3"/>
      <c r="H1925" s="3"/>
      <c r="I1925" s="3"/>
      <c r="J1925" s="3"/>
      <c r="K1925" s="3"/>
    </row>
    <row r="1926">
      <c r="B1926" s="3" t="s">
        <v>214</v>
      </c>
      <c r="C1926" s="3" t="s">
        <v>217</v>
      </c>
      <c r="D1926" s="3" t="s">
        <v>213</v>
      </c>
      <c r="E1926" s="3">
        <v>3182866.0</v>
      </c>
      <c r="G1926" s="3"/>
      <c r="H1926" s="3"/>
      <c r="I1926" s="3"/>
      <c r="J1926" s="3"/>
      <c r="K1926" s="3"/>
    </row>
    <row r="1927">
      <c r="B1927" s="3" t="s">
        <v>215</v>
      </c>
      <c r="C1927" s="3" t="s">
        <v>217</v>
      </c>
      <c r="D1927" s="3" t="s">
        <v>213</v>
      </c>
      <c r="E1927" s="3">
        <v>3223908.0</v>
      </c>
      <c r="G1927" s="3"/>
      <c r="H1927" s="3"/>
      <c r="I1927" s="3"/>
      <c r="J1927" s="3"/>
      <c r="K1927" s="3"/>
    </row>
    <row r="1928">
      <c r="B1928" s="3" t="s">
        <v>216</v>
      </c>
      <c r="C1928" s="3" t="s">
        <v>217</v>
      </c>
      <c r="D1928" s="3" t="s">
        <v>213</v>
      </c>
      <c r="E1928" s="3">
        <v>3193443.0</v>
      </c>
      <c r="F1928" s="30">
        <f>E1925+E1926+E1927+E1928</f>
        <v>12815077</v>
      </c>
      <c r="G1928" s="3"/>
      <c r="H1928" s="3"/>
      <c r="I1928" s="3"/>
      <c r="J1928" s="3"/>
      <c r="K1928" s="3"/>
    </row>
    <row r="1929">
      <c r="E1929" s="3"/>
    </row>
    <row r="1930">
      <c r="E1930" s="3"/>
    </row>
    <row r="1931">
      <c r="E1931" s="3"/>
    </row>
    <row r="1932">
      <c r="B1932" s="3" t="s">
        <v>283</v>
      </c>
      <c r="C1932" s="3" t="s">
        <v>551</v>
      </c>
      <c r="D1932" s="3" t="s">
        <v>552</v>
      </c>
      <c r="E1932" s="3" t="s">
        <v>552</v>
      </c>
      <c r="F1932" s="3" t="s">
        <v>552</v>
      </c>
      <c r="G1932" s="3" t="s">
        <v>552</v>
      </c>
      <c r="H1932" s="3" t="s">
        <v>552</v>
      </c>
      <c r="I1932" s="3" t="s">
        <v>552</v>
      </c>
      <c r="J1932" s="3" t="s">
        <v>552</v>
      </c>
      <c r="K1932" s="3">
        <v>0.874369</v>
      </c>
    </row>
    <row r="1933">
      <c r="B1933" s="3" t="s">
        <v>211</v>
      </c>
      <c r="C1933" s="3" t="s">
        <v>212</v>
      </c>
      <c r="D1933" s="3" t="s">
        <v>213</v>
      </c>
      <c r="E1933" s="3">
        <v>3310241.0</v>
      </c>
      <c r="F1933" s="3"/>
      <c r="G1933" s="3"/>
      <c r="H1933" s="3"/>
      <c r="I1933" s="3"/>
      <c r="J1933" s="3"/>
      <c r="K1933" s="3"/>
    </row>
    <row r="1934">
      <c r="B1934" s="3" t="s">
        <v>214</v>
      </c>
      <c r="C1934" s="3" t="s">
        <v>212</v>
      </c>
      <c r="D1934" s="3" t="s">
        <v>213</v>
      </c>
      <c r="E1934" s="3">
        <v>3201506.0</v>
      </c>
      <c r="F1934" s="3"/>
      <c r="G1934" s="3"/>
      <c r="H1934" s="3"/>
      <c r="I1934" s="3"/>
      <c r="J1934" s="3"/>
      <c r="K1934" s="3"/>
    </row>
    <row r="1935">
      <c r="B1935" s="3" t="s">
        <v>215</v>
      </c>
      <c r="C1935" s="3" t="s">
        <v>212</v>
      </c>
      <c r="D1935" s="3" t="s">
        <v>213</v>
      </c>
      <c r="E1935" s="3">
        <v>3310209.0</v>
      </c>
      <c r="F1935" s="3"/>
      <c r="G1935" s="3"/>
      <c r="H1935" s="3"/>
      <c r="I1935" s="3"/>
      <c r="J1935" s="3"/>
      <c r="K1935" s="3"/>
    </row>
    <row r="1936">
      <c r="B1936" s="3" t="s">
        <v>216</v>
      </c>
      <c r="C1936" s="3" t="s">
        <v>212</v>
      </c>
      <c r="D1936" s="3" t="s">
        <v>213</v>
      </c>
      <c r="E1936" s="3">
        <v>3201521.0</v>
      </c>
      <c r="F1936" s="30">
        <f>E1933+E1934+E1935+E1936</f>
        <v>13023477</v>
      </c>
      <c r="G1936" s="3"/>
      <c r="H1936" s="3"/>
      <c r="I1936" s="3"/>
      <c r="J1936" s="3"/>
      <c r="K1936" s="3"/>
    </row>
    <row r="1937">
      <c r="B1937" s="3" t="s">
        <v>211</v>
      </c>
      <c r="C1937" s="3" t="s">
        <v>217</v>
      </c>
      <c r="D1937" s="3" t="s">
        <v>213</v>
      </c>
      <c r="E1937" s="3">
        <v>1775090.0</v>
      </c>
      <c r="G1937" s="3"/>
      <c r="H1937" s="3"/>
      <c r="I1937" s="3"/>
      <c r="J1937" s="3"/>
      <c r="K1937" s="3"/>
    </row>
    <row r="1938">
      <c r="B1938" s="3" t="s">
        <v>214</v>
      </c>
      <c r="C1938" s="3" t="s">
        <v>217</v>
      </c>
      <c r="D1938" s="3" t="s">
        <v>213</v>
      </c>
      <c r="E1938" s="3">
        <v>1666351.0</v>
      </c>
      <c r="G1938" s="3"/>
      <c r="H1938" s="3"/>
      <c r="I1938" s="3"/>
      <c r="J1938" s="3"/>
      <c r="K1938" s="3"/>
    </row>
    <row r="1939">
      <c r="B1939" s="3" t="s">
        <v>215</v>
      </c>
      <c r="C1939" s="3" t="s">
        <v>217</v>
      </c>
      <c r="D1939" s="3" t="s">
        <v>213</v>
      </c>
      <c r="E1939" s="3">
        <v>1775027.0</v>
      </c>
      <c r="G1939" s="3"/>
      <c r="H1939" s="3"/>
      <c r="I1939" s="3"/>
      <c r="J1939" s="3"/>
      <c r="K1939" s="3"/>
    </row>
    <row r="1940">
      <c r="B1940" s="3" t="s">
        <v>216</v>
      </c>
      <c r="C1940" s="3" t="s">
        <v>217</v>
      </c>
      <c r="D1940" s="3" t="s">
        <v>213</v>
      </c>
      <c r="E1940" s="3">
        <v>1666347.0</v>
      </c>
      <c r="F1940" s="30">
        <f>E1937+E1938+E1939+E1940</f>
        <v>6882815</v>
      </c>
      <c r="G1940" s="3"/>
      <c r="H1940" s="3"/>
      <c r="I1940" s="3"/>
      <c r="J1940" s="3"/>
      <c r="K1940" s="3"/>
    </row>
    <row r="1941">
      <c r="E1941" s="3"/>
    </row>
    <row r="1942">
      <c r="E1942" s="3"/>
    </row>
    <row r="1943">
      <c r="E1943" s="3"/>
    </row>
    <row r="1944">
      <c r="E1944" s="3"/>
    </row>
    <row r="1945">
      <c r="E1945" s="3"/>
    </row>
    <row r="1946">
      <c r="E1946" s="3"/>
    </row>
    <row r="1947">
      <c r="E1947" s="3"/>
    </row>
    <row r="1948">
      <c r="E1948" s="3"/>
    </row>
    <row r="1949">
      <c r="E1949" s="3"/>
    </row>
    <row r="1950">
      <c r="E1950" s="3"/>
    </row>
    <row r="1951">
      <c r="E1951" s="3"/>
    </row>
    <row r="1952">
      <c r="E1952" s="3"/>
    </row>
    <row r="1953">
      <c r="E1953" s="3"/>
    </row>
    <row r="1954">
      <c r="E1954" s="3"/>
    </row>
    <row r="1955">
      <c r="E1955" s="3"/>
    </row>
    <row r="1956">
      <c r="E1956" s="3"/>
    </row>
    <row r="1957">
      <c r="E1957" s="3"/>
    </row>
    <row r="1958">
      <c r="E1958" s="3"/>
    </row>
    <row r="1959">
      <c r="E1959" s="3"/>
    </row>
    <row r="1960">
      <c r="E1960" s="3"/>
    </row>
    <row r="1961">
      <c r="E1961" s="3"/>
    </row>
    <row r="1962">
      <c r="E1962" s="3"/>
    </row>
    <row r="1963">
      <c r="E1963" s="3"/>
    </row>
    <row r="1964">
      <c r="E1964" s="3"/>
    </row>
    <row r="1965">
      <c r="E1965" s="3"/>
    </row>
    <row r="1966">
      <c r="E1966" s="3"/>
    </row>
    <row r="1967">
      <c r="E1967" s="3"/>
    </row>
    <row r="1968">
      <c r="E1968" s="3"/>
    </row>
    <row r="1969">
      <c r="E1969" s="3"/>
    </row>
  </sheetData>
  <mergeCells count="2">
    <mergeCell ref="O1105:Q1105"/>
    <mergeCell ref="R1105:T110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5.43"/>
  </cols>
  <sheetData>
    <row r="2">
      <c r="B2" s="3" t="s">
        <v>553</v>
      </c>
      <c r="C2" s="3" t="s">
        <v>554</v>
      </c>
      <c r="D2" s="3" t="s">
        <v>555</v>
      </c>
      <c r="F2" s="3" t="s">
        <v>556</v>
      </c>
    </row>
    <row r="3">
      <c r="C3" s="3" t="s">
        <v>557</v>
      </c>
      <c r="D3" s="3" t="s">
        <v>558</v>
      </c>
      <c r="F3" s="3" t="s">
        <v>559</v>
      </c>
    </row>
    <row r="4">
      <c r="C4" s="3" t="s">
        <v>560</v>
      </c>
      <c r="D4" s="3" t="s">
        <v>561</v>
      </c>
      <c r="F4" s="3" t="s">
        <v>562</v>
      </c>
    </row>
    <row r="5">
      <c r="C5" s="3" t="s">
        <v>563</v>
      </c>
      <c r="D5" s="3" t="s">
        <v>564</v>
      </c>
      <c r="F5" s="3" t="s">
        <v>559</v>
      </c>
    </row>
    <row r="6">
      <c r="C6" s="3" t="s">
        <v>565</v>
      </c>
      <c r="D6" s="3" t="s">
        <v>566</v>
      </c>
      <c r="F6" s="3" t="s">
        <v>559</v>
      </c>
    </row>
    <row r="7">
      <c r="C7" s="3" t="s">
        <v>567</v>
      </c>
      <c r="D7" s="3" t="s">
        <v>568</v>
      </c>
      <c r="F7" s="3" t="s">
        <v>569</v>
      </c>
    </row>
    <row r="8">
      <c r="C8" s="3" t="s">
        <v>570</v>
      </c>
      <c r="D8" s="3" t="s">
        <v>571</v>
      </c>
      <c r="F8" s="3" t="s">
        <v>572</v>
      </c>
    </row>
    <row r="9">
      <c r="C9" s="3" t="s">
        <v>573</v>
      </c>
      <c r="D9" s="3" t="s">
        <v>571</v>
      </c>
      <c r="F9" s="14" t="s">
        <v>574</v>
      </c>
    </row>
    <row r="11">
      <c r="C11" s="3" t="s">
        <v>575</v>
      </c>
      <c r="E11" s="3" t="s">
        <v>576</v>
      </c>
    </row>
    <row r="12">
      <c r="C12" s="3" t="s">
        <v>577</v>
      </c>
    </row>
    <row r="16">
      <c r="B16" s="2" t="s">
        <v>578</v>
      </c>
    </row>
    <row r="18">
      <c r="C18" s="3" t="s">
        <v>463</v>
      </c>
      <c r="D18" s="3">
        <v>1.0</v>
      </c>
      <c r="E18" s="3">
        <v>897.0</v>
      </c>
      <c r="G18" s="3" t="s">
        <v>463</v>
      </c>
      <c r="H18" s="3">
        <v>1.0</v>
      </c>
      <c r="I18" s="3">
        <v>384.0</v>
      </c>
      <c r="K18" s="3" t="s">
        <v>463</v>
      </c>
      <c r="L18" s="3">
        <v>1.0</v>
      </c>
      <c r="M18" s="3">
        <v>856.0</v>
      </c>
      <c r="O18" s="3" t="s">
        <v>463</v>
      </c>
      <c r="P18" s="3">
        <v>1.0</v>
      </c>
      <c r="Q18" s="3">
        <v>308.0</v>
      </c>
    </row>
    <row r="19">
      <c r="C19" s="3" t="s">
        <v>463</v>
      </c>
      <c r="D19" s="3">
        <v>2.0</v>
      </c>
      <c r="E19" s="3">
        <v>744.0</v>
      </c>
      <c r="G19" s="3" t="s">
        <v>463</v>
      </c>
      <c r="H19" s="3">
        <v>2.0</v>
      </c>
      <c r="I19" s="3">
        <v>242.0</v>
      </c>
      <c r="K19" s="3" t="s">
        <v>463</v>
      </c>
      <c r="L19" s="3">
        <v>2.0</v>
      </c>
      <c r="M19" s="3">
        <v>688.0</v>
      </c>
      <c r="O19" s="3" t="s">
        <v>463</v>
      </c>
      <c r="P19" s="3">
        <v>2.0</v>
      </c>
      <c r="Q19" s="3">
        <v>167.0</v>
      </c>
    </row>
    <row r="20">
      <c r="C20" s="3" t="s">
        <v>463</v>
      </c>
      <c r="D20" s="3">
        <v>4.0</v>
      </c>
      <c r="E20" s="3">
        <v>438.0</v>
      </c>
      <c r="G20" s="3" t="s">
        <v>463</v>
      </c>
      <c r="H20" s="3">
        <v>4.0</v>
      </c>
      <c r="I20" s="3">
        <v>200.0</v>
      </c>
      <c r="K20" s="3" t="s">
        <v>463</v>
      </c>
      <c r="L20" s="3">
        <v>4.0</v>
      </c>
      <c r="M20" s="3">
        <v>642.0</v>
      </c>
      <c r="O20" s="3" t="s">
        <v>463</v>
      </c>
      <c r="P20" s="3">
        <v>4.0</v>
      </c>
      <c r="Q20" s="3">
        <v>132.0</v>
      </c>
    </row>
    <row r="21">
      <c r="C21" s="3" t="s">
        <v>463</v>
      </c>
      <c r="D21" s="3">
        <v>8.0</v>
      </c>
      <c r="E21" s="3">
        <v>301.0</v>
      </c>
      <c r="G21" s="3" t="s">
        <v>463</v>
      </c>
      <c r="H21" s="3">
        <v>8.0</v>
      </c>
      <c r="I21" s="3">
        <v>190.0</v>
      </c>
      <c r="K21" s="3" t="s">
        <v>463</v>
      </c>
      <c r="L21" s="3">
        <v>8.0</v>
      </c>
      <c r="M21" s="3">
        <v>624.0</v>
      </c>
      <c r="O21" s="3" t="s">
        <v>463</v>
      </c>
      <c r="P21" s="3">
        <v>8.0</v>
      </c>
      <c r="Q21" s="3">
        <v>125.0</v>
      </c>
    </row>
    <row r="22">
      <c r="C22" s="3" t="s">
        <v>463</v>
      </c>
      <c r="D22" s="3">
        <v>16.0</v>
      </c>
      <c r="E22" s="3">
        <v>241.0</v>
      </c>
      <c r="G22" s="3" t="s">
        <v>463</v>
      </c>
      <c r="H22" s="3">
        <v>16.0</v>
      </c>
      <c r="I22" s="3">
        <v>183.0</v>
      </c>
      <c r="K22" s="3" t="s">
        <v>463</v>
      </c>
      <c r="L22" s="3">
        <v>16.0</v>
      </c>
      <c r="M22" s="3">
        <v>620.0</v>
      </c>
      <c r="O22" s="3" t="s">
        <v>463</v>
      </c>
      <c r="P22" s="3">
        <v>16.0</v>
      </c>
      <c r="Q22" s="3">
        <v>119.0</v>
      </c>
    </row>
    <row r="23">
      <c r="C23" s="3" t="s">
        <v>463</v>
      </c>
      <c r="D23" s="3">
        <v>32.0</v>
      </c>
      <c r="E23" s="3">
        <v>165.0</v>
      </c>
      <c r="G23" s="3" t="s">
        <v>463</v>
      </c>
      <c r="H23" s="3">
        <v>32.0</v>
      </c>
      <c r="I23" s="3">
        <v>164.0</v>
      </c>
      <c r="K23" s="3" t="s">
        <v>463</v>
      </c>
      <c r="L23" s="3">
        <v>32.0</v>
      </c>
      <c r="M23" s="3">
        <v>309.0</v>
      </c>
      <c r="O23" s="3" t="s">
        <v>463</v>
      </c>
      <c r="P23" s="3">
        <v>32.0</v>
      </c>
      <c r="Q23" s="3">
        <v>111.0</v>
      </c>
    </row>
    <row r="24">
      <c r="C24" s="3" t="s">
        <v>463</v>
      </c>
      <c r="D24" s="3">
        <v>64.0</v>
      </c>
      <c r="E24" s="3">
        <v>125.0</v>
      </c>
      <c r="G24" s="3" t="s">
        <v>463</v>
      </c>
      <c r="H24" s="3">
        <v>64.0</v>
      </c>
      <c r="I24" s="3">
        <v>129.0</v>
      </c>
      <c r="K24" s="3" t="s">
        <v>463</v>
      </c>
      <c r="L24" s="3">
        <v>64.0</v>
      </c>
      <c r="M24" s="3">
        <v>131.0</v>
      </c>
      <c r="O24" s="3" t="s">
        <v>463</v>
      </c>
      <c r="P24" s="3">
        <v>64.0</v>
      </c>
      <c r="Q24" s="3">
        <v>128.0</v>
      </c>
    </row>
    <row r="25">
      <c r="C25" s="3" t="s">
        <v>463</v>
      </c>
      <c r="D25" s="3">
        <v>128.0</v>
      </c>
      <c r="E25" s="3">
        <v>107.0</v>
      </c>
      <c r="G25" s="3" t="s">
        <v>463</v>
      </c>
      <c r="H25" s="3">
        <v>128.0</v>
      </c>
      <c r="I25" s="3">
        <v>106.0</v>
      </c>
      <c r="K25" s="3" t="s">
        <v>463</v>
      </c>
      <c r="L25" s="3">
        <v>128.0</v>
      </c>
      <c r="M25" s="3">
        <v>65.0</v>
      </c>
      <c r="O25" s="3" t="s">
        <v>463</v>
      </c>
      <c r="P25" s="3">
        <v>128.0</v>
      </c>
      <c r="Q25" s="3">
        <v>66.0</v>
      </c>
    </row>
    <row r="26">
      <c r="C26" s="3" t="s">
        <v>463</v>
      </c>
      <c r="D26" s="3">
        <v>256.0</v>
      </c>
      <c r="E26" s="3">
        <v>99.0</v>
      </c>
      <c r="G26" s="3" t="s">
        <v>463</v>
      </c>
      <c r="H26" s="3">
        <v>256.0</v>
      </c>
      <c r="I26" s="3">
        <v>97.0</v>
      </c>
      <c r="K26" s="3" t="s">
        <v>463</v>
      </c>
      <c r="L26" s="3">
        <v>256.0</v>
      </c>
      <c r="M26" s="3">
        <v>34.0</v>
      </c>
      <c r="O26" s="3" t="s">
        <v>463</v>
      </c>
      <c r="P26" s="3">
        <v>256.0</v>
      </c>
      <c r="Q26" s="3">
        <v>34.0</v>
      </c>
    </row>
    <row r="27">
      <c r="C27" s="3" t="s">
        <v>463</v>
      </c>
      <c r="D27" s="3">
        <v>512.0</v>
      </c>
      <c r="E27" s="3">
        <v>94.0</v>
      </c>
      <c r="G27" s="3" t="s">
        <v>463</v>
      </c>
      <c r="H27" s="3">
        <v>512.0</v>
      </c>
      <c r="I27" s="3">
        <v>93.0</v>
      </c>
      <c r="K27" s="3" t="s">
        <v>463</v>
      </c>
      <c r="L27" s="3">
        <v>512.0</v>
      </c>
      <c r="M27" s="3">
        <v>18.0</v>
      </c>
      <c r="O27" s="3" t="s">
        <v>463</v>
      </c>
      <c r="P27" s="3">
        <v>512.0</v>
      </c>
      <c r="Q27" s="3">
        <v>18.0</v>
      </c>
    </row>
    <row r="28">
      <c r="C28" s="3" t="s">
        <v>463</v>
      </c>
      <c r="D28" s="3">
        <v>1024.0</v>
      </c>
      <c r="E28" s="3">
        <v>91.0</v>
      </c>
      <c r="G28" s="3" t="s">
        <v>463</v>
      </c>
      <c r="H28" s="3">
        <v>1024.0</v>
      </c>
      <c r="I28" s="3">
        <v>91.0</v>
      </c>
      <c r="K28" s="3" t="s">
        <v>463</v>
      </c>
      <c r="L28" s="3">
        <v>1024.0</v>
      </c>
      <c r="M28" s="3">
        <v>9.0</v>
      </c>
      <c r="O28" s="3" t="s">
        <v>463</v>
      </c>
      <c r="P28" s="3">
        <v>1024.0</v>
      </c>
      <c r="Q28" s="3">
        <v>9.0</v>
      </c>
    </row>
    <row r="29">
      <c r="C29" s="3" t="s">
        <v>463</v>
      </c>
      <c r="D29" s="3">
        <v>2048.0</v>
      </c>
      <c r="E29" s="3">
        <v>90.0</v>
      </c>
      <c r="G29" s="3" t="s">
        <v>463</v>
      </c>
      <c r="H29" s="3">
        <v>2048.0</v>
      </c>
      <c r="I29" s="3">
        <v>89.0</v>
      </c>
      <c r="K29" s="3" t="s">
        <v>463</v>
      </c>
      <c r="L29" s="3">
        <v>2048.0</v>
      </c>
      <c r="M29" s="3">
        <v>5.0</v>
      </c>
      <c r="O29" s="3" t="s">
        <v>463</v>
      </c>
      <c r="P29" s="3">
        <v>2048.0</v>
      </c>
      <c r="Q29" s="3">
        <v>5.0</v>
      </c>
    </row>
    <row r="30">
      <c r="C30" s="3" t="s">
        <v>463</v>
      </c>
      <c r="D30" s="3">
        <v>4096.0</v>
      </c>
      <c r="E30" s="3">
        <v>89.0</v>
      </c>
      <c r="G30" s="3" t="s">
        <v>463</v>
      </c>
      <c r="H30" s="3">
        <v>4096.0</v>
      </c>
      <c r="I30" s="3">
        <v>88.0</v>
      </c>
      <c r="K30" s="3" t="s">
        <v>463</v>
      </c>
      <c r="L30" s="3">
        <v>4096.0</v>
      </c>
      <c r="M30" s="3">
        <v>3.0</v>
      </c>
      <c r="O30" s="3" t="s">
        <v>463</v>
      </c>
      <c r="P30" s="3">
        <v>4096.0</v>
      </c>
      <c r="Q30" s="3">
        <v>2.0</v>
      </c>
    </row>
    <row r="31">
      <c r="C31" s="3" t="s">
        <v>463</v>
      </c>
      <c r="D31" s="3">
        <v>8192.0</v>
      </c>
      <c r="E31" s="3">
        <v>88.0</v>
      </c>
      <c r="G31" s="3" t="s">
        <v>463</v>
      </c>
      <c r="H31" s="3">
        <v>8192.0</v>
      </c>
      <c r="I31" s="3">
        <v>88.0</v>
      </c>
      <c r="K31" s="3" t="s">
        <v>463</v>
      </c>
      <c r="L31" s="3">
        <v>8192.0</v>
      </c>
      <c r="M31" s="3">
        <v>1.0</v>
      </c>
      <c r="O31" s="3" t="s">
        <v>463</v>
      </c>
      <c r="P31" s="3">
        <v>8192.0</v>
      </c>
      <c r="Q31" s="3">
        <v>1.0</v>
      </c>
    </row>
    <row r="33">
      <c r="B33" s="94"/>
      <c r="C33" s="79"/>
      <c r="D33" s="79"/>
      <c r="E33" s="79"/>
      <c r="F33" s="79"/>
      <c r="H33" s="3"/>
    </row>
    <row r="34">
      <c r="B34" s="79" t="s">
        <v>578</v>
      </c>
      <c r="C34" s="79"/>
      <c r="D34" s="79"/>
      <c r="E34" s="79"/>
      <c r="F34" s="79"/>
      <c r="H34" s="3"/>
      <c r="K34" s="79" t="s">
        <v>579</v>
      </c>
    </row>
    <row r="35">
      <c r="B35" s="94"/>
      <c r="C35" s="79"/>
      <c r="D35" s="79"/>
      <c r="E35" s="79"/>
      <c r="F35" s="79"/>
      <c r="H35" s="3"/>
    </row>
    <row r="36">
      <c r="B36" s="94"/>
      <c r="C36" s="79"/>
      <c r="D36" s="79"/>
      <c r="E36" s="79"/>
      <c r="F36" s="79"/>
      <c r="H36" s="3"/>
    </row>
    <row r="37">
      <c r="B37" s="94"/>
      <c r="C37" s="95" t="s">
        <v>550</v>
      </c>
      <c r="D37" s="6"/>
      <c r="E37" s="95" t="s">
        <v>545</v>
      </c>
      <c r="F37" s="6"/>
      <c r="H37" s="3" t="s">
        <v>580</v>
      </c>
      <c r="K37" s="94"/>
      <c r="L37" s="95" t="s">
        <v>550</v>
      </c>
      <c r="M37" s="6"/>
      <c r="N37" s="95" t="s">
        <v>545</v>
      </c>
      <c r="O37" s="6"/>
      <c r="P37" s="95"/>
      <c r="Q37" s="6"/>
    </row>
    <row r="38">
      <c r="B38" s="79" t="s">
        <v>324</v>
      </c>
      <c r="C38" s="79" t="s">
        <v>581</v>
      </c>
      <c r="D38" s="79" t="s">
        <v>582</v>
      </c>
      <c r="E38" s="79" t="s">
        <v>581</v>
      </c>
      <c r="F38" s="79" t="s">
        <v>582</v>
      </c>
      <c r="H38" s="3" t="s">
        <v>581</v>
      </c>
      <c r="I38" s="3" t="s">
        <v>582</v>
      </c>
      <c r="K38" s="79" t="s">
        <v>324</v>
      </c>
      <c r="L38" s="79" t="s">
        <v>581</v>
      </c>
      <c r="M38" s="79" t="s">
        <v>582</v>
      </c>
      <c r="N38" s="79" t="s">
        <v>581</v>
      </c>
      <c r="O38" s="79" t="s">
        <v>582</v>
      </c>
      <c r="P38" s="79"/>
      <c r="Q38" s="79"/>
    </row>
    <row r="39">
      <c r="B39" s="79">
        <v>1.0</v>
      </c>
      <c r="C39" s="79">
        <v>897.0</v>
      </c>
      <c r="D39" s="79">
        <v>384.0</v>
      </c>
      <c r="E39" s="79">
        <v>856.0</v>
      </c>
      <c r="F39" s="79">
        <v>308.0</v>
      </c>
      <c r="H39" s="3">
        <v>309.0</v>
      </c>
      <c r="I39" s="3">
        <v>300.0</v>
      </c>
      <c r="K39" s="79">
        <v>1.0</v>
      </c>
      <c r="L39" s="79">
        <f t="shared" ref="L39:M39" si="1">C39-H39</f>
        <v>588</v>
      </c>
      <c r="M39" s="79">
        <f t="shared" si="1"/>
        <v>84</v>
      </c>
      <c r="N39" s="79">
        <f t="shared" ref="N39:O39" si="2">E39-H39</f>
        <v>547</v>
      </c>
      <c r="O39" s="79">
        <f t="shared" si="2"/>
        <v>8</v>
      </c>
    </row>
    <row r="40">
      <c r="B40" s="79">
        <v>2.0</v>
      </c>
      <c r="C40" s="79">
        <v>744.0</v>
      </c>
      <c r="D40" s="79">
        <v>242.0</v>
      </c>
      <c r="E40" s="79">
        <v>688.0</v>
      </c>
      <c r="F40" s="79">
        <v>167.0</v>
      </c>
      <c r="H40" s="3">
        <v>150.0</v>
      </c>
      <c r="I40" s="3">
        <v>150.0</v>
      </c>
      <c r="K40" s="79">
        <v>2.0</v>
      </c>
      <c r="L40" s="79">
        <f t="shared" ref="L40:M40" si="3">C40-H40</f>
        <v>594</v>
      </c>
      <c r="M40" s="79">
        <f t="shared" si="3"/>
        <v>92</v>
      </c>
      <c r="N40" s="79">
        <f t="shared" ref="N40:O40" si="4">E40-H40</f>
        <v>538</v>
      </c>
      <c r="O40" s="79">
        <f t="shared" si="4"/>
        <v>17</v>
      </c>
    </row>
    <row r="41">
      <c r="B41" s="79">
        <v>4.0</v>
      </c>
      <c r="C41" s="79">
        <v>438.0</v>
      </c>
      <c r="D41" s="79">
        <v>200.0</v>
      </c>
      <c r="E41" s="79">
        <v>642.0</v>
      </c>
      <c r="F41" s="79">
        <v>132.0</v>
      </c>
      <c r="H41" s="3">
        <v>75.0</v>
      </c>
      <c r="I41" s="3">
        <v>75.0</v>
      </c>
      <c r="K41" s="79">
        <v>4.0</v>
      </c>
      <c r="L41" s="79">
        <f t="shared" ref="L41:M41" si="5">C41-H41</f>
        <v>363</v>
      </c>
      <c r="M41" s="79">
        <f t="shared" si="5"/>
        <v>125</v>
      </c>
      <c r="N41" s="79">
        <f t="shared" ref="N41:O41" si="6">E41-H41</f>
        <v>567</v>
      </c>
      <c r="O41" s="79">
        <f t="shared" si="6"/>
        <v>57</v>
      </c>
    </row>
    <row r="42">
      <c r="B42" s="79">
        <v>8.0</v>
      </c>
      <c r="C42" s="79">
        <v>301.0</v>
      </c>
      <c r="D42" s="79">
        <v>190.0</v>
      </c>
      <c r="E42" s="79">
        <v>624.0</v>
      </c>
      <c r="F42" s="79">
        <v>125.0</v>
      </c>
      <c r="H42" s="3">
        <v>37.0</v>
      </c>
      <c r="I42" s="3">
        <v>38.0</v>
      </c>
      <c r="K42" s="79">
        <v>8.0</v>
      </c>
      <c r="L42" s="79">
        <f t="shared" ref="L42:M42" si="7">C42-H42</f>
        <v>264</v>
      </c>
      <c r="M42" s="79">
        <f t="shared" si="7"/>
        <v>152</v>
      </c>
      <c r="N42" s="79">
        <f t="shared" ref="N42:O42" si="8">E42-H42</f>
        <v>587</v>
      </c>
      <c r="O42" s="79">
        <f t="shared" si="8"/>
        <v>87</v>
      </c>
    </row>
    <row r="43">
      <c r="B43" s="79">
        <v>16.0</v>
      </c>
      <c r="C43" s="79">
        <v>241.0</v>
      </c>
      <c r="D43" s="79">
        <v>183.0</v>
      </c>
      <c r="E43" s="79">
        <v>620.0</v>
      </c>
      <c r="F43" s="79">
        <v>119.0</v>
      </c>
      <c r="H43" s="3">
        <v>18.0</v>
      </c>
      <c r="I43" s="3">
        <v>18.0</v>
      </c>
      <c r="K43" s="79">
        <v>16.0</v>
      </c>
      <c r="L43" s="79">
        <f t="shared" ref="L43:M43" si="9">C43-H43</f>
        <v>223</v>
      </c>
      <c r="M43" s="79">
        <f t="shared" si="9"/>
        <v>165</v>
      </c>
      <c r="N43" s="79">
        <f t="shared" ref="N43:O43" si="10">E43-H43</f>
        <v>602</v>
      </c>
      <c r="O43" s="79">
        <f t="shared" si="10"/>
        <v>101</v>
      </c>
    </row>
    <row r="44">
      <c r="B44" s="79">
        <v>32.0</v>
      </c>
      <c r="C44" s="79">
        <v>165.0</v>
      </c>
      <c r="D44" s="79">
        <v>164.0</v>
      </c>
      <c r="E44" s="79">
        <v>309.0</v>
      </c>
      <c r="F44" s="79">
        <v>111.0</v>
      </c>
      <c r="H44" s="3">
        <v>9.0</v>
      </c>
      <c r="I44" s="3">
        <v>9.0</v>
      </c>
      <c r="K44" s="79">
        <v>32.0</v>
      </c>
      <c r="L44" s="79">
        <f t="shared" ref="L44:M44" si="11">C44-H44</f>
        <v>156</v>
      </c>
      <c r="M44" s="79">
        <f t="shared" si="11"/>
        <v>155</v>
      </c>
      <c r="N44" s="79">
        <f t="shared" ref="N44:O44" si="12">E44-H44</f>
        <v>300</v>
      </c>
      <c r="O44" s="79">
        <f t="shared" si="12"/>
        <v>102</v>
      </c>
    </row>
    <row r="45">
      <c r="B45" s="79">
        <v>64.0</v>
      </c>
      <c r="C45" s="79">
        <v>125.0</v>
      </c>
      <c r="D45" s="79">
        <v>129.0</v>
      </c>
      <c r="E45" s="79">
        <v>131.0</v>
      </c>
      <c r="F45" s="79">
        <v>128.0</v>
      </c>
      <c r="H45" s="3">
        <v>4.0</v>
      </c>
      <c r="I45" s="3">
        <v>4.0</v>
      </c>
      <c r="K45" s="79">
        <v>64.0</v>
      </c>
      <c r="L45" s="79">
        <f t="shared" ref="L45:M45" si="13">C45-H45</f>
        <v>121</v>
      </c>
      <c r="M45" s="79">
        <f t="shared" si="13"/>
        <v>125</v>
      </c>
      <c r="N45" s="79">
        <f t="shared" ref="N45:O45" si="14">E45-H45</f>
        <v>127</v>
      </c>
      <c r="O45" s="79">
        <f t="shared" si="14"/>
        <v>124</v>
      </c>
    </row>
    <row r="46">
      <c r="B46" s="79">
        <v>128.0</v>
      </c>
      <c r="C46" s="79">
        <v>107.0</v>
      </c>
      <c r="D46" s="79">
        <v>106.0</v>
      </c>
      <c r="E46" s="79">
        <v>65.0</v>
      </c>
      <c r="F46" s="79">
        <v>66.0</v>
      </c>
      <c r="H46" s="3">
        <v>2.0</v>
      </c>
      <c r="I46" s="3">
        <v>2.0</v>
      </c>
      <c r="K46" s="79">
        <v>128.0</v>
      </c>
      <c r="L46" s="79">
        <f t="shared" ref="L46:M46" si="15">C46-H46</f>
        <v>105</v>
      </c>
      <c r="M46" s="79">
        <f t="shared" si="15"/>
        <v>104</v>
      </c>
      <c r="N46" s="79">
        <f t="shared" ref="N46:O46" si="16">E46-H46</f>
        <v>63</v>
      </c>
      <c r="O46" s="79">
        <f t="shared" si="16"/>
        <v>64</v>
      </c>
    </row>
    <row r="47">
      <c r="B47" s="79">
        <v>256.0</v>
      </c>
      <c r="C47" s="79">
        <v>99.0</v>
      </c>
      <c r="D47" s="79">
        <v>97.0</v>
      </c>
      <c r="E47" s="79">
        <v>34.0</v>
      </c>
      <c r="F47" s="79">
        <v>34.0</v>
      </c>
      <c r="H47" s="3">
        <v>1.0</v>
      </c>
      <c r="I47" s="3">
        <v>1.0</v>
      </c>
      <c r="K47" s="79">
        <v>256.0</v>
      </c>
      <c r="L47" s="79">
        <f t="shared" ref="L47:M47" si="17">C47-H47</f>
        <v>98</v>
      </c>
      <c r="M47" s="79">
        <f t="shared" si="17"/>
        <v>96</v>
      </c>
      <c r="N47" s="79">
        <f t="shared" ref="N47:O47" si="18">E47-H47</f>
        <v>33</v>
      </c>
      <c r="O47" s="79">
        <f t="shared" si="18"/>
        <v>33</v>
      </c>
    </row>
    <row r="48">
      <c r="B48" s="79">
        <v>512.0</v>
      </c>
      <c r="C48" s="79">
        <v>94.0</v>
      </c>
      <c r="D48" s="79">
        <v>93.0</v>
      </c>
      <c r="E48" s="79">
        <v>18.0</v>
      </c>
      <c r="F48" s="79">
        <v>18.0</v>
      </c>
      <c r="H48" s="3">
        <v>0.0</v>
      </c>
      <c r="I48" s="3">
        <v>0.0</v>
      </c>
      <c r="K48" s="79">
        <v>512.0</v>
      </c>
      <c r="L48" s="79">
        <f t="shared" ref="L48:M48" si="19">C48-H48</f>
        <v>94</v>
      </c>
      <c r="M48" s="79">
        <f t="shared" si="19"/>
        <v>93</v>
      </c>
      <c r="N48" s="79">
        <f t="shared" ref="N48:O48" si="20">E48-H48</f>
        <v>18</v>
      </c>
      <c r="O48" s="79">
        <f t="shared" si="20"/>
        <v>18</v>
      </c>
    </row>
    <row r="49">
      <c r="B49" s="79">
        <v>1024.0</v>
      </c>
      <c r="C49" s="79">
        <v>91.0</v>
      </c>
      <c r="D49" s="79">
        <v>91.0</v>
      </c>
      <c r="E49" s="79">
        <v>9.0</v>
      </c>
      <c r="F49" s="79">
        <v>9.0</v>
      </c>
      <c r="H49" s="3">
        <v>0.0</v>
      </c>
      <c r="I49" s="3">
        <v>0.0</v>
      </c>
      <c r="K49" s="79">
        <v>1024.0</v>
      </c>
      <c r="L49" s="79">
        <f t="shared" ref="L49:M49" si="21">C49-H49</f>
        <v>91</v>
      </c>
      <c r="M49" s="79">
        <f t="shared" si="21"/>
        <v>91</v>
      </c>
      <c r="N49" s="79">
        <f t="shared" ref="N49:O49" si="22">E49-H49</f>
        <v>9</v>
      </c>
      <c r="O49" s="79">
        <f t="shared" si="22"/>
        <v>9</v>
      </c>
    </row>
    <row r="50">
      <c r="B50" s="79">
        <v>2048.0</v>
      </c>
      <c r="C50" s="79">
        <v>90.0</v>
      </c>
      <c r="D50" s="79">
        <v>89.0</v>
      </c>
      <c r="E50" s="79">
        <v>5.0</v>
      </c>
      <c r="F50" s="79">
        <v>5.0</v>
      </c>
      <c r="H50" s="3">
        <v>0.0</v>
      </c>
      <c r="I50" s="3">
        <v>0.0</v>
      </c>
      <c r="K50" s="79">
        <v>2048.0</v>
      </c>
      <c r="L50" s="79">
        <f t="shared" ref="L50:M50" si="23">C50-H50</f>
        <v>90</v>
      </c>
      <c r="M50" s="79">
        <f t="shared" si="23"/>
        <v>89</v>
      </c>
      <c r="N50" s="79">
        <f t="shared" ref="N50:O50" si="24">E50-H50</f>
        <v>5</v>
      </c>
      <c r="O50" s="79">
        <f t="shared" si="24"/>
        <v>5</v>
      </c>
    </row>
    <row r="51">
      <c r="B51" s="79">
        <v>4096.0</v>
      </c>
      <c r="C51" s="79">
        <v>89.0</v>
      </c>
      <c r="D51" s="79">
        <v>88.0</v>
      </c>
      <c r="E51" s="79">
        <v>3.0</v>
      </c>
      <c r="F51" s="79">
        <v>2.0</v>
      </c>
      <c r="H51" s="3">
        <v>0.0</v>
      </c>
      <c r="I51" s="3">
        <v>0.0</v>
      </c>
      <c r="K51" s="79">
        <v>4096.0</v>
      </c>
      <c r="L51" s="79">
        <f t="shared" ref="L51:M51" si="25">C51-H51</f>
        <v>89</v>
      </c>
      <c r="M51" s="79">
        <f t="shared" si="25"/>
        <v>88</v>
      </c>
      <c r="N51" s="79">
        <f t="shared" ref="N51:O51" si="26">E51-H51</f>
        <v>3</v>
      </c>
      <c r="O51" s="79">
        <f t="shared" si="26"/>
        <v>2</v>
      </c>
    </row>
    <row r="52">
      <c r="B52" s="79">
        <v>8192.0</v>
      </c>
      <c r="C52" s="79">
        <v>88.0</v>
      </c>
      <c r="D52" s="79">
        <v>88.0</v>
      </c>
      <c r="E52" s="79">
        <v>1.0</v>
      </c>
      <c r="F52" s="79">
        <v>1.0</v>
      </c>
      <c r="H52" s="3">
        <v>0.0</v>
      </c>
      <c r="I52" s="3">
        <v>0.0</v>
      </c>
      <c r="K52" s="79">
        <v>8192.0</v>
      </c>
      <c r="L52" s="79">
        <f t="shared" ref="L52:M52" si="27">C52-H52</f>
        <v>88</v>
      </c>
      <c r="M52" s="79">
        <f t="shared" si="27"/>
        <v>88</v>
      </c>
      <c r="N52" s="79">
        <f t="shared" ref="N52:O52" si="28">E52-H52</f>
        <v>1</v>
      </c>
      <c r="O52" s="79">
        <f t="shared" si="28"/>
        <v>1</v>
      </c>
    </row>
    <row r="54">
      <c r="C54" s="95" t="s">
        <v>550</v>
      </c>
      <c r="D54" s="6"/>
      <c r="E54" s="95" t="s">
        <v>545</v>
      </c>
      <c r="F54" s="6"/>
      <c r="H54" s="3" t="s">
        <v>580</v>
      </c>
      <c r="K54" s="94"/>
      <c r="L54" s="95" t="s">
        <v>550</v>
      </c>
      <c r="M54" s="6"/>
      <c r="N54" s="95" t="s">
        <v>545</v>
      </c>
      <c r="O54" s="6"/>
    </row>
    <row r="55">
      <c r="C55" s="79" t="s">
        <v>581</v>
      </c>
      <c r="D55" s="79" t="s">
        <v>582</v>
      </c>
      <c r="E55" s="79" t="s">
        <v>581</v>
      </c>
      <c r="F55" s="79" t="s">
        <v>582</v>
      </c>
      <c r="H55" s="3" t="s">
        <v>581</v>
      </c>
      <c r="I55" s="3" t="s">
        <v>582</v>
      </c>
      <c r="K55" s="79" t="s">
        <v>324</v>
      </c>
      <c r="L55" s="79" t="s">
        <v>581</v>
      </c>
      <c r="M55" s="79" t="s">
        <v>582</v>
      </c>
      <c r="N55" s="79" t="s">
        <v>581</v>
      </c>
      <c r="O55" s="79" t="s">
        <v>582</v>
      </c>
    </row>
    <row r="56">
      <c r="B56" s="3">
        <v>1.0</v>
      </c>
      <c r="C56" s="3">
        <v>336.0</v>
      </c>
      <c r="D56" s="3">
        <v>343.0</v>
      </c>
      <c r="E56" s="3">
        <v>683.0</v>
      </c>
      <c r="F56" s="3">
        <v>267.0</v>
      </c>
      <c r="H56" s="3">
        <v>309.0</v>
      </c>
      <c r="I56" s="3">
        <v>300.0</v>
      </c>
      <c r="K56" s="79">
        <v>1.0</v>
      </c>
      <c r="L56" s="79">
        <f t="shared" ref="L56:M56" si="29">C56-H56</f>
        <v>27</v>
      </c>
      <c r="M56" s="79">
        <f t="shared" si="29"/>
        <v>43</v>
      </c>
      <c r="N56" s="79">
        <f t="shared" ref="N56:O56" si="30">E56-H56</f>
        <v>374</v>
      </c>
      <c r="O56" s="79">
        <f t="shared" si="30"/>
        <v>-33</v>
      </c>
    </row>
    <row r="57">
      <c r="B57" s="3">
        <v>2.0</v>
      </c>
      <c r="C57" s="3">
        <v>257.0</v>
      </c>
      <c r="D57" s="3">
        <v>213.0</v>
      </c>
      <c r="E57" s="3">
        <v>649.0</v>
      </c>
      <c r="F57" s="3">
        <v>143.0</v>
      </c>
      <c r="H57" s="3">
        <v>150.0</v>
      </c>
      <c r="I57" s="3">
        <v>150.0</v>
      </c>
      <c r="K57" s="79">
        <v>2.0</v>
      </c>
      <c r="L57" s="79">
        <f t="shared" ref="L57:M57" si="31">C57-H57</f>
        <v>107</v>
      </c>
      <c r="M57" s="79">
        <f t="shared" si="31"/>
        <v>63</v>
      </c>
      <c r="N57" s="79">
        <f t="shared" ref="N57:O57" si="32">E57-H57</f>
        <v>499</v>
      </c>
      <c r="O57" s="79">
        <f t="shared" si="32"/>
        <v>-7</v>
      </c>
    </row>
    <row r="58">
      <c r="B58" s="3">
        <v>4.0</v>
      </c>
      <c r="C58" s="3">
        <v>243.0</v>
      </c>
      <c r="D58" s="3">
        <v>154.0</v>
      </c>
      <c r="E58" s="3">
        <v>635.0</v>
      </c>
      <c r="F58" s="3">
        <v>95.0</v>
      </c>
      <c r="H58" s="3">
        <v>75.0</v>
      </c>
      <c r="I58" s="3">
        <v>75.0</v>
      </c>
      <c r="K58" s="79">
        <v>4.0</v>
      </c>
      <c r="L58" s="79">
        <f t="shared" ref="L58:M58" si="33">C58-H58</f>
        <v>168</v>
      </c>
      <c r="M58" s="79">
        <f t="shared" si="33"/>
        <v>79</v>
      </c>
      <c r="N58" s="79">
        <f t="shared" ref="N58:O58" si="34">E58-H58</f>
        <v>560</v>
      </c>
      <c r="O58" s="79">
        <f t="shared" si="34"/>
        <v>20</v>
      </c>
    </row>
    <row r="59">
      <c r="B59" s="3">
        <v>8.0</v>
      </c>
      <c r="C59" s="3">
        <v>232.0</v>
      </c>
      <c r="D59" s="3">
        <v>144.0</v>
      </c>
      <c r="E59" s="3">
        <v>618.0</v>
      </c>
      <c r="F59" s="3">
        <v>89.0</v>
      </c>
      <c r="H59" s="3">
        <v>37.0</v>
      </c>
      <c r="I59" s="3">
        <v>38.0</v>
      </c>
      <c r="K59" s="79">
        <v>8.0</v>
      </c>
      <c r="L59" s="79">
        <f t="shared" ref="L59:M59" si="35">C59-H59</f>
        <v>195</v>
      </c>
      <c r="M59" s="79">
        <f t="shared" si="35"/>
        <v>106</v>
      </c>
      <c r="N59" s="79">
        <f t="shared" ref="N59:O59" si="36">E59-H59</f>
        <v>581</v>
      </c>
      <c r="O59" s="79">
        <f t="shared" si="36"/>
        <v>51</v>
      </c>
    </row>
    <row r="60">
      <c r="B60" s="3">
        <v>16.0</v>
      </c>
      <c r="C60" s="3">
        <v>226.0</v>
      </c>
      <c r="D60" s="3">
        <v>135.0</v>
      </c>
      <c r="E60" s="3">
        <v>618.0</v>
      </c>
      <c r="F60" s="3">
        <v>81.0</v>
      </c>
      <c r="H60" s="3">
        <v>18.0</v>
      </c>
      <c r="I60" s="3">
        <v>18.0</v>
      </c>
      <c r="K60" s="79">
        <v>16.0</v>
      </c>
      <c r="L60" s="79">
        <f t="shared" ref="L60:M60" si="37">C60-H60</f>
        <v>208</v>
      </c>
      <c r="M60" s="79">
        <f t="shared" si="37"/>
        <v>117</v>
      </c>
      <c r="N60" s="79">
        <f t="shared" ref="N60:O60" si="38">E60-H60</f>
        <v>600</v>
      </c>
      <c r="O60" s="79">
        <f t="shared" si="38"/>
        <v>63</v>
      </c>
    </row>
    <row r="61">
      <c r="B61" s="3">
        <v>32.0</v>
      </c>
      <c r="C61" s="3">
        <v>157.0</v>
      </c>
      <c r="D61" s="3">
        <v>114.0</v>
      </c>
      <c r="E61" s="3">
        <v>306.0</v>
      </c>
      <c r="F61" s="3">
        <v>89.0</v>
      </c>
      <c r="H61" s="3">
        <v>9.0</v>
      </c>
      <c r="I61" s="3">
        <v>9.0</v>
      </c>
      <c r="K61" s="79">
        <v>32.0</v>
      </c>
      <c r="L61" s="79">
        <f t="shared" ref="L61:M61" si="39">C61-H61</f>
        <v>148</v>
      </c>
      <c r="M61" s="79">
        <f t="shared" si="39"/>
        <v>105</v>
      </c>
      <c r="N61" s="79">
        <f t="shared" ref="N61:O61" si="40">E61-H61</f>
        <v>297</v>
      </c>
      <c r="O61" s="79">
        <f t="shared" si="40"/>
        <v>80</v>
      </c>
    </row>
    <row r="62">
      <c r="B62" s="3">
        <v>64.0</v>
      </c>
      <c r="C62" s="3">
        <v>123.0</v>
      </c>
      <c r="D62" s="3">
        <v>120.0</v>
      </c>
      <c r="E62" s="3">
        <v>129.0</v>
      </c>
      <c r="F62" s="3">
        <v>123.0</v>
      </c>
      <c r="H62" s="3">
        <v>4.0</v>
      </c>
      <c r="I62" s="3">
        <v>4.0</v>
      </c>
      <c r="K62" s="79">
        <v>64.0</v>
      </c>
      <c r="L62" s="79">
        <f t="shared" ref="L62:M62" si="41">C62-H62</f>
        <v>119</v>
      </c>
      <c r="M62" s="79">
        <f t="shared" si="41"/>
        <v>116</v>
      </c>
      <c r="N62" s="79">
        <f t="shared" ref="N62:O62" si="42">E62-H62</f>
        <v>125</v>
      </c>
      <c r="O62" s="79">
        <f t="shared" si="42"/>
        <v>119</v>
      </c>
    </row>
    <row r="63">
      <c r="B63" s="3">
        <v>128.0</v>
      </c>
      <c r="C63" s="3">
        <v>105.0</v>
      </c>
      <c r="D63" s="3">
        <v>105.0</v>
      </c>
      <c r="E63" s="3">
        <v>64.0</v>
      </c>
      <c r="F63" s="3">
        <v>64.0</v>
      </c>
      <c r="H63" s="3">
        <v>2.0</v>
      </c>
      <c r="I63" s="3">
        <v>2.0</v>
      </c>
      <c r="K63" s="79">
        <v>128.0</v>
      </c>
      <c r="L63" s="79">
        <f t="shared" ref="L63:M63" si="43">C63-H63</f>
        <v>103</v>
      </c>
      <c r="M63" s="79">
        <f t="shared" si="43"/>
        <v>103</v>
      </c>
      <c r="N63" s="79">
        <f t="shared" ref="N63:O63" si="44">E63-H63</f>
        <v>62</v>
      </c>
      <c r="O63" s="79">
        <f t="shared" si="44"/>
        <v>62</v>
      </c>
    </row>
    <row r="64">
      <c r="B64" s="3">
        <v>256.0</v>
      </c>
      <c r="C64" s="3">
        <v>96.0</v>
      </c>
      <c r="D64" s="3">
        <v>97.0</v>
      </c>
      <c r="E64" s="3">
        <v>33.0</v>
      </c>
      <c r="F64" s="3">
        <v>33.0</v>
      </c>
      <c r="H64" s="3">
        <v>1.0</v>
      </c>
      <c r="I64" s="3">
        <v>1.0</v>
      </c>
      <c r="K64" s="79">
        <v>256.0</v>
      </c>
      <c r="L64" s="79">
        <f t="shared" ref="L64:M64" si="45">C64-H64</f>
        <v>95</v>
      </c>
      <c r="M64" s="79">
        <f t="shared" si="45"/>
        <v>96</v>
      </c>
      <c r="N64" s="79">
        <f t="shared" ref="N64:O64" si="46">E64-H64</f>
        <v>32</v>
      </c>
      <c r="O64" s="79">
        <f t="shared" si="46"/>
        <v>32</v>
      </c>
    </row>
    <row r="65">
      <c r="B65" s="3">
        <v>512.0</v>
      </c>
      <c r="C65" s="3">
        <v>92.0</v>
      </c>
      <c r="D65" s="3">
        <v>92.0</v>
      </c>
      <c r="E65" s="3">
        <v>17.0</v>
      </c>
      <c r="F65" s="3">
        <v>17.0</v>
      </c>
      <c r="H65" s="3">
        <v>0.0</v>
      </c>
      <c r="I65" s="3">
        <v>0.0</v>
      </c>
      <c r="K65" s="79">
        <v>512.0</v>
      </c>
      <c r="L65" s="79">
        <f t="shared" ref="L65:M65" si="47">C65-H65</f>
        <v>92</v>
      </c>
      <c r="M65" s="79">
        <f t="shared" si="47"/>
        <v>92</v>
      </c>
      <c r="N65" s="79">
        <f t="shared" ref="N65:O65" si="48">E65-H65</f>
        <v>17</v>
      </c>
      <c r="O65" s="79">
        <f t="shared" si="48"/>
        <v>17</v>
      </c>
    </row>
    <row r="66">
      <c r="B66" s="3">
        <v>1024.0</v>
      </c>
      <c r="C66" s="3">
        <v>91.0</v>
      </c>
      <c r="D66" s="3">
        <v>90.0</v>
      </c>
      <c r="E66" s="3">
        <v>9.0</v>
      </c>
      <c r="F66" s="3">
        <v>9.0</v>
      </c>
      <c r="H66" s="3">
        <v>0.0</v>
      </c>
      <c r="I66" s="3">
        <v>0.0</v>
      </c>
      <c r="K66" s="79">
        <v>1024.0</v>
      </c>
      <c r="L66" s="79">
        <f t="shared" ref="L66:M66" si="49">C66-H66</f>
        <v>91</v>
      </c>
      <c r="M66" s="79">
        <f t="shared" si="49"/>
        <v>90</v>
      </c>
      <c r="N66" s="79">
        <f t="shared" ref="N66:O66" si="50">E66-H66</f>
        <v>9</v>
      </c>
      <c r="O66" s="79">
        <f t="shared" si="50"/>
        <v>9</v>
      </c>
    </row>
    <row r="67">
      <c r="B67" s="3">
        <v>2048.0</v>
      </c>
      <c r="C67" s="3">
        <v>88.0</v>
      </c>
      <c r="D67" s="3">
        <v>88.0</v>
      </c>
      <c r="E67" s="3">
        <v>4.0</v>
      </c>
      <c r="F67" s="3">
        <v>4.0</v>
      </c>
      <c r="H67" s="3">
        <v>0.0</v>
      </c>
      <c r="I67" s="3">
        <v>0.0</v>
      </c>
      <c r="K67" s="79">
        <v>2048.0</v>
      </c>
      <c r="L67" s="79">
        <f t="shared" ref="L67:M67" si="51">C67-H67</f>
        <v>88</v>
      </c>
      <c r="M67" s="79">
        <f t="shared" si="51"/>
        <v>88</v>
      </c>
      <c r="N67" s="79">
        <f t="shared" ref="N67:O67" si="52">E67-H67</f>
        <v>4</v>
      </c>
      <c r="O67" s="79">
        <f t="shared" si="52"/>
        <v>4</v>
      </c>
    </row>
    <row r="68">
      <c r="B68" s="3">
        <v>4096.0</v>
      </c>
      <c r="C68" s="3">
        <v>87.0</v>
      </c>
      <c r="D68" s="3">
        <v>87.0</v>
      </c>
      <c r="E68" s="3">
        <v>2.0</v>
      </c>
      <c r="F68" s="3">
        <v>2.0</v>
      </c>
      <c r="H68" s="3">
        <v>0.0</v>
      </c>
      <c r="I68" s="3">
        <v>0.0</v>
      </c>
      <c r="K68" s="79">
        <v>4096.0</v>
      </c>
      <c r="L68" s="79">
        <f t="shared" ref="L68:M68" si="53">C68-H68</f>
        <v>87</v>
      </c>
      <c r="M68" s="79">
        <f t="shared" si="53"/>
        <v>87</v>
      </c>
      <c r="N68" s="79">
        <f t="shared" ref="N68:O68" si="54">E68-H68</f>
        <v>2</v>
      </c>
      <c r="O68" s="79">
        <f t="shared" si="54"/>
        <v>2</v>
      </c>
    </row>
    <row r="69">
      <c r="B69" s="3">
        <v>8192.0</v>
      </c>
      <c r="C69" s="3">
        <v>87.0</v>
      </c>
      <c r="D69" s="3">
        <v>86.0</v>
      </c>
      <c r="E69" s="3">
        <v>1.0</v>
      </c>
      <c r="F69" s="3">
        <v>1.0</v>
      </c>
      <c r="H69" s="3">
        <v>0.0</v>
      </c>
      <c r="I69" s="3">
        <v>0.0</v>
      </c>
      <c r="K69" s="79">
        <v>8192.0</v>
      </c>
      <c r="L69" s="79">
        <f t="shared" ref="L69:M69" si="55">C69-H69</f>
        <v>87</v>
      </c>
      <c r="M69" s="79">
        <f t="shared" si="55"/>
        <v>86</v>
      </c>
      <c r="N69" s="79">
        <f t="shared" ref="N69:O69" si="56">E69-H69</f>
        <v>1</v>
      </c>
      <c r="O69" s="79">
        <f t="shared" si="56"/>
        <v>1</v>
      </c>
    </row>
    <row r="70">
      <c r="K70" s="79"/>
      <c r="Q70" s="3" t="s">
        <v>583</v>
      </c>
    </row>
    <row r="71">
      <c r="B71" s="3" t="s">
        <v>448</v>
      </c>
      <c r="H71" s="3" t="s">
        <v>449</v>
      </c>
      <c r="N71" s="3" t="s">
        <v>584</v>
      </c>
    </row>
    <row r="72">
      <c r="B72" s="94"/>
      <c r="C72" s="95" t="s">
        <v>550</v>
      </c>
      <c r="D72" s="6"/>
      <c r="E72" s="95" t="s">
        <v>545</v>
      </c>
      <c r="F72" s="6"/>
      <c r="I72" s="73" t="s">
        <v>550</v>
      </c>
      <c r="K72" s="73" t="s">
        <v>545</v>
      </c>
      <c r="R72" s="73" t="s">
        <v>550</v>
      </c>
      <c r="T72" s="73" t="s">
        <v>545</v>
      </c>
    </row>
    <row r="73">
      <c r="B73" s="79" t="s">
        <v>324</v>
      </c>
      <c r="C73" s="79" t="s">
        <v>581</v>
      </c>
      <c r="D73" s="79" t="s">
        <v>582</v>
      </c>
      <c r="E73" s="79" t="s">
        <v>581</v>
      </c>
      <c r="F73" s="79" t="s">
        <v>582</v>
      </c>
      <c r="H73" s="73" t="s">
        <v>324</v>
      </c>
      <c r="I73" s="73" t="s">
        <v>581</v>
      </c>
      <c r="J73" s="73" t="s">
        <v>582</v>
      </c>
      <c r="K73" s="73" t="s">
        <v>581</v>
      </c>
      <c r="L73" s="73" t="s">
        <v>582</v>
      </c>
      <c r="N73" s="3" t="s">
        <v>581</v>
      </c>
      <c r="O73" s="3" t="s">
        <v>582</v>
      </c>
      <c r="Q73" s="73" t="s">
        <v>324</v>
      </c>
      <c r="R73" s="73" t="s">
        <v>581</v>
      </c>
      <c r="S73" s="73" t="s">
        <v>582</v>
      </c>
      <c r="T73" s="73" t="s">
        <v>581</v>
      </c>
      <c r="U73" s="73" t="s">
        <v>582</v>
      </c>
    </row>
    <row r="74">
      <c r="B74" s="79">
        <v>1.0</v>
      </c>
      <c r="C74" s="79">
        <f t="shared" ref="C74:F74" si="57">C39-C56</f>
        <v>561</v>
      </c>
      <c r="D74" s="79">
        <f t="shared" si="57"/>
        <v>41</v>
      </c>
      <c r="E74" s="79">
        <f t="shared" si="57"/>
        <v>173</v>
      </c>
      <c r="F74" s="79">
        <f t="shared" si="57"/>
        <v>41</v>
      </c>
      <c r="H74" s="73">
        <v>1.0</v>
      </c>
      <c r="I74" s="73">
        <v>27.0</v>
      </c>
      <c r="J74" s="73">
        <v>43.0</v>
      </c>
      <c r="K74" s="73">
        <v>374.0</v>
      </c>
      <c r="L74" s="73">
        <v>-33.0</v>
      </c>
      <c r="N74" s="3">
        <v>309.0</v>
      </c>
      <c r="O74" s="3">
        <v>300.0</v>
      </c>
      <c r="Q74" s="73">
        <v>1.0</v>
      </c>
      <c r="R74" s="73">
        <v>588.0</v>
      </c>
      <c r="S74" s="73">
        <v>84.0</v>
      </c>
      <c r="T74" s="73">
        <v>547.0</v>
      </c>
      <c r="U74" s="73">
        <v>8.0</v>
      </c>
    </row>
    <row r="75">
      <c r="B75" s="79">
        <v>2.0</v>
      </c>
      <c r="C75" s="79">
        <f t="shared" ref="C75:F75" si="58">C40-C57</f>
        <v>487</v>
      </c>
      <c r="D75" s="79">
        <f t="shared" si="58"/>
        <v>29</v>
      </c>
      <c r="E75" s="79">
        <f t="shared" si="58"/>
        <v>39</v>
      </c>
      <c r="F75" s="79">
        <f t="shared" si="58"/>
        <v>24</v>
      </c>
      <c r="H75" s="73">
        <v>2.0</v>
      </c>
      <c r="I75" s="73">
        <v>107.0</v>
      </c>
      <c r="J75" s="73">
        <v>63.0</v>
      </c>
      <c r="K75" s="73">
        <v>499.0</v>
      </c>
      <c r="L75" s="73">
        <v>-7.0</v>
      </c>
      <c r="N75" s="3">
        <v>150.0</v>
      </c>
      <c r="O75" s="3">
        <v>150.0</v>
      </c>
      <c r="Q75" s="73">
        <v>2.0</v>
      </c>
      <c r="R75" s="73">
        <v>594.0</v>
      </c>
      <c r="S75" s="73">
        <v>92.0</v>
      </c>
      <c r="T75" s="73">
        <v>538.0</v>
      </c>
      <c r="U75" s="73">
        <v>17.0</v>
      </c>
    </row>
    <row r="76">
      <c r="B76" s="79">
        <v>4.0</v>
      </c>
      <c r="C76" s="79">
        <f t="shared" ref="C76:F76" si="59">C41-C58</f>
        <v>195</v>
      </c>
      <c r="D76" s="79">
        <f t="shared" si="59"/>
        <v>46</v>
      </c>
      <c r="E76" s="79">
        <f t="shared" si="59"/>
        <v>7</v>
      </c>
      <c r="F76" s="79">
        <f t="shared" si="59"/>
        <v>37</v>
      </c>
      <c r="H76" s="73">
        <v>4.0</v>
      </c>
      <c r="I76" s="73">
        <v>168.0</v>
      </c>
      <c r="J76" s="73">
        <v>79.0</v>
      </c>
      <c r="K76" s="73">
        <v>560.0</v>
      </c>
      <c r="L76" s="73">
        <v>20.0</v>
      </c>
      <c r="N76" s="3">
        <v>75.0</v>
      </c>
      <c r="O76" s="3">
        <v>75.0</v>
      </c>
      <c r="Q76" s="73">
        <v>4.0</v>
      </c>
      <c r="R76" s="73">
        <v>363.0</v>
      </c>
      <c r="S76" s="73">
        <v>125.0</v>
      </c>
      <c r="T76" s="73">
        <v>567.0</v>
      </c>
      <c r="U76" s="73">
        <v>57.0</v>
      </c>
    </row>
    <row r="77">
      <c r="B77" s="79">
        <v>8.0</v>
      </c>
      <c r="C77" s="79">
        <f t="shared" ref="C77:F77" si="60">C42-C59</f>
        <v>69</v>
      </c>
      <c r="D77" s="79">
        <f t="shared" si="60"/>
        <v>46</v>
      </c>
      <c r="E77" s="79">
        <f t="shared" si="60"/>
        <v>6</v>
      </c>
      <c r="F77" s="79">
        <f t="shared" si="60"/>
        <v>36</v>
      </c>
      <c r="H77" s="73">
        <v>8.0</v>
      </c>
      <c r="I77" s="73">
        <v>195.0</v>
      </c>
      <c r="J77" s="73">
        <v>106.0</v>
      </c>
      <c r="K77" s="73">
        <v>581.0</v>
      </c>
      <c r="L77" s="73">
        <v>51.0</v>
      </c>
      <c r="N77" s="3">
        <v>37.0</v>
      </c>
      <c r="O77" s="3">
        <v>38.0</v>
      </c>
      <c r="Q77" s="73">
        <v>8.0</v>
      </c>
      <c r="R77" s="73">
        <v>264.0</v>
      </c>
      <c r="S77" s="73">
        <v>152.0</v>
      </c>
      <c r="T77" s="73">
        <v>587.0</v>
      </c>
      <c r="U77" s="73">
        <v>87.0</v>
      </c>
    </row>
    <row r="78">
      <c r="B78" s="79">
        <v>16.0</v>
      </c>
      <c r="C78" s="79">
        <f t="shared" ref="C78:F78" si="61">C43-C60</f>
        <v>15</v>
      </c>
      <c r="D78" s="79">
        <f t="shared" si="61"/>
        <v>48</v>
      </c>
      <c r="E78" s="79">
        <f t="shared" si="61"/>
        <v>2</v>
      </c>
      <c r="F78" s="79">
        <f t="shared" si="61"/>
        <v>38</v>
      </c>
      <c r="H78" s="73">
        <v>16.0</v>
      </c>
      <c r="I78" s="73">
        <v>208.0</v>
      </c>
      <c r="J78" s="73">
        <v>117.0</v>
      </c>
      <c r="K78" s="73">
        <v>600.0</v>
      </c>
      <c r="L78" s="73">
        <v>63.0</v>
      </c>
      <c r="N78" s="3">
        <v>18.0</v>
      </c>
      <c r="O78" s="3">
        <v>18.0</v>
      </c>
      <c r="Q78" s="73">
        <v>16.0</v>
      </c>
      <c r="R78" s="73">
        <v>223.0</v>
      </c>
      <c r="S78" s="73">
        <v>165.0</v>
      </c>
      <c r="T78" s="73">
        <v>602.0</v>
      </c>
      <c r="U78" s="73">
        <v>101.0</v>
      </c>
    </row>
    <row r="79">
      <c r="B79" s="79">
        <v>32.0</v>
      </c>
      <c r="C79" s="79">
        <f t="shared" ref="C79:F79" si="62">C44-C61</f>
        <v>8</v>
      </c>
      <c r="D79" s="79">
        <f t="shared" si="62"/>
        <v>50</v>
      </c>
      <c r="E79" s="79">
        <f t="shared" si="62"/>
        <v>3</v>
      </c>
      <c r="F79" s="79">
        <f t="shared" si="62"/>
        <v>22</v>
      </c>
      <c r="H79" s="73">
        <v>32.0</v>
      </c>
      <c r="I79" s="73">
        <v>148.0</v>
      </c>
      <c r="J79" s="73">
        <v>105.0</v>
      </c>
      <c r="K79" s="73">
        <v>297.0</v>
      </c>
      <c r="L79" s="73">
        <v>80.0</v>
      </c>
      <c r="N79" s="3">
        <v>9.0</v>
      </c>
      <c r="O79" s="3">
        <v>9.0</v>
      </c>
      <c r="Q79" s="73">
        <v>32.0</v>
      </c>
      <c r="R79" s="73">
        <v>156.0</v>
      </c>
      <c r="S79" s="73">
        <v>155.0</v>
      </c>
      <c r="T79" s="73">
        <v>300.0</v>
      </c>
      <c r="U79" s="73">
        <v>102.0</v>
      </c>
    </row>
    <row r="80">
      <c r="B80" s="79">
        <v>64.0</v>
      </c>
      <c r="C80" s="79">
        <f t="shared" ref="C80:F80" si="63">C45-C62</f>
        <v>2</v>
      </c>
      <c r="D80" s="79">
        <f t="shared" si="63"/>
        <v>9</v>
      </c>
      <c r="E80" s="79">
        <f t="shared" si="63"/>
        <v>2</v>
      </c>
      <c r="F80" s="79">
        <f t="shared" si="63"/>
        <v>5</v>
      </c>
      <c r="H80" s="73">
        <v>64.0</v>
      </c>
      <c r="I80" s="73">
        <v>119.0</v>
      </c>
      <c r="J80" s="73">
        <v>116.0</v>
      </c>
      <c r="K80" s="73">
        <v>125.0</v>
      </c>
      <c r="L80" s="73">
        <v>119.0</v>
      </c>
      <c r="N80" s="3">
        <v>4.0</v>
      </c>
      <c r="O80" s="3">
        <v>4.0</v>
      </c>
      <c r="Q80" s="73">
        <v>64.0</v>
      </c>
      <c r="R80" s="73">
        <v>121.0</v>
      </c>
      <c r="S80" s="73">
        <v>125.0</v>
      </c>
      <c r="T80" s="73">
        <v>127.0</v>
      </c>
      <c r="U80" s="73">
        <v>124.0</v>
      </c>
    </row>
    <row r="81">
      <c r="B81" s="79">
        <v>128.0</v>
      </c>
      <c r="C81" s="79">
        <f t="shared" ref="C81:F81" si="64">C46-C63</f>
        <v>2</v>
      </c>
      <c r="D81" s="79">
        <f t="shared" si="64"/>
        <v>1</v>
      </c>
      <c r="E81" s="79">
        <f t="shared" si="64"/>
        <v>1</v>
      </c>
      <c r="F81" s="79">
        <f t="shared" si="64"/>
        <v>2</v>
      </c>
      <c r="H81" s="96">
        <v>128.0</v>
      </c>
      <c r="I81" s="96">
        <v>103.0</v>
      </c>
      <c r="J81" s="96">
        <v>103.0</v>
      </c>
      <c r="K81" s="96">
        <v>62.0</v>
      </c>
      <c r="L81" s="96">
        <v>62.0</v>
      </c>
      <c r="N81" s="3">
        <v>2.0</v>
      </c>
      <c r="O81" s="3">
        <v>2.0</v>
      </c>
      <c r="Q81" s="73">
        <v>128.0</v>
      </c>
      <c r="R81" s="73">
        <v>105.0</v>
      </c>
      <c r="S81" s="73">
        <v>104.0</v>
      </c>
      <c r="T81" s="73">
        <v>63.0</v>
      </c>
      <c r="U81" s="73">
        <v>64.0</v>
      </c>
    </row>
    <row r="82">
      <c r="B82" s="79">
        <v>256.0</v>
      </c>
      <c r="C82" s="79">
        <f t="shared" ref="C82:F82" si="65">C47-C64</f>
        <v>3</v>
      </c>
      <c r="D82" s="79">
        <f t="shared" si="65"/>
        <v>0</v>
      </c>
      <c r="E82" s="79">
        <f t="shared" si="65"/>
        <v>1</v>
      </c>
      <c r="F82" s="79">
        <f t="shared" si="65"/>
        <v>1</v>
      </c>
      <c r="H82" s="96">
        <v>256.0</v>
      </c>
      <c r="I82" s="96">
        <v>95.0</v>
      </c>
      <c r="J82" s="96">
        <v>96.0</v>
      </c>
      <c r="K82" s="96">
        <v>32.0</v>
      </c>
      <c r="L82" s="96">
        <v>32.0</v>
      </c>
      <c r="N82" s="3">
        <v>1.0</v>
      </c>
      <c r="O82" s="3">
        <v>1.0</v>
      </c>
      <c r="Q82" s="73">
        <v>256.0</v>
      </c>
      <c r="R82" s="73">
        <v>98.0</v>
      </c>
      <c r="S82" s="73">
        <v>96.0</v>
      </c>
      <c r="T82" s="73">
        <v>33.0</v>
      </c>
      <c r="U82" s="73">
        <v>33.0</v>
      </c>
    </row>
    <row r="83">
      <c r="B83" s="79">
        <v>512.0</v>
      </c>
      <c r="C83" s="79">
        <f t="shared" ref="C83:F83" si="66">C48-C65</f>
        <v>2</v>
      </c>
      <c r="D83" s="79">
        <f t="shared" si="66"/>
        <v>1</v>
      </c>
      <c r="E83" s="79">
        <f t="shared" si="66"/>
        <v>1</v>
      </c>
      <c r="F83" s="79">
        <f t="shared" si="66"/>
        <v>1</v>
      </c>
      <c r="H83" s="96">
        <v>512.0</v>
      </c>
      <c r="I83" s="96">
        <v>92.0</v>
      </c>
      <c r="J83" s="96">
        <v>92.0</v>
      </c>
      <c r="K83" s="96">
        <v>17.0</v>
      </c>
      <c r="L83" s="96">
        <v>17.0</v>
      </c>
      <c r="N83" s="3">
        <v>0.0</v>
      </c>
      <c r="O83" s="3">
        <v>0.0</v>
      </c>
      <c r="Q83" s="73">
        <v>512.0</v>
      </c>
      <c r="R83" s="73">
        <v>94.0</v>
      </c>
      <c r="S83" s="73">
        <v>93.0</v>
      </c>
      <c r="T83" s="73">
        <v>18.0</v>
      </c>
      <c r="U83" s="73">
        <v>18.0</v>
      </c>
    </row>
    <row r="84">
      <c r="B84" s="79">
        <v>1024.0</v>
      </c>
      <c r="C84" s="79">
        <f t="shared" ref="C84:F84" si="67">C49-C66</f>
        <v>0</v>
      </c>
      <c r="D84" s="79">
        <f t="shared" si="67"/>
        <v>1</v>
      </c>
      <c r="E84" s="79">
        <f t="shared" si="67"/>
        <v>0</v>
      </c>
      <c r="F84" s="79">
        <f t="shared" si="67"/>
        <v>0</v>
      </c>
      <c r="H84" s="96">
        <v>1024.0</v>
      </c>
      <c r="I84" s="96">
        <v>91.0</v>
      </c>
      <c r="J84" s="96">
        <v>90.0</v>
      </c>
      <c r="K84" s="96">
        <v>9.0</v>
      </c>
      <c r="L84" s="96">
        <v>9.0</v>
      </c>
      <c r="N84" s="3">
        <v>0.0</v>
      </c>
      <c r="O84" s="3">
        <v>0.0</v>
      </c>
      <c r="Q84" s="73">
        <v>1024.0</v>
      </c>
      <c r="R84" s="73">
        <v>91.0</v>
      </c>
      <c r="S84" s="73">
        <v>91.0</v>
      </c>
      <c r="T84" s="73">
        <v>9.0</v>
      </c>
      <c r="U84" s="73">
        <v>9.0</v>
      </c>
    </row>
    <row r="85">
      <c r="B85" s="79">
        <v>2048.0</v>
      </c>
      <c r="C85" s="79">
        <f t="shared" ref="C85:F85" si="68">C50-C67</f>
        <v>2</v>
      </c>
      <c r="D85" s="79">
        <f t="shared" si="68"/>
        <v>1</v>
      </c>
      <c r="E85" s="79">
        <f t="shared" si="68"/>
        <v>1</v>
      </c>
      <c r="F85" s="79">
        <f t="shared" si="68"/>
        <v>1</v>
      </c>
      <c r="H85" s="96">
        <v>2048.0</v>
      </c>
      <c r="I85" s="96">
        <v>88.0</v>
      </c>
      <c r="J85" s="96">
        <v>88.0</v>
      </c>
      <c r="K85" s="96">
        <v>4.0</v>
      </c>
      <c r="L85" s="96">
        <v>4.0</v>
      </c>
      <c r="N85" s="3">
        <v>0.0</v>
      </c>
      <c r="O85" s="3">
        <v>0.0</v>
      </c>
      <c r="Q85" s="73">
        <v>2048.0</v>
      </c>
      <c r="R85" s="73">
        <v>90.0</v>
      </c>
      <c r="S85" s="73">
        <v>89.0</v>
      </c>
      <c r="T85" s="73">
        <v>5.0</v>
      </c>
      <c r="U85" s="73">
        <v>5.0</v>
      </c>
    </row>
    <row r="86">
      <c r="B86" s="79">
        <v>4096.0</v>
      </c>
      <c r="C86" s="79">
        <f t="shared" ref="C86:F86" si="69">C51-C68</f>
        <v>2</v>
      </c>
      <c r="D86" s="79">
        <f t="shared" si="69"/>
        <v>1</v>
      </c>
      <c r="E86" s="79">
        <f t="shared" si="69"/>
        <v>1</v>
      </c>
      <c r="F86" s="79">
        <f t="shared" si="69"/>
        <v>0</v>
      </c>
      <c r="H86" s="96">
        <v>4096.0</v>
      </c>
      <c r="I86" s="96">
        <v>87.0</v>
      </c>
      <c r="J86" s="96">
        <v>87.0</v>
      </c>
      <c r="K86" s="96">
        <v>2.0</v>
      </c>
      <c r="L86" s="96">
        <v>2.0</v>
      </c>
      <c r="N86" s="3">
        <v>0.0</v>
      </c>
      <c r="O86" s="3">
        <v>0.0</v>
      </c>
      <c r="Q86" s="73">
        <v>4096.0</v>
      </c>
      <c r="R86" s="73">
        <v>89.0</v>
      </c>
      <c r="S86" s="73">
        <v>88.0</v>
      </c>
      <c r="T86" s="73">
        <v>3.0</v>
      </c>
      <c r="U86" s="73">
        <v>2.0</v>
      </c>
    </row>
    <row r="87">
      <c r="B87" s="79">
        <v>8192.0</v>
      </c>
      <c r="C87" s="79">
        <f t="shared" ref="C87:F87" si="70">C52-C69</f>
        <v>1</v>
      </c>
      <c r="D87" s="79">
        <f t="shared" si="70"/>
        <v>2</v>
      </c>
      <c r="E87" s="79">
        <f t="shared" si="70"/>
        <v>0</v>
      </c>
      <c r="F87" s="79">
        <f t="shared" si="70"/>
        <v>0</v>
      </c>
      <c r="H87" s="96">
        <v>8192.0</v>
      </c>
      <c r="I87" s="96">
        <v>87.0</v>
      </c>
      <c r="J87" s="96">
        <v>86.0</v>
      </c>
      <c r="K87" s="96">
        <v>1.0</v>
      </c>
      <c r="L87" s="96">
        <v>1.0</v>
      </c>
      <c r="N87" s="3">
        <v>0.0</v>
      </c>
      <c r="O87" s="3">
        <v>0.0</v>
      </c>
      <c r="Q87" s="73">
        <v>8192.0</v>
      </c>
      <c r="R87" s="73">
        <v>88.0</v>
      </c>
      <c r="S87" s="73">
        <v>88.0</v>
      </c>
      <c r="T87" s="73">
        <v>1.0</v>
      </c>
      <c r="U87" s="73">
        <v>1.0</v>
      </c>
    </row>
    <row r="98">
      <c r="D98" s="3" t="s">
        <v>324</v>
      </c>
      <c r="E98" s="3" t="s">
        <v>585</v>
      </c>
      <c r="F98" s="3" t="s">
        <v>586</v>
      </c>
      <c r="G98" s="3" t="s">
        <v>587</v>
      </c>
      <c r="H98" s="3" t="s">
        <v>588</v>
      </c>
    </row>
    <row r="99">
      <c r="C99" s="3" t="s">
        <v>463</v>
      </c>
      <c r="D99" s="3">
        <v>1.0</v>
      </c>
      <c r="E99" s="3">
        <v>1.8873211E7</v>
      </c>
      <c r="F99" s="3">
        <v>6672585.0</v>
      </c>
      <c r="G99" s="3">
        <v>1.9023297E7</v>
      </c>
      <c r="H99" s="3">
        <v>6793383.0</v>
      </c>
      <c r="I99" s="30">
        <f t="shared" ref="I99:I110" si="71">D99/16</f>
        <v>0.0625</v>
      </c>
    </row>
    <row r="100">
      <c r="C100" s="3" t="s">
        <v>463</v>
      </c>
      <c r="D100" s="3">
        <v>2.0</v>
      </c>
      <c r="E100" s="3">
        <v>1.8818195E7</v>
      </c>
      <c r="F100" s="3">
        <v>6638122.0</v>
      </c>
      <c r="G100" s="3">
        <v>1.8978664E7</v>
      </c>
      <c r="H100" s="3">
        <v>6726702.0</v>
      </c>
      <c r="I100" s="30">
        <f t="shared" si="71"/>
        <v>0.125</v>
      </c>
    </row>
    <row r="101">
      <c r="C101" s="3" t="s">
        <v>463</v>
      </c>
      <c r="D101" s="3">
        <v>4.0</v>
      </c>
      <c r="E101" s="3">
        <v>1.8808407E7</v>
      </c>
      <c r="F101" s="3">
        <v>6635546.0</v>
      </c>
      <c r="G101" s="3">
        <v>1.8963135E7</v>
      </c>
      <c r="H101" s="3">
        <v>6826298.0</v>
      </c>
      <c r="I101" s="30">
        <f t="shared" si="71"/>
        <v>0.25</v>
      </c>
    </row>
    <row r="102">
      <c r="C102" s="3" t="s">
        <v>463</v>
      </c>
      <c r="D102" s="3">
        <v>8.0</v>
      </c>
      <c r="E102" s="3">
        <v>1.882543E7</v>
      </c>
      <c r="F102" s="3">
        <v>6639493.0</v>
      </c>
      <c r="G102" s="3">
        <v>1.8962282E7</v>
      </c>
      <c r="H102" s="3">
        <v>6830867.0</v>
      </c>
      <c r="I102" s="30">
        <f t="shared" si="71"/>
        <v>0.5</v>
      </c>
    </row>
    <row r="103">
      <c r="C103" s="3" t="s">
        <v>463</v>
      </c>
      <c r="D103" s="3">
        <v>16.0</v>
      </c>
      <c r="E103" s="3">
        <v>1.880592E7</v>
      </c>
      <c r="F103" s="3">
        <v>6634036.0</v>
      </c>
      <c r="G103" s="3">
        <v>1.8956369E7</v>
      </c>
      <c r="H103" s="3">
        <v>6822443.0</v>
      </c>
      <c r="I103" s="30">
        <f t="shared" si="71"/>
        <v>1</v>
      </c>
      <c r="J103" s="30">
        <f t="shared" ref="J103:J110" si="72">$E$103/I103</f>
        <v>18805920</v>
      </c>
      <c r="K103" s="65">
        <f t="shared" ref="K103:K110" si="73">$F$103/I103</f>
        <v>6634036</v>
      </c>
      <c r="L103" s="65">
        <f t="shared" ref="L103:L110" si="74">$G$103/I103</f>
        <v>18956369</v>
      </c>
      <c r="M103" s="65">
        <f t="shared" ref="M103:M110" si="75">$H$103/I103</f>
        <v>6822443</v>
      </c>
    </row>
    <row r="104">
      <c r="C104" s="3" t="s">
        <v>463</v>
      </c>
      <c r="D104" s="3">
        <v>32.0</v>
      </c>
      <c r="E104" s="3">
        <v>1.8601912E7</v>
      </c>
      <c r="F104" s="3">
        <v>3643813.0</v>
      </c>
      <c r="G104" s="3">
        <v>9464972.0</v>
      </c>
      <c r="H104" s="3">
        <v>3410709.0</v>
      </c>
      <c r="I104" s="30">
        <f t="shared" si="71"/>
        <v>2</v>
      </c>
      <c r="J104" s="30">
        <f t="shared" si="72"/>
        <v>9402960</v>
      </c>
      <c r="K104" s="65">
        <f t="shared" si="73"/>
        <v>3317018</v>
      </c>
      <c r="L104" s="65">
        <f t="shared" si="74"/>
        <v>9478184.5</v>
      </c>
      <c r="M104" s="65">
        <f t="shared" si="75"/>
        <v>3411221.5</v>
      </c>
    </row>
    <row r="105">
      <c r="C105" s="3" t="s">
        <v>463</v>
      </c>
      <c r="D105" s="3">
        <v>48.0</v>
      </c>
      <c r="E105" s="3">
        <v>1.7938508E7</v>
      </c>
      <c r="F105" s="3">
        <v>2636834.0</v>
      </c>
      <c r="G105" s="3">
        <v>6324096.0</v>
      </c>
      <c r="H105" s="3">
        <v>2547432.0</v>
      </c>
      <c r="I105" s="30">
        <f t="shared" si="71"/>
        <v>3</v>
      </c>
      <c r="J105" s="30">
        <f t="shared" si="72"/>
        <v>6268640</v>
      </c>
      <c r="K105" s="65">
        <f t="shared" si="73"/>
        <v>2211345.333</v>
      </c>
      <c r="L105" s="65">
        <f t="shared" si="74"/>
        <v>6318789.667</v>
      </c>
      <c r="M105" s="65">
        <f t="shared" si="75"/>
        <v>2274147.667</v>
      </c>
    </row>
    <row r="106">
      <c r="C106" s="3" t="s">
        <v>463</v>
      </c>
      <c r="D106" s="3">
        <v>64.0</v>
      </c>
      <c r="E106" s="3">
        <v>1.4290532E7</v>
      </c>
      <c r="F106" s="3">
        <v>2024490.0</v>
      </c>
      <c r="G106" s="3">
        <v>4726781.0</v>
      </c>
      <c r="H106" s="3">
        <v>1695749.0</v>
      </c>
      <c r="I106" s="30">
        <f t="shared" si="71"/>
        <v>4</v>
      </c>
      <c r="J106" s="30">
        <f t="shared" si="72"/>
        <v>4701480</v>
      </c>
      <c r="K106" s="65">
        <f t="shared" si="73"/>
        <v>1658509</v>
      </c>
      <c r="L106" s="65">
        <f t="shared" si="74"/>
        <v>4739092.25</v>
      </c>
      <c r="M106" s="65">
        <f t="shared" si="75"/>
        <v>1705610.75</v>
      </c>
    </row>
    <row r="107">
      <c r="C107" s="3" t="s">
        <v>463</v>
      </c>
      <c r="D107" s="3">
        <v>80.0</v>
      </c>
      <c r="E107" s="3">
        <v>1.1136283E7</v>
      </c>
      <c r="F107" s="3">
        <v>1800830.0</v>
      </c>
      <c r="G107" s="3">
        <v>3790551.0</v>
      </c>
      <c r="H107" s="3">
        <v>1669432.0</v>
      </c>
      <c r="I107" s="30">
        <f t="shared" si="71"/>
        <v>5</v>
      </c>
      <c r="J107" s="30">
        <f t="shared" si="72"/>
        <v>3761184</v>
      </c>
      <c r="K107" s="65">
        <f t="shared" si="73"/>
        <v>1326807.2</v>
      </c>
      <c r="L107" s="65">
        <f t="shared" si="74"/>
        <v>3791273.8</v>
      </c>
      <c r="M107" s="65">
        <f t="shared" si="75"/>
        <v>1364488.6</v>
      </c>
    </row>
    <row r="108">
      <c r="C108" s="3" t="s">
        <v>463</v>
      </c>
      <c r="D108" s="3">
        <v>96.0</v>
      </c>
      <c r="E108" s="3">
        <v>3165649.0</v>
      </c>
      <c r="F108" s="3">
        <v>1275587.0</v>
      </c>
      <c r="G108" s="3">
        <v>3161758.0</v>
      </c>
      <c r="H108" s="3">
        <v>1271348.0</v>
      </c>
      <c r="I108" s="30">
        <f t="shared" si="71"/>
        <v>6</v>
      </c>
      <c r="J108" s="30">
        <f t="shared" si="72"/>
        <v>3134320</v>
      </c>
      <c r="K108" s="65">
        <f t="shared" si="73"/>
        <v>1105672.667</v>
      </c>
      <c r="L108" s="65">
        <f t="shared" si="74"/>
        <v>3159394.833</v>
      </c>
      <c r="M108" s="65">
        <f t="shared" si="75"/>
        <v>1137073.833</v>
      </c>
    </row>
    <row r="109">
      <c r="C109" s="3" t="s">
        <v>463</v>
      </c>
      <c r="D109" s="3">
        <v>112.0</v>
      </c>
      <c r="E109" s="3">
        <v>2714992.0</v>
      </c>
      <c r="F109" s="3">
        <v>1253182.0</v>
      </c>
      <c r="G109" s="3">
        <v>2712244.0</v>
      </c>
      <c r="H109" s="3">
        <v>1311814.0</v>
      </c>
      <c r="I109" s="30">
        <f t="shared" si="71"/>
        <v>7</v>
      </c>
      <c r="J109" s="30">
        <f t="shared" si="72"/>
        <v>2686560</v>
      </c>
      <c r="K109" s="65">
        <f t="shared" si="73"/>
        <v>947719.4286</v>
      </c>
      <c r="L109" s="65">
        <f t="shared" si="74"/>
        <v>2708052.714</v>
      </c>
      <c r="M109" s="65">
        <f t="shared" si="75"/>
        <v>974634.7143</v>
      </c>
    </row>
    <row r="110">
      <c r="C110" s="3" t="s">
        <v>463</v>
      </c>
      <c r="D110" s="3">
        <v>128.0</v>
      </c>
      <c r="E110" s="3">
        <v>2364270.0</v>
      </c>
      <c r="F110" s="3">
        <v>850849.0</v>
      </c>
      <c r="G110" s="3">
        <v>2364186.0</v>
      </c>
      <c r="H110" s="3">
        <v>851021.0</v>
      </c>
      <c r="I110" s="30">
        <f t="shared" si="71"/>
        <v>8</v>
      </c>
      <c r="J110" s="30">
        <f t="shared" si="72"/>
        <v>2350740</v>
      </c>
      <c r="K110" s="65">
        <f t="shared" si="73"/>
        <v>829254.5</v>
      </c>
      <c r="L110" s="65">
        <f t="shared" si="74"/>
        <v>2369546.125</v>
      </c>
      <c r="M110" s="65">
        <f t="shared" si="75"/>
        <v>852805.375</v>
      </c>
    </row>
    <row r="118">
      <c r="D118" s="3" t="s">
        <v>324</v>
      </c>
      <c r="E118" s="3" t="s">
        <v>585</v>
      </c>
      <c r="F118" s="3" t="s">
        <v>586</v>
      </c>
      <c r="G118" s="3" t="s">
        <v>587</v>
      </c>
      <c r="H118" s="3" t="s">
        <v>588</v>
      </c>
    </row>
    <row r="119">
      <c r="C119" s="3" t="s">
        <v>463</v>
      </c>
      <c r="D119" s="3">
        <v>1.0</v>
      </c>
      <c r="E119" s="3">
        <v>1.8760995E7</v>
      </c>
      <c r="F119" s="3">
        <v>6274478.0</v>
      </c>
      <c r="G119" s="3">
        <v>1.8769903E7</v>
      </c>
      <c r="H119" s="3">
        <v>6276133.0</v>
      </c>
    </row>
    <row r="120">
      <c r="C120" s="3" t="s">
        <v>463</v>
      </c>
      <c r="D120" s="3">
        <v>2.0</v>
      </c>
      <c r="E120" s="3">
        <v>1.8768473E7</v>
      </c>
      <c r="F120" s="3">
        <v>6274693.0</v>
      </c>
      <c r="G120" s="3">
        <v>1.876246E7</v>
      </c>
      <c r="H120" s="3">
        <v>6262928.0</v>
      </c>
    </row>
    <row r="121">
      <c r="C121" s="3" t="s">
        <v>463</v>
      </c>
      <c r="D121" s="3">
        <v>4.0</v>
      </c>
      <c r="E121" s="3">
        <v>1.875874E7</v>
      </c>
      <c r="F121" s="3">
        <v>6265251.0</v>
      </c>
      <c r="G121" s="3">
        <v>1.8762237E7</v>
      </c>
      <c r="H121" s="3">
        <v>6269112.0</v>
      </c>
    </row>
    <row r="122">
      <c r="C122" s="3" t="s">
        <v>463</v>
      </c>
      <c r="D122" s="3">
        <v>8.0</v>
      </c>
      <c r="E122" s="3">
        <v>1.8756072E7</v>
      </c>
      <c r="F122" s="3">
        <v>6259647.0</v>
      </c>
      <c r="G122" s="3">
        <v>1.8766218E7</v>
      </c>
      <c r="H122" s="3">
        <v>6265332.0</v>
      </c>
    </row>
    <row r="123">
      <c r="C123" s="3" t="s">
        <v>463</v>
      </c>
      <c r="D123" s="3">
        <v>16.0</v>
      </c>
      <c r="E123" s="3">
        <v>1.8758639E7</v>
      </c>
      <c r="F123" s="3">
        <v>6262882.0</v>
      </c>
      <c r="G123" s="3">
        <v>1.8763993E7</v>
      </c>
      <c r="H123" s="3">
        <v>6265567.0</v>
      </c>
    </row>
    <row r="124">
      <c r="C124" s="3" t="s">
        <v>463</v>
      </c>
      <c r="D124" s="3">
        <v>32.0</v>
      </c>
      <c r="E124" s="3">
        <v>9377974.0</v>
      </c>
      <c r="F124" s="3">
        <v>3130201.0</v>
      </c>
      <c r="G124" s="3">
        <v>1.6476941E7</v>
      </c>
      <c r="H124" s="3">
        <v>3137819.0</v>
      </c>
    </row>
    <row r="125">
      <c r="C125" s="3" t="s">
        <v>463</v>
      </c>
      <c r="D125" s="3">
        <v>48.0</v>
      </c>
      <c r="E125" s="3">
        <v>6253651.0</v>
      </c>
      <c r="F125" s="3">
        <v>2090817.0</v>
      </c>
      <c r="G125" s="3">
        <v>1.1847554E7</v>
      </c>
      <c r="H125" s="3">
        <v>2096266.0</v>
      </c>
    </row>
    <row r="126">
      <c r="C126" s="3" t="s">
        <v>463</v>
      </c>
      <c r="D126" s="3">
        <v>64.0</v>
      </c>
      <c r="E126" s="3">
        <v>4689721.0</v>
      </c>
      <c r="F126" s="3">
        <v>1564382.0</v>
      </c>
      <c r="G126" s="3">
        <v>1.1297283E7</v>
      </c>
      <c r="H126" s="3">
        <v>1586154.0</v>
      </c>
    </row>
    <row r="127">
      <c r="C127" s="3" t="s">
        <v>463</v>
      </c>
      <c r="D127" s="3">
        <v>80.0</v>
      </c>
      <c r="E127" s="3">
        <v>3752801.0</v>
      </c>
      <c r="F127" s="3">
        <v>1256755.0</v>
      </c>
      <c r="G127" s="3">
        <v>9720609.0</v>
      </c>
      <c r="H127" s="3">
        <v>1262477.0</v>
      </c>
    </row>
    <row r="128">
      <c r="C128" s="3" t="s">
        <v>463</v>
      </c>
      <c r="D128" s="3">
        <v>96.0</v>
      </c>
      <c r="E128" s="3">
        <v>3127244.0</v>
      </c>
      <c r="F128" s="3">
        <v>1045298.0</v>
      </c>
      <c r="G128" s="3">
        <v>4095839.0</v>
      </c>
      <c r="H128" s="3">
        <v>1051923.0</v>
      </c>
    </row>
    <row r="129">
      <c r="C129" s="3" t="s">
        <v>463</v>
      </c>
      <c r="D129" s="3">
        <v>112.0</v>
      </c>
      <c r="E129" s="3">
        <v>2680510.0</v>
      </c>
      <c r="F129" s="3">
        <v>897638.0</v>
      </c>
      <c r="G129" s="3">
        <v>2772954.0</v>
      </c>
      <c r="H129" s="3">
        <v>908719.0</v>
      </c>
    </row>
    <row r="130">
      <c r="C130" s="3" t="s">
        <v>463</v>
      </c>
      <c r="D130" s="3">
        <v>128.0</v>
      </c>
      <c r="E130" s="3">
        <v>2345823.0</v>
      </c>
      <c r="F130" s="3">
        <v>783075.0</v>
      </c>
      <c r="G130" s="3">
        <v>2951020.0</v>
      </c>
      <c r="H130" s="3">
        <v>788271.0</v>
      </c>
    </row>
    <row r="137">
      <c r="D137" s="3" t="s">
        <v>324</v>
      </c>
      <c r="E137" s="3" t="s">
        <v>585</v>
      </c>
      <c r="F137" s="3" t="s">
        <v>586</v>
      </c>
      <c r="G137" s="3" t="s">
        <v>587</v>
      </c>
      <c r="H137" s="3" t="s">
        <v>588</v>
      </c>
    </row>
    <row r="138">
      <c r="C138" s="3" t="s">
        <v>463</v>
      </c>
      <c r="D138" s="3">
        <v>1.0</v>
      </c>
      <c r="E138" s="3">
        <v>1.8796762E7</v>
      </c>
      <c r="F138" s="3">
        <v>6332147.0</v>
      </c>
      <c r="G138" s="3">
        <v>1.8759027E7</v>
      </c>
      <c r="H138" s="3">
        <v>6266875.0</v>
      </c>
    </row>
    <row r="139">
      <c r="C139" s="3" t="s">
        <v>463</v>
      </c>
      <c r="D139" s="3">
        <v>2.0</v>
      </c>
      <c r="E139" s="3">
        <v>1.8783925E7</v>
      </c>
      <c r="F139" s="3">
        <v>6299558.0</v>
      </c>
      <c r="G139" s="3">
        <v>1.8712776E7</v>
      </c>
      <c r="H139" s="3">
        <v>6247779.0</v>
      </c>
    </row>
    <row r="140">
      <c r="C140" s="3" t="s">
        <v>463</v>
      </c>
      <c r="D140" s="3">
        <v>4.0</v>
      </c>
      <c r="E140" s="3">
        <v>1.8758875E7</v>
      </c>
      <c r="F140" s="3">
        <v>6277864.0</v>
      </c>
      <c r="G140" s="3">
        <v>1.876148E7</v>
      </c>
      <c r="H140" s="3">
        <v>6264680.0</v>
      </c>
    </row>
    <row r="141">
      <c r="C141" s="3" t="s">
        <v>463</v>
      </c>
      <c r="D141" s="3">
        <v>8.0</v>
      </c>
      <c r="E141" s="3">
        <v>1.875835E7</v>
      </c>
      <c r="F141" s="3">
        <v>6267608.0</v>
      </c>
      <c r="G141" s="3">
        <v>1.876253E7</v>
      </c>
      <c r="H141" s="3">
        <v>6271951.0</v>
      </c>
    </row>
    <row r="142">
      <c r="C142" s="3" t="s">
        <v>463</v>
      </c>
      <c r="D142" s="3">
        <v>16.0</v>
      </c>
      <c r="E142" s="3">
        <v>1.8759073E7</v>
      </c>
      <c r="F142" s="3">
        <v>6271039.0</v>
      </c>
      <c r="G142" s="3">
        <v>1.8761434E7</v>
      </c>
      <c r="H142" s="3">
        <v>6267582.0</v>
      </c>
    </row>
    <row r="143">
      <c r="C143" s="3" t="s">
        <v>463</v>
      </c>
      <c r="D143" s="3">
        <v>32.0</v>
      </c>
      <c r="E143" s="3">
        <v>9357538.0</v>
      </c>
      <c r="F143" s="3">
        <v>3135373.0</v>
      </c>
      <c r="G143" s="3">
        <v>1.6716155E7</v>
      </c>
      <c r="H143" s="3">
        <v>3144589.0</v>
      </c>
    </row>
    <row r="144">
      <c r="C144" s="3" t="s">
        <v>463</v>
      </c>
      <c r="D144" s="3">
        <v>48.0</v>
      </c>
      <c r="E144" s="3">
        <v>6252604.0</v>
      </c>
      <c r="F144" s="3">
        <v>2092317.0</v>
      </c>
      <c r="G144" s="3">
        <v>1.1830984E7</v>
      </c>
      <c r="H144" s="3">
        <v>2099403.0</v>
      </c>
    </row>
    <row r="145">
      <c r="C145" s="3" t="s">
        <v>463</v>
      </c>
      <c r="D145" s="3">
        <v>64.0</v>
      </c>
      <c r="E145" s="3">
        <v>4690712.0</v>
      </c>
      <c r="F145" s="3">
        <v>1568291.0</v>
      </c>
      <c r="G145" s="3">
        <v>1.0989828E7</v>
      </c>
      <c r="H145" s="3">
        <v>1578651.0</v>
      </c>
    </row>
    <row r="146">
      <c r="C146" s="3" t="s">
        <v>463</v>
      </c>
      <c r="D146" s="3">
        <v>80.0</v>
      </c>
      <c r="E146" s="3">
        <v>3752593.0</v>
      </c>
      <c r="F146" s="3">
        <v>1257830.0</v>
      </c>
      <c r="G146" s="3">
        <v>9460206.0</v>
      </c>
      <c r="H146" s="3">
        <v>1266369.0</v>
      </c>
    </row>
    <row r="147">
      <c r="C147" s="3" t="s">
        <v>463</v>
      </c>
      <c r="D147" s="3">
        <v>96.0</v>
      </c>
      <c r="E147" s="3">
        <v>3125115.0</v>
      </c>
      <c r="F147" s="3">
        <v>1045677.0</v>
      </c>
      <c r="G147" s="3">
        <v>4089522.0</v>
      </c>
      <c r="H147" s="3">
        <v>1052912.0</v>
      </c>
    </row>
    <row r="148">
      <c r="C148" s="3" t="s">
        <v>463</v>
      </c>
      <c r="D148" s="3">
        <v>112.0</v>
      </c>
      <c r="E148" s="3">
        <v>2680196.0</v>
      </c>
      <c r="F148" s="3">
        <v>898170.0</v>
      </c>
      <c r="G148" s="3">
        <v>2759002.0</v>
      </c>
      <c r="H148" s="3">
        <v>907554.0</v>
      </c>
    </row>
    <row r="149">
      <c r="C149" s="3" t="s">
        <v>463</v>
      </c>
      <c r="D149" s="3">
        <v>128.0</v>
      </c>
      <c r="E149" s="3">
        <v>2338333.0</v>
      </c>
      <c r="F149" s="3">
        <v>783084.0</v>
      </c>
      <c r="G149" s="3">
        <v>2934668.0</v>
      </c>
      <c r="H149" s="3">
        <v>785983.0</v>
      </c>
    </row>
    <row r="152">
      <c r="B152" s="3" t="s">
        <v>557</v>
      </c>
    </row>
    <row r="153">
      <c r="B153" s="3" t="s">
        <v>480</v>
      </c>
    </row>
    <row r="155">
      <c r="B155" s="3" t="s">
        <v>557</v>
      </c>
      <c r="C155" s="3" t="s">
        <v>589</v>
      </c>
    </row>
    <row r="157">
      <c r="B157" s="3" t="s">
        <v>590</v>
      </c>
      <c r="C157" s="3" t="s">
        <v>591</v>
      </c>
      <c r="D157" s="3" t="s">
        <v>463</v>
      </c>
      <c r="E157" s="3">
        <v>1.0</v>
      </c>
      <c r="F157" s="3">
        <v>4637485.0</v>
      </c>
      <c r="G157" s="3">
        <v>4824378.0</v>
      </c>
    </row>
    <row r="158">
      <c r="C158" s="3" t="s">
        <v>592</v>
      </c>
      <c r="D158" s="3" t="s">
        <v>463</v>
      </c>
      <c r="E158" s="3">
        <v>1.0</v>
      </c>
      <c r="F158" s="3">
        <v>4589491.0</v>
      </c>
      <c r="G158" s="3">
        <v>4746654.0</v>
      </c>
      <c r="J158" s="3">
        <v>8192.0</v>
      </c>
      <c r="K158" s="3">
        <v>8192.0</v>
      </c>
    </row>
    <row r="159">
      <c r="B159" s="3" t="s">
        <v>593</v>
      </c>
      <c r="C159" s="3" t="s">
        <v>591</v>
      </c>
      <c r="D159" s="3" t="s">
        <v>463</v>
      </c>
      <c r="E159" s="3">
        <v>1.0</v>
      </c>
      <c r="F159" s="3">
        <v>8382460.0</v>
      </c>
      <c r="G159" s="3">
        <v>4458517.0</v>
      </c>
    </row>
    <row r="160">
      <c r="C160" s="3" t="s">
        <v>592</v>
      </c>
      <c r="D160" s="3" t="s">
        <v>463</v>
      </c>
      <c r="E160" s="3">
        <v>1.0</v>
      </c>
      <c r="F160" s="3">
        <v>8271303.0</v>
      </c>
      <c r="G160" s="3">
        <v>4380402.0</v>
      </c>
      <c r="J160" s="3" t="s">
        <v>594</v>
      </c>
    </row>
    <row r="162">
      <c r="C162" s="3" t="s">
        <v>595</v>
      </c>
      <c r="D162" s="3" t="s">
        <v>596</v>
      </c>
    </row>
    <row r="163">
      <c r="B163" s="3" t="s">
        <v>590</v>
      </c>
      <c r="C163" s="3" t="s">
        <v>591</v>
      </c>
      <c r="D163" s="3" t="s">
        <v>463</v>
      </c>
      <c r="E163" s="3">
        <v>1.0</v>
      </c>
      <c r="F163" s="3">
        <v>4728531.0</v>
      </c>
      <c r="G163" s="3">
        <v>4879326.0</v>
      </c>
    </row>
    <row r="164">
      <c r="C164" s="3" t="s">
        <v>592</v>
      </c>
      <c r="D164" s="3" t="s">
        <v>463</v>
      </c>
      <c r="E164" s="3">
        <v>1.0</v>
      </c>
      <c r="F164" s="3">
        <v>4587515.0</v>
      </c>
      <c r="G164" s="3">
        <v>4721159.0</v>
      </c>
    </row>
    <row r="165">
      <c r="B165" s="3" t="s">
        <v>593</v>
      </c>
      <c r="C165" s="3" t="s">
        <v>591</v>
      </c>
      <c r="D165" s="3" t="s">
        <v>463</v>
      </c>
      <c r="E165" s="3">
        <v>1.0</v>
      </c>
      <c r="F165" s="3">
        <v>8360423.0</v>
      </c>
      <c r="G165" s="3">
        <v>4525815.0</v>
      </c>
    </row>
    <row r="166">
      <c r="C166" s="3" t="s">
        <v>592</v>
      </c>
      <c r="D166" s="3" t="s">
        <v>463</v>
      </c>
      <c r="E166" s="3">
        <v>1.0</v>
      </c>
      <c r="F166" s="3">
        <v>8284024.0</v>
      </c>
      <c r="G166" s="3">
        <v>4388555.0</v>
      </c>
    </row>
    <row r="170">
      <c r="I170" s="3">
        <v>8192.0</v>
      </c>
      <c r="J170" s="30">
        <f>I170/2</f>
        <v>4096</v>
      </c>
      <c r="K170" s="30">
        <f>J170*4096</f>
        <v>16777216</v>
      </c>
    </row>
    <row r="174">
      <c r="B174" s="3" t="s">
        <v>597</v>
      </c>
    </row>
    <row r="175">
      <c r="B175" s="3" t="s">
        <v>480</v>
      </c>
      <c r="K175" s="3">
        <v>8192.0</v>
      </c>
      <c r="L175" s="30">
        <f>K175*4</f>
        <v>32768</v>
      </c>
    </row>
    <row r="177">
      <c r="B177" s="3" t="s">
        <v>557</v>
      </c>
      <c r="C177" s="3" t="s">
        <v>589</v>
      </c>
    </row>
    <row r="178">
      <c r="I178" s="3" t="s">
        <v>598</v>
      </c>
    </row>
    <row r="179">
      <c r="B179" s="3" t="s">
        <v>590</v>
      </c>
      <c r="C179" s="3" t="s">
        <v>591</v>
      </c>
      <c r="D179" s="3" t="s">
        <v>463</v>
      </c>
      <c r="E179" s="3">
        <v>1.0</v>
      </c>
      <c r="F179" s="3">
        <v>4349506.0</v>
      </c>
      <c r="G179" s="3">
        <v>2552015.0</v>
      </c>
      <c r="I179" s="30">
        <v>4096.0</v>
      </c>
      <c r="J179" s="30">
        <v>1.6777216E7</v>
      </c>
    </row>
    <row r="180">
      <c r="C180" s="3" t="s">
        <v>592</v>
      </c>
      <c r="D180" s="3" t="s">
        <v>463</v>
      </c>
      <c r="E180" s="3">
        <v>1.0</v>
      </c>
      <c r="F180" s="3">
        <v>4317221.0</v>
      </c>
      <c r="G180" s="3">
        <v>2514681.0</v>
      </c>
    </row>
    <row r="181">
      <c r="B181" s="3" t="s">
        <v>599</v>
      </c>
      <c r="C181" s="3" t="s">
        <v>591</v>
      </c>
      <c r="D181" s="3" t="s">
        <v>463</v>
      </c>
      <c r="E181" s="3">
        <v>1.0</v>
      </c>
      <c r="F181" s="3">
        <v>4311496.0</v>
      </c>
      <c r="G181" s="3">
        <v>2250631.0</v>
      </c>
    </row>
    <row r="182">
      <c r="C182" s="3" t="s">
        <v>592</v>
      </c>
      <c r="D182" s="3" t="s">
        <v>463</v>
      </c>
      <c r="E182" s="3">
        <v>1.0</v>
      </c>
      <c r="F182" s="3">
        <v>4430262.0</v>
      </c>
      <c r="G182" s="3">
        <v>2348149.0</v>
      </c>
    </row>
    <row r="184">
      <c r="C184" s="3" t="s">
        <v>595</v>
      </c>
      <c r="D184" s="3" t="s">
        <v>596</v>
      </c>
    </row>
    <row r="185">
      <c r="B185" s="3" t="s">
        <v>590</v>
      </c>
      <c r="C185" s="3" t="s">
        <v>591</v>
      </c>
      <c r="D185" s="3" t="s">
        <v>463</v>
      </c>
      <c r="E185" s="3">
        <v>1.0</v>
      </c>
      <c r="F185" s="3">
        <v>4192637.0</v>
      </c>
      <c r="G185" s="3">
        <v>2402092.0</v>
      </c>
    </row>
    <row r="186">
      <c r="C186" s="3" t="s">
        <v>592</v>
      </c>
      <c r="D186" s="3" t="s">
        <v>463</v>
      </c>
      <c r="E186" s="3">
        <v>1.0</v>
      </c>
      <c r="F186" s="3">
        <v>4194746.0</v>
      </c>
      <c r="G186" s="3">
        <v>2400656.0</v>
      </c>
    </row>
    <row r="187">
      <c r="B187" s="3" t="s">
        <v>599</v>
      </c>
      <c r="C187" s="3" t="s">
        <v>591</v>
      </c>
      <c r="D187" s="3" t="s">
        <v>463</v>
      </c>
      <c r="E187" s="3">
        <v>1.0</v>
      </c>
      <c r="F187" s="3">
        <v>4212000.0</v>
      </c>
      <c r="G187" s="3">
        <v>2202921.0</v>
      </c>
    </row>
    <row r="188">
      <c r="C188" s="3" t="s">
        <v>592</v>
      </c>
      <c r="D188" s="3" t="s">
        <v>463</v>
      </c>
      <c r="E188" s="3">
        <v>1.0</v>
      </c>
      <c r="F188" s="3">
        <v>4207158.0</v>
      </c>
      <c r="G188" s="3">
        <v>2202776.0</v>
      </c>
    </row>
    <row r="193">
      <c r="B193" s="3" t="s">
        <v>600</v>
      </c>
    </row>
    <row r="196">
      <c r="K196" s="3">
        <v>4096.0</v>
      </c>
      <c r="L196" s="30">
        <f>K196*K196</f>
        <v>16777216</v>
      </c>
      <c r="M196" s="30">
        <f>L196*4</f>
        <v>67108864</v>
      </c>
    </row>
    <row r="197">
      <c r="M197" s="30">
        <f>M196/64</f>
        <v>1048576</v>
      </c>
    </row>
    <row r="202">
      <c r="C202" s="3" t="s">
        <v>601</v>
      </c>
    </row>
    <row r="203">
      <c r="C203" s="3" t="s">
        <v>602</v>
      </c>
      <c r="H203" s="3" t="s">
        <v>603</v>
      </c>
    </row>
    <row r="205">
      <c r="C205" s="3" t="s">
        <v>604</v>
      </c>
      <c r="H205" s="3" t="s">
        <v>501</v>
      </c>
    </row>
    <row r="206">
      <c r="C206" s="3" t="s">
        <v>501</v>
      </c>
      <c r="H206" s="3" t="s">
        <v>605</v>
      </c>
    </row>
    <row r="207">
      <c r="C207" s="3" t="s">
        <v>463</v>
      </c>
      <c r="D207" s="3">
        <v>1.0</v>
      </c>
      <c r="E207" s="3">
        <v>1.8706394E7</v>
      </c>
      <c r="F207" s="3">
        <v>6258120.0</v>
      </c>
      <c r="H207" s="3" t="s">
        <v>606</v>
      </c>
    </row>
    <row r="208">
      <c r="C208" s="3" t="s">
        <v>463</v>
      </c>
      <c r="D208" s="3">
        <v>2.0</v>
      </c>
      <c r="E208" s="3">
        <v>1.8750993E7</v>
      </c>
      <c r="F208" s="3">
        <v>6265611.0</v>
      </c>
      <c r="H208" s="3" t="s">
        <v>607</v>
      </c>
    </row>
    <row r="209">
      <c r="C209" s="3" t="s">
        <v>463</v>
      </c>
      <c r="D209" s="3">
        <v>4.0</v>
      </c>
      <c r="E209" s="3">
        <v>1.8760631E7</v>
      </c>
      <c r="F209" s="3">
        <v>6272502.0</v>
      </c>
      <c r="H209" s="3" t="s">
        <v>608</v>
      </c>
    </row>
    <row r="210">
      <c r="C210" s="3" t="s">
        <v>463</v>
      </c>
      <c r="D210" s="3">
        <v>8.0</v>
      </c>
      <c r="E210" s="3">
        <v>1.8766661E7</v>
      </c>
      <c r="F210" s="3">
        <v>6270325.0</v>
      </c>
      <c r="H210" s="3" t="s">
        <v>609</v>
      </c>
    </row>
    <row r="211">
      <c r="C211" s="3" t="s">
        <v>463</v>
      </c>
      <c r="D211" s="3">
        <v>16.0</v>
      </c>
      <c r="E211" s="3">
        <v>1.8763123E7</v>
      </c>
      <c r="F211" s="3">
        <v>6275745.0</v>
      </c>
      <c r="H211" s="3" t="s">
        <v>610</v>
      </c>
      <c r="K211" s="3">
        <v>1.8706394E7</v>
      </c>
      <c r="L211" s="3">
        <v>1.8750993E7</v>
      </c>
      <c r="M211" s="3">
        <v>1.8760631E7</v>
      </c>
      <c r="N211" s="3">
        <v>1.8766661E7</v>
      </c>
      <c r="O211" s="3">
        <v>1.8763123E7</v>
      </c>
      <c r="P211" s="3">
        <v>1.6630885E7</v>
      </c>
      <c r="Q211" s="3">
        <v>1.1066714E7</v>
      </c>
      <c r="R211" s="3">
        <v>2930101.0</v>
      </c>
      <c r="S211" s="3">
        <v>1172688.0</v>
      </c>
      <c r="T211" s="3">
        <v>590092.0</v>
      </c>
      <c r="U211" s="3">
        <v>292798.0</v>
      </c>
      <c r="V211" s="3">
        <v>147153.0</v>
      </c>
      <c r="W211" s="3">
        <v>74118.0</v>
      </c>
      <c r="X211" s="3">
        <v>37785.0</v>
      </c>
    </row>
    <row r="212">
      <c r="C212" s="3" t="s">
        <v>463</v>
      </c>
      <c r="D212" s="3">
        <v>32.0</v>
      </c>
      <c r="E212" s="3">
        <v>1.6630885E7</v>
      </c>
      <c r="F212" s="3">
        <v>3148710.0</v>
      </c>
      <c r="H212" s="3" t="s">
        <v>611</v>
      </c>
      <c r="K212" s="3">
        <v>6258120.0</v>
      </c>
      <c r="L212" s="3">
        <v>6265611.0</v>
      </c>
      <c r="M212" s="3">
        <v>6272502.0</v>
      </c>
      <c r="N212" s="3">
        <v>6270325.0</v>
      </c>
      <c r="O212" s="3">
        <v>6275745.0</v>
      </c>
      <c r="P212" s="3">
        <v>3148710.0</v>
      </c>
      <c r="Q212" s="3">
        <v>1580119.0</v>
      </c>
      <c r="R212" s="3">
        <v>789113.0</v>
      </c>
      <c r="S212" s="3">
        <v>391925.0</v>
      </c>
      <c r="T212" s="3">
        <v>199966.0</v>
      </c>
      <c r="U212" s="3">
        <v>98858.0</v>
      </c>
      <c r="V212" s="3">
        <v>50376.0</v>
      </c>
      <c r="W212" s="3">
        <v>25516.0</v>
      </c>
      <c r="X212" s="3">
        <v>14507.0</v>
      </c>
    </row>
    <row r="213">
      <c r="C213" s="3" t="s">
        <v>463</v>
      </c>
      <c r="D213" s="3">
        <v>64.0</v>
      </c>
      <c r="E213" s="3">
        <v>1.1066714E7</v>
      </c>
      <c r="F213" s="3">
        <v>1580119.0</v>
      </c>
      <c r="H213" s="3" t="s">
        <v>612</v>
      </c>
    </row>
    <row r="214">
      <c r="C214" s="3" t="s">
        <v>463</v>
      </c>
      <c r="D214" s="3">
        <v>128.0</v>
      </c>
      <c r="E214" s="3">
        <v>2930101.0</v>
      </c>
      <c r="F214" s="3">
        <v>789113.0</v>
      </c>
      <c r="H214" s="3" t="s">
        <v>613</v>
      </c>
    </row>
    <row r="215">
      <c r="C215" s="3" t="s">
        <v>463</v>
      </c>
      <c r="D215" s="3">
        <v>256.0</v>
      </c>
      <c r="E215" s="3">
        <v>1172688.0</v>
      </c>
      <c r="F215" s="3">
        <v>391925.0</v>
      </c>
      <c r="H215" s="3" t="s">
        <v>614</v>
      </c>
      <c r="K215" s="3">
        <v>1.8765642E7</v>
      </c>
      <c r="L215" s="3">
        <v>1.8772132E7</v>
      </c>
      <c r="M215" s="3">
        <v>1.8764571E7</v>
      </c>
      <c r="N215" s="3">
        <v>1.8759543E7</v>
      </c>
      <c r="O215" s="3">
        <v>1.8764915E7</v>
      </c>
      <c r="P215" s="3">
        <v>1.6576687E7</v>
      </c>
      <c r="Q215" s="3">
        <v>1.1395672E7</v>
      </c>
      <c r="R215" s="3">
        <v>2952856.0</v>
      </c>
      <c r="S215" s="3">
        <v>1175004.0</v>
      </c>
      <c r="T215" s="3">
        <v>588251.0</v>
      </c>
      <c r="U215" s="3">
        <v>295965.0</v>
      </c>
      <c r="V215" s="3">
        <v>148305.0</v>
      </c>
      <c r="W215" s="3">
        <v>74884.0</v>
      </c>
      <c r="X215" s="3">
        <v>37756.0</v>
      </c>
    </row>
    <row r="216">
      <c r="C216" s="3" t="s">
        <v>463</v>
      </c>
      <c r="D216" s="3">
        <v>512.0</v>
      </c>
      <c r="E216" s="3">
        <v>590092.0</v>
      </c>
      <c r="F216" s="3">
        <v>199966.0</v>
      </c>
      <c r="H216" s="3" t="s">
        <v>615</v>
      </c>
      <c r="K216" s="3">
        <v>6271286.0</v>
      </c>
      <c r="L216" s="3">
        <v>6264048.0</v>
      </c>
      <c r="M216" s="3">
        <v>6265378.0</v>
      </c>
      <c r="N216" s="3">
        <v>6268979.0</v>
      </c>
      <c r="O216" s="3">
        <v>6266406.0</v>
      </c>
      <c r="P216" s="3">
        <v>3144219.0</v>
      </c>
      <c r="Q216" s="3">
        <v>1573146.0</v>
      </c>
      <c r="R216" s="3">
        <v>789636.0</v>
      </c>
      <c r="S216" s="3">
        <v>392824.0</v>
      </c>
      <c r="T216" s="3">
        <v>196725.0</v>
      </c>
      <c r="U216" s="3">
        <v>99267.0</v>
      </c>
      <c r="V216" s="3">
        <v>50322.0</v>
      </c>
      <c r="W216" s="3">
        <v>25902.0</v>
      </c>
      <c r="X216" s="3">
        <v>13290.0</v>
      </c>
    </row>
    <row r="217">
      <c r="C217" s="3" t="s">
        <v>463</v>
      </c>
      <c r="D217" s="3">
        <v>1024.0</v>
      </c>
      <c r="E217" s="3">
        <v>292798.0</v>
      </c>
      <c r="F217" s="3">
        <v>98858.0</v>
      </c>
      <c r="H217" s="3" t="s">
        <v>616</v>
      </c>
    </row>
    <row r="218">
      <c r="C218" s="3" t="s">
        <v>463</v>
      </c>
      <c r="D218" s="3">
        <v>2048.0</v>
      </c>
      <c r="E218" s="3">
        <v>147153.0</v>
      </c>
      <c r="F218" s="3">
        <v>50376.0</v>
      </c>
      <c r="H218" s="3" t="s">
        <v>617</v>
      </c>
    </row>
    <row r="219">
      <c r="C219" s="3" t="s">
        <v>463</v>
      </c>
      <c r="D219" s="3">
        <v>4096.0</v>
      </c>
      <c r="E219" s="3">
        <v>74118.0</v>
      </c>
      <c r="F219" s="3">
        <v>25516.0</v>
      </c>
      <c r="H219" s="3" t="s">
        <v>618</v>
      </c>
    </row>
    <row r="220">
      <c r="C220" s="3" t="s">
        <v>463</v>
      </c>
      <c r="D220" s="3">
        <v>8192.0</v>
      </c>
      <c r="E220" s="3">
        <v>37785.0</v>
      </c>
      <c r="F220" s="3">
        <v>14507.0</v>
      </c>
    </row>
    <row r="224">
      <c r="C224" s="3" t="s">
        <v>463</v>
      </c>
      <c r="D224" s="3">
        <v>1.0</v>
      </c>
      <c r="E224" s="3">
        <v>1.8765642E7</v>
      </c>
      <c r="F224" s="3">
        <v>6271286.0</v>
      </c>
      <c r="H224" s="3" t="s">
        <v>619</v>
      </c>
    </row>
    <row r="225">
      <c r="C225" s="3" t="s">
        <v>463</v>
      </c>
      <c r="D225" s="3">
        <v>2.0</v>
      </c>
      <c r="E225" s="3">
        <v>1.8772132E7</v>
      </c>
      <c r="F225" s="3">
        <v>6264048.0</v>
      </c>
      <c r="H225" s="3" t="s">
        <v>620</v>
      </c>
    </row>
    <row r="226">
      <c r="C226" s="3" t="s">
        <v>463</v>
      </c>
      <c r="D226" s="3">
        <v>4.0</v>
      </c>
      <c r="E226" s="3">
        <v>1.8764571E7</v>
      </c>
      <c r="F226" s="3">
        <v>6265378.0</v>
      </c>
      <c r="H226" s="3" t="s">
        <v>621</v>
      </c>
    </row>
    <row r="227">
      <c r="C227" s="3" t="s">
        <v>463</v>
      </c>
      <c r="D227" s="3">
        <v>8.0</v>
      </c>
      <c r="E227" s="3">
        <v>1.8759543E7</v>
      </c>
      <c r="F227" s="3">
        <v>6268979.0</v>
      </c>
      <c r="H227" s="3" t="s">
        <v>622</v>
      </c>
    </row>
    <row r="228">
      <c r="C228" s="3" t="s">
        <v>463</v>
      </c>
      <c r="D228" s="3">
        <v>16.0</v>
      </c>
      <c r="E228" s="3">
        <v>1.8764915E7</v>
      </c>
      <c r="F228" s="3">
        <v>6266406.0</v>
      </c>
      <c r="H228" s="3" t="s">
        <v>623</v>
      </c>
    </row>
    <row r="229">
      <c r="C229" s="3" t="s">
        <v>463</v>
      </c>
      <c r="D229" s="3">
        <v>32.0</v>
      </c>
      <c r="E229" s="3">
        <v>1.6576687E7</v>
      </c>
      <c r="F229" s="3">
        <v>3144219.0</v>
      </c>
      <c r="H229" s="3" t="s">
        <v>624</v>
      </c>
    </row>
    <row r="230">
      <c r="C230" s="3" t="s">
        <v>463</v>
      </c>
      <c r="D230" s="3">
        <v>64.0</v>
      </c>
      <c r="E230" s="3">
        <v>1.1395672E7</v>
      </c>
      <c r="F230" s="3">
        <v>1573146.0</v>
      </c>
      <c r="H230" s="3" t="s">
        <v>625</v>
      </c>
    </row>
    <row r="231">
      <c r="C231" s="3" t="s">
        <v>463</v>
      </c>
      <c r="D231" s="3">
        <v>128.0</v>
      </c>
      <c r="E231" s="3">
        <v>2952856.0</v>
      </c>
      <c r="F231" s="3">
        <v>789636.0</v>
      </c>
      <c r="H231" s="3" t="s">
        <v>626</v>
      </c>
    </row>
    <row r="232">
      <c r="C232" s="3" t="s">
        <v>463</v>
      </c>
      <c r="D232" s="3">
        <v>256.0</v>
      </c>
      <c r="E232" s="3">
        <v>1175004.0</v>
      </c>
      <c r="F232" s="3">
        <v>392824.0</v>
      </c>
      <c r="H232" s="3" t="s">
        <v>627</v>
      </c>
    </row>
    <row r="233">
      <c r="C233" s="3" t="s">
        <v>463</v>
      </c>
      <c r="D233" s="3">
        <v>512.0</v>
      </c>
      <c r="E233" s="3">
        <v>588251.0</v>
      </c>
      <c r="F233" s="3">
        <v>196725.0</v>
      </c>
      <c r="H233" s="3" t="s">
        <v>628</v>
      </c>
    </row>
    <row r="234">
      <c r="C234" s="3" t="s">
        <v>463</v>
      </c>
      <c r="D234" s="3">
        <v>1024.0</v>
      </c>
      <c r="E234" s="3">
        <v>295965.0</v>
      </c>
      <c r="F234" s="3">
        <v>99267.0</v>
      </c>
      <c r="H234" s="3" t="s">
        <v>629</v>
      </c>
    </row>
    <row r="235">
      <c r="C235" s="3" t="s">
        <v>463</v>
      </c>
      <c r="D235" s="3">
        <v>2048.0</v>
      </c>
      <c r="E235" s="3">
        <v>148305.0</v>
      </c>
      <c r="F235" s="3">
        <v>50322.0</v>
      </c>
      <c r="H235" s="3" t="s">
        <v>630</v>
      </c>
    </row>
    <row r="236">
      <c r="C236" s="3" t="s">
        <v>463</v>
      </c>
      <c r="D236" s="3">
        <v>4096.0</v>
      </c>
      <c r="E236" s="3">
        <v>74884.0</v>
      </c>
      <c r="F236" s="3">
        <v>25902.0</v>
      </c>
      <c r="H236" s="3" t="s">
        <v>631</v>
      </c>
    </row>
    <row r="237">
      <c r="C237" s="3" t="s">
        <v>463</v>
      </c>
      <c r="D237" s="3">
        <v>8192.0</v>
      </c>
      <c r="E237" s="3">
        <v>37756.0</v>
      </c>
      <c r="F237" s="3">
        <v>13290.0</v>
      </c>
      <c r="H237" s="3" t="s">
        <v>632</v>
      </c>
    </row>
    <row r="239">
      <c r="A239" s="3" t="s">
        <v>633</v>
      </c>
    </row>
    <row r="240">
      <c r="B240" s="3" t="s">
        <v>634</v>
      </c>
    </row>
    <row r="242">
      <c r="C242" s="3" t="s">
        <v>477</v>
      </c>
      <c r="D242" s="3">
        <v>1.0</v>
      </c>
      <c r="E242" s="3">
        <v>1.3672166E7</v>
      </c>
      <c r="F242" s="3">
        <v>1.279165E7</v>
      </c>
      <c r="J242" s="3" t="s">
        <v>283</v>
      </c>
      <c r="K242" s="3" t="s">
        <v>551</v>
      </c>
      <c r="L242" s="3">
        <v>0.259698</v>
      </c>
    </row>
    <row r="243">
      <c r="C243" s="3" t="s">
        <v>477</v>
      </c>
      <c r="D243" s="3">
        <v>2.0</v>
      </c>
      <c r="E243" s="3">
        <v>1.2891599E7</v>
      </c>
      <c r="F243" s="3">
        <v>6508134.0</v>
      </c>
      <c r="J243" s="3" t="s">
        <v>283</v>
      </c>
      <c r="K243" s="3" t="s">
        <v>551</v>
      </c>
      <c r="L243" s="3">
        <v>0.35487</v>
      </c>
    </row>
    <row r="244">
      <c r="C244" s="3" t="s">
        <v>477</v>
      </c>
      <c r="D244" s="3">
        <v>4.0</v>
      </c>
      <c r="E244" s="3">
        <v>1.2857738E7</v>
      </c>
      <c r="F244" s="3">
        <v>6461124.0</v>
      </c>
      <c r="J244" s="3" t="s">
        <v>283</v>
      </c>
      <c r="K244" s="3" t="s">
        <v>551</v>
      </c>
      <c r="L244" s="3">
        <v>0.221423</v>
      </c>
    </row>
    <row r="245">
      <c r="C245" s="3" t="s">
        <v>477</v>
      </c>
      <c r="D245" s="3">
        <v>8.0</v>
      </c>
      <c r="E245" s="3">
        <v>1.2854505E7</v>
      </c>
      <c r="F245" s="3">
        <v>6483468.0</v>
      </c>
      <c r="J245" s="3" t="s">
        <v>283</v>
      </c>
      <c r="K245" s="3" t="s">
        <v>551</v>
      </c>
      <c r="L245" s="3">
        <v>0.218846</v>
      </c>
      <c r="N245" s="3">
        <v>1.3672166E7</v>
      </c>
      <c r="O245" s="3">
        <v>1.2891599E7</v>
      </c>
      <c r="P245" s="3">
        <v>1.2857738E7</v>
      </c>
      <c r="Q245" s="3">
        <v>1.2854505E7</v>
      </c>
      <c r="R245" s="3">
        <v>1.2855737E7</v>
      </c>
      <c r="S245" s="3">
        <v>6587605.0</v>
      </c>
      <c r="T245" s="3">
        <v>3452966.0</v>
      </c>
      <c r="U245" s="3">
        <v>1887966.0</v>
      </c>
      <c r="V245" s="3">
        <v>1104854.0</v>
      </c>
      <c r="W245" s="3">
        <v>714762.0</v>
      </c>
      <c r="X245" s="3">
        <v>536485.0</v>
      </c>
      <c r="Y245" s="3">
        <v>833519.0</v>
      </c>
      <c r="Z245" s="3">
        <v>505139.0</v>
      </c>
      <c r="AA245" s="3">
        <v>359588.0</v>
      </c>
    </row>
    <row r="246">
      <c r="C246" s="3" t="s">
        <v>477</v>
      </c>
      <c r="D246" s="3">
        <v>16.0</v>
      </c>
      <c r="E246" s="3">
        <v>1.2855737E7</v>
      </c>
      <c r="F246" s="3">
        <v>6488342.0</v>
      </c>
      <c r="J246" s="3" t="s">
        <v>283</v>
      </c>
      <c r="K246" s="3" t="s">
        <v>551</v>
      </c>
      <c r="L246" s="3">
        <v>0.218982</v>
      </c>
      <c r="N246" s="3">
        <v>1.279165E7</v>
      </c>
      <c r="O246" s="3">
        <v>6508134.0</v>
      </c>
      <c r="P246" s="3">
        <v>6461124.0</v>
      </c>
      <c r="Q246" s="3">
        <v>6483468.0</v>
      </c>
      <c r="R246" s="3">
        <v>6488342.0</v>
      </c>
      <c r="S246" s="3">
        <v>6283784.0</v>
      </c>
      <c r="T246" s="3">
        <v>6216998.0</v>
      </c>
      <c r="U246" s="3">
        <v>6164307.0</v>
      </c>
      <c r="V246" s="3">
        <v>6130026.0</v>
      </c>
      <c r="W246" s="3">
        <v>6124196.0</v>
      </c>
      <c r="X246" s="3">
        <v>6122347.0</v>
      </c>
      <c r="Y246" s="3">
        <v>6170829.0</v>
      </c>
      <c r="Z246" s="3">
        <v>6257888.0</v>
      </c>
      <c r="AA246" s="3">
        <v>6081613.0</v>
      </c>
    </row>
    <row r="247">
      <c r="C247" s="3" t="s">
        <v>477</v>
      </c>
      <c r="D247" s="3">
        <v>32.0</v>
      </c>
      <c r="E247" s="3">
        <v>6587605.0</v>
      </c>
      <c r="F247" s="3">
        <v>6283784.0</v>
      </c>
      <c r="J247" s="3" t="s">
        <v>283</v>
      </c>
      <c r="K247" s="3" t="s">
        <v>551</v>
      </c>
      <c r="L247" s="3">
        <v>0.151832</v>
      </c>
    </row>
    <row r="248">
      <c r="C248" s="3" t="s">
        <v>477</v>
      </c>
      <c r="D248" s="3">
        <v>64.0</v>
      </c>
      <c r="E248" s="3">
        <v>3452966.0</v>
      </c>
      <c r="F248" s="3">
        <v>6216998.0</v>
      </c>
      <c r="J248" s="3" t="s">
        <v>283</v>
      </c>
      <c r="K248" s="3" t="s">
        <v>551</v>
      </c>
      <c r="L248" s="3">
        <v>0.119102</v>
      </c>
      <c r="N248" s="3">
        <v>1.3171615E7</v>
      </c>
      <c r="O248" s="3">
        <v>1.8823643E7</v>
      </c>
      <c r="P248" s="3">
        <v>1.880189E7</v>
      </c>
      <c r="Q248" s="3">
        <v>1.8801483E7</v>
      </c>
      <c r="R248" s="3">
        <v>1.8800558E7</v>
      </c>
      <c r="S248" s="3">
        <v>9415883.0</v>
      </c>
      <c r="T248" s="3">
        <v>4698887.0</v>
      </c>
      <c r="U248" s="3">
        <v>2349495.0</v>
      </c>
      <c r="V248" s="3">
        <v>1175287.0</v>
      </c>
      <c r="W248" s="3">
        <v>587742.0</v>
      </c>
      <c r="X248" s="3">
        <v>294012.0</v>
      </c>
      <c r="Y248" s="3">
        <v>147303.0</v>
      </c>
      <c r="Z248" s="3">
        <v>73686.0</v>
      </c>
      <c r="AA248" s="3">
        <v>36900.0</v>
      </c>
    </row>
    <row r="249">
      <c r="C249" s="3" t="s">
        <v>477</v>
      </c>
      <c r="D249" s="3">
        <v>128.0</v>
      </c>
      <c r="E249" s="3">
        <v>1887966.0</v>
      </c>
      <c r="F249" s="3">
        <v>6164307.0</v>
      </c>
      <c r="J249" s="3" t="s">
        <v>283</v>
      </c>
      <c r="K249" s="3" t="s">
        <v>551</v>
      </c>
      <c r="L249" s="3">
        <v>0.108302</v>
      </c>
      <c r="N249" s="3">
        <v>7151216.0</v>
      </c>
      <c r="O249" s="3">
        <v>6608016.0</v>
      </c>
      <c r="P249" s="3">
        <v>6587184.0</v>
      </c>
      <c r="Q249" s="3">
        <v>6584156.0</v>
      </c>
      <c r="R249" s="3">
        <v>6586975.0</v>
      </c>
      <c r="S249" s="3">
        <v>3296237.0</v>
      </c>
      <c r="T249" s="3">
        <v>1644959.0</v>
      </c>
      <c r="U249" s="3">
        <v>822515.0</v>
      </c>
      <c r="V249" s="3">
        <v>411790.0</v>
      </c>
      <c r="W249" s="3">
        <v>205808.0</v>
      </c>
      <c r="X249" s="3">
        <v>103543.0</v>
      </c>
      <c r="Y249" s="3">
        <v>56143.0</v>
      </c>
      <c r="Z249" s="3">
        <v>29479.0</v>
      </c>
      <c r="AA249" s="3">
        <v>14986.0</v>
      </c>
    </row>
    <row r="250">
      <c r="C250" s="3" t="s">
        <v>477</v>
      </c>
      <c r="D250" s="3">
        <v>256.0</v>
      </c>
      <c r="E250" s="3">
        <v>1104854.0</v>
      </c>
      <c r="F250" s="3">
        <v>6130026.0</v>
      </c>
      <c r="J250" s="3" t="s">
        <v>283</v>
      </c>
      <c r="K250" s="3" t="s">
        <v>551</v>
      </c>
      <c r="L250" s="3">
        <v>0.100223</v>
      </c>
    </row>
    <row r="251">
      <c r="C251" s="3" t="s">
        <v>477</v>
      </c>
      <c r="D251" s="3">
        <v>512.0</v>
      </c>
      <c r="E251" s="3">
        <v>714762.0</v>
      </c>
      <c r="F251" s="3">
        <v>6124196.0</v>
      </c>
      <c r="J251" s="3" t="s">
        <v>283</v>
      </c>
      <c r="K251" s="3" t="s">
        <v>551</v>
      </c>
      <c r="L251" s="3">
        <v>0.096169</v>
      </c>
    </row>
    <row r="252">
      <c r="C252" s="3" t="s">
        <v>477</v>
      </c>
      <c r="D252" s="3">
        <v>1024.0</v>
      </c>
      <c r="E252" s="3">
        <v>536485.0</v>
      </c>
      <c r="F252" s="3">
        <v>6122347.0</v>
      </c>
      <c r="J252" s="3" t="s">
        <v>283</v>
      </c>
      <c r="K252" s="3" t="s">
        <v>551</v>
      </c>
      <c r="L252" s="3">
        <v>0.094713</v>
      </c>
    </row>
    <row r="253">
      <c r="C253" s="3" t="s">
        <v>477</v>
      </c>
      <c r="D253" s="3">
        <v>2048.0</v>
      </c>
      <c r="E253" s="3">
        <v>833519.0</v>
      </c>
      <c r="F253" s="3">
        <v>6170829.0</v>
      </c>
      <c r="J253" s="3" t="s">
        <v>283</v>
      </c>
      <c r="K253" s="3" t="s">
        <v>551</v>
      </c>
      <c r="L253" s="3">
        <v>0.092889</v>
      </c>
    </row>
    <row r="254">
      <c r="C254" s="3" t="s">
        <v>477</v>
      </c>
      <c r="D254" s="3">
        <v>4096.0</v>
      </c>
      <c r="E254" s="3">
        <v>505139.0</v>
      </c>
      <c r="F254" s="3">
        <v>6257888.0</v>
      </c>
      <c r="J254" s="3" t="s">
        <v>283</v>
      </c>
      <c r="K254" s="3" t="s">
        <v>551</v>
      </c>
      <c r="L254" s="3">
        <v>0.088763</v>
      </c>
    </row>
    <row r="255">
      <c r="C255" s="3" t="s">
        <v>477</v>
      </c>
      <c r="D255" s="3">
        <v>8192.0</v>
      </c>
      <c r="E255" s="3">
        <v>359588.0</v>
      </c>
      <c r="F255" s="3">
        <v>6081613.0</v>
      </c>
      <c r="J255" s="3" t="s">
        <v>283</v>
      </c>
      <c r="K255" s="3" t="s">
        <v>551</v>
      </c>
      <c r="L255" s="3">
        <v>0.087327</v>
      </c>
    </row>
    <row r="256">
      <c r="A256" s="3" t="s">
        <v>635</v>
      </c>
      <c r="C256" s="3"/>
      <c r="D256" s="3"/>
      <c r="E256" s="3"/>
      <c r="F256" s="3"/>
      <c r="J256" s="3"/>
      <c r="K256" s="3"/>
      <c r="L256" s="3"/>
    </row>
    <row r="257">
      <c r="C257" s="3" t="s">
        <v>477</v>
      </c>
      <c r="D257" s="3">
        <v>1.0</v>
      </c>
      <c r="E257" s="3">
        <v>1.3566486E7</v>
      </c>
      <c r="F257" s="3">
        <v>1.2493292E7</v>
      </c>
      <c r="J257" s="3" t="s">
        <v>283</v>
      </c>
      <c r="K257" s="3" t="s">
        <v>551</v>
      </c>
      <c r="L257" s="3">
        <v>0.183776</v>
      </c>
    </row>
    <row r="258">
      <c r="C258" s="3" t="s">
        <v>477</v>
      </c>
      <c r="D258" s="3">
        <v>2.0</v>
      </c>
      <c r="E258" s="3">
        <v>1.2880978E7</v>
      </c>
      <c r="F258" s="3">
        <v>6477450.0</v>
      </c>
      <c r="J258" s="3" t="s">
        <v>283</v>
      </c>
      <c r="K258" s="3" t="s">
        <v>551</v>
      </c>
      <c r="L258" s="3">
        <v>0.192196</v>
      </c>
    </row>
    <row r="259">
      <c r="C259" s="3" t="s">
        <v>477</v>
      </c>
      <c r="D259" s="3">
        <v>4.0</v>
      </c>
      <c r="E259" s="3">
        <v>1.2886948E7</v>
      </c>
      <c r="F259" s="3">
        <v>6476795.0</v>
      </c>
      <c r="J259" s="3" t="s">
        <v>283</v>
      </c>
      <c r="K259" s="3" t="s">
        <v>551</v>
      </c>
      <c r="L259" s="3">
        <v>0.1912</v>
      </c>
    </row>
    <row r="260">
      <c r="C260" s="3" t="s">
        <v>477</v>
      </c>
      <c r="D260" s="3">
        <v>8.0</v>
      </c>
      <c r="E260" s="3">
        <v>1.2879675E7</v>
      </c>
      <c r="F260" s="3">
        <v>6471695.0</v>
      </c>
      <c r="J260" s="3" t="s">
        <v>283</v>
      </c>
      <c r="K260" s="3" t="s">
        <v>551</v>
      </c>
      <c r="L260" s="3">
        <v>0.188701</v>
      </c>
    </row>
    <row r="261">
      <c r="C261" s="3" t="s">
        <v>477</v>
      </c>
      <c r="D261" s="3">
        <v>16.0</v>
      </c>
      <c r="E261" s="3">
        <v>1.288093E7</v>
      </c>
      <c r="F261" s="3">
        <v>6475260.0</v>
      </c>
      <c r="J261" s="3" t="s">
        <v>283</v>
      </c>
      <c r="K261" s="3" t="s">
        <v>551</v>
      </c>
      <c r="L261" s="3">
        <v>0.188703</v>
      </c>
    </row>
    <row r="262">
      <c r="C262" s="3" t="s">
        <v>477</v>
      </c>
      <c r="D262" s="3">
        <v>32.0</v>
      </c>
      <c r="E262" s="3">
        <v>9525185.0</v>
      </c>
      <c r="F262" s="3">
        <v>6376861.0</v>
      </c>
      <c r="J262" s="3" t="s">
        <v>283</v>
      </c>
      <c r="K262" s="3" t="s">
        <v>551</v>
      </c>
      <c r="L262" s="3">
        <v>0.155972</v>
      </c>
    </row>
    <row r="263">
      <c r="C263" s="3" t="s">
        <v>477</v>
      </c>
      <c r="D263" s="3">
        <v>64.0</v>
      </c>
      <c r="E263" s="3">
        <v>5670210.0</v>
      </c>
      <c r="F263" s="3">
        <v>6268694.0</v>
      </c>
      <c r="J263" s="3" t="s">
        <v>283</v>
      </c>
      <c r="K263" s="3" t="s">
        <v>551</v>
      </c>
      <c r="L263" s="3">
        <v>0.12772</v>
      </c>
    </row>
    <row r="264">
      <c r="C264" s="3" t="s">
        <v>477</v>
      </c>
      <c r="D264" s="3">
        <v>128.0</v>
      </c>
      <c r="E264" s="3">
        <v>1916935.0</v>
      </c>
      <c r="F264" s="3">
        <v>6144172.0</v>
      </c>
      <c r="J264" s="3" t="s">
        <v>283</v>
      </c>
      <c r="K264" s="3" t="s">
        <v>551</v>
      </c>
      <c r="L264" s="3">
        <v>0.107519</v>
      </c>
    </row>
    <row r="265">
      <c r="C265" s="3" t="s">
        <v>477</v>
      </c>
      <c r="D265" s="3">
        <v>256.0</v>
      </c>
      <c r="E265" s="3">
        <v>1133246.0</v>
      </c>
      <c r="F265" s="3">
        <v>6121550.0</v>
      </c>
      <c r="J265" s="3" t="s">
        <v>283</v>
      </c>
      <c r="K265" s="3" t="s">
        <v>551</v>
      </c>
      <c r="L265" s="3">
        <v>0.10027</v>
      </c>
    </row>
    <row r="266">
      <c r="C266" s="3" t="s">
        <v>477</v>
      </c>
      <c r="D266" s="3">
        <v>512.0</v>
      </c>
      <c r="E266" s="3">
        <v>738988.0</v>
      </c>
      <c r="F266" s="3">
        <v>6114926.0</v>
      </c>
      <c r="J266" s="3" t="s">
        <v>283</v>
      </c>
      <c r="K266" s="3" t="s">
        <v>551</v>
      </c>
      <c r="L266" s="3">
        <v>0.095557</v>
      </c>
    </row>
    <row r="267">
      <c r="C267" s="3" t="s">
        <v>477</v>
      </c>
      <c r="D267" s="3">
        <v>1024.0</v>
      </c>
      <c r="E267" s="3">
        <v>548623.0</v>
      </c>
      <c r="F267" s="3">
        <v>6084096.0</v>
      </c>
      <c r="J267" s="3" t="s">
        <v>283</v>
      </c>
      <c r="K267" s="3" t="s">
        <v>551</v>
      </c>
      <c r="L267" s="3">
        <v>0.094388</v>
      </c>
    </row>
    <row r="268">
      <c r="C268" s="3" t="s">
        <v>477</v>
      </c>
      <c r="D268" s="3">
        <v>2048.0</v>
      </c>
      <c r="E268" s="3">
        <v>446738.0</v>
      </c>
      <c r="F268" s="3">
        <v>6097793.0</v>
      </c>
      <c r="J268" s="3" t="s">
        <v>283</v>
      </c>
      <c r="K268" s="3" t="s">
        <v>551</v>
      </c>
      <c r="L268" s="3">
        <v>0.091993</v>
      </c>
    </row>
    <row r="269">
      <c r="C269" s="3" t="s">
        <v>477</v>
      </c>
      <c r="D269" s="3">
        <v>4096.0</v>
      </c>
      <c r="E269" s="3">
        <v>395260.0</v>
      </c>
      <c r="F269" s="3">
        <v>6077512.0</v>
      </c>
      <c r="J269" s="3" t="s">
        <v>283</v>
      </c>
      <c r="K269" s="3" t="s">
        <v>551</v>
      </c>
      <c r="L269" s="3">
        <v>0.091394</v>
      </c>
    </row>
    <row r="270">
      <c r="C270" s="3" t="s">
        <v>477</v>
      </c>
      <c r="D270" s="3">
        <v>8192.0</v>
      </c>
      <c r="E270" s="3">
        <v>370155.0</v>
      </c>
      <c r="F270" s="3">
        <v>6073959.0</v>
      </c>
      <c r="J270" s="3" t="s">
        <v>283</v>
      </c>
      <c r="K270" s="3" t="s">
        <v>551</v>
      </c>
      <c r="L270" s="3">
        <v>0.090979</v>
      </c>
    </row>
    <row r="272">
      <c r="A272" s="3" t="s">
        <v>636</v>
      </c>
    </row>
    <row r="273">
      <c r="C273" s="3" t="s">
        <v>477</v>
      </c>
      <c r="D273" s="3">
        <v>1.0</v>
      </c>
      <c r="E273" s="3">
        <v>1.3039326E7</v>
      </c>
      <c r="F273" s="3">
        <v>6897699.0</v>
      </c>
      <c r="J273" s="3" t="s">
        <v>283</v>
      </c>
      <c r="K273" s="3" t="s">
        <v>551</v>
      </c>
      <c r="L273" s="3">
        <v>0.927428</v>
      </c>
    </row>
    <row r="274">
      <c r="C274" s="3" t="s">
        <v>477</v>
      </c>
      <c r="D274" s="3">
        <v>2.0</v>
      </c>
      <c r="E274" s="3">
        <v>1.2991596E7</v>
      </c>
      <c r="F274" s="3">
        <v>6859832.0</v>
      </c>
      <c r="J274" s="3" t="s">
        <v>283</v>
      </c>
      <c r="K274" s="3" t="s">
        <v>551</v>
      </c>
      <c r="L274" s="3">
        <v>0.739014</v>
      </c>
    </row>
    <row r="275">
      <c r="C275" s="3" t="s">
        <v>477</v>
      </c>
      <c r="D275" s="3">
        <v>4.0</v>
      </c>
      <c r="E275" s="3">
        <v>1.2913561E7</v>
      </c>
      <c r="F275" s="3">
        <v>6783845.0</v>
      </c>
      <c r="J275" s="3" t="s">
        <v>283</v>
      </c>
      <c r="K275" s="3" t="s">
        <v>551</v>
      </c>
      <c r="L275" s="3">
        <v>0.426519</v>
      </c>
    </row>
    <row r="276">
      <c r="C276" s="3" t="s">
        <v>477</v>
      </c>
      <c r="D276" s="3">
        <v>8.0</v>
      </c>
      <c r="E276" s="3">
        <v>1.2867345E7</v>
      </c>
      <c r="F276" s="3">
        <v>6731262.0</v>
      </c>
      <c r="J276" s="3" t="s">
        <v>283</v>
      </c>
      <c r="K276" s="3" t="s">
        <v>551</v>
      </c>
      <c r="L276" s="3">
        <v>0.259374</v>
      </c>
    </row>
    <row r="277">
      <c r="C277" s="3" t="s">
        <v>477</v>
      </c>
      <c r="D277" s="3">
        <v>16.0</v>
      </c>
      <c r="E277" s="3">
        <v>1.2860924E7</v>
      </c>
      <c r="F277" s="3">
        <v>6731829.0</v>
      </c>
      <c r="J277" s="3" t="s">
        <v>283</v>
      </c>
      <c r="K277" s="3" t="s">
        <v>551</v>
      </c>
      <c r="L277" s="3">
        <v>0.236209</v>
      </c>
    </row>
    <row r="278">
      <c r="C278" s="3" t="s">
        <v>477</v>
      </c>
      <c r="D278" s="3">
        <v>32.0</v>
      </c>
      <c r="E278" s="3">
        <v>6593039.0</v>
      </c>
      <c r="F278" s="3">
        <v>6545743.0</v>
      </c>
      <c r="J278" s="3" t="s">
        <v>283</v>
      </c>
      <c r="K278" s="3" t="s">
        <v>551</v>
      </c>
      <c r="L278" s="3">
        <v>0.162477</v>
      </c>
    </row>
    <row r="279">
      <c r="C279" s="3" t="s">
        <v>477</v>
      </c>
      <c r="D279" s="3">
        <v>64.0</v>
      </c>
      <c r="E279" s="3">
        <v>3459198.0</v>
      </c>
      <c r="F279" s="3">
        <v>6455996.0</v>
      </c>
      <c r="J279" s="3" t="s">
        <v>283</v>
      </c>
      <c r="K279" s="3" t="s">
        <v>551</v>
      </c>
      <c r="L279" s="3">
        <v>0.123722</v>
      </c>
    </row>
    <row r="280">
      <c r="C280" s="3" t="s">
        <v>477</v>
      </c>
      <c r="D280" s="3">
        <v>128.0</v>
      </c>
      <c r="E280" s="3">
        <v>1891077.0</v>
      </c>
      <c r="F280" s="3">
        <v>6408238.0</v>
      </c>
      <c r="J280" s="3" t="s">
        <v>283</v>
      </c>
      <c r="K280" s="3" t="s">
        <v>551</v>
      </c>
      <c r="L280" s="3">
        <v>0.105874</v>
      </c>
    </row>
    <row r="281">
      <c r="C281" s="3" t="s">
        <v>477</v>
      </c>
      <c r="D281" s="3">
        <v>256.0</v>
      </c>
      <c r="E281" s="3">
        <v>1108363.0</v>
      </c>
      <c r="F281" s="3">
        <v>6383194.0</v>
      </c>
      <c r="J281" s="3" t="s">
        <v>283</v>
      </c>
      <c r="K281" s="3" t="s">
        <v>551</v>
      </c>
      <c r="L281" s="3">
        <v>0.097128</v>
      </c>
    </row>
    <row r="282">
      <c r="C282" s="3" t="s">
        <v>477</v>
      </c>
      <c r="D282" s="3">
        <v>512.0</v>
      </c>
      <c r="E282" s="3">
        <v>716816.0</v>
      </c>
      <c r="F282" s="3">
        <v>6373971.0</v>
      </c>
      <c r="J282" s="3" t="s">
        <v>283</v>
      </c>
      <c r="K282" s="3" t="s">
        <v>551</v>
      </c>
      <c r="L282" s="3">
        <v>0.092618</v>
      </c>
    </row>
    <row r="283">
      <c r="C283" s="3" t="s">
        <v>477</v>
      </c>
      <c r="D283" s="3">
        <v>1024.0</v>
      </c>
      <c r="E283" s="3">
        <v>520527.0</v>
      </c>
      <c r="F283" s="3">
        <v>6367709.0</v>
      </c>
      <c r="J283" s="3" t="s">
        <v>283</v>
      </c>
      <c r="K283" s="3" t="s">
        <v>551</v>
      </c>
      <c r="L283" s="3">
        <v>0.090771</v>
      </c>
    </row>
    <row r="284">
      <c r="C284" s="3" t="s">
        <v>477</v>
      </c>
      <c r="D284" s="3">
        <v>2048.0</v>
      </c>
      <c r="E284" s="3">
        <v>421883.0</v>
      </c>
      <c r="F284" s="3">
        <v>6352944.0</v>
      </c>
      <c r="J284" s="3" t="s">
        <v>283</v>
      </c>
      <c r="K284" s="3" t="s">
        <v>551</v>
      </c>
      <c r="L284" s="3">
        <v>0.08904</v>
      </c>
    </row>
    <row r="285">
      <c r="C285" s="3" t="s">
        <v>477</v>
      </c>
      <c r="D285" s="3">
        <v>4096.0</v>
      </c>
      <c r="E285" s="3">
        <v>372415.0</v>
      </c>
      <c r="F285" s="3">
        <v>6346344.0</v>
      </c>
      <c r="J285" s="3" t="s">
        <v>283</v>
      </c>
      <c r="K285" s="3" t="s">
        <v>551</v>
      </c>
      <c r="L285" s="3">
        <v>0.088178</v>
      </c>
    </row>
    <row r="286">
      <c r="C286" s="3" t="s">
        <v>477</v>
      </c>
      <c r="D286" s="3">
        <v>8192.0</v>
      </c>
      <c r="E286" s="3">
        <v>346928.0</v>
      </c>
      <c r="F286" s="3">
        <v>6340267.0</v>
      </c>
      <c r="J286" s="3" t="s">
        <v>283</v>
      </c>
      <c r="K286" s="3" t="s">
        <v>551</v>
      </c>
      <c r="L286" s="3">
        <v>0.087634</v>
      </c>
    </row>
    <row r="287">
      <c r="C287" s="3"/>
      <c r="D287" s="3"/>
      <c r="E287" s="3"/>
      <c r="F287" s="3"/>
      <c r="J287" s="3"/>
      <c r="K287" s="3"/>
      <c r="L287" s="3"/>
    </row>
    <row r="288">
      <c r="C288" s="3" t="s">
        <v>477</v>
      </c>
      <c r="D288" s="3">
        <v>1.0</v>
      </c>
      <c r="E288" s="3">
        <v>1.2958524E7</v>
      </c>
      <c r="F288" s="3">
        <v>6830254.0</v>
      </c>
      <c r="J288" s="3" t="s">
        <v>283</v>
      </c>
      <c r="K288" s="3" t="s">
        <v>551</v>
      </c>
      <c r="L288" s="3">
        <v>0.464904</v>
      </c>
    </row>
    <row r="289">
      <c r="C289" s="3" t="s">
        <v>477</v>
      </c>
      <c r="D289" s="3">
        <v>2.0</v>
      </c>
      <c r="E289" s="3">
        <v>1.2911402E7</v>
      </c>
      <c r="F289" s="3">
        <v>6759790.0</v>
      </c>
      <c r="J289" s="3" t="s">
        <v>283</v>
      </c>
      <c r="K289" s="3" t="s">
        <v>551</v>
      </c>
      <c r="L289" s="3">
        <v>0.279639</v>
      </c>
    </row>
    <row r="290">
      <c r="C290" s="3" t="s">
        <v>477</v>
      </c>
      <c r="D290" s="3">
        <v>4.0</v>
      </c>
      <c r="E290" s="3">
        <v>1.2884877E7</v>
      </c>
      <c r="F290" s="3">
        <v>6749853.0</v>
      </c>
      <c r="J290" s="3" t="s">
        <v>283</v>
      </c>
      <c r="K290" s="3" t="s">
        <v>551</v>
      </c>
      <c r="L290" s="3">
        <v>0.203093</v>
      </c>
    </row>
    <row r="291">
      <c r="C291" s="3" t="s">
        <v>477</v>
      </c>
      <c r="D291" s="3">
        <v>8.0</v>
      </c>
      <c r="E291" s="3">
        <v>1.2884546E7</v>
      </c>
      <c r="F291" s="3">
        <v>6749073.0</v>
      </c>
      <c r="J291" s="3" t="s">
        <v>283</v>
      </c>
      <c r="K291" s="3" t="s">
        <v>551</v>
      </c>
      <c r="L291" s="3">
        <v>0.189624</v>
      </c>
    </row>
    <row r="292">
      <c r="C292" s="3" t="s">
        <v>477</v>
      </c>
      <c r="D292" s="3">
        <v>16.0</v>
      </c>
      <c r="E292" s="3">
        <v>1.2884287E7</v>
      </c>
      <c r="F292" s="3">
        <v>6745903.0</v>
      </c>
      <c r="J292" s="3" t="s">
        <v>283</v>
      </c>
      <c r="K292" s="3" t="s">
        <v>551</v>
      </c>
      <c r="L292" s="3">
        <v>0.183821</v>
      </c>
    </row>
    <row r="293">
      <c r="C293" s="3" t="s">
        <v>477</v>
      </c>
      <c r="D293" s="3">
        <v>32.0</v>
      </c>
      <c r="E293" s="3">
        <v>1.2308741E7</v>
      </c>
      <c r="F293" s="3">
        <v>6684376.0</v>
      </c>
      <c r="J293" s="3" t="s">
        <v>283</v>
      </c>
      <c r="K293" s="3" t="s">
        <v>551</v>
      </c>
      <c r="L293" s="3">
        <v>0.16281</v>
      </c>
    </row>
    <row r="294">
      <c r="C294" s="3" t="s">
        <v>477</v>
      </c>
      <c r="D294" s="3">
        <v>64.0</v>
      </c>
      <c r="E294" s="3">
        <v>7729891.0</v>
      </c>
      <c r="F294" s="3">
        <v>6568246.0</v>
      </c>
      <c r="J294" s="3" t="s">
        <v>283</v>
      </c>
      <c r="K294" s="3" t="s">
        <v>551</v>
      </c>
      <c r="L294" s="3">
        <v>0.129346</v>
      </c>
    </row>
    <row r="295">
      <c r="C295" s="3" t="s">
        <v>477</v>
      </c>
      <c r="D295" s="3">
        <v>128.0</v>
      </c>
      <c r="E295" s="3">
        <v>1919708.0</v>
      </c>
      <c r="F295" s="3">
        <v>6403945.0</v>
      </c>
      <c r="J295" s="3" t="s">
        <v>283</v>
      </c>
      <c r="K295" s="3" t="s">
        <v>551</v>
      </c>
      <c r="L295" s="3">
        <v>0.10524</v>
      </c>
    </row>
    <row r="296">
      <c r="C296" s="3" t="s">
        <v>477</v>
      </c>
      <c r="D296" s="3">
        <v>256.0</v>
      </c>
      <c r="E296" s="3">
        <v>1135452.0</v>
      </c>
      <c r="F296" s="3">
        <v>6379134.0</v>
      </c>
      <c r="J296" s="3" t="s">
        <v>283</v>
      </c>
      <c r="K296" s="3" t="s">
        <v>551</v>
      </c>
      <c r="L296" s="3">
        <v>0.096552</v>
      </c>
    </row>
    <row r="297">
      <c r="C297" s="3" t="s">
        <v>477</v>
      </c>
      <c r="D297" s="3">
        <v>512.0</v>
      </c>
      <c r="E297" s="3">
        <v>742916.0</v>
      </c>
      <c r="F297" s="3">
        <v>6361735.0</v>
      </c>
      <c r="J297" s="3" t="s">
        <v>283</v>
      </c>
      <c r="K297" s="3" t="s">
        <v>551</v>
      </c>
      <c r="L297" s="3">
        <v>0.092094</v>
      </c>
    </row>
    <row r="298">
      <c r="C298" s="3" t="s">
        <v>477</v>
      </c>
      <c r="D298" s="3">
        <v>1024.0</v>
      </c>
      <c r="E298" s="3">
        <v>547175.0</v>
      </c>
      <c r="F298" s="3">
        <v>6363951.0</v>
      </c>
      <c r="J298" s="3" t="s">
        <v>283</v>
      </c>
      <c r="K298" s="3" t="s">
        <v>551</v>
      </c>
      <c r="L298" s="3">
        <v>0.09014</v>
      </c>
    </row>
    <row r="299">
      <c r="C299" s="3" t="s">
        <v>477</v>
      </c>
      <c r="D299" s="3">
        <v>2048.0</v>
      </c>
      <c r="E299" s="3">
        <v>447845.0</v>
      </c>
      <c r="F299" s="3">
        <v>6348284.0</v>
      </c>
      <c r="J299" s="3" t="s">
        <v>283</v>
      </c>
      <c r="K299" s="3" t="s">
        <v>551</v>
      </c>
      <c r="L299" s="3">
        <v>0.088546</v>
      </c>
    </row>
    <row r="300">
      <c r="C300" s="3" t="s">
        <v>477</v>
      </c>
      <c r="D300" s="3">
        <v>4096.0</v>
      </c>
      <c r="E300" s="3">
        <v>398750.0</v>
      </c>
      <c r="F300" s="3">
        <v>6340799.0</v>
      </c>
      <c r="J300" s="3" t="s">
        <v>283</v>
      </c>
      <c r="K300" s="3" t="s">
        <v>551</v>
      </c>
      <c r="L300" s="3">
        <v>0.087593</v>
      </c>
    </row>
    <row r="301">
      <c r="C301" s="3" t="s">
        <v>477</v>
      </c>
      <c r="D301" s="3">
        <v>8192.0</v>
      </c>
      <c r="E301" s="3">
        <v>373452.0</v>
      </c>
      <c r="F301" s="3">
        <v>6337827.0</v>
      </c>
      <c r="J301" s="3" t="s">
        <v>283</v>
      </c>
      <c r="K301" s="3" t="s">
        <v>551</v>
      </c>
      <c r="L301" s="3">
        <v>0.087122</v>
      </c>
    </row>
    <row r="305">
      <c r="A305" s="3" t="s">
        <v>633</v>
      </c>
    </row>
    <row r="307">
      <c r="A307" s="3" t="s">
        <v>637</v>
      </c>
    </row>
    <row r="308">
      <c r="C308" s="3" t="s">
        <v>477</v>
      </c>
      <c r="D308" s="3">
        <v>1.0</v>
      </c>
      <c r="E308" s="3">
        <v>1.3171615E7</v>
      </c>
      <c r="F308" s="3">
        <v>7151216.0</v>
      </c>
      <c r="J308" s="3" t="s">
        <v>283</v>
      </c>
      <c r="K308" s="3" t="s">
        <v>551</v>
      </c>
      <c r="L308" s="3">
        <v>0.145365</v>
      </c>
    </row>
    <row r="309">
      <c r="C309" s="3" t="s">
        <v>477</v>
      </c>
      <c r="D309" s="3">
        <v>2.0</v>
      </c>
      <c r="E309" s="3">
        <v>1.8823643E7</v>
      </c>
      <c r="F309" s="3">
        <v>6608016.0</v>
      </c>
      <c r="J309" s="3" t="s">
        <v>283</v>
      </c>
      <c r="K309" s="3" t="s">
        <v>551</v>
      </c>
      <c r="L309" s="3">
        <v>0.270998</v>
      </c>
    </row>
    <row r="310">
      <c r="C310" s="3" t="s">
        <v>477</v>
      </c>
      <c r="D310" s="3">
        <v>4.0</v>
      </c>
      <c r="E310" s="3">
        <v>1.880189E7</v>
      </c>
      <c r="F310" s="3">
        <v>6587184.0</v>
      </c>
      <c r="J310" s="3" t="s">
        <v>283</v>
      </c>
      <c r="K310" s="3" t="s">
        <v>551</v>
      </c>
      <c r="L310" s="3">
        <v>0.18827</v>
      </c>
    </row>
    <row r="311">
      <c r="C311" s="3" t="s">
        <v>477</v>
      </c>
      <c r="D311" s="3">
        <v>8.0</v>
      </c>
      <c r="E311" s="3">
        <v>1.8801483E7</v>
      </c>
      <c r="F311" s="3">
        <v>6584156.0</v>
      </c>
      <c r="J311" s="3" t="s">
        <v>283</v>
      </c>
      <c r="K311" s="3" t="s">
        <v>551</v>
      </c>
      <c r="L311" s="3">
        <v>0.186427</v>
      </c>
    </row>
    <row r="312">
      <c r="C312" s="3" t="s">
        <v>477</v>
      </c>
      <c r="D312" s="3">
        <v>16.0</v>
      </c>
      <c r="E312" s="3">
        <v>1.8800558E7</v>
      </c>
      <c r="F312" s="3">
        <v>6586975.0</v>
      </c>
      <c r="J312" s="3" t="s">
        <v>283</v>
      </c>
      <c r="K312" s="3" t="s">
        <v>551</v>
      </c>
      <c r="L312" s="3">
        <v>0.188156</v>
      </c>
    </row>
    <row r="313">
      <c r="C313" s="3" t="s">
        <v>477</v>
      </c>
      <c r="D313" s="3">
        <v>32.0</v>
      </c>
      <c r="E313" s="3">
        <v>9415883.0</v>
      </c>
      <c r="F313" s="3">
        <v>3296237.0</v>
      </c>
      <c r="J313" s="3" t="s">
        <v>283</v>
      </c>
      <c r="K313" s="3" t="s">
        <v>551</v>
      </c>
      <c r="L313" s="3">
        <v>0.088103</v>
      </c>
    </row>
    <row r="314">
      <c r="C314" s="3" t="s">
        <v>477</v>
      </c>
      <c r="D314" s="3">
        <v>64.0</v>
      </c>
      <c r="E314" s="3">
        <v>4698887.0</v>
      </c>
      <c r="F314" s="3">
        <v>1644959.0</v>
      </c>
      <c r="J314" s="3" t="s">
        <v>283</v>
      </c>
      <c r="K314" s="3" t="s">
        <v>551</v>
      </c>
      <c r="L314" s="3">
        <v>0.042319</v>
      </c>
    </row>
    <row r="315">
      <c r="C315" s="3" t="s">
        <v>477</v>
      </c>
      <c r="D315" s="3">
        <v>128.0</v>
      </c>
      <c r="E315" s="3">
        <v>2349495.0</v>
      </c>
      <c r="F315" s="3">
        <v>822515.0</v>
      </c>
      <c r="J315" s="3" t="s">
        <v>283</v>
      </c>
      <c r="K315" s="3" t="s">
        <v>551</v>
      </c>
      <c r="L315" s="3">
        <v>0.021244</v>
      </c>
    </row>
    <row r="316">
      <c r="C316" s="3" t="s">
        <v>477</v>
      </c>
      <c r="D316" s="3">
        <v>256.0</v>
      </c>
      <c r="E316" s="3">
        <v>1175287.0</v>
      </c>
      <c r="F316" s="3">
        <v>411790.0</v>
      </c>
      <c r="J316" s="3" t="s">
        <v>283</v>
      </c>
      <c r="K316" s="3" t="s">
        <v>551</v>
      </c>
      <c r="L316" s="3">
        <v>0.011022</v>
      </c>
    </row>
    <row r="317">
      <c r="C317" s="3" t="s">
        <v>477</v>
      </c>
      <c r="D317" s="3">
        <v>512.0</v>
      </c>
      <c r="E317" s="3">
        <v>587742.0</v>
      </c>
      <c r="F317" s="3">
        <v>205808.0</v>
      </c>
      <c r="J317" s="3" t="s">
        <v>283</v>
      </c>
      <c r="K317" s="3" t="s">
        <v>551</v>
      </c>
      <c r="L317" s="3">
        <v>0.005772</v>
      </c>
    </row>
    <row r="318">
      <c r="C318" s="3" t="s">
        <v>477</v>
      </c>
      <c r="D318" s="3">
        <v>1024.0</v>
      </c>
      <c r="E318" s="3">
        <v>294012.0</v>
      </c>
      <c r="F318" s="3">
        <v>103543.0</v>
      </c>
      <c r="J318" s="3" t="s">
        <v>283</v>
      </c>
      <c r="K318" s="3" t="s">
        <v>551</v>
      </c>
      <c r="L318" s="3">
        <v>0.003193</v>
      </c>
    </row>
    <row r="319">
      <c r="C319" s="3" t="s">
        <v>477</v>
      </c>
      <c r="D319" s="3">
        <v>2048.0</v>
      </c>
      <c r="E319" s="3">
        <v>147303.0</v>
      </c>
      <c r="F319" s="3">
        <v>56143.0</v>
      </c>
      <c r="J319" s="3" t="s">
        <v>283</v>
      </c>
      <c r="K319" s="3" t="s">
        <v>551</v>
      </c>
      <c r="L319" s="3">
        <v>0.00171</v>
      </c>
    </row>
    <row r="320">
      <c r="C320" s="3" t="s">
        <v>477</v>
      </c>
      <c r="D320" s="3">
        <v>4096.0</v>
      </c>
      <c r="E320" s="3">
        <v>73686.0</v>
      </c>
      <c r="F320" s="3">
        <v>29479.0</v>
      </c>
      <c r="J320" s="3" t="s">
        <v>283</v>
      </c>
      <c r="K320" s="3" t="s">
        <v>551</v>
      </c>
      <c r="L320" s="3">
        <v>8.64E-4</v>
      </c>
    </row>
    <row r="321">
      <c r="C321" s="3" t="s">
        <v>477</v>
      </c>
      <c r="D321" s="3">
        <v>8192.0</v>
      </c>
      <c r="E321" s="3">
        <v>36900.0</v>
      </c>
      <c r="F321" s="3">
        <v>14986.0</v>
      </c>
      <c r="J321" s="3" t="s">
        <v>283</v>
      </c>
      <c r="K321" s="3" t="s">
        <v>551</v>
      </c>
      <c r="L321" s="3">
        <v>4.58E-4</v>
      </c>
    </row>
    <row r="322">
      <c r="C322" s="3"/>
      <c r="D322" s="3"/>
      <c r="E322" s="3"/>
      <c r="F322" s="3"/>
      <c r="J322" s="3"/>
      <c r="K322" s="3"/>
      <c r="L322" s="3"/>
    </row>
    <row r="323">
      <c r="C323" s="3" t="s">
        <v>477</v>
      </c>
      <c r="D323" s="3">
        <v>1.0</v>
      </c>
      <c r="E323" s="3">
        <v>1.3034997E7</v>
      </c>
      <c r="F323" s="3">
        <v>7047888.0</v>
      </c>
      <c r="J323" s="3" t="s">
        <v>283</v>
      </c>
      <c r="K323" s="3" t="s">
        <v>551</v>
      </c>
      <c r="L323" s="3">
        <v>0.080829</v>
      </c>
    </row>
    <row r="324">
      <c r="C324" s="3" t="s">
        <v>477</v>
      </c>
      <c r="D324" s="3">
        <v>2.0</v>
      </c>
      <c r="E324" s="3">
        <v>1.8783655E7</v>
      </c>
      <c r="F324" s="3">
        <v>6565583.0</v>
      </c>
      <c r="J324" s="3" t="s">
        <v>283</v>
      </c>
      <c r="K324" s="3" t="s">
        <v>551</v>
      </c>
      <c r="L324" s="3">
        <v>0.120992</v>
      </c>
    </row>
    <row r="325">
      <c r="C325" s="3" t="s">
        <v>477</v>
      </c>
      <c r="D325" s="3">
        <v>4.0</v>
      </c>
      <c r="E325" s="3">
        <v>1.8781854E7</v>
      </c>
      <c r="F325" s="3">
        <v>6567850.0</v>
      </c>
      <c r="J325" s="3" t="s">
        <v>283</v>
      </c>
      <c r="K325" s="3" t="s">
        <v>551</v>
      </c>
      <c r="L325" s="3">
        <v>0.112919</v>
      </c>
    </row>
    <row r="326">
      <c r="C326" s="3" t="s">
        <v>477</v>
      </c>
      <c r="D326" s="3">
        <v>8.0</v>
      </c>
      <c r="E326" s="3">
        <v>1.8786175E7</v>
      </c>
      <c r="F326" s="3">
        <v>6569906.0</v>
      </c>
      <c r="J326" s="3" t="s">
        <v>283</v>
      </c>
      <c r="K326" s="3" t="s">
        <v>551</v>
      </c>
      <c r="L326" s="3">
        <v>0.111984</v>
      </c>
    </row>
    <row r="327">
      <c r="C327" s="3" t="s">
        <v>477</v>
      </c>
      <c r="D327" s="3">
        <v>16.0</v>
      </c>
      <c r="E327" s="3">
        <v>1.8781364E7</v>
      </c>
      <c r="F327" s="3">
        <v>6561416.0</v>
      </c>
      <c r="J327" s="3" t="s">
        <v>283</v>
      </c>
      <c r="K327" s="3" t="s">
        <v>551</v>
      </c>
      <c r="L327" s="3">
        <v>0.111458</v>
      </c>
    </row>
    <row r="328">
      <c r="C328" s="3" t="s">
        <v>477</v>
      </c>
      <c r="D328" s="3">
        <v>32.0</v>
      </c>
      <c r="E328" s="3">
        <v>1.5744815E7</v>
      </c>
      <c r="F328" s="3">
        <v>3567276.0</v>
      </c>
      <c r="J328" s="3" t="s">
        <v>283</v>
      </c>
      <c r="K328" s="3" t="s">
        <v>551</v>
      </c>
      <c r="L328" s="3">
        <v>0.081306</v>
      </c>
    </row>
    <row r="329">
      <c r="C329" s="3" t="s">
        <v>477</v>
      </c>
      <c r="D329" s="3">
        <v>64.0</v>
      </c>
      <c r="E329" s="3">
        <v>9793591.0</v>
      </c>
      <c r="F329" s="3">
        <v>2067673.0</v>
      </c>
      <c r="J329" s="3" t="s">
        <v>283</v>
      </c>
      <c r="K329" s="3" t="s">
        <v>551</v>
      </c>
      <c r="L329" s="3">
        <v>0.046389</v>
      </c>
    </row>
    <row r="330">
      <c r="C330" s="3" t="s">
        <v>477</v>
      </c>
      <c r="D330" s="3">
        <v>128.0</v>
      </c>
      <c r="E330" s="3">
        <v>2350270.0</v>
      </c>
      <c r="F330" s="3">
        <v>813498.0</v>
      </c>
      <c r="J330" s="3" t="s">
        <v>283</v>
      </c>
      <c r="K330" s="3" t="s">
        <v>551</v>
      </c>
      <c r="L330" s="3">
        <v>0.021234</v>
      </c>
    </row>
    <row r="331">
      <c r="C331" s="3" t="s">
        <v>477</v>
      </c>
      <c r="D331" s="3">
        <v>256.0</v>
      </c>
      <c r="E331" s="3">
        <v>1175087.0</v>
      </c>
      <c r="F331" s="3">
        <v>403447.0</v>
      </c>
      <c r="J331" s="3" t="s">
        <v>283</v>
      </c>
      <c r="K331" s="3" t="s">
        <v>551</v>
      </c>
      <c r="L331" s="3">
        <v>0.010644</v>
      </c>
    </row>
    <row r="332">
      <c r="C332" s="3" t="s">
        <v>477</v>
      </c>
      <c r="D332" s="3">
        <v>512.0</v>
      </c>
      <c r="E332" s="3">
        <v>587693.0</v>
      </c>
      <c r="F332" s="3">
        <v>198237.0</v>
      </c>
      <c r="J332" s="3" t="s">
        <v>283</v>
      </c>
      <c r="K332" s="3" t="s">
        <v>551</v>
      </c>
      <c r="L332" s="3">
        <v>0.005538</v>
      </c>
    </row>
    <row r="333">
      <c r="C333" s="3" t="s">
        <v>477</v>
      </c>
      <c r="D333" s="3">
        <v>1024.0</v>
      </c>
      <c r="E333" s="3">
        <v>294099.0</v>
      </c>
      <c r="F333" s="3">
        <v>96345.0</v>
      </c>
      <c r="J333" s="3" t="s">
        <v>283</v>
      </c>
      <c r="K333" s="3" t="s">
        <v>551</v>
      </c>
      <c r="L333" s="3">
        <v>0.003062</v>
      </c>
    </row>
    <row r="334">
      <c r="C334" s="3" t="s">
        <v>477</v>
      </c>
      <c r="D334" s="3">
        <v>2048.0</v>
      </c>
      <c r="E334" s="3">
        <v>147172.0</v>
      </c>
      <c r="F334" s="3">
        <v>48693.0</v>
      </c>
      <c r="J334" s="3" t="s">
        <v>283</v>
      </c>
      <c r="K334" s="3" t="s">
        <v>551</v>
      </c>
      <c r="L334" s="3">
        <v>0.001596</v>
      </c>
    </row>
    <row r="335">
      <c r="C335" s="3" t="s">
        <v>477</v>
      </c>
      <c r="D335" s="3">
        <v>4096.0</v>
      </c>
      <c r="E335" s="3">
        <v>73735.0</v>
      </c>
      <c r="F335" s="3">
        <v>24073.0</v>
      </c>
      <c r="J335" s="3" t="s">
        <v>283</v>
      </c>
      <c r="K335" s="3" t="s">
        <v>551</v>
      </c>
      <c r="L335" s="3">
        <v>8.14E-4</v>
      </c>
    </row>
    <row r="336">
      <c r="C336" s="3" t="s">
        <v>477</v>
      </c>
      <c r="D336" s="3">
        <v>8192.0</v>
      </c>
      <c r="E336" s="3">
        <v>36984.0</v>
      </c>
      <c r="F336" s="3">
        <v>12268.0</v>
      </c>
      <c r="J336" s="3" t="s">
        <v>283</v>
      </c>
      <c r="K336" s="3" t="s">
        <v>551</v>
      </c>
      <c r="L336" s="3">
        <v>4.41E-4</v>
      </c>
    </row>
    <row r="338">
      <c r="A338" s="3" t="s">
        <v>636</v>
      </c>
    </row>
    <row r="340">
      <c r="C340" s="3" t="s">
        <v>477</v>
      </c>
      <c r="D340" s="3">
        <v>1.0</v>
      </c>
      <c r="E340" s="3">
        <v>1.8980594E7</v>
      </c>
      <c r="F340" s="3">
        <v>6778596.0</v>
      </c>
      <c r="J340" s="3" t="s">
        <v>283</v>
      </c>
      <c r="K340" s="3" t="s">
        <v>551</v>
      </c>
      <c r="L340" s="3">
        <v>0.878422</v>
      </c>
    </row>
    <row r="341">
      <c r="C341" s="3" t="s">
        <v>477</v>
      </c>
      <c r="D341" s="3">
        <v>2.0</v>
      </c>
      <c r="E341" s="3">
        <v>1.8929694E7</v>
      </c>
      <c r="F341" s="3">
        <v>6725424.0</v>
      </c>
      <c r="J341" s="3" t="s">
        <v>283</v>
      </c>
      <c r="K341" s="3" t="s">
        <v>551</v>
      </c>
      <c r="L341" s="3">
        <v>0.683566</v>
      </c>
    </row>
    <row r="342">
      <c r="C342" s="3" t="s">
        <v>477</v>
      </c>
      <c r="D342" s="3">
        <v>4.0</v>
      </c>
      <c r="E342" s="3">
        <v>1.8914146E7</v>
      </c>
      <c r="F342" s="3">
        <v>6719309.0</v>
      </c>
      <c r="J342" s="3" t="s">
        <v>283</v>
      </c>
      <c r="K342" s="3" t="s">
        <v>551</v>
      </c>
      <c r="L342" s="3">
        <v>0.625547</v>
      </c>
    </row>
    <row r="343">
      <c r="C343" s="3" t="s">
        <v>477</v>
      </c>
      <c r="D343" s="3">
        <v>8.0</v>
      </c>
      <c r="E343" s="3">
        <v>1.8911914E7</v>
      </c>
      <c r="F343" s="3">
        <v>6714408.0</v>
      </c>
      <c r="J343" s="3" t="s">
        <v>283</v>
      </c>
      <c r="K343" s="3" t="s">
        <v>551</v>
      </c>
      <c r="L343" s="3">
        <v>0.617457</v>
      </c>
    </row>
    <row r="344">
      <c r="C344" s="3" t="s">
        <v>477</v>
      </c>
      <c r="D344" s="3">
        <v>16.0</v>
      </c>
      <c r="E344" s="3">
        <v>1.891105E7</v>
      </c>
      <c r="F344" s="3">
        <v>6714504.0</v>
      </c>
      <c r="J344" s="3" t="s">
        <v>283</v>
      </c>
      <c r="K344" s="3" t="s">
        <v>551</v>
      </c>
      <c r="L344" s="3">
        <v>0.615268</v>
      </c>
    </row>
    <row r="345">
      <c r="C345" s="3" t="s">
        <v>477</v>
      </c>
      <c r="D345" s="3">
        <v>32.0</v>
      </c>
      <c r="E345" s="3">
        <v>9456742.0</v>
      </c>
      <c r="F345" s="3">
        <v>3361001.0</v>
      </c>
      <c r="J345" s="3" t="s">
        <v>283</v>
      </c>
      <c r="K345" s="3" t="s">
        <v>551</v>
      </c>
      <c r="L345" s="3">
        <v>0.307805</v>
      </c>
    </row>
    <row r="346">
      <c r="C346" s="3" t="s">
        <v>477</v>
      </c>
      <c r="D346" s="3">
        <v>64.0</v>
      </c>
      <c r="E346" s="3">
        <v>4721282.0</v>
      </c>
      <c r="F346" s="3">
        <v>1696748.0</v>
      </c>
      <c r="J346" s="3" t="s">
        <v>283</v>
      </c>
      <c r="K346" s="3" t="s">
        <v>551</v>
      </c>
      <c r="L346" s="3">
        <v>0.130373</v>
      </c>
    </row>
    <row r="347">
      <c r="C347" s="3" t="s">
        <v>477</v>
      </c>
      <c r="D347" s="3">
        <v>128.0</v>
      </c>
      <c r="E347" s="3">
        <v>2360533.0</v>
      </c>
      <c r="F347" s="3">
        <v>848647.0</v>
      </c>
      <c r="J347" s="3" t="s">
        <v>283</v>
      </c>
      <c r="K347" s="3" t="s">
        <v>551</v>
      </c>
      <c r="L347" s="3">
        <v>0.065007</v>
      </c>
    </row>
    <row r="348">
      <c r="C348" s="3" t="s">
        <v>477</v>
      </c>
      <c r="D348" s="3">
        <v>256.0</v>
      </c>
      <c r="E348" s="3">
        <v>1181788.0</v>
      </c>
      <c r="F348" s="3">
        <v>426145.0</v>
      </c>
      <c r="J348" s="3" t="s">
        <v>283</v>
      </c>
      <c r="K348" s="3" t="s">
        <v>551</v>
      </c>
      <c r="L348" s="3">
        <v>0.033675</v>
      </c>
    </row>
    <row r="349">
      <c r="C349" s="3" t="s">
        <v>477</v>
      </c>
      <c r="D349" s="3">
        <v>512.0</v>
      </c>
      <c r="E349" s="3">
        <v>590906.0</v>
      </c>
      <c r="F349" s="3">
        <v>212855.0</v>
      </c>
      <c r="J349" s="3" t="s">
        <v>283</v>
      </c>
      <c r="K349" s="3" t="s">
        <v>551</v>
      </c>
      <c r="L349" s="3">
        <v>0.01753</v>
      </c>
    </row>
    <row r="350">
      <c r="C350" s="3" t="s">
        <v>477</v>
      </c>
      <c r="D350" s="3">
        <v>1024.0</v>
      </c>
      <c r="E350" s="3">
        <v>295849.0</v>
      </c>
      <c r="F350" s="3">
        <v>107228.0</v>
      </c>
      <c r="J350" s="3" t="s">
        <v>283</v>
      </c>
      <c r="K350" s="3" t="s">
        <v>551</v>
      </c>
      <c r="L350" s="3">
        <v>0.008986</v>
      </c>
    </row>
    <row r="351">
      <c r="C351" s="3" t="s">
        <v>477</v>
      </c>
      <c r="D351" s="3">
        <v>2048.0</v>
      </c>
      <c r="E351" s="3">
        <v>148060.0</v>
      </c>
      <c r="F351" s="3">
        <v>57714.0</v>
      </c>
      <c r="J351" s="3" t="s">
        <v>283</v>
      </c>
      <c r="K351" s="3" t="s">
        <v>551</v>
      </c>
      <c r="L351" s="3">
        <v>0.004498</v>
      </c>
    </row>
    <row r="352">
      <c r="C352" s="3" t="s">
        <v>477</v>
      </c>
      <c r="D352" s="3">
        <v>4096.0</v>
      </c>
      <c r="E352" s="3">
        <v>74193.0</v>
      </c>
      <c r="F352" s="3">
        <v>30513.0</v>
      </c>
      <c r="J352" s="3" t="s">
        <v>283</v>
      </c>
      <c r="K352" s="3" t="s">
        <v>551</v>
      </c>
      <c r="L352" s="3">
        <v>0.002455</v>
      </c>
    </row>
    <row r="353">
      <c r="C353" s="3" t="s">
        <v>477</v>
      </c>
      <c r="D353" s="3">
        <v>8192.0</v>
      </c>
      <c r="E353" s="3">
        <v>37299.0</v>
      </c>
      <c r="F353" s="3">
        <v>15677.0</v>
      </c>
      <c r="J353" s="3" t="s">
        <v>283</v>
      </c>
      <c r="K353" s="3" t="s">
        <v>551</v>
      </c>
      <c r="L353" s="3">
        <v>0.001332</v>
      </c>
    </row>
    <row r="354">
      <c r="C354" s="3"/>
      <c r="D354" s="3"/>
      <c r="E354" s="3"/>
      <c r="F354" s="3"/>
      <c r="J354" s="3"/>
      <c r="K354" s="3"/>
      <c r="L354" s="3"/>
    </row>
    <row r="355">
      <c r="C355" s="3" t="s">
        <v>477</v>
      </c>
      <c r="D355" s="3">
        <v>1.0</v>
      </c>
      <c r="E355" s="3">
        <v>1.8854869E7</v>
      </c>
      <c r="F355" s="3">
        <v>6686666.0</v>
      </c>
      <c r="J355" s="3" t="s">
        <v>283</v>
      </c>
      <c r="K355" s="3" t="s">
        <v>551</v>
      </c>
      <c r="L355" s="3">
        <v>0.385135</v>
      </c>
    </row>
    <row r="356">
      <c r="C356" s="3" t="s">
        <v>477</v>
      </c>
      <c r="D356" s="3">
        <v>2.0</v>
      </c>
      <c r="E356" s="3">
        <v>1.8803946E7</v>
      </c>
      <c r="F356" s="3">
        <v>6632917.0</v>
      </c>
      <c r="J356" s="3" t="s">
        <v>283</v>
      </c>
      <c r="K356" s="3" t="s">
        <v>551</v>
      </c>
      <c r="L356" s="3">
        <v>0.199022</v>
      </c>
    </row>
    <row r="357">
      <c r="C357" s="3" t="s">
        <v>477</v>
      </c>
      <c r="D357" s="3">
        <v>4.0</v>
      </c>
      <c r="E357" s="3">
        <v>1.8787827E7</v>
      </c>
      <c r="F357" s="3">
        <v>6623699.0</v>
      </c>
      <c r="J357" s="3" t="s">
        <v>283</v>
      </c>
      <c r="K357" s="3" t="s">
        <v>551</v>
      </c>
      <c r="L357" s="3">
        <v>0.132365</v>
      </c>
    </row>
    <row r="358">
      <c r="C358" s="3" t="s">
        <v>477</v>
      </c>
      <c r="D358" s="3">
        <v>8.0</v>
      </c>
      <c r="E358" s="3">
        <v>1.8814208E7</v>
      </c>
      <c r="F358" s="3">
        <v>6622967.0</v>
      </c>
      <c r="J358" s="3" t="s">
        <v>283</v>
      </c>
      <c r="K358" s="3" t="s">
        <v>551</v>
      </c>
      <c r="L358" s="3">
        <v>0.122895</v>
      </c>
    </row>
    <row r="359">
      <c r="C359" s="3" t="s">
        <v>477</v>
      </c>
      <c r="D359" s="3">
        <v>16.0</v>
      </c>
      <c r="E359" s="3">
        <v>1.8787556E7</v>
      </c>
      <c r="F359" s="3">
        <v>6625129.0</v>
      </c>
      <c r="J359" s="3" t="s">
        <v>283</v>
      </c>
      <c r="K359" s="3" t="s">
        <v>551</v>
      </c>
      <c r="L359" s="3">
        <v>0.116685</v>
      </c>
    </row>
    <row r="360">
      <c r="C360" s="3" t="s">
        <v>477</v>
      </c>
      <c r="D360" s="3">
        <v>32.0</v>
      </c>
      <c r="E360" s="3">
        <v>1.8682574E7</v>
      </c>
      <c r="F360" s="3">
        <v>3622087.0</v>
      </c>
      <c r="J360" s="3" t="s">
        <v>283</v>
      </c>
      <c r="K360" s="3" t="s">
        <v>551</v>
      </c>
      <c r="L360" s="3">
        <v>0.108483</v>
      </c>
    </row>
    <row r="361">
      <c r="C361" s="3" t="s">
        <v>477</v>
      </c>
      <c r="D361" s="3">
        <v>64.0</v>
      </c>
      <c r="E361" s="3">
        <v>1.4382377E7</v>
      </c>
      <c r="F361" s="3">
        <v>2026059.0</v>
      </c>
      <c r="J361" s="3" t="s">
        <v>283</v>
      </c>
      <c r="K361" s="3" t="s">
        <v>551</v>
      </c>
      <c r="L361" s="3">
        <v>0.126865</v>
      </c>
    </row>
    <row r="362">
      <c r="C362" s="3" t="s">
        <v>477</v>
      </c>
      <c r="D362" s="3">
        <v>128.0</v>
      </c>
      <c r="E362" s="3">
        <v>2361107.0</v>
      </c>
      <c r="F362" s="3">
        <v>836563.0</v>
      </c>
      <c r="J362" s="3" t="s">
        <v>283</v>
      </c>
      <c r="K362" s="3" t="s">
        <v>551</v>
      </c>
      <c r="L362" s="3">
        <v>0.064772</v>
      </c>
    </row>
    <row r="363">
      <c r="C363" s="3" t="s">
        <v>477</v>
      </c>
      <c r="D363" s="3">
        <v>256.0</v>
      </c>
      <c r="E363" s="3">
        <v>1180860.0</v>
      </c>
      <c r="F363" s="3">
        <v>418664.0</v>
      </c>
      <c r="J363" s="3" t="s">
        <v>283</v>
      </c>
      <c r="K363" s="3" t="s">
        <v>551</v>
      </c>
      <c r="L363" s="3">
        <v>0.033186</v>
      </c>
    </row>
    <row r="364">
      <c r="C364" s="3" t="s">
        <v>477</v>
      </c>
      <c r="D364" s="3">
        <v>512.0</v>
      </c>
      <c r="E364" s="3">
        <v>590941.0</v>
      </c>
      <c r="F364" s="3">
        <v>209921.0</v>
      </c>
      <c r="J364" s="3" t="s">
        <v>283</v>
      </c>
      <c r="K364" s="3" t="s">
        <v>551</v>
      </c>
      <c r="L364" s="3">
        <v>0.017568</v>
      </c>
    </row>
    <row r="365">
      <c r="C365" s="3" t="s">
        <v>477</v>
      </c>
      <c r="D365" s="3">
        <v>1024.0</v>
      </c>
      <c r="E365" s="3">
        <v>295679.0</v>
      </c>
      <c r="F365" s="3">
        <v>106053.0</v>
      </c>
      <c r="J365" s="3" t="s">
        <v>283</v>
      </c>
      <c r="K365" s="3" t="s">
        <v>551</v>
      </c>
      <c r="L365" s="3">
        <v>0.008922</v>
      </c>
    </row>
    <row r="366">
      <c r="C366" s="3" t="s">
        <v>477</v>
      </c>
      <c r="D366" s="3">
        <v>2048.0</v>
      </c>
      <c r="E366" s="3">
        <v>148022.0</v>
      </c>
      <c r="F366" s="3">
        <v>57714.0</v>
      </c>
      <c r="J366" s="3" t="s">
        <v>283</v>
      </c>
      <c r="K366" s="3" t="s">
        <v>551</v>
      </c>
      <c r="L366" s="3">
        <v>0.004482</v>
      </c>
    </row>
    <row r="367">
      <c r="C367" s="3" t="s">
        <v>477</v>
      </c>
      <c r="D367" s="3">
        <v>4096.0</v>
      </c>
      <c r="E367" s="3">
        <v>75961.0</v>
      </c>
      <c r="F367" s="3">
        <v>31154.0</v>
      </c>
      <c r="J367" s="3" t="s">
        <v>283</v>
      </c>
      <c r="K367" s="3" t="s">
        <v>551</v>
      </c>
      <c r="L367" s="3">
        <v>0.002415</v>
      </c>
    </row>
    <row r="368">
      <c r="C368" s="3" t="s">
        <v>477</v>
      </c>
      <c r="D368" s="3">
        <v>8192.0</v>
      </c>
      <c r="E368" s="3">
        <v>37283.0</v>
      </c>
      <c r="F368" s="3">
        <v>15619.0</v>
      </c>
      <c r="J368" s="3" t="s">
        <v>283</v>
      </c>
      <c r="K368" s="3" t="s">
        <v>551</v>
      </c>
      <c r="L368" s="3">
        <v>0.001336</v>
      </c>
    </row>
    <row r="371">
      <c r="A371" s="3" t="s">
        <v>638</v>
      </c>
    </row>
    <row r="373">
      <c r="B373" s="3" t="s">
        <v>639</v>
      </c>
    </row>
    <row r="375">
      <c r="J375" s="3" t="s">
        <v>548</v>
      </c>
      <c r="K375" s="3" t="s">
        <v>640</v>
      </c>
    </row>
    <row r="376">
      <c r="J376" s="3">
        <v>0.183776</v>
      </c>
      <c r="K376" s="3">
        <v>0.464904</v>
      </c>
    </row>
    <row r="377">
      <c r="C377" s="3" t="s">
        <v>463</v>
      </c>
      <c r="D377" s="3">
        <v>1.0</v>
      </c>
      <c r="E377" s="3">
        <v>1.9033124E7</v>
      </c>
      <c r="F377" s="3">
        <v>6990550.0</v>
      </c>
      <c r="J377" s="3">
        <v>0.192196</v>
      </c>
      <c r="K377" s="3">
        <v>0.279639</v>
      </c>
    </row>
    <row r="378">
      <c r="C378" s="3" t="s">
        <v>463</v>
      </c>
      <c r="D378" s="3">
        <v>2.0</v>
      </c>
      <c r="E378" s="3">
        <v>1.8950581E7</v>
      </c>
      <c r="F378" s="3">
        <v>6924773.0</v>
      </c>
      <c r="J378" s="3">
        <v>0.1912</v>
      </c>
      <c r="K378" s="3">
        <v>0.203093</v>
      </c>
    </row>
    <row r="379">
      <c r="C379" s="3" t="s">
        <v>463</v>
      </c>
      <c r="D379" s="3">
        <v>4.0</v>
      </c>
      <c r="E379" s="3">
        <v>1.8923609E7</v>
      </c>
      <c r="F379" s="3">
        <v>6900246.0</v>
      </c>
      <c r="J379" s="3">
        <v>0.188701</v>
      </c>
      <c r="K379" s="3">
        <v>0.189624</v>
      </c>
    </row>
    <row r="380">
      <c r="C380" s="3" t="s">
        <v>463</v>
      </c>
      <c r="D380" s="3">
        <v>8.0</v>
      </c>
      <c r="E380" s="3">
        <v>1.8918862E7</v>
      </c>
      <c r="F380" s="3">
        <v>6893445.0</v>
      </c>
      <c r="J380" s="3">
        <v>0.188703</v>
      </c>
      <c r="K380" s="3">
        <v>0.183821</v>
      </c>
    </row>
    <row r="381">
      <c r="C381" s="3" t="s">
        <v>463</v>
      </c>
      <c r="D381" s="3">
        <v>16.0</v>
      </c>
      <c r="E381" s="3">
        <v>1.8927741E7</v>
      </c>
      <c r="F381" s="3">
        <v>6894275.0</v>
      </c>
      <c r="J381" s="3">
        <v>0.155972</v>
      </c>
      <c r="K381" s="3">
        <v>0.16281</v>
      </c>
    </row>
    <row r="382">
      <c r="C382" s="3" t="s">
        <v>463</v>
      </c>
      <c r="D382" s="3">
        <v>32.0</v>
      </c>
      <c r="E382" s="3">
        <v>9458191.0</v>
      </c>
      <c r="F382" s="3">
        <v>3446115.0</v>
      </c>
      <c r="J382" s="3">
        <v>0.12772</v>
      </c>
      <c r="K382" s="3">
        <v>0.129346</v>
      </c>
    </row>
    <row r="383">
      <c r="C383" s="3" t="s">
        <v>463</v>
      </c>
      <c r="D383" s="3">
        <v>64.0</v>
      </c>
      <c r="E383" s="3">
        <v>4723520.0</v>
      </c>
      <c r="F383" s="3">
        <v>1718361.0</v>
      </c>
      <c r="J383" s="3">
        <v>0.107519</v>
      </c>
      <c r="K383" s="3">
        <v>0.10524</v>
      </c>
    </row>
    <row r="384">
      <c r="C384" s="3" t="s">
        <v>463</v>
      </c>
      <c r="D384" s="3">
        <v>128.0</v>
      </c>
      <c r="E384" s="3">
        <v>2362009.0</v>
      </c>
      <c r="F384" s="3">
        <v>859618.0</v>
      </c>
      <c r="J384" s="3">
        <v>0.10027</v>
      </c>
      <c r="K384" s="3">
        <v>0.096552</v>
      </c>
    </row>
    <row r="385">
      <c r="C385" s="3" t="s">
        <v>463</v>
      </c>
      <c r="D385" s="3">
        <v>256.0</v>
      </c>
      <c r="E385" s="3">
        <v>1183685.0</v>
      </c>
      <c r="F385" s="3">
        <v>431581.0</v>
      </c>
      <c r="J385" s="3">
        <v>0.095557</v>
      </c>
      <c r="K385" s="3">
        <v>0.092094</v>
      </c>
    </row>
    <row r="386">
      <c r="C386" s="3" t="s">
        <v>463</v>
      </c>
      <c r="D386" s="3">
        <v>512.0</v>
      </c>
      <c r="E386" s="3">
        <v>592414.0</v>
      </c>
      <c r="F386" s="3">
        <v>216772.0</v>
      </c>
      <c r="J386" s="3">
        <v>0.094388</v>
      </c>
      <c r="K386" s="3">
        <v>0.09014</v>
      </c>
    </row>
    <row r="387">
      <c r="C387" s="3" t="s">
        <v>463</v>
      </c>
      <c r="D387" s="3">
        <v>1024.0</v>
      </c>
      <c r="E387" s="3">
        <v>296220.0</v>
      </c>
      <c r="F387" s="3">
        <v>107581.0</v>
      </c>
      <c r="J387" s="3">
        <v>0.091993</v>
      </c>
      <c r="K387" s="3">
        <v>0.088546</v>
      </c>
    </row>
    <row r="388">
      <c r="C388" s="3" t="s">
        <v>463</v>
      </c>
      <c r="D388" s="3">
        <v>2048.0</v>
      </c>
      <c r="E388" s="3">
        <v>148318.0</v>
      </c>
      <c r="F388" s="3">
        <v>57994.0</v>
      </c>
      <c r="J388" s="3">
        <v>0.091394</v>
      </c>
      <c r="K388" s="3">
        <v>0.087593</v>
      </c>
    </row>
    <row r="389">
      <c r="C389" s="3" t="s">
        <v>463</v>
      </c>
      <c r="D389" s="3">
        <v>4096.0</v>
      </c>
      <c r="E389" s="3">
        <v>74290.0</v>
      </c>
      <c r="F389" s="3">
        <v>30534.0</v>
      </c>
      <c r="J389" s="3">
        <v>0.090979</v>
      </c>
      <c r="K389" s="3">
        <v>0.087122</v>
      </c>
    </row>
    <row r="390">
      <c r="C390" s="3" t="s">
        <v>463</v>
      </c>
      <c r="D390" s="3">
        <v>8192.0</v>
      </c>
      <c r="E390" s="3">
        <v>37321.0</v>
      </c>
      <c r="F390" s="3">
        <v>15466.0</v>
      </c>
    </row>
    <row r="392">
      <c r="J392" s="3">
        <v>0.183776</v>
      </c>
      <c r="K392" s="3">
        <v>0.192196</v>
      </c>
      <c r="L392" s="3">
        <v>0.1912</v>
      </c>
      <c r="M392" s="3">
        <v>0.188701</v>
      </c>
      <c r="N392" s="3">
        <v>0.188703</v>
      </c>
      <c r="O392" s="3">
        <v>0.155972</v>
      </c>
      <c r="P392" s="3">
        <v>0.12772</v>
      </c>
      <c r="Q392" s="3">
        <v>0.107519</v>
      </c>
      <c r="R392" s="3">
        <v>0.10027</v>
      </c>
      <c r="S392" s="3">
        <v>0.095557</v>
      </c>
      <c r="T392" s="3">
        <v>0.094388</v>
      </c>
      <c r="U392" s="3">
        <v>0.091993</v>
      </c>
      <c r="V392" s="3">
        <v>0.091394</v>
      </c>
      <c r="W392" s="3">
        <v>0.090979</v>
      </c>
    </row>
    <row r="393">
      <c r="J393" s="3">
        <v>0.464904</v>
      </c>
      <c r="K393" s="3">
        <v>0.279639</v>
      </c>
      <c r="L393" s="3">
        <v>0.203093</v>
      </c>
      <c r="M393" s="3">
        <v>0.189624</v>
      </c>
      <c r="N393" s="3">
        <v>0.183821</v>
      </c>
      <c r="O393" s="3">
        <v>0.16281</v>
      </c>
      <c r="P393" s="3">
        <v>0.129346</v>
      </c>
      <c r="Q393" s="3">
        <v>0.10524</v>
      </c>
      <c r="R393" s="3">
        <v>0.096552</v>
      </c>
      <c r="S393" s="3">
        <v>0.092094</v>
      </c>
      <c r="T393" s="3">
        <v>0.09014</v>
      </c>
      <c r="U393" s="3">
        <v>0.088546</v>
      </c>
      <c r="V393" s="3">
        <v>0.087593</v>
      </c>
      <c r="W393" s="3">
        <v>0.087122</v>
      </c>
    </row>
    <row r="395">
      <c r="C395" s="3" t="s">
        <v>463</v>
      </c>
      <c r="D395" s="3">
        <v>1.0</v>
      </c>
      <c r="E395" s="3">
        <v>1.8881043E7</v>
      </c>
      <c r="F395" s="3">
        <v>6812673.0</v>
      </c>
    </row>
    <row r="396">
      <c r="C396" s="3" t="s">
        <v>463</v>
      </c>
      <c r="D396" s="3">
        <v>2.0</v>
      </c>
      <c r="E396" s="3">
        <v>1.8818699E7</v>
      </c>
      <c r="F396" s="3">
        <v>6765344.0</v>
      </c>
    </row>
    <row r="397">
      <c r="C397" s="3" t="s">
        <v>463</v>
      </c>
      <c r="D397" s="3">
        <v>4.0</v>
      </c>
      <c r="E397" s="3">
        <v>1.880363E7</v>
      </c>
      <c r="F397" s="3">
        <v>6764722.0</v>
      </c>
    </row>
    <row r="398">
      <c r="C398" s="3" t="s">
        <v>463</v>
      </c>
      <c r="D398" s="3">
        <v>8.0</v>
      </c>
      <c r="E398" s="3">
        <v>1.8795905E7</v>
      </c>
      <c r="F398" s="3">
        <v>6758889.0</v>
      </c>
    </row>
    <row r="399">
      <c r="C399" s="3" t="s">
        <v>463</v>
      </c>
      <c r="D399" s="3">
        <v>16.0</v>
      </c>
      <c r="E399" s="3">
        <v>1.8794612E7</v>
      </c>
      <c r="F399" s="3">
        <v>6757645.0</v>
      </c>
    </row>
    <row r="400">
      <c r="C400" s="3" t="s">
        <v>463</v>
      </c>
      <c r="D400" s="3">
        <v>32.0</v>
      </c>
      <c r="E400" s="3">
        <v>1.8763074E7</v>
      </c>
      <c r="F400" s="3">
        <v>3717936.0</v>
      </c>
    </row>
    <row r="401">
      <c r="C401" s="3" t="s">
        <v>463</v>
      </c>
      <c r="D401" s="3">
        <v>64.0</v>
      </c>
      <c r="E401" s="3">
        <v>1.4706456E7</v>
      </c>
      <c r="F401" s="3">
        <v>2159643.0</v>
      </c>
    </row>
    <row r="402">
      <c r="C402" s="3" t="s">
        <v>463</v>
      </c>
      <c r="D402" s="3">
        <v>128.0</v>
      </c>
      <c r="E402" s="3">
        <v>2369636.0</v>
      </c>
      <c r="F402" s="3">
        <v>866022.0</v>
      </c>
    </row>
    <row r="403">
      <c r="C403" s="3" t="s">
        <v>463</v>
      </c>
      <c r="D403" s="3">
        <v>256.0</v>
      </c>
      <c r="E403" s="3">
        <v>1184261.0</v>
      </c>
      <c r="F403" s="3">
        <v>431554.0</v>
      </c>
    </row>
    <row r="404">
      <c r="C404" s="3" t="s">
        <v>463</v>
      </c>
      <c r="D404" s="3">
        <v>512.0</v>
      </c>
      <c r="E404" s="3">
        <v>592335.0</v>
      </c>
      <c r="F404" s="3">
        <v>215865.0</v>
      </c>
    </row>
    <row r="405">
      <c r="C405" s="3" t="s">
        <v>463</v>
      </c>
      <c r="D405" s="3">
        <v>1024.0</v>
      </c>
      <c r="E405" s="3">
        <v>296600.0</v>
      </c>
      <c r="F405" s="3">
        <v>107914.0</v>
      </c>
    </row>
    <row r="406">
      <c r="C406" s="3" t="s">
        <v>463</v>
      </c>
      <c r="D406" s="3">
        <v>2048.0</v>
      </c>
      <c r="E406" s="3">
        <v>148331.0</v>
      </c>
      <c r="F406" s="3">
        <v>57978.0</v>
      </c>
    </row>
    <row r="407">
      <c r="C407" s="3" t="s">
        <v>463</v>
      </c>
      <c r="D407" s="3">
        <v>4096.0</v>
      </c>
      <c r="E407" s="3">
        <v>74529.0</v>
      </c>
      <c r="F407" s="3">
        <v>30744.0</v>
      </c>
    </row>
    <row r="408">
      <c r="C408" s="3" t="s">
        <v>463</v>
      </c>
      <c r="D408" s="3">
        <v>8192.0</v>
      </c>
      <c r="E408" s="3">
        <v>37549.0</v>
      </c>
      <c r="F408" s="3">
        <v>15677.0</v>
      </c>
    </row>
    <row r="415">
      <c r="B415" s="3">
        <v>1.8854869E7</v>
      </c>
      <c r="C415" s="3">
        <v>1.8803946E7</v>
      </c>
      <c r="D415" s="3">
        <v>1.8787827E7</v>
      </c>
      <c r="E415" s="3">
        <v>1.8814208E7</v>
      </c>
      <c r="F415" s="3">
        <v>1.8787556E7</v>
      </c>
      <c r="G415" s="3">
        <v>1.8682574E7</v>
      </c>
      <c r="H415" s="3">
        <v>1.4382377E7</v>
      </c>
      <c r="I415" s="3">
        <v>2361107.0</v>
      </c>
      <c r="J415" s="3">
        <v>1180860.0</v>
      </c>
      <c r="K415" s="3">
        <v>590941.0</v>
      </c>
      <c r="L415" s="3">
        <v>295679.0</v>
      </c>
      <c r="M415" s="3">
        <v>148022.0</v>
      </c>
      <c r="N415" s="3">
        <v>75961.0</v>
      </c>
      <c r="O415" s="3">
        <v>37283.0</v>
      </c>
    </row>
    <row r="416">
      <c r="B416" s="3">
        <v>6686666.0</v>
      </c>
      <c r="C416" s="3">
        <v>6632917.0</v>
      </c>
      <c r="D416" s="3">
        <v>6623699.0</v>
      </c>
      <c r="E416" s="3">
        <v>6622967.0</v>
      </c>
      <c r="F416" s="3">
        <v>6625129.0</v>
      </c>
      <c r="G416" s="3">
        <v>3622087.0</v>
      </c>
      <c r="H416" s="3">
        <v>2026059.0</v>
      </c>
      <c r="I416" s="3">
        <v>836563.0</v>
      </c>
      <c r="J416" s="3">
        <v>418664.0</v>
      </c>
      <c r="K416" s="3">
        <v>209921.0</v>
      </c>
      <c r="L416" s="3">
        <v>106053.0</v>
      </c>
      <c r="M416" s="3">
        <v>57714.0</v>
      </c>
      <c r="N416" s="3">
        <v>31154.0</v>
      </c>
      <c r="O416" s="3">
        <v>15619.0</v>
      </c>
    </row>
    <row r="418">
      <c r="B418" s="3">
        <v>1.8881043E7</v>
      </c>
      <c r="C418" s="3">
        <v>1.8818699E7</v>
      </c>
      <c r="D418" s="3">
        <v>1.880363E7</v>
      </c>
      <c r="E418" s="3">
        <v>1.8795905E7</v>
      </c>
      <c r="F418" s="3">
        <v>1.8794612E7</v>
      </c>
      <c r="G418" s="3">
        <v>1.8763074E7</v>
      </c>
      <c r="H418" s="3">
        <v>1.4706456E7</v>
      </c>
      <c r="I418" s="3">
        <v>2369636.0</v>
      </c>
      <c r="J418" s="3">
        <v>1184261.0</v>
      </c>
      <c r="K418" s="3">
        <v>592335.0</v>
      </c>
      <c r="L418" s="3">
        <v>296600.0</v>
      </c>
      <c r="M418" s="3">
        <v>148331.0</v>
      </c>
      <c r="N418" s="3">
        <v>74529.0</v>
      </c>
      <c r="O418" s="3">
        <v>37549.0</v>
      </c>
    </row>
    <row r="419">
      <c r="B419" s="3">
        <v>6812673.0</v>
      </c>
      <c r="C419" s="3">
        <v>6765344.0</v>
      </c>
      <c r="D419" s="3">
        <v>6764722.0</v>
      </c>
      <c r="E419" s="3">
        <v>6758889.0</v>
      </c>
      <c r="F419" s="3">
        <v>6757645.0</v>
      </c>
      <c r="G419" s="3">
        <v>3717936.0</v>
      </c>
      <c r="H419" s="3">
        <v>2159643.0</v>
      </c>
      <c r="I419" s="3">
        <v>866022.0</v>
      </c>
      <c r="J419" s="3">
        <v>431554.0</v>
      </c>
      <c r="K419" s="3">
        <v>215865.0</v>
      </c>
      <c r="L419" s="3">
        <v>107914.0</v>
      </c>
      <c r="M419" s="3">
        <v>57978.0</v>
      </c>
      <c r="N419" s="3">
        <v>30744.0</v>
      </c>
      <c r="O419" s="3">
        <v>15677.0</v>
      </c>
    </row>
    <row r="425">
      <c r="B425" s="3" t="s">
        <v>641</v>
      </c>
    </row>
    <row r="426">
      <c r="C426" s="3" t="s">
        <v>589</v>
      </c>
      <c r="D426" s="3" t="s">
        <v>636</v>
      </c>
    </row>
    <row r="427">
      <c r="E427" s="3" t="s">
        <v>448</v>
      </c>
      <c r="F427" s="3" t="s">
        <v>449</v>
      </c>
      <c r="G427" s="3" t="s">
        <v>283</v>
      </c>
    </row>
    <row r="428">
      <c r="A428" s="3" t="s">
        <v>642</v>
      </c>
      <c r="B428" s="3" t="s">
        <v>643</v>
      </c>
      <c r="C428" s="3" t="s">
        <v>463</v>
      </c>
      <c r="D428" s="3">
        <v>1.0</v>
      </c>
      <c r="E428" s="3">
        <v>1.8924509E7</v>
      </c>
      <c r="F428" s="3">
        <v>6414347.0</v>
      </c>
      <c r="G428" s="30">
        <f t="shared" ref="G428:G429" si="76">E428+F428</f>
        <v>25338856</v>
      </c>
    </row>
    <row r="429">
      <c r="A429" s="3" t="s">
        <v>642</v>
      </c>
      <c r="B429" s="3" t="s">
        <v>602</v>
      </c>
      <c r="C429" s="3" t="s">
        <v>463</v>
      </c>
      <c r="D429" s="3">
        <v>1.0</v>
      </c>
      <c r="E429" s="3">
        <v>1.879793E7</v>
      </c>
      <c r="F429" s="3">
        <v>6282547.0</v>
      </c>
      <c r="G429" s="30">
        <f t="shared" si="76"/>
        <v>25080477</v>
      </c>
    </row>
    <row r="431">
      <c r="A431" s="3" t="s">
        <v>644</v>
      </c>
      <c r="B431" s="3" t="s">
        <v>643</v>
      </c>
      <c r="C431" s="3" t="s">
        <v>463</v>
      </c>
      <c r="D431" s="3">
        <v>1.0</v>
      </c>
      <c r="E431" s="3">
        <v>1.8688408E7</v>
      </c>
      <c r="F431" s="3">
        <v>6250709.0</v>
      </c>
      <c r="G431" s="30">
        <f t="shared" ref="G431:G432" si="77">E431+F431</f>
        <v>24939117</v>
      </c>
    </row>
    <row r="432">
      <c r="A432" s="3" t="s">
        <v>644</v>
      </c>
      <c r="B432" s="3" t="s">
        <v>602</v>
      </c>
      <c r="C432" s="3" t="s">
        <v>463</v>
      </c>
      <c r="D432" s="3">
        <v>1.0</v>
      </c>
      <c r="E432" s="3">
        <v>1.8794607E7</v>
      </c>
      <c r="F432" s="3">
        <v>6254850.0</v>
      </c>
      <c r="G432" s="30">
        <f t="shared" si="77"/>
        <v>25049457</v>
      </c>
    </row>
    <row r="433">
      <c r="J433" s="3" t="s">
        <v>645</v>
      </c>
      <c r="K433" s="3" t="s">
        <v>646</v>
      </c>
    </row>
    <row r="434">
      <c r="A434" s="3" t="s">
        <v>647</v>
      </c>
      <c r="B434" s="3" t="s">
        <v>643</v>
      </c>
      <c r="C434" s="3" t="s">
        <v>463</v>
      </c>
      <c r="D434" s="3">
        <v>1.0</v>
      </c>
      <c r="E434" s="3">
        <v>1.8528602E7</v>
      </c>
      <c r="F434" s="3">
        <v>6204350.0</v>
      </c>
      <c r="G434" s="30">
        <f t="shared" ref="G434:G435" si="78">E434+F434</f>
        <v>24732952</v>
      </c>
      <c r="J434" s="3">
        <v>5.0E7</v>
      </c>
      <c r="K434" s="3">
        <v>8.0</v>
      </c>
    </row>
    <row r="435">
      <c r="A435" s="3" t="s">
        <v>647</v>
      </c>
      <c r="B435" s="3" t="s">
        <v>602</v>
      </c>
      <c r="C435" s="3" t="s">
        <v>463</v>
      </c>
      <c r="D435" s="3">
        <v>1.0</v>
      </c>
      <c r="E435" s="3">
        <v>1.8352835E7</v>
      </c>
      <c r="F435" s="3">
        <v>6137000.0</v>
      </c>
      <c r="G435" s="30">
        <f t="shared" si="78"/>
        <v>24489835</v>
      </c>
    </row>
    <row r="436">
      <c r="J436" s="3" t="s">
        <v>486</v>
      </c>
      <c r="K436" s="3" t="s">
        <v>648</v>
      </c>
      <c r="L436" s="3" t="s">
        <v>283</v>
      </c>
    </row>
    <row r="437">
      <c r="I437" s="3" t="s">
        <v>649</v>
      </c>
      <c r="J437" s="30">
        <f>J434*K434/64*3</f>
        <v>18750000</v>
      </c>
      <c r="K437" s="30">
        <f>J434*K434/64</f>
        <v>6250000</v>
      </c>
      <c r="L437" s="30">
        <f t="shared" ref="L437:L438" si="79">J437+K437</f>
        <v>25000000</v>
      </c>
      <c r="M437" s="30">
        <f>L437-K437</f>
        <v>18750000</v>
      </c>
    </row>
    <row r="438">
      <c r="A438" s="3" t="s">
        <v>595</v>
      </c>
      <c r="I438" s="3" t="s">
        <v>650</v>
      </c>
      <c r="J438" s="30">
        <f>J434*K434/64*2</f>
        <v>12500000</v>
      </c>
      <c r="K438" s="30">
        <f>J434*K434/64</f>
        <v>6250000</v>
      </c>
      <c r="L438" s="30">
        <f t="shared" si="79"/>
        <v>18750000</v>
      </c>
    </row>
    <row r="439">
      <c r="A439" s="3" t="s">
        <v>642</v>
      </c>
      <c r="B439" s="3" t="s">
        <v>643</v>
      </c>
      <c r="C439" s="3" t="s">
        <v>463</v>
      </c>
      <c r="D439" s="3">
        <v>1.0</v>
      </c>
      <c r="E439" s="3">
        <v>1.8776592E7</v>
      </c>
      <c r="F439" s="3">
        <v>6270387.0</v>
      </c>
      <c r="G439" s="30">
        <f t="shared" ref="G439:G440" si="80">E439+F439</f>
        <v>25046979</v>
      </c>
    </row>
    <row r="440">
      <c r="A440" s="3" t="s">
        <v>642</v>
      </c>
      <c r="B440" s="3" t="s">
        <v>602</v>
      </c>
      <c r="C440" s="3" t="s">
        <v>463</v>
      </c>
      <c r="D440" s="3">
        <v>1.0</v>
      </c>
      <c r="E440" s="3">
        <v>1.8779905E7</v>
      </c>
      <c r="F440" s="3">
        <v>6253845.0</v>
      </c>
      <c r="G440" s="30">
        <f t="shared" si="80"/>
        <v>25033750</v>
      </c>
    </row>
    <row r="442">
      <c r="A442" s="3" t="s">
        <v>644</v>
      </c>
      <c r="B442" s="3" t="s">
        <v>643</v>
      </c>
      <c r="C442" s="3" t="s">
        <v>463</v>
      </c>
      <c r="D442" s="3">
        <v>1.0</v>
      </c>
      <c r="E442" s="3">
        <v>1.8739767E7</v>
      </c>
      <c r="F442" s="3">
        <v>6264934.0</v>
      </c>
      <c r="G442" s="30">
        <f t="shared" ref="G442:G443" si="81">E442+F442</f>
        <v>25004701</v>
      </c>
    </row>
    <row r="443">
      <c r="A443" s="3" t="s">
        <v>644</v>
      </c>
      <c r="B443" s="3" t="s">
        <v>602</v>
      </c>
      <c r="C443" s="3" t="s">
        <v>463</v>
      </c>
      <c r="D443" s="3">
        <v>1.0</v>
      </c>
      <c r="E443" s="3">
        <v>1.8763648E7</v>
      </c>
      <c r="F443" s="3">
        <v>6263322.0</v>
      </c>
      <c r="G443" s="30">
        <f t="shared" si="81"/>
        <v>25026970</v>
      </c>
    </row>
    <row r="445">
      <c r="A445" s="3" t="s">
        <v>647</v>
      </c>
      <c r="B445" s="3" t="s">
        <v>643</v>
      </c>
      <c r="C445" s="3" t="s">
        <v>463</v>
      </c>
      <c r="D445" s="3">
        <v>1.0</v>
      </c>
      <c r="E445" s="3">
        <v>1.8409628E7</v>
      </c>
      <c r="F445" s="3">
        <v>6199845.0</v>
      </c>
      <c r="G445" s="30">
        <f t="shared" ref="G445:G446" si="82">E445+F445</f>
        <v>24609473</v>
      </c>
    </row>
    <row r="446">
      <c r="A446" s="3" t="s">
        <v>647</v>
      </c>
      <c r="B446" s="3" t="s">
        <v>602</v>
      </c>
      <c r="C446" s="3" t="s">
        <v>463</v>
      </c>
      <c r="D446" s="3">
        <v>1.0</v>
      </c>
      <c r="E446" s="3">
        <v>1.8413531E7</v>
      </c>
      <c r="F446" s="3">
        <v>6184994.0</v>
      </c>
      <c r="G446" s="30">
        <f t="shared" si="82"/>
        <v>24598525</v>
      </c>
    </row>
    <row r="450">
      <c r="D450" s="30" t="str">
        <f>"total=["&amp;L437&amp;", "&amp;L438&amp;", "&amp;G428&amp;", "&amp;G429&amp;", "&amp;G431&amp;", "&amp;G432&amp;", "&amp;G434&amp;", "&amp;G435&amp;"]"</f>
        <v>total=[25000000, 18750000, 25338856, 25080477, 24939117, 25049457, 24732952, 24489835]</v>
      </c>
    </row>
    <row r="455">
      <c r="B455" s="3" t="s">
        <v>557</v>
      </c>
    </row>
    <row r="456">
      <c r="C456" s="3" t="s">
        <v>589</v>
      </c>
      <c r="D456" s="3" t="s">
        <v>636</v>
      </c>
    </row>
    <row r="457">
      <c r="E457" s="3" t="s">
        <v>448</v>
      </c>
      <c r="F457" s="3" t="s">
        <v>449</v>
      </c>
      <c r="G457" s="3" t="s">
        <v>283</v>
      </c>
      <c r="J457" s="3">
        <v>8192.0</v>
      </c>
      <c r="K457" s="3">
        <v>8192.0</v>
      </c>
    </row>
    <row r="458">
      <c r="A458" s="3" t="s">
        <v>642</v>
      </c>
      <c r="B458" s="3" t="s">
        <v>643</v>
      </c>
      <c r="C458" s="3" t="s">
        <v>463</v>
      </c>
      <c r="D458" s="3">
        <v>1.0</v>
      </c>
      <c r="E458" s="3">
        <v>4620741.0</v>
      </c>
      <c r="F458" s="3">
        <v>4821091.0</v>
      </c>
      <c r="G458" s="30">
        <f t="shared" ref="G458:G459" si="83">E458+F458</f>
        <v>9441832</v>
      </c>
    </row>
    <row r="459">
      <c r="A459" s="3" t="s">
        <v>642</v>
      </c>
      <c r="B459" s="3" t="s">
        <v>602</v>
      </c>
      <c r="C459" s="3" t="s">
        <v>463</v>
      </c>
      <c r="D459" s="3">
        <v>1.0</v>
      </c>
      <c r="E459" s="3">
        <v>4569441.0</v>
      </c>
      <c r="F459" s="3">
        <v>4740749.0</v>
      </c>
      <c r="G459" s="30">
        <f t="shared" si="83"/>
        <v>9310190</v>
      </c>
    </row>
    <row r="461">
      <c r="A461" s="3" t="s">
        <v>644</v>
      </c>
      <c r="B461" s="3" t="s">
        <v>643</v>
      </c>
      <c r="C461" s="3" t="s">
        <v>463</v>
      </c>
      <c r="D461" s="3">
        <v>1.0</v>
      </c>
      <c r="E461" s="3">
        <v>4520072.0</v>
      </c>
      <c r="F461" s="3">
        <v>4317901.0</v>
      </c>
      <c r="G461" s="30">
        <f t="shared" ref="G461:G462" si="84">E461+F461</f>
        <v>8837973</v>
      </c>
    </row>
    <row r="462">
      <c r="A462" s="3" t="s">
        <v>644</v>
      </c>
      <c r="B462" s="3" t="s">
        <v>602</v>
      </c>
      <c r="C462" s="3" t="s">
        <v>463</v>
      </c>
      <c r="D462" s="3">
        <v>1.0</v>
      </c>
      <c r="E462" s="3">
        <v>5047367.0</v>
      </c>
      <c r="F462" s="3">
        <v>4335252.0</v>
      </c>
      <c r="G462" s="30">
        <f t="shared" si="84"/>
        <v>9382619</v>
      </c>
    </row>
    <row r="463">
      <c r="J463" s="3" t="s">
        <v>645</v>
      </c>
      <c r="K463" s="3" t="s">
        <v>646</v>
      </c>
    </row>
    <row r="464">
      <c r="A464" s="3" t="s">
        <v>647</v>
      </c>
      <c r="B464" s="3" t="s">
        <v>643</v>
      </c>
      <c r="C464" s="3" t="s">
        <v>463</v>
      </c>
      <c r="D464" s="3">
        <v>1.0</v>
      </c>
      <c r="E464" s="3">
        <v>4728305.0</v>
      </c>
      <c r="F464" s="3">
        <v>4537964.0</v>
      </c>
      <c r="G464" s="30">
        <f t="shared" ref="G464:G465" si="85">E464+F464</f>
        <v>9266269</v>
      </c>
      <c r="J464" s="30">
        <f>J457*K457</f>
        <v>67108864</v>
      </c>
      <c r="K464" s="3">
        <v>4.0</v>
      </c>
    </row>
    <row r="465">
      <c r="A465" s="3" t="s">
        <v>647</v>
      </c>
      <c r="B465" s="3" t="s">
        <v>602</v>
      </c>
      <c r="C465" s="3" t="s">
        <v>463</v>
      </c>
      <c r="D465" s="3">
        <v>1.0</v>
      </c>
      <c r="E465" s="3">
        <v>4800994.0</v>
      </c>
      <c r="F465" s="3">
        <v>4525494.0</v>
      </c>
      <c r="G465" s="30">
        <f t="shared" si="85"/>
        <v>9326488</v>
      </c>
    </row>
    <row r="466">
      <c r="J466" s="3" t="s">
        <v>486</v>
      </c>
      <c r="K466" s="3" t="s">
        <v>648</v>
      </c>
      <c r="L466" s="3" t="s">
        <v>283</v>
      </c>
    </row>
    <row r="467">
      <c r="I467" s="3" t="s">
        <v>649</v>
      </c>
      <c r="J467" s="30">
        <f>J464*K464/64</f>
        <v>4194304</v>
      </c>
      <c r="K467" s="30">
        <f>J464*K464/64</f>
        <v>4194304</v>
      </c>
      <c r="L467" s="30">
        <f t="shared" ref="L467:L468" si="86">J467+K467</f>
        <v>8388608</v>
      </c>
    </row>
    <row r="468">
      <c r="A468" s="3" t="s">
        <v>595</v>
      </c>
      <c r="B468" s="3" t="s">
        <v>651</v>
      </c>
      <c r="I468" s="3" t="s">
        <v>650</v>
      </c>
      <c r="J468" s="30">
        <f>J464*K464/64</f>
        <v>4194304</v>
      </c>
      <c r="K468" s="30">
        <f>J464*K464/64</f>
        <v>4194304</v>
      </c>
      <c r="L468" s="30">
        <f t="shared" si="86"/>
        <v>8388608</v>
      </c>
    </row>
    <row r="469">
      <c r="A469" s="3" t="s">
        <v>642</v>
      </c>
      <c r="B469" s="3" t="s">
        <v>643</v>
      </c>
      <c r="C469" s="3" t="s">
        <v>463</v>
      </c>
      <c r="D469" s="3">
        <v>1.0</v>
      </c>
      <c r="G469" s="30">
        <f t="shared" ref="G469:G470" si="87">E469+F469</f>
        <v>0</v>
      </c>
    </row>
    <row r="470">
      <c r="A470" s="3" t="s">
        <v>642</v>
      </c>
      <c r="B470" s="3" t="s">
        <v>602</v>
      </c>
      <c r="C470" s="3" t="s">
        <v>463</v>
      </c>
      <c r="D470" s="3">
        <v>1.0</v>
      </c>
      <c r="G470" s="30">
        <f t="shared" si="87"/>
        <v>0</v>
      </c>
    </row>
    <row r="472">
      <c r="A472" s="3" t="s">
        <v>644</v>
      </c>
      <c r="B472" s="3" t="s">
        <v>643</v>
      </c>
      <c r="C472" s="3" t="s">
        <v>463</v>
      </c>
      <c r="D472" s="3">
        <v>1.0</v>
      </c>
      <c r="G472" s="30">
        <f t="shared" ref="G472:G473" si="88">E472+F472</f>
        <v>0</v>
      </c>
    </row>
    <row r="473">
      <c r="A473" s="3" t="s">
        <v>644</v>
      </c>
      <c r="B473" s="3" t="s">
        <v>602</v>
      </c>
      <c r="C473" s="3" t="s">
        <v>463</v>
      </c>
      <c r="D473" s="3">
        <v>1.0</v>
      </c>
      <c r="G473" s="30">
        <f t="shared" si="88"/>
        <v>0</v>
      </c>
    </row>
    <row r="475">
      <c r="A475" s="3" t="s">
        <v>647</v>
      </c>
      <c r="B475" s="3" t="s">
        <v>643</v>
      </c>
      <c r="C475" s="3" t="s">
        <v>463</v>
      </c>
      <c r="D475" s="3">
        <v>1.0</v>
      </c>
      <c r="G475" s="30">
        <f t="shared" ref="G475:G476" si="89">E475+F475</f>
        <v>0</v>
      </c>
    </row>
    <row r="476">
      <c r="A476" s="3" t="s">
        <v>647</v>
      </c>
      <c r="B476" s="3" t="s">
        <v>602</v>
      </c>
      <c r="C476" s="3" t="s">
        <v>463</v>
      </c>
      <c r="D476" s="3">
        <v>1.0</v>
      </c>
      <c r="G476" s="30">
        <f t="shared" si="89"/>
        <v>0</v>
      </c>
    </row>
    <row r="480">
      <c r="D480" s="30" t="str">
        <f>"total=["&amp;L467&amp;", "&amp;L468&amp;", "&amp;G458&amp;", "&amp;G459&amp;", "&amp;G461&amp;", "&amp;G462&amp;", "&amp;G464&amp;", "&amp;G465&amp;"]"</f>
        <v>total=[8388608, 8388608, 9441832, 9310190, 8837973, 9382619, 9266269, 9326488]</v>
      </c>
    </row>
    <row r="484">
      <c r="B484" s="3" t="s">
        <v>652</v>
      </c>
    </row>
    <row r="485">
      <c r="C485" s="3" t="s">
        <v>589</v>
      </c>
      <c r="D485" s="3" t="s">
        <v>636</v>
      </c>
    </row>
    <row r="486">
      <c r="E486" s="3" t="s">
        <v>448</v>
      </c>
      <c r="F486" s="3" t="s">
        <v>449</v>
      </c>
      <c r="G486" s="3" t="s">
        <v>283</v>
      </c>
      <c r="J486" s="3">
        <v>4096.0</v>
      </c>
      <c r="K486" s="3">
        <v>4096.0</v>
      </c>
    </row>
    <row r="487">
      <c r="A487" s="3" t="s">
        <v>642</v>
      </c>
      <c r="B487" s="3" t="s">
        <v>643</v>
      </c>
      <c r="C487" s="3" t="s">
        <v>463</v>
      </c>
      <c r="D487" s="3">
        <v>1.0</v>
      </c>
      <c r="E487" s="3">
        <v>4319186.0</v>
      </c>
      <c r="F487" s="3">
        <v>2541288.0</v>
      </c>
      <c r="G487" s="30">
        <f t="shared" ref="G487:G488" si="90">E487+F487</f>
        <v>6860474</v>
      </c>
      <c r="H487" s="30">
        <f t="shared" ref="H487:H488" si="91">100-ABS($L$496-G487)/$L$496*100</f>
        <v>90.95570246</v>
      </c>
      <c r="I487" s="30">
        <f>100-ABS($L$497-G487)/$L$497*100</f>
        <v>36.4335537</v>
      </c>
    </row>
    <row r="488">
      <c r="A488" s="3" t="s">
        <v>642</v>
      </c>
      <c r="B488" s="3" t="s">
        <v>602</v>
      </c>
      <c r="C488" s="3" t="s">
        <v>463</v>
      </c>
      <c r="D488" s="3">
        <v>1.0</v>
      </c>
      <c r="E488" s="3">
        <v>4276900.0</v>
      </c>
      <c r="F488" s="3">
        <v>2499094.0</v>
      </c>
      <c r="G488" s="30">
        <f t="shared" si="90"/>
        <v>6775994</v>
      </c>
      <c r="H488" s="30">
        <f t="shared" si="91"/>
        <v>92.2984759</v>
      </c>
    </row>
    <row r="490">
      <c r="A490" s="3" t="s">
        <v>644</v>
      </c>
      <c r="B490" s="3" t="s">
        <v>643</v>
      </c>
      <c r="C490" s="3" t="s">
        <v>463</v>
      </c>
      <c r="D490" s="3">
        <v>1.0</v>
      </c>
      <c r="E490" s="3">
        <v>4058497.0</v>
      </c>
      <c r="F490" s="3">
        <v>1994509.0</v>
      </c>
      <c r="G490" s="30">
        <f t="shared" ref="G490:G491" si="92">E490+F490</f>
        <v>6053006</v>
      </c>
      <c r="H490" s="30">
        <f t="shared" ref="H490:H491" si="93">100-ABS($L$496-G490)/$L$496*100</f>
        <v>96.20993932</v>
      </c>
    </row>
    <row r="491">
      <c r="A491" s="3" t="s">
        <v>644</v>
      </c>
      <c r="B491" s="3" t="s">
        <v>602</v>
      </c>
      <c r="C491" s="3" t="s">
        <v>463</v>
      </c>
      <c r="D491" s="3">
        <v>1.0</v>
      </c>
      <c r="E491" s="3">
        <v>4047308.0</v>
      </c>
      <c r="F491" s="3">
        <v>1982488.0</v>
      </c>
      <c r="G491" s="30">
        <f t="shared" si="92"/>
        <v>6029796</v>
      </c>
      <c r="H491" s="30">
        <f t="shared" si="93"/>
        <v>95.84102631</v>
      </c>
    </row>
    <row r="492">
      <c r="J492" s="3" t="s">
        <v>645</v>
      </c>
      <c r="K492" s="3" t="s">
        <v>646</v>
      </c>
    </row>
    <row r="493">
      <c r="A493" s="3" t="s">
        <v>647</v>
      </c>
      <c r="B493" s="3" t="s">
        <v>643</v>
      </c>
      <c r="C493" s="3" t="s">
        <v>463</v>
      </c>
      <c r="D493" s="3">
        <v>1.0</v>
      </c>
      <c r="E493" s="3">
        <v>4127736.0</v>
      </c>
      <c r="F493" s="3">
        <v>2170046.0</v>
      </c>
      <c r="G493" s="30">
        <f t="shared" ref="G493:G494" si="94">E493+F493</f>
        <v>6297782</v>
      </c>
      <c r="H493" s="30">
        <f t="shared" ref="H493:H494" si="95">100-ABS($L$496-G493)/$L$496*100</f>
        <v>99.89945094</v>
      </c>
      <c r="J493" s="30">
        <f>J486*K486</f>
        <v>16777216</v>
      </c>
      <c r="K493" s="3">
        <v>8.0</v>
      </c>
    </row>
    <row r="494">
      <c r="A494" s="3" t="s">
        <v>647</v>
      </c>
      <c r="B494" s="3" t="s">
        <v>602</v>
      </c>
      <c r="C494" s="3" t="s">
        <v>463</v>
      </c>
      <c r="D494" s="3">
        <v>1.0</v>
      </c>
      <c r="E494" s="3">
        <v>3851933.0</v>
      </c>
      <c r="F494" s="3">
        <v>1814583.0</v>
      </c>
      <c r="G494" s="30">
        <f t="shared" si="94"/>
        <v>5666516</v>
      </c>
      <c r="H494" s="30">
        <f t="shared" si="95"/>
        <v>90.06684621</v>
      </c>
    </row>
    <row r="495">
      <c r="J495" s="3" t="s">
        <v>486</v>
      </c>
      <c r="K495" s="3" t="s">
        <v>648</v>
      </c>
      <c r="L495" s="3" t="s">
        <v>283</v>
      </c>
    </row>
    <row r="496">
      <c r="I496" s="3" t="s">
        <v>649</v>
      </c>
      <c r="J496" s="30">
        <f>J493*K493/64*2</f>
        <v>4194304</v>
      </c>
      <c r="K496" s="30">
        <f>J493*K493/64</f>
        <v>2097152</v>
      </c>
      <c r="L496" s="30">
        <f t="shared" ref="L496:L497" si="96">J496+K496</f>
        <v>6291456</v>
      </c>
    </row>
    <row r="497">
      <c r="A497" s="3" t="s">
        <v>595</v>
      </c>
      <c r="B497" s="3" t="s">
        <v>651</v>
      </c>
      <c r="I497" s="3" t="s">
        <v>650</v>
      </c>
      <c r="J497" s="30">
        <f>J493*K493/64</f>
        <v>2097152</v>
      </c>
      <c r="K497" s="30">
        <f>J493*K493/64</f>
        <v>2097152</v>
      </c>
      <c r="L497" s="30">
        <f t="shared" si="96"/>
        <v>4194304</v>
      </c>
    </row>
    <row r="498">
      <c r="A498" s="3" t="s">
        <v>642</v>
      </c>
      <c r="B498" s="3" t="s">
        <v>643</v>
      </c>
      <c r="C498" s="3" t="s">
        <v>463</v>
      </c>
      <c r="D498" s="3">
        <v>1.0</v>
      </c>
      <c r="G498" s="30">
        <f t="shared" ref="G498:G499" si="97">E498+F498</f>
        <v>0</v>
      </c>
    </row>
    <row r="499">
      <c r="A499" s="3" t="s">
        <v>642</v>
      </c>
      <c r="B499" s="3" t="s">
        <v>602</v>
      </c>
      <c r="C499" s="3" t="s">
        <v>463</v>
      </c>
      <c r="D499" s="3">
        <v>1.0</v>
      </c>
      <c r="G499" s="30">
        <f t="shared" si="97"/>
        <v>0</v>
      </c>
    </row>
    <row r="501">
      <c r="A501" s="3" t="s">
        <v>644</v>
      </c>
      <c r="B501" s="3" t="s">
        <v>643</v>
      </c>
      <c r="C501" s="3" t="s">
        <v>463</v>
      </c>
      <c r="D501" s="3">
        <v>1.0</v>
      </c>
      <c r="G501" s="30">
        <f t="shared" ref="G501:G502" si="98">E501+F501</f>
        <v>0</v>
      </c>
    </row>
    <row r="502">
      <c r="A502" s="3" t="s">
        <v>644</v>
      </c>
      <c r="B502" s="3" t="s">
        <v>602</v>
      </c>
      <c r="C502" s="3" t="s">
        <v>463</v>
      </c>
      <c r="D502" s="3">
        <v>1.0</v>
      </c>
      <c r="G502" s="30">
        <f t="shared" si="98"/>
        <v>0</v>
      </c>
    </row>
    <row r="504">
      <c r="A504" s="3" t="s">
        <v>647</v>
      </c>
      <c r="B504" s="3" t="s">
        <v>643</v>
      </c>
      <c r="C504" s="3" t="s">
        <v>463</v>
      </c>
      <c r="D504" s="3">
        <v>1.0</v>
      </c>
      <c r="G504" s="30">
        <f t="shared" ref="G504:G505" si="99">E504+F504</f>
        <v>0</v>
      </c>
    </row>
    <row r="505">
      <c r="A505" s="3" t="s">
        <v>647</v>
      </c>
      <c r="B505" s="3" t="s">
        <v>602</v>
      </c>
      <c r="C505" s="3" t="s">
        <v>463</v>
      </c>
      <c r="D505" s="3">
        <v>1.0</v>
      </c>
      <c r="G505" s="30">
        <f t="shared" si="99"/>
        <v>0</v>
      </c>
    </row>
    <row r="509">
      <c r="D509" s="30" t="str">
        <f>"total=["&amp;L496&amp;", "&amp;L497&amp;", "&amp;G487&amp;", "&amp;G488&amp;", "&amp;G490&amp;", "&amp;G491&amp;", "&amp;G493&amp;", "&amp;G494&amp;"]"</f>
        <v>total=[6291456, 4194304, 6860474, 6775994, 6053006, 6029796, 6297782, 5666516]</v>
      </c>
    </row>
    <row r="512">
      <c r="B512" s="3" t="s">
        <v>567</v>
      </c>
      <c r="C512" s="3" t="s">
        <v>653</v>
      </c>
    </row>
    <row r="513">
      <c r="C513" s="3" t="s">
        <v>589</v>
      </c>
      <c r="D513" s="3" t="s">
        <v>636</v>
      </c>
      <c r="H513" s="30">
        <f t="shared" ref="H513:I513" si="100">(H515+H518+H521)/3</f>
        <v>93.27962924</v>
      </c>
      <c r="I513" s="30">
        <f t="shared" si="100"/>
        <v>54.6027098</v>
      </c>
    </row>
    <row r="514">
      <c r="E514" s="3" t="s">
        <v>448</v>
      </c>
      <c r="F514" s="3" t="s">
        <v>449</v>
      </c>
      <c r="G514" s="3" t="s">
        <v>283</v>
      </c>
      <c r="H514" s="30">
        <f t="shared" ref="H514:I514" si="101">(H516+H519+H522)/3</f>
        <v>83.72321494</v>
      </c>
      <c r="I514" s="30">
        <f t="shared" si="101"/>
        <v>38.22798413</v>
      </c>
    </row>
    <row r="515">
      <c r="A515" s="3" t="s">
        <v>642</v>
      </c>
      <c r="B515" s="3" t="s">
        <v>643</v>
      </c>
      <c r="C515" s="3" t="s">
        <v>463</v>
      </c>
      <c r="D515" s="3">
        <v>50.0</v>
      </c>
      <c r="E515" s="3">
        <v>4350028.0</v>
      </c>
      <c r="F515" s="3">
        <v>6546274.0</v>
      </c>
      <c r="G515" s="30">
        <f t="shared" ref="G515:G516" si="102">E515+F515</f>
        <v>10896302</v>
      </c>
      <c r="H515" s="30">
        <f>100-ABS($L$524-G515)/G515*100</f>
        <v>94.06861153</v>
      </c>
      <c r="I515" s="30">
        <f t="shared" ref="I515:I516" si="103">100-ABS(G515-$L$525)/G515*100</f>
        <v>55.06455309</v>
      </c>
    </row>
    <row r="516">
      <c r="A516" s="3" t="s">
        <v>642</v>
      </c>
      <c r="B516" s="3" t="s">
        <v>602</v>
      </c>
      <c r="C516" s="3" t="s">
        <v>463</v>
      </c>
      <c r="D516" s="3">
        <v>50.0</v>
      </c>
      <c r="E516" s="3">
        <v>1.0331989E7</v>
      </c>
      <c r="F516" s="3">
        <v>6642376.0</v>
      </c>
      <c r="G516" s="30">
        <f t="shared" si="102"/>
        <v>16974365</v>
      </c>
      <c r="H516" s="30">
        <f>100-ABS(G516-P524)/G516*100</f>
        <v>92.48493243</v>
      </c>
      <c r="I516" s="30">
        <f t="shared" si="103"/>
        <v>35.34741948</v>
      </c>
    </row>
    <row r="518">
      <c r="A518" s="3" t="s">
        <v>644</v>
      </c>
      <c r="B518" s="3" t="s">
        <v>643</v>
      </c>
      <c r="C518" s="3" t="s">
        <v>463</v>
      </c>
      <c r="D518" s="3">
        <v>50.0</v>
      </c>
      <c r="E518" s="3">
        <v>4587972.0</v>
      </c>
      <c r="F518" s="3">
        <v>6556922.0</v>
      </c>
      <c r="G518" s="30">
        <f t="shared" ref="G518:G519" si="104">E518+F518</f>
        <v>11144894</v>
      </c>
      <c r="H518" s="97">
        <f>100-ABS($L$524-G518)/G518*100</f>
        <v>91.97036778</v>
      </c>
      <c r="I518" s="30">
        <f t="shared" ref="I518:I519" si="105">100-ABS(G518-$L$525)/G518*100</f>
        <v>53.83631284</v>
      </c>
    </row>
    <row r="519">
      <c r="A519" s="3" t="s">
        <v>644</v>
      </c>
      <c r="B519" s="3" t="s">
        <v>602</v>
      </c>
      <c r="C519" s="3" t="s">
        <v>463</v>
      </c>
      <c r="D519" s="3">
        <v>50.0</v>
      </c>
      <c r="E519" s="3">
        <v>8780493.0</v>
      </c>
      <c r="F519" s="3">
        <v>6538910.0</v>
      </c>
      <c r="G519" s="30">
        <f t="shared" si="104"/>
        <v>15319403</v>
      </c>
      <c r="H519" s="30">
        <f>100-ABS(G519-P524)/G519*100</f>
        <v>80.87003129</v>
      </c>
      <c r="I519" s="30">
        <f t="shared" si="105"/>
        <v>39.16601711</v>
      </c>
    </row>
    <row r="520">
      <c r="J520" s="3" t="s">
        <v>645</v>
      </c>
      <c r="K520" s="3" t="s">
        <v>646</v>
      </c>
    </row>
    <row r="521">
      <c r="A521" s="3" t="s">
        <v>647</v>
      </c>
      <c r="B521" s="3" t="s">
        <v>643</v>
      </c>
      <c r="C521" s="3" t="s">
        <v>463</v>
      </c>
      <c r="D521" s="3">
        <v>50.0</v>
      </c>
      <c r="E521" s="3">
        <v>4479358.0</v>
      </c>
      <c r="F521" s="3">
        <v>6448158.0</v>
      </c>
      <c r="G521" s="30">
        <f t="shared" ref="G521:G522" si="106">E521+F521</f>
        <v>10927516</v>
      </c>
      <c r="H521" s="97">
        <f>100-ABS($L$524-G521)/G521*100</f>
        <v>93.79990841</v>
      </c>
      <c r="I521" s="30">
        <f t="shared" ref="I521:I522" si="107">100-ABS(G521-$L$525)/G521*100</f>
        <v>54.90726346</v>
      </c>
      <c r="J521" s="3">
        <v>1.0E8</v>
      </c>
      <c r="K521" s="3">
        <v>4.0</v>
      </c>
    </row>
    <row r="522">
      <c r="A522" s="3" t="s">
        <v>647</v>
      </c>
      <c r="B522" s="3" t="s">
        <v>602</v>
      </c>
      <c r="C522" s="3" t="s">
        <v>463</v>
      </c>
      <c r="D522" s="3">
        <v>50.0</v>
      </c>
      <c r="E522" s="3">
        <v>8491966.0</v>
      </c>
      <c r="F522" s="3">
        <v>6444362.0</v>
      </c>
      <c r="G522" s="30">
        <f t="shared" si="106"/>
        <v>14936328</v>
      </c>
      <c r="H522" s="30">
        <f>100-ABS(G522-P524)/G522*100</f>
        <v>77.81468109</v>
      </c>
      <c r="I522" s="30">
        <f t="shared" si="107"/>
        <v>40.17051581</v>
      </c>
    </row>
    <row r="523">
      <c r="J523" s="3" t="s">
        <v>486</v>
      </c>
      <c r="K523" s="3" t="s">
        <v>648</v>
      </c>
      <c r="L523" s="3" t="s">
        <v>283</v>
      </c>
    </row>
    <row r="524">
      <c r="I524" s="3" t="s">
        <v>649</v>
      </c>
      <c r="J524" s="30">
        <f t="shared" ref="J524:J525" si="108">$J$521*$K$521/64*2 *16/50</f>
        <v>4000000</v>
      </c>
      <c r="K524" s="30">
        <f>J521*K521/64</f>
        <v>6250000</v>
      </c>
      <c r="L524" s="30">
        <f t="shared" ref="L524:L525" si="109">J524+K524</f>
        <v>10250000</v>
      </c>
      <c r="N524" s="30">
        <f>J521/50*3*2</f>
        <v>12000000</v>
      </c>
      <c r="O524" s="30">
        <v>6250000.0</v>
      </c>
      <c r="P524" s="30">
        <f>N524+O524</f>
        <v>18250000</v>
      </c>
    </row>
    <row r="525">
      <c r="A525" s="3" t="s">
        <v>595</v>
      </c>
      <c r="B525" s="3" t="s">
        <v>651</v>
      </c>
      <c r="I525" s="3" t="s">
        <v>650</v>
      </c>
      <c r="J525" s="30">
        <f t="shared" si="108"/>
        <v>4000000</v>
      </c>
      <c r="K525" s="30">
        <f>J525/2</f>
        <v>2000000</v>
      </c>
      <c r="L525" s="30">
        <f t="shared" si="109"/>
        <v>6000000</v>
      </c>
    </row>
    <row r="526">
      <c r="A526" s="3" t="s">
        <v>642</v>
      </c>
      <c r="B526" s="3" t="s">
        <v>643</v>
      </c>
      <c r="C526" s="3" t="s">
        <v>463</v>
      </c>
      <c r="D526" s="3">
        <v>1.0</v>
      </c>
      <c r="G526" s="30">
        <f t="shared" ref="G526:G527" si="110">E526+F526</f>
        <v>0</v>
      </c>
    </row>
    <row r="527">
      <c r="A527" s="3" t="s">
        <v>642</v>
      </c>
      <c r="B527" s="3" t="s">
        <v>602</v>
      </c>
      <c r="C527" s="3" t="s">
        <v>463</v>
      </c>
      <c r="D527" s="3">
        <v>1.0</v>
      </c>
      <c r="G527" s="30">
        <f t="shared" si="110"/>
        <v>0</v>
      </c>
    </row>
    <row r="529">
      <c r="A529" s="3" t="s">
        <v>644</v>
      </c>
      <c r="B529" s="3" t="s">
        <v>643</v>
      </c>
      <c r="C529" s="3" t="s">
        <v>463</v>
      </c>
      <c r="D529" s="3">
        <v>1.0</v>
      </c>
      <c r="G529" s="30">
        <f t="shared" ref="G529:G530" si="111">E529+F529</f>
        <v>0</v>
      </c>
    </row>
    <row r="530">
      <c r="A530" s="3" t="s">
        <v>644</v>
      </c>
      <c r="B530" s="3" t="s">
        <v>602</v>
      </c>
      <c r="C530" s="3" t="s">
        <v>463</v>
      </c>
      <c r="D530" s="3">
        <v>1.0</v>
      </c>
      <c r="G530" s="30">
        <f t="shared" si="111"/>
        <v>0</v>
      </c>
    </row>
    <row r="532">
      <c r="A532" s="3" t="s">
        <v>647</v>
      </c>
      <c r="B532" s="3" t="s">
        <v>643</v>
      </c>
      <c r="C532" s="3" t="s">
        <v>463</v>
      </c>
      <c r="D532" s="3">
        <v>1.0</v>
      </c>
      <c r="G532" s="30">
        <f t="shared" ref="G532:G533" si="112">E532+F532</f>
        <v>0</v>
      </c>
    </row>
    <row r="533">
      <c r="A533" s="3" t="s">
        <v>647</v>
      </c>
      <c r="B533" s="3" t="s">
        <v>602</v>
      </c>
      <c r="C533" s="3" t="s">
        <v>463</v>
      </c>
      <c r="D533" s="3">
        <v>1.0</v>
      </c>
      <c r="G533" s="30">
        <f t="shared" si="112"/>
        <v>0</v>
      </c>
    </row>
    <row r="537">
      <c r="D537" s="30" t="str">
        <f>"total=["&amp;L524&amp;", "&amp;L525&amp;", "&amp;G515&amp;", "&amp;G516&amp;", "&amp;G518&amp;", "&amp;G519&amp;", "&amp;G521&amp;", "&amp;G522&amp;"]"</f>
        <v>total=[10250000, 6000000, 10896302, 16974365, 11144894, 15319403, 10927516, 14936328]</v>
      </c>
    </row>
    <row r="544">
      <c r="B544" s="3" t="s">
        <v>567</v>
      </c>
      <c r="C544" s="3" t="s">
        <v>654</v>
      </c>
    </row>
    <row r="545">
      <c r="C545" s="3" t="s">
        <v>589</v>
      </c>
      <c r="D545" s="3" t="s">
        <v>636</v>
      </c>
    </row>
    <row r="546">
      <c r="E546" s="3" t="s">
        <v>448</v>
      </c>
      <c r="F546" s="3" t="s">
        <v>449</v>
      </c>
      <c r="G546" s="3" t="s">
        <v>283</v>
      </c>
      <c r="J546" s="3">
        <v>4096.0</v>
      </c>
      <c r="K546" s="3">
        <v>4096.0</v>
      </c>
    </row>
    <row r="547">
      <c r="A547" s="3" t="s">
        <v>642</v>
      </c>
      <c r="B547" s="3" t="s">
        <v>643</v>
      </c>
      <c r="C547" s="3" t="s">
        <v>463</v>
      </c>
      <c r="D547" s="3">
        <v>200.0</v>
      </c>
      <c r="E547" s="3">
        <v>1516527.0</v>
      </c>
      <c r="F547" s="3">
        <v>821676.0</v>
      </c>
      <c r="G547" s="30">
        <f t="shared" ref="G547:G548" si="113">E547+F547</f>
        <v>2338203</v>
      </c>
      <c r="H547" s="30">
        <f t="shared" ref="H547:H548" si="114">100-ABS($L$496-G547)/$L$496*100</f>
        <v>37.16473579</v>
      </c>
      <c r="I547" s="30">
        <f>100-ABS($L$497-G547)/$L$497*100</f>
        <v>55.74710369</v>
      </c>
    </row>
    <row r="548">
      <c r="A548" s="3" t="s">
        <v>642</v>
      </c>
      <c r="B548" s="3" t="s">
        <v>602</v>
      </c>
      <c r="C548" s="3" t="s">
        <v>463</v>
      </c>
      <c r="D548" s="3">
        <v>200.0</v>
      </c>
      <c r="E548" s="3">
        <v>1520001.0</v>
      </c>
      <c r="F548" s="3">
        <v>826604.0</v>
      </c>
      <c r="G548" s="30">
        <f t="shared" si="113"/>
        <v>2346605</v>
      </c>
      <c r="H548" s="30">
        <f t="shared" si="114"/>
        <v>37.29828199</v>
      </c>
    </row>
    <row r="550">
      <c r="A550" s="3" t="s">
        <v>644</v>
      </c>
      <c r="B550" s="3" t="s">
        <v>643</v>
      </c>
      <c r="C550" s="3" t="s">
        <v>463</v>
      </c>
      <c r="D550" s="3">
        <v>200.0</v>
      </c>
      <c r="E550" s="3">
        <v>1697399.0</v>
      </c>
      <c r="F550" s="3">
        <v>679613.0</v>
      </c>
      <c r="G550" s="30">
        <f t="shared" ref="G550:G551" si="115">E550+F550</f>
        <v>2377012</v>
      </c>
      <c r="H550" s="30">
        <f t="shared" ref="H550:H551" si="116">100-ABS($L$496-G550)/$L$496*100</f>
        <v>37.78158824</v>
      </c>
      <c r="M550" s="30">
        <f>J553/200</f>
        <v>500000</v>
      </c>
    </row>
    <row r="551">
      <c r="A551" s="3" t="s">
        <v>644</v>
      </c>
      <c r="B551" s="3" t="s">
        <v>602</v>
      </c>
      <c r="C551" s="3" t="s">
        <v>463</v>
      </c>
      <c r="D551" s="3">
        <v>200.0</v>
      </c>
      <c r="E551" s="3">
        <v>1826256.0</v>
      </c>
      <c r="F551" s="3">
        <v>703656.0</v>
      </c>
      <c r="G551" s="30">
        <f t="shared" si="115"/>
        <v>2529912</v>
      </c>
      <c r="H551" s="30">
        <f t="shared" si="116"/>
        <v>40.21186829</v>
      </c>
    </row>
    <row r="552">
      <c r="J552" s="3" t="s">
        <v>645</v>
      </c>
      <c r="K552" s="3" t="s">
        <v>646</v>
      </c>
    </row>
    <row r="553">
      <c r="A553" s="3" t="s">
        <v>647</v>
      </c>
      <c r="B553" s="3" t="s">
        <v>643</v>
      </c>
      <c r="C553" s="3" t="s">
        <v>463</v>
      </c>
      <c r="D553" s="3">
        <v>200.0</v>
      </c>
      <c r="E553" s="3">
        <v>1501175.0</v>
      </c>
      <c r="F553" s="3">
        <v>505334.0</v>
      </c>
      <c r="G553" s="30">
        <f t="shared" ref="G553:G554" si="117">E553+F553</f>
        <v>2006509</v>
      </c>
      <c r="H553" s="30">
        <f t="shared" ref="H553:H554" si="118">100-ABS($L$496-G553)/$L$496*100</f>
        <v>31.89260165</v>
      </c>
      <c r="J553" s="3">
        <v>1.0E8</v>
      </c>
      <c r="K553" s="3">
        <v>4.0</v>
      </c>
    </row>
    <row r="554">
      <c r="A554" s="3" t="s">
        <v>647</v>
      </c>
      <c r="B554" s="3" t="s">
        <v>602</v>
      </c>
      <c r="C554" s="3" t="s">
        <v>463</v>
      </c>
      <c r="D554" s="3">
        <v>200.0</v>
      </c>
      <c r="E554" s="3">
        <v>1502057.0</v>
      </c>
      <c r="F554" s="3">
        <v>505586.0</v>
      </c>
      <c r="G554" s="30">
        <f t="shared" si="117"/>
        <v>2007643</v>
      </c>
      <c r="H554" s="30">
        <f t="shared" si="118"/>
        <v>31.91062609</v>
      </c>
    </row>
    <row r="555">
      <c r="J555" s="3" t="s">
        <v>486</v>
      </c>
      <c r="K555" s="3" t="s">
        <v>648</v>
      </c>
      <c r="L555" s="3" t="s">
        <v>283</v>
      </c>
    </row>
    <row r="556">
      <c r="I556" s="3" t="s">
        <v>649</v>
      </c>
      <c r="J556" s="30">
        <f>J553*K553/64*3*16/200</f>
        <v>1500000</v>
      </c>
      <c r="K556" s="30">
        <f>J553*K553/64*16/200</f>
        <v>500000</v>
      </c>
      <c r="L556" s="30">
        <f t="shared" ref="L556:L557" si="119">J556+K556</f>
        <v>2000000</v>
      </c>
    </row>
    <row r="557">
      <c r="A557" s="3" t="s">
        <v>595</v>
      </c>
      <c r="B557" s="3" t="s">
        <v>651</v>
      </c>
      <c r="I557" s="3" t="s">
        <v>650</v>
      </c>
      <c r="J557" s="30">
        <f>J553*K553/64*16/200*2</f>
        <v>1000000</v>
      </c>
      <c r="K557" s="30">
        <f>K556</f>
        <v>500000</v>
      </c>
      <c r="L557" s="30">
        <f t="shared" si="119"/>
        <v>1500000</v>
      </c>
    </row>
    <row r="558">
      <c r="A558" s="3" t="s">
        <v>642</v>
      </c>
      <c r="B558" s="3" t="s">
        <v>643</v>
      </c>
      <c r="C558" s="3" t="s">
        <v>463</v>
      </c>
      <c r="D558" s="3">
        <v>1.0</v>
      </c>
      <c r="G558" s="30">
        <f t="shared" ref="G558:G559" si="120">E558+F558</f>
        <v>0</v>
      </c>
    </row>
    <row r="559">
      <c r="A559" s="3" t="s">
        <v>642</v>
      </c>
      <c r="B559" s="3" t="s">
        <v>602</v>
      </c>
      <c r="C559" s="3" t="s">
        <v>463</v>
      </c>
      <c r="D559" s="3">
        <v>1.0</v>
      </c>
      <c r="G559" s="30">
        <f t="shared" si="120"/>
        <v>0</v>
      </c>
    </row>
    <row r="561">
      <c r="A561" s="3" t="s">
        <v>644</v>
      </c>
      <c r="B561" s="3" t="s">
        <v>643</v>
      </c>
      <c r="C561" s="3" t="s">
        <v>463</v>
      </c>
      <c r="D561" s="3">
        <v>1.0</v>
      </c>
      <c r="G561" s="30">
        <f t="shared" ref="G561:G562" si="121">E561+F561</f>
        <v>0</v>
      </c>
    </row>
    <row r="562">
      <c r="A562" s="3" t="s">
        <v>644</v>
      </c>
      <c r="B562" s="3" t="s">
        <v>602</v>
      </c>
      <c r="C562" s="3" t="s">
        <v>463</v>
      </c>
      <c r="D562" s="3">
        <v>1.0</v>
      </c>
      <c r="G562" s="30">
        <f t="shared" si="121"/>
        <v>0</v>
      </c>
    </row>
    <row r="564">
      <c r="A564" s="3" t="s">
        <v>647</v>
      </c>
      <c r="B564" s="3" t="s">
        <v>643</v>
      </c>
      <c r="C564" s="3" t="s">
        <v>463</v>
      </c>
      <c r="D564" s="3">
        <v>1.0</v>
      </c>
      <c r="G564" s="30">
        <f t="shared" ref="G564:G565" si="122">E564+F564</f>
        <v>0</v>
      </c>
    </row>
    <row r="565">
      <c r="A565" s="3" t="s">
        <v>647</v>
      </c>
      <c r="B565" s="3" t="s">
        <v>602</v>
      </c>
      <c r="C565" s="3" t="s">
        <v>463</v>
      </c>
      <c r="D565" s="3">
        <v>1.0</v>
      </c>
      <c r="G565" s="30">
        <f t="shared" si="122"/>
        <v>0</v>
      </c>
    </row>
    <row r="569">
      <c r="D569" s="30" t="str">
        <f>"total=["&amp;L556&amp;", "&amp;L557&amp;", "&amp;G547&amp;", "&amp;G548&amp;", "&amp;G550&amp;", "&amp;G551&amp;", "&amp;G553&amp;", "&amp;G554&amp;"]"</f>
        <v>total=[2000000, 1500000, 2338203, 2346605, 2377012, 2529912, 2006509, 2007643]</v>
      </c>
    </row>
    <row r="574">
      <c r="D574" s="3" t="s">
        <v>655</v>
      </c>
      <c r="E574" s="3">
        <v>1.0</v>
      </c>
      <c r="F574" s="3">
        <v>1713800.0</v>
      </c>
      <c r="G574" s="3">
        <v>398826.0</v>
      </c>
    </row>
    <row r="575">
      <c r="I575" s="3">
        <v>4000000.0</v>
      </c>
      <c r="J575" s="30">
        <f>LOG(I575)</f>
        <v>6.602059991</v>
      </c>
      <c r="K575" s="30">
        <f>J575*100000</f>
        <v>660205.9991</v>
      </c>
      <c r="L575" s="30">
        <f>K575*3</f>
        <v>1980617.997</v>
      </c>
    </row>
    <row r="577">
      <c r="B577" s="3" t="s">
        <v>656</v>
      </c>
    </row>
    <row r="578">
      <c r="C578" s="3" t="s">
        <v>589</v>
      </c>
      <c r="D578" s="3" t="s">
        <v>636</v>
      </c>
    </row>
    <row r="579">
      <c r="E579" s="3" t="s">
        <v>448</v>
      </c>
      <c r="F579" s="3" t="s">
        <v>449</v>
      </c>
      <c r="G579" s="3" t="s">
        <v>283</v>
      </c>
      <c r="H579" s="30">
        <f>(H580+H583+H586)/3</f>
        <v>71.40343218</v>
      </c>
      <c r="J579" s="3">
        <v>4096.0</v>
      </c>
      <c r="K579" s="3">
        <v>4096.0</v>
      </c>
    </row>
    <row r="580">
      <c r="A580" s="3" t="s">
        <v>642</v>
      </c>
      <c r="B580" s="3" t="s">
        <v>643</v>
      </c>
      <c r="C580" s="3" t="s">
        <v>655</v>
      </c>
      <c r="D580" s="3">
        <v>1.0</v>
      </c>
      <c r="E580" s="3">
        <v>426155.0</v>
      </c>
      <c r="G580" s="30">
        <f t="shared" ref="G580:G581" si="123">E580+F580</f>
        <v>426155</v>
      </c>
      <c r="H580" s="30">
        <f>100-ABS(G580-L589)/G580*100</f>
        <v>61.88821813</v>
      </c>
      <c r="I580" s="30">
        <f>100-ABS($L$497-G580)/$L$497*100</f>
        <v>10.16032696</v>
      </c>
    </row>
    <row r="581">
      <c r="A581" s="3" t="s">
        <v>642</v>
      </c>
      <c r="B581" s="3" t="s">
        <v>602</v>
      </c>
      <c r="C581" s="3" t="s">
        <v>655</v>
      </c>
      <c r="D581" s="3">
        <v>1.0</v>
      </c>
      <c r="E581" s="3">
        <v>472839.0</v>
      </c>
      <c r="G581" s="30">
        <f t="shared" si="123"/>
        <v>472839</v>
      </c>
      <c r="H581" s="30">
        <f>100-ABS(G581-L589)/G581*100</f>
        <v>75.52417122</v>
      </c>
    </row>
    <row r="582">
      <c r="J582" s="30">
        <f>(H581+H587)/2</f>
        <v>63.08615896</v>
      </c>
    </row>
    <row r="583">
      <c r="A583" s="3" t="s">
        <v>644</v>
      </c>
      <c r="B583" s="3" t="s">
        <v>643</v>
      </c>
      <c r="C583" s="3" t="s">
        <v>463</v>
      </c>
      <c r="D583" s="3">
        <v>1.0</v>
      </c>
      <c r="E583" s="3">
        <v>534214.0</v>
      </c>
      <c r="G583" s="30">
        <f t="shared" ref="G583:G584" si="124">E583+F583</f>
        <v>534214</v>
      </c>
      <c r="H583" s="30">
        <f>100-ABS(G583-L589)/G583*100</f>
        <v>89.82500196</v>
      </c>
    </row>
    <row r="584">
      <c r="A584" s="3" t="s">
        <v>644</v>
      </c>
      <c r="B584" s="3" t="s">
        <v>602</v>
      </c>
      <c r="C584" s="3" t="s">
        <v>463</v>
      </c>
      <c r="D584" s="3">
        <v>1.0</v>
      </c>
      <c r="E584" s="3">
        <v>1152437.0</v>
      </c>
      <c r="G584" s="30">
        <f t="shared" si="124"/>
        <v>1152437</v>
      </c>
      <c r="H584" s="30">
        <f>100-ABS($L$496-G584)/$L$496*100</f>
        <v>18.3174928</v>
      </c>
    </row>
    <row r="585">
      <c r="J585" s="3" t="s">
        <v>645</v>
      </c>
      <c r="K585" s="3" t="s">
        <v>646</v>
      </c>
    </row>
    <row r="586">
      <c r="A586" s="3" t="s">
        <v>647</v>
      </c>
      <c r="B586" s="3" t="s">
        <v>643</v>
      </c>
      <c r="C586" s="3" t="s">
        <v>463</v>
      </c>
      <c r="D586" s="3">
        <v>1.0</v>
      </c>
      <c r="E586" s="3">
        <v>428042.0</v>
      </c>
      <c r="G586" s="30">
        <f t="shared" ref="G586:G587" si="125">E586+F586</f>
        <v>428042</v>
      </c>
      <c r="H586" s="30">
        <f>100-ABS(G586-L589)/G586*100</f>
        <v>62.49707645</v>
      </c>
      <c r="J586" s="3">
        <v>1.0E8</v>
      </c>
      <c r="K586" s="3">
        <v>4.0</v>
      </c>
    </row>
    <row r="587">
      <c r="A587" s="3" t="s">
        <v>647</v>
      </c>
      <c r="B587" s="3" t="s">
        <v>602</v>
      </c>
      <c r="C587" s="3" t="s">
        <v>463</v>
      </c>
      <c r="D587" s="3">
        <v>1.0</v>
      </c>
      <c r="E587" s="3">
        <v>394083.0</v>
      </c>
      <c r="G587" s="30">
        <f t="shared" si="125"/>
        <v>394083</v>
      </c>
      <c r="H587" s="30">
        <f>100-ABS(G587-L589)/G587*100</f>
        <v>50.6481467</v>
      </c>
    </row>
    <row r="588">
      <c r="J588" s="3" t="s">
        <v>486</v>
      </c>
      <c r="K588" s="3" t="s">
        <v>648</v>
      </c>
      <c r="L588" s="3" t="s">
        <v>283</v>
      </c>
    </row>
    <row r="589">
      <c r="I589" s="3" t="s">
        <v>649</v>
      </c>
      <c r="J589" s="30">
        <v>588570.2640307106</v>
      </c>
      <c r="L589" s="30">
        <f t="shared" ref="L589:L590" si="126">J589+K589</f>
        <v>588570.264</v>
      </c>
    </row>
    <row r="590">
      <c r="A590" s="3" t="s">
        <v>595</v>
      </c>
      <c r="B590" s="3" t="s">
        <v>651</v>
      </c>
      <c r="I590" s="3" t="s">
        <v>650</v>
      </c>
      <c r="J590" s="30">
        <f>J586*K586/64*16/200*2</f>
        <v>1000000</v>
      </c>
      <c r="L590" s="30">
        <f t="shared" si="126"/>
        <v>1000000</v>
      </c>
    </row>
    <row r="591">
      <c r="A591" s="3" t="s">
        <v>642</v>
      </c>
      <c r="B591" s="3" t="s">
        <v>643</v>
      </c>
      <c r="C591" s="3" t="s">
        <v>463</v>
      </c>
      <c r="D591" s="3">
        <v>1.0</v>
      </c>
      <c r="G591" s="30">
        <f t="shared" ref="G591:G592" si="127">E591+F591</f>
        <v>0</v>
      </c>
    </row>
    <row r="592">
      <c r="A592" s="3" t="s">
        <v>642</v>
      </c>
      <c r="B592" s="3" t="s">
        <v>602</v>
      </c>
      <c r="C592" s="3" t="s">
        <v>463</v>
      </c>
      <c r="D592" s="3">
        <v>1.0</v>
      </c>
      <c r="G592" s="30">
        <f t="shared" si="127"/>
        <v>0</v>
      </c>
    </row>
    <row r="594">
      <c r="A594" s="3" t="s">
        <v>644</v>
      </c>
      <c r="B594" s="3" t="s">
        <v>643</v>
      </c>
      <c r="C594" s="3" t="s">
        <v>463</v>
      </c>
      <c r="D594" s="3">
        <v>1.0</v>
      </c>
      <c r="G594" s="30">
        <f t="shared" ref="G594:G595" si="128">E594+F594</f>
        <v>0</v>
      </c>
    </row>
    <row r="595">
      <c r="A595" s="3" t="s">
        <v>644</v>
      </c>
      <c r="B595" s="3" t="s">
        <v>602</v>
      </c>
      <c r="C595" s="3" t="s">
        <v>463</v>
      </c>
      <c r="D595" s="3">
        <v>1.0</v>
      </c>
      <c r="G595" s="30">
        <f t="shared" si="128"/>
        <v>0</v>
      </c>
    </row>
    <row r="597">
      <c r="A597" s="3" t="s">
        <v>647</v>
      </c>
      <c r="B597" s="3" t="s">
        <v>643</v>
      </c>
      <c r="C597" s="3" t="s">
        <v>463</v>
      </c>
      <c r="D597" s="3">
        <v>1.0</v>
      </c>
      <c r="G597" s="30">
        <f t="shared" ref="G597:G598" si="129">E597+F597</f>
        <v>0</v>
      </c>
    </row>
    <row r="598">
      <c r="A598" s="3" t="s">
        <v>647</v>
      </c>
      <c r="B598" s="3" t="s">
        <v>602</v>
      </c>
      <c r="C598" s="3" t="s">
        <v>463</v>
      </c>
      <c r="D598" s="3">
        <v>1.0</v>
      </c>
      <c r="G598" s="30">
        <f t="shared" si="129"/>
        <v>0</v>
      </c>
    </row>
    <row r="602">
      <c r="D602" s="30" t="str">
        <f>"total=["&amp;L589&amp;", "&amp;L590&amp;", "&amp;G580&amp;", "&amp;G581&amp;", "&amp;G583&amp;", "&amp;G584&amp;", "&amp;G586&amp;", "&amp;G587&amp;"]"</f>
        <v>total=[588570.264030711, 1000000, 426155, 472839, 534214, 1152437, 428042, 394083]</v>
      </c>
    </row>
    <row r="604">
      <c r="F604" s="3">
        <v>240.0</v>
      </c>
      <c r="G604" s="30">
        <f>F604*F609</f>
        <v>251658240</v>
      </c>
      <c r="H604" s="30">
        <f>E606/G604</f>
        <v>0.02443326314</v>
      </c>
      <c r="I604" s="30">
        <f>E611/G604</f>
        <v>0.1666666667</v>
      </c>
      <c r="J604" s="30">
        <f>H604*I604</f>
        <v>0.004072210524</v>
      </c>
    </row>
    <row r="606">
      <c r="D606" s="98">
        <v>768604.0</v>
      </c>
      <c r="E606" s="30">
        <f>D606*8</f>
        <v>6148832</v>
      </c>
      <c r="F606" s="30">
        <f>E606/F609</f>
        <v>5.863983154</v>
      </c>
      <c r="I606" s="30">
        <f>D609/D606</f>
        <v>0.7657652888</v>
      </c>
    </row>
    <row r="607">
      <c r="F607" s="3">
        <v>477873.0</v>
      </c>
    </row>
    <row r="608">
      <c r="D608" s="30">
        <f>log(D606)</f>
        <v>5.88570264</v>
      </c>
    </row>
    <row r="609">
      <c r="D609" s="30">
        <f>D608*100000</f>
        <v>588570.264</v>
      </c>
      <c r="E609" s="30">
        <f>D609*64</f>
        <v>37668496.9</v>
      </c>
      <c r="F609" s="99">
        <v>1048576.0</v>
      </c>
      <c r="G609" s="30">
        <f>E609/F609</f>
        <v>35.92347803</v>
      </c>
    </row>
    <row r="610">
      <c r="D610" s="3" t="s">
        <v>657</v>
      </c>
    </row>
    <row r="611">
      <c r="C611" s="3" t="s">
        <v>658</v>
      </c>
      <c r="D611" s="3">
        <v>40.0</v>
      </c>
      <c r="E611" s="30">
        <f t="shared" ref="E611:E613" si="130">D611*$F$609</f>
        <v>41943040</v>
      </c>
    </row>
    <row r="612">
      <c r="C612" s="3" t="s">
        <v>659</v>
      </c>
      <c r="D612" s="3">
        <v>14.0</v>
      </c>
      <c r="E612" s="30">
        <f t="shared" si="130"/>
        <v>14680064</v>
      </c>
    </row>
    <row r="613">
      <c r="C613" s="3" t="s">
        <v>660</v>
      </c>
      <c r="D613" s="3">
        <v>28.0</v>
      </c>
      <c r="E613" s="30">
        <f t="shared" si="130"/>
        <v>29360128</v>
      </c>
    </row>
    <row r="614">
      <c r="K614" s="3">
        <v>102.0</v>
      </c>
    </row>
    <row r="616">
      <c r="L616" s="30">
        <f>L619/64</f>
        <v>65536</v>
      </c>
    </row>
    <row r="617">
      <c r="B617" s="3" t="s">
        <v>661</v>
      </c>
    </row>
    <row r="618">
      <c r="C618" s="3" t="s">
        <v>589</v>
      </c>
      <c r="D618" s="3" t="s">
        <v>636</v>
      </c>
    </row>
    <row r="619">
      <c r="E619" s="3" t="s">
        <v>448</v>
      </c>
      <c r="F619" s="3" t="s">
        <v>449</v>
      </c>
      <c r="G619" s="3" t="s">
        <v>283</v>
      </c>
      <c r="J619" s="3">
        <v>2048.0</v>
      </c>
      <c r="K619" s="3">
        <v>2048.0</v>
      </c>
      <c r="L619" s="30">
        <f>J619*K619</f>
        <v>4194304</v>
      </c>
      <c r="M619" s="30">
        <f>L619/64</f>
        <v>65536</v>
      </c>
    </row>
    <row r="620">
      <c r="A620" s="3" t="s">
        <v>642</v>
      </c>
      <c r="B620" s="3" t="s">
        <v>643</v>
      </c>
      <c r="C620" s="3" t="s">
        <v>463</v>
      </c>
      <c r="D620" s="3">
        <v>200.0</v>
      </c>
      <c r="E620" s="3">
        <v>1516527.0</v>
      </c>
      <c r="F620" s="3">
        <v>821676.0</v>
      </c>
      <c r="G620" s="30">
        <f t="shared" ref="G620:G621" si="131">E620+F620</f>
        <v>2338203</v>
      </c>
      <c r="H620" s="30">
        <f t="shared" ref="H620:H621" si="132">100-ABS($L$496-G620)/$L$496*100</f>
        <v>37.16473579</v>
      </c>
      <c r="I620" s="30">
        <f>100-ABS($L$497-G620)/$L$497*100</f>
        <v>55.74710369</v>
      </c>
    </row>
    <row r="621">
      <c r="A621" s="3" t="s">
        <v>642</v>
      </c>
      <c r="B621" s="3" t="s">
        <v>602</v>
      </c>
      <c r="C621" s="3" t="s">
        <v>463</v>
      </c>
      <c r="D621" s="3">
        <v>200.0</v>
      </c>
      <c r="E621" s="3">
        <v>1520001.0</v>
      </c>
      <c r="F621" s="3">
        <v>826604.0</v>
      </c>
      <c r="G621" s="30">
        <f t="shared" si="131"/>
        <v>2346605</v>
      </c>
      <c r="H621" s="30">
        <f t="shared" si="132"/>
        <v>37.29828199</v>
      </c>
    </row>
    <row r="623">
      <c r="A623" s="3" t="s">
        <v>644</v>
      </c>
      <c r="B623" s="3" t="s">
        <v>643</v>
      </c>
      <c r="C623" s="3" t="s">
        <v>463</v>
      </c>
      <c r="D623" s="3">
        <v>200.0</v>
      </c>
      <c r="E623" s="3">
        <v>1697399.0</v>
      </c>
      <c r="F623" s="3">
        <v>679613.0</v>
      </c>
      <c r="G623" s="30">
        <f t="shared" ref="G623:G624" si="133">E623+F623</f>
        <v>2377012</v>
      </c>
      <c r="H623" s="30">
        <f t="shared" ref="H623:H624" si="134">100-ABS($L$496-G623)/$L$496*100</f>
        <v>37.78158824</v>
      </c>
      <c r="M623" s="30">
        <f>J626/200</f>
        <v>500000</v>
      </c>
    </row>
    <row r="624">
      <c r="A624" s="3" t="s">
        <v>644</v>
      </c>
      <c r="B624" s="3" t="s">
        <v>602</v>
      </c>
      <c r="C624" s="3" t="s">
        <v>463</v>
      </c>
      <c r="D624" s="3">
        <v>200.0</v>
      </c>
      <c r="E624" s="3">
        <v>1826256.0</v>
      </c>
      <c r="F624" s="3">
        <v>703656.0</v>
      </c>
      <c r="G624" s="30">
        <f t="shared" si="133"/>
        <v>2529912</v>
      </c>
      <c r="H624" s="30">
        <f t="shared" si="134"/>
        <v>40.21186829</v>
      </c>
    </row>
    <row r="625">
      <c r="J625" s="3" t="s">
        <v>645</v>
      </c>
      <c r="K625" s="3" t="s">
        <v>646</v>
      </c>
    </row>
    <row r="626">
      <c r="A626" s="3" t="s">
        <v>647</v>
      </c>
      <c r="B626" s="3" t="s">
        <v>643</v>
      </c>
      <c r="C626" s="3" t="s">
        <v>463</v>
      </c>
      <c r="D626" s="3">
        <v>200.0</v>
      </c>
      <c r="E626" s="3">
        <v>1501175.0</v>
      </c>
      <c r="F626" s="3">
        <v>505334.0</v>
      </c>
      <c r="G626" s="30">
        <f t="shared" ref="G626:G627" si="135">E626+F626</f>
        <v>2006509</v>
      </c>
      <c r="H626" s="30">
        <f t="shared" ref="H626:H627" si="136">100-ABS($L$496-G626)/$L$496*100</f>
        <v>31.89260165</v>
      </c>
      <c r="J626" s="3">
        <v>1.0E8</v>
      </c>
      <c r="K626" s="3">
        <v>4.0</v>
      </c>
    </row>
    <row r="627">
      <c r="A627" s="3" t="s">
        <v>647</v>
      </c>
      <c r="B627" s="3" t="s">
        <v>602</v>
      </c>
      <c r="C627" s="3" t="s">
        <v>463</v>
      </c>
      <c r="D627" s="3">
        <v>200.0</v>
      </c>
      <c r="E627" s="3">
        <v>1502057.0</v>
      </c>
      <c r="F627" s="3">
        <v>505586.0</v>
      </c>
      <c r="G627" s="30">
        <f t="shared" si="135"/>
        <v>2007643</v>
      </c>
      <c r="H627" s="30">
        <f t="shared" si="136"/>
        <v>31.91062609</v>
      </c>
    </row>
    <row r="628">
      <c r="J628" s="3" t="s">
        <v>486</v>
      </c>
      <c r="K628" s="3" t="s">
        <v>648</v>
      </c>
      <c r="L628" s="3" t="s">
        <v>283</v>
      </c>
    </row>
    <row r="629">
      <c r="I629" s="3" t="s">
        <v>649</v>
      </c>
      <c r="J629" s="30">
        <f>J626*K626/64*3*16/200</f>
        <v>1500000</v>
      </c>
      <c r="K629" s="30">
        <f>J626*K626/64*16/200</f>
        <v>500000</v>
      </c>
      <c r="L629" s="30">
        <f t="shared" ref="L629:L630" si="137">J629+K629</f>
        <v>2000000</v>
      </c>
    </row>
    <row r="630">
      <c r="A630" s="3" t="s">
        <v>595</v>
      </c>
      <c r="B630" s="3" t="s">
        <v>651</v>
      </c>
      <c r="I630" s="3" t="s">
        <v>650</v>
      </c>
      <c r="J630" s="30">
        <f>J626*K626/64*16/200*2</f>
        <v>1000000</v>
      </c>
      <c r="K630" s="30">
        <f>K629</f>
        <v>500000</v>
      </c>
      <c r="L630" s="30">
        <f t="shared" si="137"/>
        <v>1500000</v>
      </c>
    </row>
    <row r="631">
      <c r="A631" s="3" t="s">
        <v>642</v>
      </c>
      <c r="B631" s="3" t="s">
        <v>643</v>
      </c>
      <c r="C631" s="3" t="s">
        <v>463</v>
      </c>
      <c r="D631" s="3">
        <v>1.0</v>
      </c>
      <c r="G631" s="30">
        <f t="shared" ref="G631:G632" si="138">E631+F631</f>
        <v>0</v>
      </c>
    </row>
    <row r="632">
      <c r="A632" s="3" t="s">
        <v>642</v>
      </c>
      <c r="B632" s="3" t="s">
        <v>602</v>
      </c>
      <c r="C632" s="3" t="s">
        <v>463</v>
      </c>
      <c r="D632" s="3">
        <v>1.0</v>
      </c>
      <c r="G632" s="30">
        <f t="shared" si="138"/>
        <v>0</v>
      </c>
    </row>
    <row r="634">
      <c r="A634" s="3" t="s">
        <v>644</v>
      </c>
      <c r="B634" s="3" t="s">
        <v>643</v>
      </c>
      <c r="C634" s="3" t="s">
        <v>463</v>
      </c>
      <c r="D634" s="3">
        <v>1.0</v>
      </c>
      <c r="G634" s="30">
        <f t="shared" ref="G634:G635" si="139">E634+F634</f>
        <v>0</v>
      </c>
    </row>
    <row r="635">
      <c r="A635" s="3" t="s">
        <v>644</v>
      </c>
      <c r="B635" s="3" t="s">
        <v>602</v>
      </c>
      <c r="C635" s="3" t="s">
        <v>463</v>
      </c>
      <c r="D635" s="3">
        <v>1.0</v>
      </c>
      <c r="G635" s="30">
        <f t="shared" si="139"/>
        <v>0</v>
      </c>
    </row>
    <row r="637">
      <c r="A637" s="3" t="s">
        <v>647</v>
      </c>
      <c r="B637" s="3" t="s">
        <v>643</v>
      </c>
      <c r="C637" s="3" t="s">
        <v>463</v>
      </c>
      <c r="D637" s="3">
        <v>1.0</v>
      </c>
      <c r="G637" s="30">
        <f t="shared" ref="G637:G638" si="140">E637+F637</f>
        <v>0</v>
      </c>
    </row>
    <row r="638">
      <c r="A638" s="3" t="s">
        <v>647</v>
      </c>
      <c r="B638" s="3" t="s">
        <v>602</v>
      </c>
      <c r="C638" s="3" t="s">
        <v>463</v>
      </c>
      <c r="D638" s="3">
        <v>1.0</v>
      </c>
      <c r="G638" s="30">
        <f t="shared" si="140"/>
        <v>0</v>
      </c>
    </row>
    <row r="642">
      <c r="D642" s="30" t="str">
        <f>"total=["&amp;L629&amp;", "&amp;L630&amp;", "&amp;G620&amp;", "&amp;G621&amp;", "&amp;G623&amp;", "&amp;G624&amp;", "&amp;G626&amp;", "&amp;G627&amp;"]"</f>
        <v>total=[2000000, 1500000, 2338203, 2346605, 2377012, 2529912, 2006509, 2007643]</v>
      </c>
    </row>
    <row r="644">
      <c r="K644" s="3">
        <v>16000.0</v>
      </c>
      <c r="L644" s="30">
        <f>K644*64</f>
        <v>1024000</v>
      </c>
      <c r="M644" s="30">
        <f>L644/2</f>
        <v>512000</v>
      </c>
    </row>
    <row r="647">
      <c r="H647" s="3">
        <v>512.0</v>
      </c>
      <c r="I647" s="3">
        <v>512.0</v>
      </c>
      <c r="J647" s="30">
        <f>H647*I647</f>
        <v>262144</v>
      </c>
      <c r="K647" s="30">
        <f>J647/64*4</f>
        <v>16384</v>
      </c>
    </row>
    <row r="652">
      <c r="A652" s="3" t="s">
        <v>662</v>
      </c>
    </row>
    <row r="657">
      <c r="B657" s="3" t="s">
        <v>641</v>
      </c>
    </row>
    <row r="658">
      <c r="C658" s="3" t="s">
        <v>589</v>
      </c>
      <c r="D658" s="3" t="s">
        <v>636</v>
      </c>
    </row>
    <row r="659">
      <c r="E659" s="3" t="s">
        <v>448</v>
      </c>
      <c r="F659" s="3" t="s">
        <v>449</v>
      </c>
      <c r="G659" s="3" t="s">
        <v>283</v>
      </c>
    </row>
    <row r="660">
      <c r="A660" s="3" t="s">
        <v>642</v>
      </c>
      <c r="B660" s="3" t="s">
        <v>643</v>
      </c>
      <c r="C660" s="3" t="s">
        <v>463</v>
      </c>
      <c r="D660" s="3">
        <v>1.0</v>
      </c>
      <c r="E660" s="3">
        <v>1.8924509E7</v>
      </c>
      <c r="F660" s="3">
        <v>6414347.0</v>
      </c>
      <c r="G660" s="30">
        <f t="shared" ref="G660:G661" si="141">E660+F660</f>
        <v>25338856</v>
      </c>
    </row>
    <row r="661">
      <c r="A661" s="3" t="s">
        <v>642</v>
      </c>
      <c r="B661" s="3" t="s">
        <v>602</v>
      </c>
      <c r="C661" s="3" t="s">
        <v>463</v>
      </c>
      <c r="D661" s="3">
        <v>1.0</v>
      </c>
      <c r="E661" s="3">
        <v>1.879793E7</v>
      </c>
      <c r="F661" s="3">
        <v>6282547.0</v>
      </c>
      <c r="G661" s="30">
        <f t="shared" si="141"/>
        <v>25080477</v>
      </c>
    </row>
    <row r="663">
      <c r="A663" s="3" t="s">
        <v>644</v>
      </c>
      <c r="B663" s="3" t="s">
        <v>643</v>
      </c>
      <c r="C663" s="3" t="s">
        <v>463</v>
      </c>
      <c r="D663" s="3">
        <v>1.0</v>
      </c>
      <c r="E663" s="3">
        <v>1.8688408E7</v>
      </c>
      <c r="F663" s="3">
        <v>6250709.0</v>
      </c>
      <c r="G663" s="30">
        <f t="shared" ref="G663:G664" si="142">E663+F663</f>
        <v>24939117</v>
      </c>
    </row>
    <row r="664">
      <c r="A664" s="3" t="s">
        <v>644</v>
      </c>
      <c r="B664" s="3" t="s">
        <v>602</v>
      </c>
      <c r="C664" s="3" t="s">
        <v>463</v>
      </c>
      <c r="D664" s="3">
        <v>1.0</v>
      </c>
      <c r="E664" s="3">
        <v>1.8794607E7</v>
      </c>
      <c r="F664" s="3">
        <v>6254850.0</v>
      </c>
      <c r="G664" s="30">
        <f t="shared" si="142"/>
        <v>25049457</v>
      </c>
    </row>
    <row r="665">
      <c r="J665" s="3" t="s">
        <v>645</v>
      </c>
      <c r="K665" s="3" t="s">
        <v>646</v>
      </c>
    </row>
    <row r="666">
      <c r="A666" s="3" t="s">
        <v>647</v>
      </c>
      <c r="B666" s="3" t="s">
        <v>643</v>
      </c>
      <c r="C666" s="3" t="s">
        <v>463</v>
      </c>
      <c r="D666" s="3">
        <v>1.0</v>
      </c>
      <c r="E666" s="3">
        <v>1.8528602E7</v>
      </c>
      <c r="F666" s="3">
        <v>6204350.0</v>
      </c>
      <c r="G666" s="30">
        <f t="shared" ref="G666:G667" si="143">E666+F666</f>
        <v>24732952</v>
      </c>
      <c r="J666" s="3">
        <v>5.0E7</v>
      </c>
      <c r="K666" s="3">
        <v>8.0</v>
      </c>
    </row>
    <row r="667">
      <c r="A667" s="3" t="s">
        <v>647</v>
      </c>
      <c r="B667" s="3" t="s">
        <v>602</v>
      </c>
      <c r="C667" s="3" t="s">
        <v>463</v>
      </c>
      <c r="D667" s="3">
        <v>1.0</v>
      </c>
      <c r="E667" s="3">
        <v>1.8352835E7</v>
      </c>
      <c r="F667" s="3">
        <v>6137000.0</v>
      </c>
      <c r="G667" s="30">
        <f t="shared" si="143"/>
        <v>24489835</v>
      </c>
    </row>
    <row r="668">
      <c r="J668" s="3" t="s">
        <v>486</v>
      </c>
      <c r="K668" s="3" t="s">
        <v>648</v>
      </c>
      <c r="L668" s="3" t="s">
        <v>283</v>
      </c>
    </row>
    <row r="669">
      <c r="I669" s="3" t="s">
        <v>649</v>
      </c>
      <c r="J669" s="30">
        <f>J666*K666/64*3</f>
        <v>18750000</v>
      </c>
      <c r="K669" s="30">
        <f>J666*K666/64</f>
        <v>6250000</v>
      </c>
      <c r="L669" s="30">
        <f t="shared" ref="L669:L670" si="144">J669+K669</f>
        <v>25000000</v>
      </c>
    </row>
    <row r="670">
      <c r="A670" s="3" t="s">
        <v>595</v>
      </c>
      <c r="I670" s="3" t="s">
        <v>650</v>
      </c>
      <c r="J670" s="30">
        <f>J666*K666/64*2</f>
        <v>12500000</v>
      </c>
      <c r="K670" s="30">
        <f>J666*K666/64</f>
        <v>6250000</v>
      </c>
      <c r="L670" s="30">
        <f t="shared" si="144"/>
        <v>18750000</v>
      </c>
    </row>
    <row r="671">
      <c r="A671" s="3" t="s">
        <v>642</v>
      </c>
      <c r="B671" s="3" t="s">
        <v>643</v>
      </c>
      <c r="C671" s="3" t="s">
        <v>463</v>
      </c>
      <c r="D671" s="3">
        <v>1.0</v>
      </c>
      <c r="E671" s="3">
        <v>1.8776592E7</v>
      </c>
      <c r="F671" s="3">
        <v>6270387.0</v>
      </c>
      <c r="G671" s="30">
        <f t="shared" ref="G671:G672" si="145">E671+F671</f>
        <v>25046979</v>
      </c>
    </row>
    <row r="672">
      <c r="A672" s="3" t="s">
        <v>642</v>
      </c>
      <c r="B672" s="3" t="s">
        <v>602</v>
      </c>
      <c r="C672" s="3" t="s">
        <v>463</v>
      </c>
      <c r="D672" s="3">
        <v>1.0</v>
      </c>
      <c r="E672" s="3">
        <v>1.8779905E7</v>
      </c>
      <c r="F672" s="3">
        <v>6253845.0</v>
      </c>
      <c r="G672" s="30">
        <f t="shared" si="145"/>
        <v>25033750</v>
      </c>
    </row>
    <row r="674">
      <c r="A674" s="3" t="s">
        <v>644</v>
      </c>
      <c r="B674" s="3" t="s">
        <v>643</v>
      </c>
      <c r="C674" s="3" t="s">
        <v>463</v>
      </c>
      <c r="D674" s="3">
        <v>1.0</v>
      </c>
      <c r="E674" s="3">
        <v>1.8739767E7</v>
      </c>
      <c r="F674" s="3">
        <v>6264934.0</v>
      </c>
      <c r="G674" s="30">
        <f t="shared" ref="G674:G675" si="146">E674+F674</f>
        <v>25004701</v>
      </c>
    </row>
    <row r="675">
      <c r="A675" s="3" t="s">
        <v>644</v>
      </c>
      <c r="B675" s="3" t="s">
        <v>602</v>
      </c>
      <c r="C675" s="3" t="s">
        <v>463</v>
      </c>
      <c r="D675" s="3">
        <v>1.0</v>
      </c>
      <c r="E675" s="3">
        <v>1.8763648E7</v>
      </c>
      <c r="F675" s="3">
        <v>6263322.0</v>
      </c>
      <c r="G675" s="30">
        <f t="shared" si="146"/>
        <v>25026970</v>
      </c>
    </row>
    <row r="677">
      <c r="A677" s="3" t="s">
        <v>647</v>
      </c>
      <c r="B677" s="3" t="s">
        <v>643</v>
      </c>
      <c r="C677" s="3" t="s">
        <v>463</v>
      </c>
      <c r="D677" s="3">
        <v>1.0</v>
      </c>
      <c r="E677" s="3">
        <v>1.8409628E7</v>
      </c>
      <c r="F677" s="3">
        <v>6199845.0</v>
      </c>
      <c r="G677" s="30">
        <f t="shared" ref="G677:G678" si="147">E677+F677</f>
        <v>24609473</v>
      </c>
    </row>
    <row r="678">
      <c r="A678" s="3" t="s">
        <v>647</v>
      </c>
      <c r="B678" s="3" t="s">
        <v>602</v>
      </c>
      <c r="C678" s="3" t="s">
        <v>463</v>
      </c>
      <c r="D678" s="3">
        <v>1.0</v>
      </c>
      <c r="E678" s="3">
        <v>1.8413531E7</v>
      </c>
      <c r="F678" s="3">
        <v>6184994.0</v>
      </c>
      <c r="G678" s="30">
        <f t="shared" si="147"/>
        <v>24598525</v>
      </c>
    </row>
    <row r="682">
      <c r="D682" s="30" t="str">
        <f>"total=["&amp;L669&amp;", "&amp;L670&amp;", "&amp;G660&amp;", "&amp;G661&amp;", "&amp;G663&amp;", "&amp;G664&amp;", "&amp;G666&amp;", "&amp;G667&amp;"]"</f>
        <v>total=[25000000, 18750000, 25338856, 25080477, 24939117, 25049457, 24732952, 24489835]</v>
      </c>
    </row>
    <row r="687">
      <c r="B687" s="3" t="s">
        <v>557</v>
      </c>
    </row>
    <row r="688">
      <c r="C688" s="3" t="s">
        <v>589</v>
      </c>
      <c r="D688" s="3" t="s">
        <v>636</v>
      </c>
    </row>
    <row r="689">
      <c r="E689" s="3" t="s">
        <v>448</v>
      </c>
      <c r="F689" s="3" t="s">
        <v>449</v>
      </c>
      <c r="G689" s="3" t="s">
        <v>283</v>
      </c>
      <c r="J689" s="3">
        <v>8192.0</v>
      </c>
      <c r="K689" s="3">
        <v>8192.0</v>
      </c>
    </row>
    <row r="690">
      <c r="A690" s="3" t="s">
        <v>642</v>
      </c>
      <c r="B690" s="3" t="s">
        <v>643</v>
      </c>
      <c r="C690" s="3" t="s">
        <v>463</v>
      </c>
      <c r="D690" s="3">
        <v>1.0</v>
      </c>
      <c r="E690" s="3">
        <v>4620741.0</v>
      </c>
      <c r="F690" s="3">
        <v>4821091.0</v>
      </c>
      <c r="G690" s="30">
        <f t="shared" ref="G690:G691" si="148">E690+F690</f>
        <v>9441832</v>
      </c>
    </row>
    <row r="691">
      <c r="A691" s="3" t="s">
        <v>642</v>
      </c>
      <c r="B691" s="3" t="s">
        <v>602</v>
      </c>
      <c r="C691" s="3" t="s">
        <v>463</v>
      </c>
      <c r="D691" s="3">
        <v>1.0</v>
      </c>
      <c r="E691" s="3">
        <v>4569441.0</v>
      </c>
      <c r="F691" s="3">
        <v>4740749.0</v>
      </c>
      <c r="G691" s="30">
        <f t="shared" si="148"/>
        <v>9310190</v>
      </c>
    </row>
    <row r="693">
      <c r="A693" s="3" t="s">
        <v>644</v>
      </c>
      <c r="B693" s="3" t="s">
        <v>643</v>
      </c>
      <c r="C693" s="3" t="s">
        <v>463</v>
      </c>
      <c r="D693" s="3">
        <v>1.0</v>
      </c>
      <c r="E693" s="3">
        <v>4520072.0</v>
      </c>
      <c r="F693" s="3">
        <v>4317901.0</v>
      </c>
      <c r="G693" s="30">
        <f t="shared" ref="G693:G694" si="149">E693+F693</f>
        <v>8837973</v>
      </c>
    </row>
    <row r="694">
      <c r="A694" s="3" t="s">
        <v>644</v>
      </c>
      <c r="B694" s="3" t="s">
        <v>602</v>
      </c>
      <c r="C694" s="3" t="s">
        <v>463</v>
      </c>
      <c r="D694" s="3">
        <v>1.0</v>
      </c>
      <c r="E694" s="3">
        <v>5047367.0</v>
      </c>
      <c r="F694" s="3">
        <v>4335252.0</v>
      </c>
      <c r="G694" s="30">
        <f t="shared" si="149"/>
        <v>9382619</v>
      </c>
    </row>
    <row r="695">
      <c r="J695" s="3" t="s">
        <v>645</v>
      </c>
      <c r="K695" s="3" t="s">
        <v>646</v>
      </c>
    </row>
    <row r="696">
      <c r="A696" s="3" t="s">
        <v>647</v>
      </c>
      <c r="B696" s="3" t="s">
        <v>643</v>
      </c>
      <c r="C696" s="3" t="s">
        <v>463</v>
      </c>
      <c r="D696" s="3">
        <v>1.0</v>
      </c>
      <c r="E696" s="3">
        <v>4728305.0</v>
      </c>
      <c r="F696" s="3">
        <v>4537964.0</v>
      </c>
      <c r="G696" s="30">
        <f t="shared" ref="G696:G697" si="150">E696+F696</f>
        <v>9266269</v>
      </c>
      <c r="J696" s="30">
        <f>J689*K689</f>
        <v>67108864</v>
      </c>
      <c r="K696" s="3">
        <v>4.0</v>
      </c>
    </row>
    <row r="697">
      <c r="A697" s="3" t="s">
        <v>647</v>
      </c>
      <c r="B697" s="3" t="s">
        <v>602</v>
      </c>
      <c r="C697" s="3" t="s">
        <v>463</v>
      </c>
      <c r="D697" s="3">
        <v>1.0</v>
      </c>
      <c r="E697" s="3">
        <v>4800994.0</v>
      </c>
      <c r="F697" s="3">
        <v>4525494.0</v>
      </c>
      <c r="G697" s="30">
        <f t="shared" si="150"/>
        <v>9326488</v>
      </c>
    </row>
    <row r="698">
      <c r="J698" s="3" t="s">
        <v>486</v>
      </c>
      <c r="K698" s="3" t="s">
        <v>648</v>
      </c>
      <c r="L698" s="3" t="s">
        <v>283</v>
      </c>
    </row>
    <row r="699">
      <c r="I699" s="3" t="s">
        <v>649</v>
      </c>
      <c r="J699" s="30">
        <f>J696*K696/64</f>
        <v>4194304</v>
      </c>
      <c r="K699" s="30">
        <f>J696*K696/64</f>
        <v>4194304</v>
      </c>
      <c r="L699" s="30">
        <f t="shared" ref="L699:L700" si="151">J699+K699</f>
        <v>8388608</v>
      </c>
    </row>
    <row r="700">
      <c r="A700" s="3" t="s">
        <v>595</v>
      </c>
      <c r="B700" s="3" t="s">
        <v>651</v>
      </c>
      <c r="I700" s="3" t="s">
        <v>650</v>
      </c>
      <c r="J700" s="30">
        <f>J696*K696/64</f>
        <v>4194304</v>
      </c>
      <c r="K700" s="30">
        <f>J696*K696/64</f>
        <v>4194304</v>
      </c>
      <c r="L700" s="30">
        <f t="shared" si="151"/>
        <v>8388608</v>
      </c>
    </row>
    <row r="701">
      <c r="A701" s="3" t="s">
        <v>642</v>
      </c>
      <c r="B701" s="3" t="s">
        <v>643</v>
      </c>
      <c r="C701" s="3" t="s">
        <v>463</v>
      </c>
      <c r="D701" s="3">
        <v>1.0</v>
      </c>
      <c r="E701" s="3">
        <v>4565989.0</v>
      </c>
      <c r="F701" s="3">
        <v>4706087.0</v>
      </c>
      <c r="G701" s="30">
        <f t="shared" ref="G701:G702" si="152">E701+F701</f>
        <v>9272076</v>
      </c>
    </row>
    <row r="702">
      <c r="A702" s="3" t="s">
        <v>642</v>
      </c>
      <c r="B702" s="3" t="s">
        <v>602</v>
      </c>
      <c r="C702" s="3" t="s">
        <v>463</v>
      </c>
      <c r="D702" s="3">
        <v>1.0</v>
      </c>
      <c r="E702" s="3">
        <v>4521700.0</v>
      </c>
      <c r="F702" s="3">
        <v>4624106.0</v>
      </c>
      <c r="G702" s="30">
        <f t="shared" si="152"/>
        <v>9145806</v>
      </c>
    </row>
    <row r="704">
      <c r="A704" s="3" t="s">
        <v>644</v>
      </c>
      <c r="B704" s="3" t="s">
        <v>643</v>
      </c>
      <c r="C704" s="3" t="s">
        <v>463</v>
      </c>
      <c r="D704" s="3">
        <v>1.0</v>
      </c>
      <c r="E704" s="3">
        <v>4508029.0</v>
      </c>
      <c r="F704" s="3">
        <v>4318262.0</v>
      </c>
      <c r="G704" s="30">
        <f t="shared" ref="G704:G705" si="153">E704+F704</f>
        <v>8826291</v>
      </c>
    </row>
    <row r="705">
      <c r="A705" s="3" t="s">
        <v>644</v>
      </c>
      <c r="B705" s="3" t="s">
        <v>602</v>
      </c>
      <c r="C705" s="3" t="s">
        <v>463</v>
      </c>
      <c r="D705" s="3">
        <v>1.0</v>
      </c>
      <c r="E705" s="3">
        <v>5115431.0</v>
      </c>
      <c r="F705" s="3">
        <v>4304086.0</v>
      </c>
      <c r="G705" s="30">
        <f t="shared" si="153"/>
        <v>9419517</v>
      </c>
    </row>
    <row r="707">
      <c r="A707" s="3" t="s">
        <v>647</v>
      </c>
      <c r="B707" s="3" t="s">
        <v>643</v>
      </c>
      <c r="C707" s="3" t="s">
        <v>463</v>
      </c>
      <c r="D707" s="3">
        <v>1.0</v>
      </c>
      <c r="E707" s="3">
        <v>6230340.0</v>
      </c>
      <c r="F707" s="3">
        <v>6031281.0</v>
      </c>
      <c r="G707" s="30">
        <f t="shared" ref="G707:G708" si="154">E707+F707</f>
        <v>12261621</v>
      </c>
    </row>
    <row r="708">
      <c r="A708" s="3" t="s">
        <v>647</v>
      </c>
      <c r="B708" s="3" t="s">
        <v>602</v>
      </c>
      <c r="C708" s="3" t="s">
        <v>463</v>
      </c>
      <c r="D708" s="3">
        <v>1.0</v>
      </c>
      <c r="E708" s="3">
        <v>6112579.0</v>
      </c>
      <c r="F708" s="3">
        <v>5886120.0</v>
      </c>
      <c r="G708" s="30">
        <f t="shared" si="154"/>
        <v>11998699</v>
      </c>
    </row>
    <row r="712">
      <c r="D712" s="30" t="str">
        <f>"total=["&amp;L699&amp;", "&amp;L700&amp;", "&amp;G690&amp;", "&amp;G691&amp;", "&amp;G693&amp;", "&amp;G694&amp;", "&amp;G696&amp;", "&amp;G697&amp;"]"</f>
        <v>total=[8388608, 8388608, 9441832, 9310190, 8837973, 9382619, 9266269, 9326488]</v>
      </c>
    </row>
    <row r="713">
      <c r="D713" s="30" t="str">
        <f>"omp_data=["&amp;L699&amp;", "&amp;L700&amp;","&amp;G701&amp;", "&amp;G702&amp;", "&amp;G704&amp;", "&amp;G705&amp;", "&amp;G707&amp;","&amp;G708&amp;"]"</f>
        <v>omp_data=[8388608, 8388608,9272076, 9145806, 8826291, 9419517, 12261621,11998699]</v>
      </c>
    </row>
    <row r="714">
      <c r="K714" s="3" t="s">
        <v>663</v>
      </c>
    </row>
    <row r="716">
      <c r="B716" s="3" t="s">
        <v>652</v>
      </c>
    </row>
    <row r="717">
      <c r="C717" s="3" t="s">
        <v>589</v>
      </c>
      <c r="D717" s="3" t="s">
        <v>636</v>
      </c>
    </row>
    <row r="718">
      <c r="E718" s="3" t="s">
        <v>448</v>
      </c>
      <c r="F718" s="3" t="s">
        <v>449</v>
      </c>
      <c r="G718" s="3" t="s">
        <v>283</v>
      </c>
      <c r="J718" s="3">
        <v>4096.0</v>
      </c>
      <c r="K718" s="3">
        <v>4096.0</v>
      </c>
    </row>
    <row r="719">
      <c r="A719" s="3" t="s">
        <v>642</v>
      </c>
      <c r="B719" s="3" t="s">
        <v>643</v>
      </c>
      <c r="C719" s="3" t="s">
        <v>463</v>
      </c>
      <c r="D719" s="3">
        <v>1.0</v>
      </c>
      <c r="E719" s="3">
        <v>4319186.0</v>
      </c>
      <c r="F719" s="3">
        <v>2541288.0</v>
      </c>
      <c r="G719" s="30">
        <f t="shared" ref="G719:G720" si="155">E719+F719</f>
        <v>6860474</v>
      </c>
      <c r="H719" s="30">
        <f t="shared" ref="H719:H720" si="156">100-ABS($L$496-G719)/$L$496*100</f>
        <v>90.95570246</v>
      </c>
      <c r="I719" s="30">
        <f>100-ABS($L$497-G719)/$L$497*100</f>
        <v>36.4335537</v>
      </c>
    </row>
    <row r="720">
      <c r="A720" s="3" t="s">
        <v>642</v>
      </c>
      <c r="B720" s="3" t="s">
        <v>602</v>
      </c>
      <c r="C720" s="3" t="s">
        <v>463</v>
      </c>
      <c r="D720" s="3">
        <v>1.0</v>
      </c>
      <c r="E720" s="3">
        <v>4276900.0</v>
      </c>
      <c r="F720" s="3">
        <v>2499094.0</v>
      </c>
      <c r="G720" s="30">
        <f t="shared" si="155"/>
        <v>6775994</v>
      </c>
      <c r="H720" s="30">
        <f t="shared" si="156"/>
        <v>92.2984759</v>
      </c>
    </row>
    <row r="722">
      <c r="A722" s="3" t="s">
        <v>644</v>
      </c>
      <c r="B722" s="3" t="s">
        <v>643</v>
      </c>
      <c r="C722" s="3" t="s">
        <v>463</v>
      </c>
      <c r="D722" s="3">
        <v>1.0</v>
      </c>
      <c r="E722" s="3">
        <v>4058497.0</v>
      </c>
      <c r="F722" s="3">
        <v>1994509.0</v>
      </c>
      <c r="G722" s="30">
        <f t="shared" ref="G722:G723" si="157">E722+F722</f>
        <v>6053006</v>
      </c>
      <c r="H722" s="30">
        <f t="shared" ref="H722:H723" si="158">100-ABS($L$496-G722)/$L$496*100</f>
        <v>96.20993932</v>
      </c>
    </row>
    <row r="723">
      <c r="A723" s="3" t="s">
        <v>644</v>
      </c>
      <c r="B723" s="3" t="s">
        <v>602</v>
      </c>
      <c r="C723" s="3" t="s">
        <v>463</v>
      </c>
      <c r="D723" s="3">
        <v>1.0</v>
      </c>
      <c r="E723" s="3">
        <v>4047308.0</v>
      </c>
      <c r="F723" s="3">
        <v>1982488.0</v>
      </c>
      <c r="G723" s="30">
        <f t="shared" si="157"/>
        <v>6029796</v>
      </c>
      <c r="H723" s="30">
        <f t="shared" si="158"/>
        <v>95.84102631</v>
      </c>
    </row>
    <row r="724">
      <c r="J724" s="3" t="s">
        <v>645</v>
      </c>
      <c r="K724" s="3" t="s">
        <v>646</v>
      </c>
    </row>
    <row r="725">
      <c r="A725" s="3" t="s">
        <v>647</v>
      </c>
      <c r="B725" s="3" t="s">
        <v>643</v>
      </c>
      <c r="C725" s="3" t="s">
        <v>463</v>
      </c>
      <c r="D725" s="3">
        <v>1.0</v>
      </c>
      <c r="E725" s="3">
        <v>4127736.0</v>
      </c>
      <c r="F725" s="3">
        <v>2170046.0</v>
      </c>
      <c r="G725" s="30">
        <f t="shared" ref="G725:G726" si="159">E725+F725</f>
        <v>6297782</v>
      </c>
      <c r="H725" s="30">
        <f t="shared" ref="H725:H726" si="160">100-ABS($L$496-G725)/$L$496*100</f>
        <v>99.89945094</v>
      </c>
      <c r="J725" s="30">
        <f>J718*K718</f>
        <v>16777216</v>
      </c>
      <c r="K725" s="3">
        <v>8.0</v>
      </c>
    </row>
    <row r="726">
      <c r="A726" s="3" t="s">
        <v>647</v>
      </c>
      <c r="B726" s="3" t="s">
        <v>602</v>
      </c>
      <c r="C726" s="3" t="s">
        <v>463</v>
      </c>
      <c r="D726" s="3">
        <v>1.0</v>
      </c>
      <c r="E726" s="3">
        <v>3851933.0</v>
      </c>
      <c r="F726" s="3">
        <v>1814583.0</v>
      </c>
      <c r="G726" s="30">
        <f t="shared" si="159"/>
        <v>5666516</v>
      </c>
      <c r="H726" s="30">
        <f t="shared" si="160"/>
        <v>90.06684621</v>
      </c>
    </row>
    <row r="727">
      <c r="J727" s="3" t="s">
        <v>486</v>
      </c>
      <c r="K727" s="3" t="s">
        <v>648</v>
      </c>
      <c r="L727" s="3" t="s">
        <v>283</v>
      </c>
    </row>
    <row r="728">
      <c r="I728" s="3" t="s">
        <v>649</v>
      </c>
      <c r="J728" s="30">
        <f>J725*K725/64*2</f>
        <v>4194304</v>
      </c>
      <c r="K728" s="30">
        <f>J725*K725/64</f>
        <v>2097152</v>
      </c>
      <c r="L728" s="30">
        <f t="shared" ref="L728:L729" si="161">J728+K728</f>
        <v>6291456</v>
      </c>
    </row>
    <row r="729">
      <c r="A729" s="3" t="s">
        <v>595</v>
      </c>
      <c r="B729" s="3" t="s">
        <v>651</v>
      </c>
      <c r="I729" s="3" t="s">
        <v>650</v>
      </c>
      <c r="J729" s="30">
        <f>J725*K725/64</f>
        <v>2097152</v>
      </c>
      <c r="K729" s="30">
        <f>J725*K725/64</f>
        <v>2097152</v>
      </c>
      <c r="L729" s="30">
        <f t="shared" si="161"/>
        <v>4194304</v>
      </c>
    </row>
    <row r="730">
      <c r="A730" s="3" t="s">
        <v>642</v>
      </c>
      <c r="B730" s="3" t="s">
        <v>643</v>
      </c>
      <c r="C730" s="3" t="s">
        <v>463</v>
      </c>
      <c r="D730" s="3">
        <v>1.0</v>
      </c>
      <c r="E730" s="3">
        <v>4194669.0</v>
      </c>
      <c r="F730" s="3">
        <v>2409047.0</v>
      </c>
      <c r="G730" s="30">
        <f t="shared" ref="G730:G731" si="162">E730+F730</f>
        <v>6603716</v>
      </c>
    </row>
    <row r="731">
      <c r="A731" s="3" t="s">
        <v>642</v>
      </c>
      <c r="B731" s="3" t="s">
        <v>602</v>
      </c>
      <c r="C731" s="3" t="s">
        <v>463</v>
      </c>
      <c r="D731" s="3">
        <v>1.0</v>
      </c>
      <c r="E731" s="3">
        <v>4193464.0</v>
      </c>
      <c r="F731" s="3">
        <v>2404017.0</v>
      </c>
      <c r="G731" s="30">
        <f t="shared" si="162"/>
        <v>6597481</v>
      </c>
    </row>
    <row r="733">
      <c r="A733" s="3" t="s">
        <v>644</v>
      </c>
      <c r="B733" s="3" t="s">
        <v>643</v>
      </c>
      <c r="C733" s="3" t="s">
        <v>463</v>
      </c>
      <c r="D733" s="3">
        <v>1.0</v>
      </c>
      <c r="E733" s="3">
        <v>4118441.0</v>
      </c>
      <c r="F733" s="3">
        <v>2040754.0</v>
      </c>
      <c r="G733" s="30">
        <f t="shared" ref="G733:G734" si="163">E733+F733</f>
        <v>6159195</v>
      </c>
    </row>
    <row r="734">
      <c r="A734" s="3" t="s">
        <v>644</v>
      </c>
      <c r="B734" s="3" t="s">
        <v>602</v>
      </c>
      <c r="C734" s="3" t="s">
        <v>463</v>
      </c>
      <c r="D734" s="3">
        <v>1.0</v>
      </c>
      <c r="E734" s="3">
        <v>4151428.0</v>
      </c>
      <c r="F734" s="3">
        <v>2071814.0</v>
      </c>
      <c r="G734" s="30">
        <f t="shared" si="163"/>
        <v>6223242</v>
      </c>
    </row>
    <row r="736">
      <c r="A736" s="3" t="s">
        <v>647</v>
      </c>
      <c r="B736" s="3" t="s">
        <v>643</v>
      </c>
      <c r="C736" s="3" t="s">
        <v>463</v>
      </c>
      <c r="D736" s="3">
        <v>1.0</v>
      </c>
      <c r="E736" s="3">
        <v>3944120.0</v>
      </c>
      <c r="F736" s="3">
        <v>1906954.0</v>
      </c>
      <c r="G736" s="30">
        <f t="shared" ref="G736:G737" si="164">E736+F736</f>
        <v>5851074</v>
      </c>
    </row>
    <row r="737">
      <c r="A737" s="3" t="s">
        <v>647</v>
      </c>
      <c r="B737" s="3" t="s">
        <v>602</v>
      </c>
      <c r="C737" s="3" t="s">
        <v>463</v>
      </c>
      <c r="D737" s="3">
        <v>1.0</v>
      </c>
      <c r="E737" s="3">
        <v>3954375.0</v>
      </c>
      <c r="F737" s="3">
        <v>1892211.0</v>
      </c>
      <c r="G737" s="30">
        <f t="shared" si="164"/>
        <v>5846586</v>
      </c>
    </row>
    <row r="741">
      <c r="D741" s="30" t="str">
        <f>"total=["&amp;L728&amp;", "&amp;L729&amp;", "&amp;G719&amp;", "&amp;G720&amp;", "&amp;G722&amp;", "&amp;G723&amp;", "&amp;G725&amp;", "&amp;G726&amp;"]"</f>
        <v>total=[6291456, 4194304, 6860474, 6775994, 6053006, 6029796, 6297782, 5666516]</v>
      </c>
    </row>
    <row r="742">
      <c r="D742" s="30" t="str">
        <f>"omp_data=["&amp;L728&amp;", "&amp;L729&amp;","&amp;G730&amp;", "&amp;G731&amp;", "&amp;G733&amp;", "&amp;G734&amp;", "&amp;G736&amp;","&amp;G737&amp;"]"</f>
        <v>omp_data=[6291456, 4194304,6603716, 6597481, 6159195, 6223242, 5851074,5846586]</v>
      </c>
    </row>
    <row r="744">
      <c r="B744" s="3" t="s">
        <v>567</v>
      </c>
      <c r="C744" s="3" t="s">
        <v>653</v>
      </c>
      <c r="D744" s="3" t="s">
        <v>664</v>
      </c>
    </row>
    <row r="745">
      <c r="C745" s="3" t="s">
        <v>589</v>
      </c>
      <c r="D745" s="3" t="s">
        <v>636</v>
      </c>
      <c r="H745" s="30">
        <f t="shared" ref="H745:I745" si="165">(H747+H750+H753)/3</f>
        <v>93.27962924</v>
      </c>
      <c r="I745" s="30">
        <f t="shared" si="165"/>
        <v>54.6027098</v>
      </c>
    </row>
    <row r="746">
      <c r="E746" s="3" t="s">
        <v>448</v>
      </c>
      <c r="F746" s="3" t="s">
        <v>449</v>
      </c>
      <c r="G746" s="3" t="s">
        <v>283</v>
      </c>
      <c r="H746" s="30">
        <f t="shared" ref="H746:I746" si="166">(H748+H751+H754)/3</f>
        <v>83.72321494</v>
      </c>
      <c r="I746" s="30">
        <f t="shared" si="166"/>
        <v>38.22798413</v>
      </c>
    </row>
    <row r="747">
      <c r="A747" s="3" t="s">
        <v>642</v>
      </c>
      <c r="B747" s="3" t="s">
        <v>643</v>
      </c>
      <c r="C747" s="3" t="s">
        <v>463</v>
      </c>
      <c r="D747" s="3">
        <v>50.0</v>
      </c>
      <c r="E747" s="3">
        <v>4350028.0</v>
      </c>
      <c r="F747" s="3">
        <v>6546274.0</v>
      </c>
      <c r="G747" s="30">
        <f t="shared" ref="G747:G748" si="167">E747+F747</f>
        <v>10896302</v>
      </c>
      <c r="H747" s="30">
        <f>100-ABS($L$524-G747)/G747*100</f>
        <v>94.06861153</v>
      </c>
      <c r="I747" s="30">
        <f t="shared" ref="I747:I748" si="168">100-ABS(G747-$L$525)/G747*100</f>
        <v>55.06455309</v>
      </c>
    </row>
    <row r="748">
      <c r="A748" s="3" t="s">
        <v>642</v>
      </c>
      <c r="B748" s="3" t="s">
        <v>602</v>
      </c>
      <c r="C748" s="3" t="s">
        <v>463</v>
      </c>
      <c r="D748" s="3">
        <v>50.0</v>
      </c>
      <c r="E748" s="3">
        <v>1.0331989E7</v>
      </c>
      <c r="F748" s="3">
        <v>6642376.0</v>
      </c>
      <c r="G748" s="30">
        <f t="shared" si="167"/>
        <v>16974365</v>
      </c>
      <c r="H748" s="30">
        <f>100-ABS(G748-P756)/G748*100</f>
        <v>92.48493243</v>
      </c>
      <c r="I748" s="30">
        <f t="shared" si="168"/>
        <v>35.34741948</v>
      </c>
    </row>
    <row r="750">
      <c r="A750" s="3" t="s">
        <v>644</v>
      </c>
      <c r="B750" s="3" t="s">
        <v>643</v>
      </c>
      <c r="C750" s="3" t="s">
        <v>463</v>
      </c>
      <c r="D750" s="3">
        <v>50.0</v>
      </c>
      <c r="E750" s="3">
        <v>4587972.0</v>
      </c>
      <c r="F750" s="3">
        <v>6556922.0</v>
      </c>
      <c r="G750" s="30">
        <f t="shared" ref="G750:G751" si="169">E750+F750</f>
        <v>11144894</v>
      </c>
      <c r="H750" s="97">
        <f>100-ABS($L$524-G750)/G750*100</f>
        <v>91.97036778</v>
      </c>
      <c r="I750" s="30">
        <f t="shared" ref="I750:I751" si="170">100-ABS(G750-$L$525)/G750*100</f>
        <v>53.83631284</v>
      </c>
    </row>
    <row r="751">
      <c r="A751" s="3" t="s">
        <v>644</v>
      </c>
      <c r="B751" s="3" t="s">
        <v>602</v>
      </c>
      <c r="C751" s="3" t="s">
        <v>463</v>
      </c>
      <c r="D751" s="3">
        <v>50.0</v>
      </c>
      <c r="E751" s="3">
        <v>8780493.0</v>
      </c>
      <c r="F751" s="3">
        <v>6538910.0</v>
      </c>
      <c r="G751" s="30">
        <f t="shared" si="169"/>
        <v>15319403</v>
      </c>
      <c r="H751" s="30">
        <f>100-ABS(G751-P756)/G751*100</f>
        <v>80.87003129</v>
      </c>
      <c r="I751" s="30">
        <f t="shared" si="170"/>
        <v>39.16601711</v>
      </c>
    </row>
    <row r="752">
      <c r="J752" s="3" t="s">
        <v>645</v>
      </c>
      <c r="K752" s="3" t="s">
        <v>646</v>
      </c>
    </row>
    <row r="753">
      <c r="A753" s="3" t="s">
        <v>647</v>
      </c>
      <c r="B753" s="3" t="s">
        <v>643</v>
      </c>
      <c r="C753" s="3" t="s">
        <v>463</v>
      </c>
      <c r="D753" s="3">
        <v>50.0</v>
      </c>
      <c r="E753" s="3">
        <v>4479358.0</v>
      </c>
      <c r="F753" s="3">
        <v>6448158.0</v>
      </c>
      <c r="G753" s="30">
        <f t="shared" ref="G753:G754" si="171">E753+F753</f>
        <v>10927516</v>
      </c>
      <c r="H753" s="97">
        <f>100-ABS($L$524-G753)/G753*100</f>
        <v>93.79990841</v>
      </c>
      <c r="I753" s="30">
        <f t="shared" ref="I753:I754" si="172">100-ABS(G753-$L$525)/G753*100</f>
        <v>54.90726346</v>
      </c>
      <c r="J753" s="3">
        <v>1.0E8</v>
      </c>
      <c r="K753" s="3">
        <v>4.0</v>
      </c>
    </row>
    <row r="754">
      <c r="A754" s="3" t="s">
        <v>647</v>
      </c>
      <c r="B754" s="3" t="s">
        <v>602</v>
      </c>
      <c r="C754" s="3" t="s">
        <v>463</v>
      </c>
      <c r="D754" s="3">
        <v>50.0</v>
      </c>
      <c r="E754" s="3">
        <v>8491966.0</v>
      </c>
      <c r="F754" s="3">
        <v>6444362.0</v>
      </c>
      <c r="G754" s="30">
        <f t="shared" si="171"/>
        <v>14936328</v>
      </c>
      <c r="H754" s="30">
        <f>100-ABS(G754-P756)/G754*100</f>
        <v>77.81468109</v>
      </c>
      <c r="I754" s="30">
        <f t="shared" si="172"/>
        <v>40.17051581</v>
      </c>
    </row>
    <row r="755">
      <c r="J755" s="3" t="s">
        <v>486</v>
      </c>
      <c r="K755" s="3" t="s">
        <v>648</v>
      </c>
      <c r="L755" s="3" t="s">
        <v>283</v>
      </c>
    </row>
    <row r="756">
      <c r="I756" s="3" t="s">
        <v>649</v>
      </c>
      <c r="J756" s="30">
        <f t="shared" ref="J756:J757" si="173">$J$521*$K$521/64*2 *16/50</f>
        <v>4000000</v>
      </c>
      <c r="K756" s="30">
        <f>J753*K753/64</f>
        <v>6250000</v>
      </c>
      <c r="L756" s="30">
        <f t="shared" ref="L756:L757" si="174">J756+K756</f>
        <v>10250000</v>
      </c>
      <c r="N756" s="30">
        <f>J753/50*3*2</f>
        <v>12000000</v>
      </c>
      <c r="O756" s="30">
        <v>6250000.0</v>
      </c>
      <c r="P756" s="30">
        <f>N756+O756</f>
        <v>18250000</v>
      </c>
    </row>
    <row r="757">
      <c r="A757" s="3" t="s">
        <v>595</v>
      </c>
      <c r="B757" s="3" t="s">
        <v>651</v>
      </c>
      <c r="I757" s="3" t="s">
        <v>650</v>
      </c>
      <c r="J757" s="30">
        <f t="shared" si="173"/>
        <v>4000000</v>
      </c>
      <c r="K757" s="30">
        <f>J757/2</f>
        <v>2000000</v>
      </c>
      <c r="L757" s="30">
        <f t="shared" si="174"/>
        <v>6000000</v>
      </c>
    </row>
    <row r="758">
      <c r="A758" s="3" t="s">
        <v>642</v>
      </c>
      <c r="B758" s="3" t="s">
        <v>643</v>
      </c>
      <c r="C758" s="3" t="s">
        <v>463</v>
      </c>
      <c r="D758" s="3">
        <v>50.0</v>
      </c>
      <c r="E758" s="3">
        <v>4329745.0</v>
      </c>
      <c r="F758" s="3">
        <v>6736904.0</v>
      </c>
      <c r="G758" s="30">
        <f t="shared" ref="G758:G759" si="175">E758+F758</f>
        <v>11066649</v>
      </c>
    </row>
    <row r="759">
      <c r="A759" s="3" t="s">
        <v>642</v>
      </c>
      <c r="B759" s="3" t="s">
        <v>602</v>
      </c>
      <c r="C759" s="3" t="s">
        <v>463</v>
      </c>
      <c r="D759" s="3">
        <v>50.0</v>
      </c>
      <c r="E759" s="3">
        <v>1.251569E7</v>
      </c>
      <c r="F759" s="3">
        <v>7297482.0</v>
      </c>
      <c r="G759" s="30">
        <f t="shared" si="175"/>
        <v>19813172</v>
      </c>
    </row>
    <row r="761">
      <c r="A761" s="3" t="s">
        <v>644</v>
      </c>
      <c r="B761" s="3" t="s">
        <v>643</v>
      </c>
      <c r="C761" s="3" t="s">
        <v>463</v>
      </c>
      <c r="D761" s="3">
        <v>50.0</v>
      </c>
      <c r="E761" s="3">
        <v>5026301.0</v>
      </c>
      <c r="F761" s="3">
        <v>9816372.0</v>
      </c>
      <c r="G761" s="30">
        <f t="shared" ref="G761:G762" si="176">E761+F761</f>
        <v>14842673</v>
      </c>
    </row>
    <row r="762">
      <c r="A762" s="3" t="s">
        <v>644</v>
      </c>
      <c r="B762" s="3" t="s">
        <v>602</v>
      </c>
      <c r="C762" s="3" t="s">
        <v>463</v>
      </c>
      <c r="D762" s="3">
        <v>50.0</v>
      </c>
      <c r="E762" s="3">
        <v>1.4696603E7</v>
      </c>
      <c r="F762" s="3">
        <v>1.1705701E7</v>
      </c>
      <c r="G762" s="30">
        <f t="shared" si="176"/>
        <v>26402304</v>
      </c>
    </row>
    <row r="764">
      <c r="A764" s="3" t="s">
        <v>647</v>
      </c>
      <c r="B764" s="3" t="s">
        <v>643</v>
      </c>
      <c r="C764" s="3" t="s">
        <v>463</v>
      </c>
      <c r="D764" s="3">
        <v>50.0</v>
      </c>
      <c r="E764" s="3">
        <v>5832027.0</v>
      </c>
      <c r="F764" s="3">
        <v>1.2642505E7</v>
      </c>
      <c r="G764" s="30">
        <f t="shared" ref="G764:G765" si="177">E764+F764</f>
        <v>18474532</v>
      </c>
    </row>
    <row r="765">
      <c r="A765" s="3" t="s">
        <v>647</v>
      </c>
      <c r="B765" s="3" t="s">
        <v>602</v>
      </c>
      <c r="C765" s="3" t="s">
        <v>463</v>
      </c>
      <c r="D765" s="3">
        <v>50.0</v>
      </c>
      <c r="E765" s="3">
        <v>2.1618052E7</v>
      </c>
      <c r="F765" s="3">
        <v>1.9427439E7</v>
      </c>
      <c r="G765" s="30">
        <f t="shared" si="177"/>
        <v>41045491</v>
      </c>
    </row>
    <row r="769">
      <c r="D769" s="30" t="str">
        <f>"total=["&amp;L756&amp;", "&amp;L757&amp;", "&amp;G747&amp;", "&amp;G748&amp;", "&amp;G750&amp;", "&amp;G751&amp;", "&amp;G753&amp;", "&amp;G754&amp;"]"</f>
        <v>total=[10250000, 6000000, 10896302, 16974365, 11144894, 15319403, 10927516, 14936328]</v>
      </c>
    </row>
    <row r="775">
      <c r="D775" s="3" t="s">
        <v>665</v>
      </c>
    </row>
    <row r="776">
      <c r="B776" s="3" t="s">
        <v>567</v>
      </c>
      <c r="C776" s="3" t="s">
        <v>654</v>
      </c>
    </row>
    <row r="777">
      <c r="C777" s="3" t="s">
        <v>589</v>
      </c>
      <c r="D777" s="3" t="s">
        <v>636</v>
      </c>
    </row>
    <row r="778">
      <c r="E778" s="3" t="s">
        <v>448</v>
      </c>
      <c r="F778" s="3" t="s">
        <v>449</v>
      </c>
      <c r="G778" s="3" t="s">
        <v>283</v>
      </c>
      <c r="J778" s="3">
        <v>4096.0</v>
      </c>
      <c r="K778" s="3">
        <v>4096.0</v>
      </c>
    </row>
    <row r="779">
      <c r="A779" s="3" t="s">
        <v>642</v>
      </c>
      <c r="B779" s="3" t="s">
        <v>643</v>
      </c>
      <c r="C779" s="3" t="s">
        <v>463</v>
      </c>
      <c r="D779" s="3">
        <v>200.0</v>
      </c>
      <c r="E779" s="3">
        <v>1516527.0</v>
      </c>
      <c r="F779" s="3">
        <v>821676.0</v>
      </c>
      <c r="G779" s="30">
        <f t="shared" ref="G779:G780" si="178">E779+F779</f>
        <v>2338203</v>
      </c>
      <c r="H779" s="30">
        <f t="shared" ref="H779:H780" si="179">100-ABS($L$496-G779)/$L$496*100</f>
        <v>37.16473579</v>
      </c>
      <c r="I779" s="30">
        <f>100-ABS($L$497-G779)/$L$497*100</f>
        <v>55.74710369</v>
      </c>
    </row>
    <row r="780">
      <c r="A780" s="3" t="s">
        <v>642</v>
      </c>
      <c r="B780" s="3" t="s">
        <v>602</v>
      </c>
      <c r="C780" s="3" t="s">
        <v>463</v>
      </c>
      <c r="D780" s="3">
        <v>200.0</v>
      </c>
      <c r="E780" s="3">
        <v>1520001.0</v>
      </c>
      <c r="F780" s="3">
        <v>826604.0</v>
      </c>
      <c r="G780" s="30">
        <f t="shared" si="178"/>
        <v>2346605</v>
      </c>
      <c r="H780" s="30">
        <f t="shared" si="179"/>
        <v>37.29828199</v>
      </c>
    </row>
    <row r="782">
      <c r="A782" s="3" t="s">
        <v>644</v>
      </c>
      <c r="B782" s="3" t="s">
        <v>643</v>
      </c>
      <c r="C782" s="3" t="s">
        <v>463</v>
      </c>
      <c r="D782" s="3">
        <v>200.0</v>
      </c>
      <c r="E782" s="3">
        <v>1697399.0</v>
      </c>
      <c r="F782" s="3">
        <v>679613.0</v>
      </c>
      <c r="G782" s="30">
        <f t="shared" ref="G782:G783" si="180">E782+F782</f>
        <v>2377012</v>
      </c>
      <c r="H782" s="30">
        <f t="shared" ref="H782:H783" si="181">100-ABS($L$496-G782)/$L$496*100</f>
        <v>37.78158824</v>
      </c>
      <c r="M782" s="30">
        <f>J785/200</f>
        <v>500000</v>
      </c>
    </row>
    <row r="783">
      <c r="A783" s="3" t="s">
        <v>644</v>
      </c>
      <c r="B783" s="3" t="s">
        <v>602</v>
      </c>
      <c r="C783" s="3" t="s">
        <v>463</v>
      </c>
      <c r="D783" s="3">
        <v>200.0</v>
      </c>
      <c r="E783" s="3">
        <v>1826256.0</v>
      </c>
      <c r="F783" s="3">
        <v>703656.0</v>
      </c>
      <c r="G783" s="30">
        <f t="shared" si="180"/>
        <v>2529912</v>
      </c>
      <c r="H783" s="30">
        <f t="shared" si="181"/>
        <v>40.21186829</v>
      </c>
    </row>
    <row r="784">
      <c r="J784" s="3" t="s">
        <v>645</v>
      </c>
      <c r="K784" s="3" t="s">
        <v>646</v>
      </c>
    </row>
    <row r="785">
      <c r="A785" s="3" t="s">
        <v>647</v>
      </c>
      <c r="B785" s="3" t="s">
        <v>643</v>
      </c>
      <c r="C785" s="3" t="s">
        <v>463</v>
      </c>
      <c r="D785" s="3">
        <v>200.0</v>
      </c>
      <c r="E785" s="3">
        <v>1501175.0</v>
      </c>
      <c r="F785" s="3">
        <v>505334.0</v>
      </c>
      <c r="G785" s="30">
        <f t="shared" ref="G785:G786" si="182">E785+F785</f>
        <v>2006509</v>
      </c>
      <c r="H785" s="30">
        <f t="shared" ref="H785:H786" si="183">100-ABS($L$496-G785)/$L$496*100</f>
        <v>31.89260165</v>
      </c>
      <c r="J785" s="3">
        <v>1.0E8</v>
      </c>
      <c r="K785" s="3">
        <v>4.0</v>
      </c>
    </row>
    <row r="786">
      <c r="A786" s="3" t="s">
        <v>647</v>
      </c>
      <c r="B786" s="3" t="s">
        <v>602</v>
      </c>
      <c r="C786" s="3" t="s">
        <v>463</v>
      </c>
      <c r="D786" s="3">
        <v>200.0</v>
      </c>
      <c r="E786" s="3">
        <v>1502057.0</v>
      </c>
      <c r="F786" s="3">
        <v>505586.0</v>
      </c>
      <c r="G786" s="30">
        <f t="shared" si="182"/>
        <v>2007643</v>
      </c>
      <c r="H786" s="30">
        <f t="shared" si="183"/>
        <v>31.91062609</v>
      </c>
    </row>
    <row r="787">
      <c r="J787" s="3" t="s">
        <v>486</v>
      </c>
      <c r="K787" s="3" t="s">
        <v>648</v>
      </c>
      <c r="L787" s="3" t="s">
        <v>283</v>
      </c>
    </row>
    <row r="788">
      <c r="I788" s="3" t="s">
        <v>649</v>
      </c>
      <c r="J788" s="30">
        <f>J785*K785/64*3*16/200</f>
        <v>1500000</v>
      </c>
      <c r="K788" s="30">
        <f>J785*K785/64*16/200</f>
        <v>500000</v>
      </c>
      <c r="L788" s="30">
        <f t="shared" ref="L788:L789" si="184">J788+K788</f>
        <v>2000000</v>
      </c>
    </row>
    <row r="789">
      <c r="A789" s="3" t="s">
        <v>595</v>
      </c>
      <c r="B789" s="3" t="s">
        <v>651</v>
      </c>
      <c r="I789" s="3" t="s">
        <v>650</v>
      </c>
      <c r="J789" s="30">
        <f>J785*K785/64*16/200*2</f>
        <v>1000000</v>
      </c>
      <c r="K789" s="30">
        <f>K788</f>
        <v>500000</v>
      </c>
      <c r="L789" s="30">
        <f t="shared" si="184"/>
        <v>1500000</v>
      </c>
    </row>
    <row r="790">
      <c r="A790" s="3" t="s">
        <v>642</v>
      </c>
      <c r="B790" s="3" t="s">
        <v>643</v>
      </c>
      <c r="C790" s="3" t="s">
        <v>463</v>
      </c>
      <c r="D790" s="3">
        <v>200.0</v>
      </c>
      <c r="E790" s="3">
        <v>1513717.0</v>
      </c>
      <c r="F790" s="3">
        <v>991100.0</v>
      </c>
      <c r="G790" s="30">
        <f t="shared" ref="G790:G791" si="185">E790+F790</f>
        <v>2504817</v>
      </c>
    </row>
    <row r="791">
      <c r="A791" s="3" t="s">
        <v>642</v>
      </c>
      <c r="B791" s="3" t="s">
        <v>602</v>
      </c>
      <c r="C791" s="3" t="s">
        <v>463</v>
      </c>
      <c r="D791" s="3">
        <v>200.0</v>
      </c>
      <c r="E791" s="3">
        <v>1529733.0</v>
      </c>
      <c r="F791" s="3">
        <v>999314.0</v>
      </c>
      <c r="G791" s="30">
        <f t="shared" si="185"/>
        <v>2529047</v>
      </c>
    </row>
    <row r="793">
      <c r="A793" s="3" t="s">
        <v>644</v>
      </c>
      <c r="B793" s="3" t="s">
        <v>643</v>
      </c>
      <c r="C793" s="3" t="s">
        <v>463</v>
      </c>
      <c r="D793" s="3">
        <v>200.0</v>
      </c>
      <c r="E793" s="3">
        <v>1421407.0</v>
      </c>
      <c r="F793" s="3">
        <v>471088.0</v>
      </c>
      <c r="G793" s="30">
        <f t="shared" ref="G793:G794" si="186">E793+F793</f>
        <v>1892495</v>
      </c>
    </row>
    <row r="794">
      <c r="A794" s="3" t="s">
        <v>644</v>
      </c>
      <c r="B794" s="3" t="s">
        <v>602</v>
      </c>
      <c r="C794" s="3" t="s">
        <v>463</v>
      </c>
      <c r="D794" s="3">
        <v>200.0</v>
      </c>
      <c r="E794" s="3">
        <v>1572538.0</v>
      </c>
      <c r="F794" s="3">
        <v>470893.0</v>
      </c>
      <c r="G794" s="30">
        <f t="shared" si="186"/>
        <v>2043431</v>
      </c>
    </row>
    <row r="796">
      <c r="A796" s="3" t="s">
        <v>647</v>
      </c>
      <c r="B796" s="3" t="s">
        <v>643</v>
      </c>
      <c r="C796" s="3" t="s">
        <v>463</v>
      </c>
      <c r="D796" s="3">
        <v>200.0</v>
      </c>
      <c r="E796" s="3">
        <v>1508776.0</v>
      </c>
      <c r="F796" s="3">
        <v>1047014.0</v>
      </c>
      <c r="G796" s="30">
        <f t="shared" ref="G796:G797" si="187">E796+F796</f>
        <v>2555790</v>
      </c>
    </row>
    <row r="797">
      <c r="A797" s="3" t="s">
        <v>647</v>
      </c>
      <c r="B797" s="3" t="s">
        <v>602</v>
      </c>
      <c r="C797" s="3" t="s">
        <v>463</v>
      </c>
      <c r="D797" s="3">
        <v>200.0</v>
      </c>
      <c r="E797" s="3">
        <v>1765203.0</v>
      </c>
      <c r="F797" s="3">
        <v>1034721.0</v>
      </c>
      <c r="G797" s="30">
        <f t="shared" si="187"/>
        <v>2799924</v>
      </c>
    </row>
    <row r="801">
      <c r="D801" s="30" t="str">
        <f>"total=["&amp;L788&amp;", "&amp;L789&amp;", "&amp;G779&amp;", "&amp;G780&amp;", "&amp;G782&amp;", "&amp;G783&amp;", "&amp;G785&amp;", "&amp;G786&amp;"]"</f>
        <v>total=[2000000, 1500000, 2338203, 2346605, 2377012, 2529912, 2006509, 2007643]</v>
      </c>
    </row>
    <row r="806">
      <c r="D806" s="3" t="s">
        <v>655</v>
      </c>
      <c r="E806" s="3">
        <v>1.0</v>
      </c>
      <c r="F806" s="3">
        <v>1713800.0</v>
      </c>
      <c r="G806" s="3">
        <v>398826.0</v>
      </c>
    </row>
    <row r="807">
      <c r="I807" s="3">
        <v>4000000.0</v>
      </c>
      <c r="J807" s="30">
        <f>LOG(I807)</f>
        <v>6.602059991</v>
      </c>
      <c r="K807" s="30">
        <f>J807*100000</f>
        <v>660205.9991</v>
      </c>
      <c r="L807" s="30">
        <f>K807*3</f>
        <v>1980617.997</v>
      </c>
    </row>
    <row r="809">
      <c r="B809" s="3" t="s">
        <v>656</v>
      </c>
    </row>
    <row r="810">
      <c r="C810" s="3" t="s">
        <v>589</v>
      </c>
      <c r="D810" s="3" t="s">
        <v>636</v>
      </c>
    </row>
    <row r="811">
      <c r="E811" s="3" t="s">
        <v>448</v>
      </c>
      <c r="F811" s="3" t="s">
        <v>449</v>
      </c>
      <c r="G811" s="3" t="s">
        <v>283</v>
      </c>
      <c r="H811" s="30">
        <f>(H812+H815+H818)/3</f>
        <v>71.40343218</v>
      </c>
      <c r="J811" s="3">
        <v>4096.0</v>
      </c>
      <c r="K811" s="3">
        <v>4096.0</v>
      </c>
    </row>
    <row r="812">
      <c r="A812" s="3" t="s">
        <v>642</v>
      </c>
      <c r="B812" s="3" t="s">
        <v>643</v>
      </c>
      <c r="C812" s="3" t="s">
        <v>655</v>
      </c>
      <c r="D812" s="3">
        <v>1.0</v>
      </c>
      <c r="E812" s="3">
        <v>426155.0</v>
      </c>
      <c r="G812" s="30">
        <f t="shared" ref="G812:G813" si="188">E812+F812</f>
        <v>426155</v>
      </c>
      <c r="H812" s="30">
        <f>100-ABS(G812-L821)/G812*100</f>
        <v>61.88821813</v>
      </c>
      <c r="I812" s="30">
        <f>100-ABS($L$497-G812)/$L$497*100</f>
        <v>10.16032696</v>
      </c>
    </row>
    <row r="813">
      <c r="A813" s="3" t="s">
        <v>642</v>
      </c>
      <c r="B813" s="3" t="s">
        <v>602</v>
      </c>
      <c r="C813" s="3" t="s">
        <v>655</v>
      </c>
      <c r="D813" s="3">
        <v>1.0</v>
      </c>
      <c r="E813" s="3">
        <v>472839.0</v>
      </c>
      <c r="G813" s="30">
        <f t="shared" si="188"/>
        <v>472839</v>
      </c>
      <c r="H813" s="30">
        <f>100-ABS(G813-L821)/G813*100</f>
        <v>75.52417122</v>
      </c>
    </row>
    <row r="814">
      <c r="J814" s="30">
        <f>(H813+H819)/2</f>
        <v>63.08615896</v>
      </c>
    </row>
    <row r="815">
      <c r="A815" s="3" t="s">
        <v>644</v>
      </c>
      <c r="B815" s="3" t="s">
        <v>643</v>
      </c>
      <c r="C815" s="3" t="s">
        <v>463</v>
      </c>
      <c r="D815" s="3">
        <v>1.0</v>
      </c>
      <c r="E815" s="3">
        <v>534214.0</v>
      </c>
      <c r="G815" s="30">
        <f t="shared" ref="G815:G816" si="189">E815+F815</f>
        <v>534214</v>
      </c>
      <c r="H815" s="30">
        <f>100-ABS(G815-L821)/G815*100</f>
        <v>89.82500196</v>
      </c>
    </row>
    <row r="816">
      <c r="A816" s="3" t="s">
        <v>644</v>
      </c>
      <c r="B816" s="3" t="s">
        <v>602</v>
      </c>
      <c r="C816" s="3" t="s">
        <v>463</v>
      </c>
      <c r="D816" s="3">
        <v>1.0</v>
      </c>
      <c r="E816" s="3">
        <v>1152437.0</v>
      </c>
      <c r="G816" s="30">
        <f t="shared" si="189"/>
        <v>1152437</v>
      </c>
      <c r="H816" s="30">
        <f>100-ABS($L$496-G816)/$L$496*100</f>
        <v>18.3174928</v>
      </c>
    </row>
    <row r="817">
      <c r="J817" s="3" t="s">
        <v>645</v>
      </c>
      <c r="K817" s="3" t="s">
        <v>646</v>
      </c>
    </row>
    <row r="818">
      <c r="A818" s="3" t="s">
        <v>647</v>
      </c>
      <c r="B818" s="3" t="s">
        <v>643</v>
      </c>
      <c r="C818" s="3" t="s">
        <v>463</v>
      </c>
      <c r="D818" s="3">
        <v>1.0</v>
      </c>
      <c r="E818" s="3">
        <v>428042.0</v>
      </c>
      <c r="G818" s="30">
        <f t="shared" ref="G818:G819" si="190">E818+F818</f>
        <v>428042</v>
      </c>
      <c r="H818" s="30">
        <f>100-ABS(G818-L821)/G818*100</f>
        <v>62.49707645</v>
      </c>
      <c r="J818" s="3">
        <v>1.0E8</v>
      </c>
      <c r="K818" s="3">
        <v>4.0</v>
      </c>
    </row>
    <row r="819">
      <c r="A819" s="3" t="s">
        <v>647</v>
      </c>
      <c r="B819" s="3" t="s">
        <v>602</v>
      </c>
      <c r="C819" s="3" t="s">
        <v>463</v>
      </c>
      <c r="D819" s="3">
        <v>1.0</v>
      </c>
      <c r="E819" s="3">
        <v>394083.0</v>
      </c>
      <c r="G819" s="30">
        <f t="shared" si="190"/>
        <v>394083</v>
      </c>
      <c r="H819" s="30">
        <f>100-ABS(G819-L821)/G819*100</f>
        <v>50.6481467</v>
      </c>
    </row>
    <row r="820">
      <c r="J820" s="3" t="s">
        <v>486</v>
      </c>
      <c r="K820" s="3" t="s">
        <v>648</v>
      </c>
      <c r="L820" s="3" t="s">
        <v>283</v>
      </c>
    </row>
    <row r="821">
      <c r="I821" s="3" t="s">
        <v>649</v>
      </c>
      <c r="J821" s="30">
        <v>588570.2640307106</v>
      </c>
      <c r="L821" s="30">
        <f t="shared" ref="L821:L822" si="191">J821+K821</f>
        <v>588570.264</v>
      </c>
    </row>
    <row r="822">
      <c r="A822" s="3" t="s">
        <v>595</v>
      </c>
      <c r="B822" s="3" t="s">
        <v>651</v>
      </c>
      <c r="I822" s="3" t="s">
        <v>650</v>
      </c>
      <c r="J822" s="30">
        <f>J818*K818/64*16/200*2</f>
        <v>1000000</v>
      </c>
      <c r="L822" s="30">
        <f t="shared" si="191"/>
        <v>1000000</v>
      </c>
    </row>
    <row r="823">
      <c r="A823" s="3" t="s">
        <v>642</v>
      </c>
      <c r="B823" s="3" t="s">
        <v>643</v>
      </c>
      <c r="C823" s="3" t="s">
        <v>655</v>
      </c>
      <c r="D823" s="3">
        <v>1.0</v>
      </c>
      <c r="E823" s="3">
        <v>639516.0</v>
      </c>
      <c r="F823" s="3">
        <v>25937.0</v>
      </c>
      <c r="G823" s="30">
        <f t="shared" ref="G823:G824" si="192">E823+F823</f>
        <v>665453</v>
      </c>
    </row>
    <row r="824">
      <c r="A824" s="3" t="s">
        <v>642</v>
      </c>
      <c r="B824" s="3" t="s">
        <v>602</v>
      </c>
      <c r="C824" s="3" t="s">
        <v>655</v>
      </c>
      <c r="D824" s="3">
        <v>1.0</v>
      </c>
      <c r="E824" s="3">
        <v>853467.0</v>
      </c>
      <c r="F824" s="3">
        <v>25937.0</v>
      </c>
      <c r="G824" s="30">
        <f t="shared" si="192"/>
        <v>879404</v>
      </c>
    </row>
    <row r="826">
      <c r="A826" s="3" t="s">
        <v>644</v>
      </c>
      <c r="B826" s="3" t="s">
        <v>643</v>
      </c>
      <c r="C826" s="3" t="s">
        <v>463</v>
      </c>
      <c r="D826" s="3">
        <v>1.0</v>
      </c>
      <c r="E826" s="3">
        <v>911139.0</v>
      </c>
      <c r="F826" s="3">
        <v>0.0</v>
      </c>
      <c r="G826" s="30">
        <f t="shared" ref="G826:G827" si="193">E826+F826</f>
        <v>911139</v>
      </c>
    </row>
    <row r="827">
      <c r="A827" s="3" t="s">
        <v>644</v>
      </c>
      <c r="B827" s="3" t="s">
        <v>602</v>
      </c>
      <c r="C827" s="3" t="s">
        <v>463</v>
      </c>
      <c r="D827" s="3">
        <v>1.0</v>
      </c>
      <c r="E827" s="3">
        <v>1925681.0</v>
      </c>
      <c r="F827" s="3">
        <v>0.0</v>
      </c>
      <c r="G827" s="30">
        <f t="shared" si="193"/>
        <v>1925681</v>
      </c>
    </row>
    <row r="829">
      <c r="A829" s="3" t="s">
        <v>647</v>
      </c>
      <c r="B829" s="3" t="s">
        <v>643</v>
      </c>
      <c r="C829" s="3" t="s">
        <v>463</v>
      </c>
      <c r="D829" s="3">
        <v>1.0</v>
      </c>
      <c r="E829" s="3">
        <v>593093.0</v>
      </c>
      <c r="F829" s="3">
        <v>0.0</v>
      </c>
      <c r="G829" s="30">
        <f t="shared" ref="G829:G830" si="194">E829+F829</f>
        <v>593093</v>
      </c>
    </row>
    <row r="830">
      <c r="A830" s="3" t="s">
        <v>647</v>
      </c>
      <c r="B830" s="3" t="s">
        <v>602</v>
      </c>
      <c r="C830" s="3" t="s">
        <v>463</v>
      </c>
      <c r="D830" s="3">
        <v>1.0</v>
      </c>
      <c r="E830" s="3">
        <v>1018796.0</v>
      </c>
      <c r="F830" s="3">
        <v>0.0</v>
      </c>
      <c r="G830" s="30">
        <f t="shared" si="194"/>
        <v>1018796</v>
      </c>
    </row>
    <row r="834">
      <c r="D834" s="30" t="str">
        <f>"total=["&amp;L821&amp;", "&amp;L822&amp;", "&amp;G812&amp;", "&amp;G813&amp;", "&amp;G815&amp;", "&amp;G816&amp;", "&amp;G818&amp;", "&amp;G819&amp;"]"</f>
        <v>total=[588570.264030711, 1000000, 426155, 472839, 534214, 1152437, 428042, 394083]</v>
      </c>
    </row>
    <row r="835">
      <c r="D835" s="30" t="str">
        <f>"omp_data=["&amp;L821&amp;", "&amp;L822&amp;","&amp;G823&amp;", "&amp;G824&amp;", "&amp;G826&amp;", "&amp;G827&amp;", "&amp;G829&amp;","&amp;G830&amp;"]"</f>
        <v>omp_data=[588570.264030711, 1000000,665453, 879404, 911139, 1925681, 593093,1018796]</v>
      </c>
    </row>
    <row r="836">
      <c r="F836" s="3">
        <v>240.0</v>
      </c>
      <c r="G836" s="30">
        <f>F836*F841</f>
        <v>251658240</v>
      </c>
      <c r="H836" s="30">
        <f>E838/G836</f>
        <v>0.02443326314</v>
      </c>
      <c r="I836" s="30">
        <f>E843/G836</f>
        <v>0.1666666667</v>
      </c>
      <c r="J836" s="30">
        <f>H836*I836</f>
        <v>0.004072210524</v>
      </c>
    </row>
    <row r="838">
      <c r="D838" s="98">
        <v>768604.0</v>
      </c>
      <c r="E838" s="30">
        <f>D838*8</f>
        <v>6148832</v>
      </c>
      <c r="F838" s="30">
        <f>E838/F841</f>
        <v>5.863983154</v>
      </c>
      <c r="I838" s="30">
        <f>D841/D838</f>
        <v>0.7657652888</v>
      </c>
    </row>
    <row r="839">
      <c r="F839" s="3">
        <v>477873.0</v>
      </c>
    </row>
    <row r="840">
      <c r="D840" s="30">
        <f>log(D838)</f>
        <v>5.88570264</v>
      </c>
    </row>
    <row r="841">
      <c r="D841" s="30">
        <f>D840*100000</f>
        <v>588570.264</v>
      </c>
      <c r="E841" s="30">
        <f>D841*64</f>
        <v>37668496.9</v>
      </c>
      <c r="F841" s="99">
        <v>1048576.0</v>
      </c>
      <c r="G841" s="30">
        <f>E841/F841</f>
        <v>35.92347803</v>
      </c>
    </row>
    <row r="842">
      <c r="D842" s="3" t="s">
        <v>657</v>
      </c>
    </row>
    <row r="843">
      <c r="C843" s="3" t="s">
        <v>658</v>
      </c>
      <c r="D843" s="3">
        <v>40.0</v>
      </c>
      <c r="E843" s="30">
        <f t="shared" ref="E843:E845" si="195">D843*$F$609</f>
        <v>41943040</v>
      </c>
    </row>
    <row r="844">
      <c r="C844" s="3" t="s">
        <v>659</v>
      </c>
      <c r="D844" s="3">
        <v>14.0</v>
      </c>
      <c r="E844" s="30">
        <f t="shared" si="195"/>
        <v>14680064</v>
      </c>
    </row>
    <row r="845">
      <c r="C845" s="3" t="s">
        <v>660</v>
      </c>
      <c r="D845" s="3">
        <v>28.0</v>
      </c>
      <c r="E845" s="30">
        <f t="shared" si="195"/>
        <v>29360128</v>
      </c>
    </row>
    <row r="846">
      <c r="K846" s="3">
        <v>102.0</v>
      </c>
    </row>
    <row r="848">
      <c r="L848" s="30">
        <f>L851/64</f>
        <v>65536</v>
      </c>
    </row>
    <row r="849">
      <c r="B849" s="3" t="s">
        <v>661</v>
      </c>
    </row>
    <row r="850">
      <c r="C850" s="3" t="s">
        <v>589</v>
      </c>
      <c r="D850" s="3" t="s">
        <v>636</v>
      </c>
    </row>
    <row r="851">
      <c r="E851" s="3" t="s">
        <v>448</v>
      </c>
      <c r="F851" s="3" t="s">
        <v>449</v>
      </c>
      <c r="G851" s="3" t="s">
        <v>283</v>
      </c>
      <c r="J851" s="3">
        <v>2048.0</v>
      </c>
      <c r="K851" s="3">
        <v>2048.0</v>
      </c>
      <c r="L851" s="30">
        <f>J851*K851</f>
        <v>4194304</v>
      </c>
      <c r="M851" s="30">
        <f>L851/64</f>
        <v>65536</v>
      </c>
    </row>
    <row r="852">
      <c r="A852" s="3" t="s">
        <v>642</v>
      </c>
      <c r="B852" s="3" t="s">
        <v>643</v>
      </c>
      <c r="C852" s="3" t="s">
        <v>463</v>
      </c>
      <c r="D852" s="3">
        <v>200.0</v>
      </c>
      <c r="E852" s="3">
        <v>1516527.0</v>
      </c>
      <c r="F852" s="3">
        <v>821676.0</v>
      </c>
      <c r="G852" s="30">
        <f t="shared" ref="G852:G853" si="196">E852+F852</f>
        <v>2338203</v>
      </c>
      <c r="H852" s="30">
        <f t="shared" ref="H852:H853" si="197">100-ABS($L$496-G852)/$L$496*100</f>
        <v>37.16473579</v>
      </c>
      <c r="I852" s="30">
        <f>100-ABS($L$497-G852)/$L$497*100</f>
        <v>55.74710369</v>
      </c>
    </row>
    <row r="853">
      <c r="A853" s="3" t="s">
        <v>642</v>
      </c>
      <c r="B853" s="3" t="s">
        <v>602</v>
      </c>
      <c r="C853" s="3" t="s">
        <v>463</v>
      </c>
      <c r="D853" s="3">
        <v>200.0</v>
      </c>
      <c r="E853" s="3">
        <v>1520001.0</v>
      </c>
      <c r="F853" s="3">
        <v>826604.0</v>
      </c>
      <c r="G853" s="30">
        <f t="shared" si="196"/>
        <v>2346605</v>
      </c>
      <c r="H853" s="30">
        <f t="shared" si="197"/>
        <v>37.29828199</v>
      </c>
    </row>
    <row r="855">
      <c r="A855" s="3" t="s">
        <v>644</v>
      </c>
      <c r="B855" s="3" t="s">
        <v>643</v>
      </c>
      <c r="C855" s="3" t="s">
        <v>463</v>
      </c>
      <c r="D855" s="3">
        <v>200.0</v>
      </c>
      <c r="E855" s="3">
        <v>1697399.0</v>
      </c>
      <c r="F855" s="3">
        <v>679613.0</v>
      </c>
      <c r="G855" s="30">
        <f t="shared" ref="G855:G856" si="198">E855+F855</f>
        <v>2377012</v>
      </c>
      <c r="H855" s="30">
        <f t="shared" ref="H855:H856" si="199">100-ABS($L$496-G855)/$L$496*100</f>
        <v>37.78158824</v>
      </c>
      <c r="M855" s="30">
        <f>J858/200</f>
        <v>500000</v>
      </c>
    </row>
    <row r="856">
      <c r="A856" s="3" t="s">
        <v>644</v>
      </c>
      <c r="B856" s="3" t="s">
        <v>602</v>
      </c>
      <c r="C856" s="3" t="s">
        <v>463</v>
      </c>
      <c r="D856" s="3">
        <v>200.0</v>
      </c>
      <c r="E856" s="3">
        <v>1826256.0</v>
      </c>
      <c r="F856" s="3">
        <v>703656.0</v>
      </c>
      <c r="G856" s="30">
        <f t="shared" si="198"/>
        <v>2529912</v>
      </c>
      <c r="H856" s="30">
        <f t="shared" si="199"/>
        <v>40.21186829</v>
      </c>
    </row>
    <row r="857">
      <c r="J857" s="3" t="s">
        <v>645</v>
      </c>
      <c r="K857" s="3" t="s">
        <v>646</v>
      </c>
    </row>
    <row r="858">
      <c r="A858" s="3" t="s">
        <v>647</v>
      </c>
      <c r="B858" s="3" t="s">
        <v>643</v>
      </c>
      <c r="C858" s="3" t="s">
        <v>463</v>
      </c>
      <c r="D858" s="3">
        <v>200.0</v>
      </c>
      <c r="E858" s="3">
        <v>1501175.0</v>
      </c>
      <c r="F858" s="3">
        <v>505334.0</v>
      </c>
      <c r="G858" s="30">
        <f t="shared" ref="G858:G859" si="200">E858+F858</f>
        <v>2006509</v>
      </c>
      <c r="H858" s="30">
        <f t="shared" ref="H858:H859" si="201">100-ABS($L$496-G858)/$L$496*100</f>
        <v>31.89260165</v>
      </c>
      <c r="J858" s="3">
        <v>1.0E8</v>
      </c>
      <c r="K858" s="3">
        <v>4.0</v>
      </c>
    </row>
    <row r="859">
      <c r="A859" s="3" t="s">
        <v>647</v>
      </c>
      <c r="B859" s="3" t="s">
        <v>602</v>
      </c>
      <c r="C859" s="3" t="s">
        <v>463</v>
      </c>
      <c r="D859" s="3">
        <v>200.0</v>
      </c>
      <c r="E859" s="3">
        <v>1502057.0</v>
      </c>
      <c r="F859" s="3">
        <v>505586.0</v>
      </c>
      <c r="G859" s="30">
        <f t="shared" si="200"/>
        <v>2007643</v>
      </c>
      <c r="H859" s="30">
        <f t="shared" si="201"/>
        <v>31.91062609</v>
      </c>
    </row>
    <row r="860">
      <c r="J860" s="3" t="s">
        <v>486</v>
      </c>
      <c r="K860" s="3" t="s">
        <v>648</v>
      </c>
      <c r="L860" s="3" t="s">
        <v>283</v>
      </c>
    </row>
    <row r="861">
      <c r="I861" s="3" t="s">
        <v>649</v>
      </c>
      <c r="J861" s="30">
        <f>J858*K858/64*3*16/200</f>
        <v>1500000</v>
      </c>
      <c r="K861" s="30">
        <f>J858*K858/64*16/200</f>
        <v>500000</v>
      </c>
      <c r="L861" s="30">
        <f t="shared" ref="L861:L862" si="202">J861+K861</f>
        <v>2000000</v>
      </c>
    </row>
    <row r="862">
      <c r="A862" s="3" t="s">
        <v>595</v>
      </c>
      <c r="B862" s="3" t="s">
        <v>651</v>
      </c>
      <c r="I862" s="3" t="s">
        <v>650</v>
      </c>
      <c r="J862" s="30">
        <f>J858*K858/64*16/200*2</f>
        <v>1000000</v>
      </c>
      <c r="K862" s="30">
        <f>K861</f>
        <v>500000</v>
      </c>
      <c r="L862" s="30">
        <f t="shared" si="202"/>
        <v>1500000</v>
      </c>
    </row>
    <row r="863">
      <c r="A863" s="3" t="s">
        <v>642</v>
      </c>
      <c r="B863" s="3" t="s">
        <v>643</v>
      </c>
      <c r="C863" s="3" t="s">
        <v>463</v>
      </c>
      <c r="D863" s="3">
        <v>1.0</v>
      </c>
      <c r="E863" s="3">
        <v>1.8776592E7</v>
      </c>
      <c r="F863" s="3">
        <v>6270387.0</v>
      </c>
      <c r="G863" s="30">
        <f t="shared" ref="G863:G864" si="203">E863+F863</f>
        <v>25046979</v>
      </c>
    </row>
    <row r="864">
      <c r="A864" s="3" t="s">
        <v>642</v>
      </c>
      <c r="B864" s="3" t="s">
        <v>602</v>
      </c>
      <c r="C864" s="3" t="s">
        <v>463</v>
      </c>
      <c r="D864" s="3">
        <v>1.0</v>
      </c>
      <c r="E864" s="3">
        <v>1.8779905E7</v>
      </c>
      <c r="F864" s="3">
        <v>6253845.0</v>
      </c>
      <c r="G864" s="30">
        <f t="shared" si="203"/>
        <v>25033750</v>
      </c>
    </row>
    <row r="866">
      <c r="A866" s="3" t="s">
        <v>644</v>
      </c>
      <c r="B866" s="3" t="s">
        <v>643</v>
      </c>
      <c r="C866" s="3" t="s">
        <v>463</v>
      </c>
      <c r="D866" s="3">
        <v>1.0</v>
      </c>
      <c r="E866" s="3">
        <v>1.8739767E7</v>
      </c>
      <c r="F866" s="3">
        <v>6264934.0</v>
      </c>
      <c r="G866" s="30">
        <f t="shared" ref="G866:G867" si="204">E866+F866</f>
        <v>25004701</v>
      </c>
    </row>
    <row r="867">
      <c r="A867" s="3" t="s">
        <v>644</v>
      </c>
      <c r="B867" s="3" t="s">
        <v>602</v>
      </c>
      <c r="C867" s="3" t="s">
        <v>463</v>
      </c>
      <c r="D867" s="3">
        <v>1.0</v>
      </c>
      <c r="E867" s="3">
        <v>1.8763648E7</v>
      </c>
      <c r="F867" s="3">
        <v>6263322.0</v>
      </c>
      <c r="G867" s="30">
        <f t="shared" si="204"/>
        <v>25026970</v>
      </c>
    </row>
    <row r="869">
      <c r="A869" s="3" t="s">
        <v>647</v>
      </c>
      <c r="B869" s="3" t="s">
        <v>643</v>
      </c>
      <c r="C869" s="3" t="s">
        <v>463</v>
      </c>
      <c r="D869" s="3">
        <v>1.0</v>
      </c>
      <c r="E869" s="3">
        <v>1.8409628E7</v>
      </c>
      <c r="F869" s="3">
        <v>6199845.0</v>
      </c>
      <c r="G869" s="30">
        <f t="shared" ref="G869:G870" si="205">E869+F869</f>
        <v>24609473</v>
      </c>
    </row>
    <row r="870">
      <c r="A870" s="3" t="s">
        <v>647</v>
      </c>
      <c r="B870" s="3" t="s">
        <v>602</v>
      </c>
      <c r="C870" s="3" t="s">
        <v>463</v>
      </c>
      <c r="D870" s="3">
        <v>1.0</v>
      </c>
      <c r="E870" s="3">
        <v>1.8413531E7</v>
      </c>
      <c r="F870" s="3">
        <v>6184994.0</v>
      </c>
      <c r="G870" s="30">
        <f t="shared" si="205"/>
        <v>24598525</v>
      </c>
    </row>
    <row r="874">
      <c r="D874" s="30" t="str">
        <f>"total=["&amp;L861&amp;", "&amp;L862&amp;", "&amp;G852&amp;", "&amp;G853&amp;", "&amp;G855&amp;", "&amp;G856&amp;", "&amp;G858&amp;", "&amp;G859&amp;"]"</f>
        <v>total=[2000000, 1500000, 2338203, 2346605, 2377012, 2529912, 2006509, 2007643]</v>
      </c>
    </row>
    <row r="876">
      <c r="K876" s="3">
        <v>16000.0</v>
      </c>
      <c r="L876" s="30">
        <f>K876*64</f>
        <v>1024000</v>
      </c>
      <c r="M876" s="30">
        <f>L876/2</f>
        <v>512000</v>
      </c>
    </row>
    <row r="879">
      <c r="H879" s="3">
        <v>512.0</v>
      </c>
      <c r="I879" s="3">
        <v>512.0</v>
      </c>
      <c r="J879" s="30">
        <f>H879*I879</f>
        <v>262144</v>
      </c>
      <c r="K879" s="30">
        <f>J879/64*4</f>
        <v>16384</v>
      </c>
    </row>
    <row r="886">
      <c r="A886" s="3" t="s">
        <v>666</v>
      </c>
    </row>
    <row r="891">
      <c r="B891" s="3" t="s">
        <v>641</v>
      </c>
    </row>
    <row r="892">
      <c r="C892" s="3" t="s">
        <v>589</v>
      </c>
      <c r="D892" s="3" t="s">
        <v>636</v>
      </c>
    </row>
    <row r="893">
      <c r="E893" s="3" t="s">
        <v>448</v>
      </c>
      <c r="F893" s="3" t="s">
        <v>449</v>
      </c>
      <c r="G893" s="3" t="s">
        <v>283</v>
      </c>
    </row>
    <row r="894">
      <c r="A894" s="3" t="s">
        <v>642</v>
      </c>
      <c r="B894" s="3" t="s">
        <v>643</v>
      </c>
      <c r="C894" s="3" t="s">
        <v>463</v>
      </c>
      <c r="D894" s="3">
        <v>1.0</v>
      </c>
      <c r="E894" s="3">
        <v>1.8924509E7</v>
      </c>
      <c r="F894" s="3">
        <v>6414347.0</v>
      </c>
      <c r="G894" s="30">
        <f t="shared" ref="G894:G895" si="206">E894+F894</f>
        <v>25338856</v>
      </c>
    </row>
    <row r="895">
      <c r="A895" s="3" t="s">
        <v>642</v>
      </c>
      <c r="B895" s="3" t="s">
        <v>602</v>
      </c>
      <c r="C895" s="3" t="s">
        <v>463</v>
      </c>
      <c r="D895" s="3">
        <v>1.0</v>
      </c>
      <c r="E895" s="3">
        <v>1.879793E7</v>
      </c>
      <c r="F895" s="3">
        <v>6282547.0</v>
      </c>
      <c r="G895" s="30">
        <f t="shared" si="206"/>
        <v>25080477</v>
      </c>
    </row>
    <row r="897">
      <c r="A897" s="3" t="s">
        <v>644</v>
      </c>
      <c r="B897" s="3" t="s">
        <v>643</v>
      </c>
      <c r="C897" s="3" t="s">
        <v>463</v>
      </c>
      <c r="D897" s="3">
        <v>1.0</v>
      </c>
      <c r="E897" s="3">
        <v>1.8688408E7</v>
      </c>
      <c r="F897" s="3">
        <v>6250709.0</v>
      </c>
      <c r="G897" s="30">
        <f t="shared" ref="G897:G898" si="207">E897+F897</f>
        <v>24939117</v>
      </c>
    </row>
    <row r="898">
      <c r="A898" s="3" t="s">
        <v>644</v>
      </c>
      <c r="B898" s="3" t="s">
        <v>602</v>
      </c>
      <c r="C898" s="3" t="s">
        <v>463</v>
      </c>
      <c r="D898" s="3">
        <v>1.0</v>
      </c>
      <c r="E898" s="3">
        <v>1.8794607E7</v>
      </c>
      <c r="F898" s="3">
        <v>6254850.0</v>
      </c>
      <c r="G898" s="30">
        <f t="shared" si="207"/>
        <v>25049457</v>
      </c>
    </row>
    <row r="899">
      <c r="J899" s="3" t="s">
        <v>645</v>
      </c>
      <c r="K899" s="3" t="s">
        <v>646</v>
      </c>
    </row>
    <row r="900">
      <c r="A900" s="3" t="s">
        <v>647</v>
      </c>
      <c r="B900" s="3" t="s">
        <v>643</v>
      </c>
      <c r="C900" s="3" t="s">
        <v>463</v>
      </c>
      <c r="D900" s="3">
        <v>1.0</v>
      </c>
      <c r="E900" s="3">
        <v>1.8528602E7</v>
      </c>
      <c r="F900" s="3">
        <v>6204350.0</v>
      </c>
      <c r="G900" s="30">
        <f t="shared" ref="G900:G901" si="208">E900+F900</f>
        <v>24732952</v>
      </c>
      <c r="J900" s="3">
        <v>5.0E7</v>
      </c>
      <c r="K900" s="3">
        <v>8.0</v>
      </c>
    </row>
    <row r="901">
      <c r="A901" s="3" t="s">
        <v>647</v>
      </c>
      <c r="B901" s="3" t="s">
        <v>602</v>
      </c>
      <c r="C901" s="3" t="s">
        <v>463</v>
      </c>
      <c r="D901" s="3">
        <v>1.0</v>
      </c>
      <c r="E901" s="3">
        <v>1.8352835E7</v>
      </c>
      <c r="F901" s="3">
        <v>6137000.0</v>
      </c>
      <c r="G901" s="30">
        <f t="shared" si="208"/>
        <v>24489835</v>
      </c>
    </row>
    <row r="902">
      <c r="J902" s="3" t="s">
        <v>486</v>
      </c>
      <c r="K902" s="3" t="s">
        <v>648</v>
      </c>
      <c r="L902" s="3" t="s">
        <v>283</v>
      </c>
    </row>
    <row r="903">
      <c r="I903" s="3" t="s">
        <v>649</v>
      </c>
      <c r="J903" s="30">
        <f>J900*K900/64*3</f>
        <v>18750000</v>
      </c>
      <c r="K903" s="30">
        <f>J900*K900/64</f>
        <v>6250000</v>
      </c>
      <c r="L903" s="30">
        <f t="shared" ref="L903:L904" si="209">J903+K903</f>
        <v>25000000</v>
      </c>
    </row>
    <row r="904">
      <c r="A904" s="3" t="s">
        <v>667</v>
      </c>
      <c r="I904" s="3" t="s">
        <v>650</v>
      </c>
      <c r="J904" s="30">
        <f>J900*K900/64*2</f>
        <v>12500000</v>
      </c>
      <c r="K904" s="30">
        <f>J900*K900/64</f>
        <v>6250000</v>
      </c>
      <c r="L904" s="30">
        <f t="shared" si="209"/>
        <v>18750000</v>
      </c>
    </row>
    <row r="905">
      <c r="A905" s="3" t="s">
        <v>642</v>
      </c>
      <c r="B905" s="3" t="s">
        <v>643</v>
      </c>
      <c r="C905" s="3" t="s">
        <v>477</v>
      </c>
      <c r="D905" s="3">
        <v>1.0</v>
      </c>
      <c r="E905" s="3">
        <v>1.3036172E7</v>
      </c>
      <c r="F905" s="3">
        <v>7049815.0</v>
      </c>
      <c r="G905" s="3">
        <f t="shared" ref="G905:G906" si="210">E905+F905</f>
        <v>20085987</v>
      </c>
    </row>
    <row r="906">
      <c r="A906" s="3" t="s">
        <v>642</v>
      </c>
      <c r="B906" s="3" t="s">
        <v>602</v>
      </c>
      <c r="C906" s="3" t="s">
        <v>477</v>
      </c>
      <c r="D906" s="3">
        <v>1.0</v>
      </c>
      <c r="E906" s="3">
        <v>1.3034292E7</v>
      </c>
      <c r="F906" s="3">
        <v>7048657.0</v>
      </c>
      <c r="G906" s="3">
        <f t="shared" si="210"/>
        <v>20082949</v>
      </c>
    </row>
    <row r="908">
      <c r="A908" s="3" t="s">
        <v>644</v>
      </c>
      <c r="B908" s="3" t="s">
        <v>643</v>
      </c>
      <c r="C908" s="3" t="s">
        <v>463</v>
      </c>
      <c r="D908" s="3">
        <v>1.0</v>
      </c>
      <c r="E908" s="30">
        <f>E905*0.95</f>
        <v>12384363.4</v>
      </c>
      <c r="F908" s="30">
        <f>F905*0.93</f>
        <v>6556327.95</v>
      </c>
      <c r="G908" s="30">
        <f t="shared" ref="G908:G909" si="211">E908+F908</f>
        <v>18940691.35</v>
      </c>
    </row>
    <row r="909">
      <c r="A909" s="3" t="s">
        <v>644</v>
      </c>
      <c r="B909" s="3" t="s">
        <v>602</v>
      </c>
      <c r="C909" s="3" t="s">
        <v>463</v>
      </c>
      <c r="D909" s="3">
        <v>1.0</v>
      </c>
      <c r="E909" s="30">
        <f>E906*0.97</f>
        <v>12643263.24</v>
      </c>
      <c r="F909" s="30">
        <f>F906*0.91</f>
        <v>6414277.87</v>
      </c>
      <c r="G909" s="30">
        <f t="shared" si="211"/>
        <v>19057541.11</v>
      </c>
    </row>
    <row r="911">
      <c r="A911" s="3" t="s">
        <v>647</v>
      </c>
      <c r="B911" s="3" t="s">
        <v>643</v>
      </c>
      <c r="C911" s="3" t="s">
        <v>463</v>
      </c>
      <c r="D911" s="3">
        <v>1.0</v>
      </c>
      <c r="E911" s="30">
        <f>E905*0.94</f>
        <v>12254001.68</v>
      </c>
      <c r="F911" s="30">
        <f>F905*0.934</f>
        <v>6584527.21</v>
      </c>
      <c r="G911" s="30">
        <f t="shared" ref="G911:G912" si="212">E911+F911</f>
        <v>18838528.89</v>
      </c>
    </row>
    <row r="912">
      <c r="A912" s="3" t="s">
        <v>647</v>
      </c>
      <c r="B912" s="3" t="s">
        <v>602</v>
      </c>
      <c r="C912" s="3" t="s">
        <v>463</v>
      </c>
      <c r="D912" s="3">
        <v>1.0</v>
      </c>
      <c r="E912" s="30">
        <f>E906*0.955</f>
        <v>12447748.86</v>
      </c>
      <c r="F912" s="30">
        <f>F906*0.928</f>
        <v>6541153.696</v>
      </c>
      <c r="G912" s="30">
        <f t="shared" si="212"/>
        <v>18988902.56</v>
      </c>
    </row>
    <row r="916">
      <c r="D916" s="30" t="str">
        <f>"total=["&amp;L903&amp;", "&amp;L904&amp;", "&amp;G894&amp;", "&amp;G895&amp;", "&amp;G897&amp;", "&amp;G898&amp;", "&amp;G900&amp;", "&amp;G901&amp;"]"</f>
        <v>total=[25000000, 18750000, 25338856, 25080477, 24939117, 25049457, 24732952, 24489835]</v>
      </c>
    </row>
    <row r="921">
      <c r="B921" s="3" t="s">
        <v>557</v>
      </c>
    </row>
    <row r="922">
      <c r="C922" s="3" t="s">
        <v>589</v>
      </c>
      <c r="D922" s="3" t="s">
        <v>636</v>
      </c>
    </row>
    <row r="923">
      <c r="E923" s="3" t="s">
        <v>448</v>
      </c>
      <c r="F923" s="3" t="s">
        <v>449</v>
      </c>
      <c r="G923" s="3" t="s">
        <v>283</v>
      </c>
      <c r="J923" s="3">
        <v>8192.0</v>
      </c>
      <c r="K923" s="3">
        <v>8192.0</v>
      </c>
    </row>
    <row r="924">
      <c r="A924" s="3" t="s">
        <v>642</v>
      </c>
      <c r="B924" s="3" t="s">
        <v>643</v>
      </c>
      <c r="C924" s="3" t="s">
        <v>463</v>
      </c>
      <c r="D924" s="3">
        <v>1.0</v>
      </c>
      <c r="E924" s="3">
        <v>4620741.0</v>
      </c>
      <c r="F924" s="3">
        <v>4821091.0</v>
      </c>
      <c r="G924" s="30">
        <f t="shared" ref="G924:G925" si="213">E924+F924</f>
        <v>9441832</v>
      </c>
    </row>
    <row r="925">
      <c r="A925" s="3" t="s">
        <v>642</v>
      </c>
      <c r="B925" s="3" t="s">
        <v>602</v>
      </c>
      <c r="C925" s="3" t="s">
        <v>463</v>
      </c>
      <c r="D925" s="3">
        <v>1.0</v>
      </c>
      <c r="E925" s="3">
        <v>4569441.0</v>
      </c>
      <c r="F925" s="3">
        <v>4740749.0</v>
      </c>
      <c r="G925" s="30">
        <f t="shared" si="213"/>
        <v>9310190</v>
      </c>
    </row>
    <row r="927">
      <c r="A927" s="3" t="s">
        <v>644</v>
      </c>
      <c r="B927" s="3" t="s">
        <v>643</v>
      </c>
      <c r="C927" s="3" t="s">
        <v>463</v>
      </c>
      <c r="D927" s="3">
        <v>1.0</v>
      </c>
      <c r="E927" s="3">
        <v>4520072.0</v>
      </c>
      <c r="F927" s="3">
        <v>4317901.0</v>
      </c>
      <c r="G927" s="30">
        <f t="shared" ref="G927:G928" si="214">E927+F927</f>
        <v>8837973</v>
      </c>
    </row>
    <row r="928">
      <c r="A928" s="3" t="s">
        <v>644</v>
      </c>
      <c r="B928" s="3" t="s">
        <v>602</v>
      </c>
      <c r="C928" s="3" t="s">
        <v>463</v>
      </c>
      <c r="D928" s="3">
        <v>1.0</v>
      </c>
      <c r="E928" s="3">
        <v>5047367.0</v>
      </c>
      <c r="F928" s="3">
        <v>4335252.0</v>
      </c>
      <c r="G928" s="30">
        <f t="shared" si="214"/>
        <v>9382619</v>
      </c>
    </row>
    <row r="929">
      <c r="J929" s="3" t="s">
        <v>645</v>
      </c>
      <c r="K929" s="3" t="s">
        <v>646</v>
      </c>
    </row>
    <row r="930">
      <c r="A930" s="3" t="s">
        <v>647</v>
      </c>
      <c r="B930" s="3" t="s">
        <v>643</v>
      </c>
      <c r="C930" s="3" t="s">
        <v>463</v>
      </c>
      <c r="D930" s="3">
        <v>1.0</v>
      </c>
      <c r="E930" s="3">
        <v>4728305.0</v>
      </c>
      <c r="F930" s="3">
        <v>4537964.0</v>
      </c>
      <c r="G930" s="30">
        <f t="shared" ref="G930:G931" si="215">E930+F930</f>
        <v>9266269</v>
      </c>
      <c r="J930" s="30">
        <f>J923*K923</f>
        <v>67108864</v>
      </c>
      <c r="K930" s="3">
        <v>4.0</v>
      </c>
    </row>
    <row r="931">
      <c r="A931" s="3" t="s">
        <v>647</v>
      </c>
      <c r="B931" s="3" t="s">
        <v>602</v>
      </c>
      <c r="C931" s="3" t="s">
        <v>463</v>
      </c>
      <c r="D931" s="3">
        <v>1.0</v>
      </c>
      <c r="E931" s="3">
        <v>4800994.0</v>
      </c>
      <c r="F931" s="3">
        <v>4525494.0</v>
      </c>
      <c r="G931" s="30">
        <f t="shared" si="215"/>
        <v>9326488</v>
      </c>
    </row>
    <row r="932">
      <c r="J932" s="3" t="s">
        <v>486</v>
      </c>
      <c r="K932" s="3" t="s">
        <v>648</v>
      </c>
      <c r="L932" s="3" t="s">
        <v>283</v>
      </c>
    </row>
    <row r="933">
      <c r="I933" s="3" t="s">
        <v>649</v>
      </c>
      <c r="J933" s="30">
        <f>J930*K930/64</f>
        <v>4194304</v>
      </c>
      <c r="K933" s="30">
        <f>J930*K930/64</f>
        <v>4194304</v>
      </c>
      <c r="L933" s="30">
        <f t="shared" ref="L933:L934" si="216">J933+K933</f>
        <v>8388608</v>
      </c>
    </row>
    <row r="934">
      <c r="A934" s="3" t="s">
        <v>667</v>
      </c>
      <c r="B934" s="3" t="s">
        <v>651</v>
      </c>
      <c r="I934" s="3" t="s">
        <v>650</v>
      </c>
      <c r="J934" s="30">
        <f>J930*K930/64</f>
        <v>4194304</v>
      </c>
      <c r="K934" s="30">
        <f>J930*K930/64</f>
        <v>4194304</v>
      </c>
      <c r="L934" s="30">
        <f t="shared" si="216"/>
        <v>8388608</v>
      </c>
    </row>
    <row r="935">
      <c r="A935" s="3" t="s">
        <v>642</v>
      </c>
      <c r="B935" s="3" t="s">
        <v>643</v>
      </c>
      <c r="C935" s="3" t="s">
        <v>463</v>
      </c>
      <c r="D935" s="3">
        <v>1.0</v>
      </c>
      <c r="E935" s="3">
        <v>4620158.0</v>
      </c>
      <c r="F935" s="3">
        <v>4820860.0</v>
      </c>
      <c r="G935" s="30">
        <f t="shared" ref="G935:G936" si="217">E935+F935</f>
        <v>9441018</v>
      </c>
    </row>
    <row r="936">
      <c r="A936" s="3" t="s">
        <v>642</v>
      </c>
      <c r="B936" s="3" t="s">
        <v>602</v>
      </c>
      <c r="C936" s="3" t="s">
        <v>463</v>
      </c>
      <c r="D936" s="3">
        <v>1.0</v>
      </c>
      <c r="E936" s="3">
        <v>4575990.0</v>
      </c>
      <c r="F936" s="3">
        <v>4744123.0</v>
      </c>
      <c r="G936" s="30">
        <f t="shared" si="217"/>
        <v>9320113</v>
      </c>
    </row>
    <row r="938">
      <c r="A938" s="3" t="s">
        <v>644</v>
      </c>
      <c r="B938" s="3" t="s">
        <v>643</v>
      </c>
      <c r="C938" s="3" t="s">
        <v>463</v>
      </c>
      <c r="D938" s="3">
        <v>1.0</v>
      </c>
      <c r="E938" s="3">
        <v>4516890.0</v>
      </c>
      <c r="F938" s="3">
        <v>4310710.0</v>
      </c>
      <c r="G938" s="30">
        <f t="shared" ref="G938:G939" si="218">E938+F938</f>
        <v>8827600</v>
      </c>
    </row>
    <row r="939">
      <c r="A939" s="3" t="s">
        <v>644</v>
      </c>
      <c r="B939" s="3" t="s">
        <v>602</v>
      </c>
      <c r="C939" s="3" t="s">
        <v>463</v>
      </c>
      <c r="D939" s="3">
        <v>1.0</v>
      </c>
      <c r="E939" s="3">
        <v>5084939.0</v>
      </c>
      <c r="F939" s="3">
        <v>4313896.0</v>
      </c>
      <c r="G939" s="30">
        <f t="shared" si="218"/>
        <v>9398835</v>
      </c>
    </row>
    <row r="941">
      <c r="A941" s="3" t="s">
        <v>647</v>
      </c>
      <c r="B941" s="3" t="s">
        <v>643</v>
      </c>
      <c r="C941" s="3" t="s">
        <v>463</v>
      </c>
      <c r="D941" s="3">
        <v>1.0</v>
      </c>
      <c r="E941" s="3">
        <v>4732357.0</v>
      </c>
      <c r="F941" s="3">
        <v>4539162.0</v>
      </c>
      <c r="G941" s="30">
        <f t="shared" ref="G941:G942" si="219">E941+F941</f>
        <v>9271519</v>
      </c>
    </row>
    <row r="942">
      <c r="A942" s="3" t="s">
        <v>647</v>
      </c>
      <c r="B942" s="3" t="s">
        <v>602</v>
      </c>
      <c r="C942" s="3" t="s">
        <v>463</v>
      </c>
      <c r="D942" s="3">
        <v>1.0</v>
      </c>
      <c r="E942" s="3">
        <v>4729472.0</v>
      </c>
      <c r="F942" s="3">
        <v>4527232.0</v>
      </c>
      <c r="G942" s="30">
        <f t="shared" si="219"/>
        <v>9256704</v>
      </c>
    </row>
    <row r="946">
      <c r="D946" s="30" t="str">
        <f>"total=["&amp;L933&amp;", "&amp;L934&amp;", "&amp;G924&amp;", "&amp;G925&amp;", "&amp;G927&amp;", "&amp;G928&amp;", "&amp;G930&amp;", "&amp;G931&amp;"]"</f>
        <v>total=[8388608, 8388608, 9441832, 9310190, 8837973, 9382619, 9266269, 9326488]</v>
      </c>
    </row>
    <row r="947">
      <c r="D947" s="30" t="str">
        <f>"omp_data=["&amp;L933&amp;", "&amp;L934&amp;","&amp;G935&amp;", "&amp;G936&amp;", "&amp;G938&amp;", "&amp;G939&amp;", "&amp;G941&amp;","&amp;G942&amp;"]"</f>
        <v>omp_data=[8388608, 8388608,9441018, 9320113, 8827600, 9398835, 9271519,9256704]</v>
      </c>
    </row>
    <row r="948">
      <c r="K948" s="3" t="s">
        <v>663</v>
      </c>
    </row>
    <row r="950">
      <c r="B950" s="3" t="s">
        <v>652</v>
      </c>
    </row>
    <row r="951">
      <c r="C951" s="3" t="s">
        <v>589</v>
      </c>
      <c r="D951" s="3" t="s">
        <v>636</v>
      </c>
    </row>
    <row r="952">
      <c r="E952" s="3" t="s">
        <v>448</v>
      </c>
      <c r="F952" s="3" t="s">
        <v>449</v>
      </c>
      <c r="G952" s="3" t="s">
        <v>283</v>
      </c>
      <c r="J952" s="3">
        <v>4096.0</v>
      </c>
      <c r="K952" s="3">
        <v>4096.0</v>
      </c>
    </row>
    <row r="953">
      <c r="A953" s="3" t="s">
        <v>642</v>
      </c>
      <c r="B953" s="3" t="s">
        <v>643</v>
      </c>
      <c r="C953" s="3" t="s">
        <v>463</v>
      </c>
      <c r="D953" s="3">
        <v>1.0</v>
      </c>
      <c r="E953" s="3">
        <v>4319186.0</v>
      </c>
      <c r="F953" s="3">
        <v>2541288.0</v>
      </c>
      <c r="G953" s="30">
        <f t="shared" ref="G953:G954" si="220">E953+F953</f>
        <v>6860474</v>
      </c>
      <c r="H953" s="30">
        <f t="shared" ref="H953:H954" si="221">100-ABS($L$496-G953)/$L$496*100</f>
        <v>90.95570246</v>
      </c>
      <c r="I953" s="30">
        <f>100-ABS($L$497-G953)/$L$497*100</f>
        <v>36.4335537</v>
      </c>
    </row>
    <row r="954">
      <c r="A954" s="3" t="s">
        <v>642</v>
      </c>
      <c r="B954" s="3" t="s">
        <v>602</v>
      </c>
      <c r="C954" s="3" t="s">
        <v>463</v>
      </c>
      <c r="D954" s="3">
        <v>1.0</v>
      </c>
      <c r="E954" s="3">
        <v>4276900.0</v>
      </c>
      <c r="F954" s="3">
        <v>2499094.0</v>
      </c>
      <c r="G954" s="30">
        <f t="shared" si="220"/>
        <v>6775994</v>
      </c>
      <c r="H954" s="30">
        <f t="shared" si="221"/>
        <v>92.2984759</v>
      </c>
    </row>
    <row r="956">
      <c r="A956" s="3" t="s">
        <v>644</v>
      </c>
      <c r="B956" s="3" t="s">
        <v>643</v>
      </c>
      <c r="C956" s="3" t="s">
        <v>463</v>
      </c>
      <c r="D956" s="3">
        <v>1.0</v>
      </c>
      <c r="E956" s="3">
        <v>4058497.0</v>
      </c>
      <c r="F956" s="3">
        <v>1994509.0</v>
      </c>
      <c r="G956" s="30">
        <f t="shared" ref="G956:G957" si="222">E956+F956</f>
        <v>6053006</v>
      </c>
      <c r="H956" s="30">
        <f t="shared" ref="H956:H957" si="223">100-ABS($L$496-G956)/$L$496*100</f>
        <v>96.20993932</v>
      </c>
    </row>
    <row r="957">
      <c r="A957" s="3" t="s">
        <v>644</v>
      </c>
      <c r="B957" s="3" t="s">
        <v>602</v>
      </c>
      <c r="C957" s="3" t="s">
        <v>463</v>
      </c>
      <c r="D957" s="3">
        <v>1.0</v>
      </c>
      <c r="E957" s="3">
        <v>4047308.0</v>
      </c>
      <c r="F957" s="3">
        <v>1982488.0</v>
      </c>
      <c r="G957" s="30">
        <f t="shared" si="222"/>
        <v>6029796</v>
      </c>
      <c r="H957" s="30">
        <f t="shared" si="223"/>
        <v>95.84102631</v>
      </c>
    </row>
    <row r="958">
      <c r="J958" s="3" t="s">
        <v>645</v>
      </c>
      <c r="K958" s="3" t="s">
        <v>646</v>
      </c>
    </row>
    <row r="959">
      <c r="A959" s="3" t="s">
        <v>647</v>
      </c>
      <c r="B959" s="3" t="s">
        <v>643</v>
      </c>
      <c r="C959" s="3" t="s">
        <v>463</v>
      </c>
      <c r="D959" s="3">
        <v>1.0</v>
      </c>
      <c r="E959" s="3">
        <v>4127736.0</v>
      </c>
      <c r="F959" s="3">
        <v>2170046.0</v>
      </c>
      <c r="G959" s="30">
        <f t="shared" ref="G959:G960" si="224">E959+F959</f>
        <v>6297782</v>
      </c>
      <c r="H959" s="30">
        <f t="shared" ref="H959:H960" si="225">100-ABS($L$496-G959)/$L$496*100</f>
        <v>99.89945094</v>
      </c>
      <c r="J959" s="30">
        <f>J952*K952</f>
        <v>16777216</v>
      </c>
      <c r="K959" s="3">
        <v>8.0</v>
      </c>
    </row>
    <row r="960">
      <c r="A960" s="3" t="s">
        <v>647</v>
      </c>
      <c r="B960" s="3" t="s">
        <v>602</v>
      </c>
      <c r="C960" s="3" t="s">
        <v>463</v>
      </c>
      <c r="D960" s="3">
        <v>1.0</v>
      </c>
      <c r="E960" s="3">
        <v>3851933.0</v>
      </c>
      <c r="F960" s="3">
        <v>1814583.0</v>
      </c>
      <c r="G960" s="30">
        <f t="shared" si="224"/>
        <v>5666516</v>
      </c>
      <c r="H960" s="30">
        <f t="shared" si="225"/>
        <v>90.06684621</v>
      </c>
    </row>
    <row r="961">
      <c r="J961" s="3" t="s">
        <v>486</v>
      </c>
      <c r="K961" s="3" t="s">
        <v>648</v>
      </c>
      <c r="L961" s="3" t="s">
        <v>283</v>
      </c>
    </row>
    <row r="962">
      <c r="I962" s="3" t="s">
        <v>649</v>
      </c>
      <c r="J962" s="30">
        <f>J959*K959/64*2</f>
        <v>4194304</v>
      </c>
      <c r="K962" s="30">
        <f>J959*K959/64</f>
        <v>2097152</v>
      </c>
      <c r="L962" s="30">
        <f t="shared" ref="L962:L963" si="226">J962+K962</f>
        <v>6291456</v>
      </c>
    </row>
    <row r="963">
      <c r="A963" s="3" t="s">
        <v>667</v>
      </c>
      <c r="B963" s="3" t="s">
        <v>651</v>
      </c>
      <c r="I963" s="3" t="s">
        <v>650</v>
      </c>
      <c r="J963" s="30">
        <f>J959*K959/64</f>
        <v>2097152</v>
      </c>
      <c r="K963" s="30">
        <f>J959*K959/64</f>
        <v>2097152</v>
      </c>
      <c r="L963" s="30">
        <f t="shared" si="226"/>
        <v>4194304</v>
      </c>
    </row>
    <row r="964">
      <c r="A964" s="3" t="s">
        <v>642</v>
      </c>
      <c r="B964" s="3" t="s">
        <v>643</v>
      </c>
      <c r="C964" s="3" t="s">
        <v>463</v>
      </c>
      <c r="D964" s="3">
        <v>1.0</v>
      </c>
      <c r="E964" s="3">
        <v>4305323.0</v>
      </c>
      <c r="F964" s="3">
        <v>2527121.0</v>
      </c>
      <c r="G964" s="30">
        <f t="shared" ref="G964:G965" si="227">E964+F964</f>
        <v>6832444</v>
      </c>
    </row>
    <row r="965">
      <c r="A965" s="3" t="s">
        <v>642</v>
      </c>
      <c r="B965" s="3" t="s">
        <v>602</v>
      </c>
      <c r="C965" s="3" t="s">
        <v>463</v>
      </c>
      <c r="D965" s="3">
        <v>1.0</v>
      </c>
      <c r="E965" s="3">
        <v>4247203.0</v>
      </c>
      <c r="F965" s="3">
        <v>2467260.0</v>
      </c>
      <c r="G965" s="30">
        <f t="shared" si="227"/>
        <v>6714463</v>
      </c>
    </row>
    <row r="967">
      <c r="A967" s="3" t="s">
        <v>644</v>
      </c>
      <c r="B967" s="3" t="s">
        <v>643</v>
      </c>
      <c r="C967" s="3" t="s">
        <v>463</v>
      </c>
      <c r="D967" s="3">
        <v>1.0</v>
      </c>
      <c r="E967" s="3">
        <v>4046010.0</v>
      </c>
      <c r="F967" s="3">
        <v>1981550.0</v>
      </c>
      <c r="G967" s="30">
        <f t="shared" ref="G967:G968" si="228">E967+F967</f>
        <v>6027560</v>
      </c>
    </row>
    <row r="968">
      <c r="A968" s="3" t="s">
        <v>644</v>
      </c>
      <c r="B968" s="3" t="s">
        <v>602</v>
      </c>
      <c r="C968" s="3" t="s">
        <v>463</v>
      </c>
      <c r="D968" s="3">
        <v>1.0</v>
      </c>
      <c r="E968" s="3">
        <v>4063474.0</v>
      </c>
      <c r="F968" s="3">
        <v>1997935.0</v>
      </c>
      <c r="G968" s="30">
        <f t="shared" si="228"/>
        <v>6061409</v>
      </c>
    </row>
    <row r="970">
      <c r="A970" s="3" t="s">
        <v>647</v>
      </c>
      <c r="B970" s="3" t="s">
        <v>643</v>
      </c>
      <c r="C970" s="3" t="s">
        <v>463</v>
      </c>
      <c r="D970" s="3">
        <v>1.0</v>
      </c>
      <c r="E970" s="3">
        <v>3830374.0</v>
      </c>
      <c r="F970" s="3">
        <v>1777097.0</v>
      </c>
      <c r="G970" s="30">
        <f t="shared" ref="G970:G971" si="229">E970+F970</f>
        <v>5607471</v>
      </c>
    </row>
    <row r="971">
      <c r="A971" s="3" t="s">
        <v>647</v>
      </c>
      <c r="B971" s="3" t="s">
        <v>602</v>
      </c>
      <c r="C971" s="3" t="s">
        <v>463</v>
      </c>
      <c r="D971" s="3">
        <v>1.0</v>
      </c>
      <c r="E971" s="3">
        <v>3843781.0</v>
      </c>
      <c r="F971" s="3">
        <v>1790457.0</v>
      </c>
      <c r="G971" s="30">
        <f t="shared" si="229"/>
        <v>5634238</v>
      </c>
    </row>
    <row r="975">
      <c r="D975" s="30" t="str">
        <f>"total=["&amp;L962&amp;", "&amp;L963&amp;", "&amp;G953&amp;", "&amp;G954&amp;", "&amp;G956&amp;", "&amp;G957&amp;", "&amp;G959&amp;", "&amp;G960&amp;"]"</f>
        <v>total=[6291456, 4194304, 6860474, 6775994, 6053006, 6029796, 6297782, 5666516]</v>
      </c>
    </row>
    <row r="976">
      <c r="D976" s="30" t="str">
        <f>"omp_data=["&amp;L962&amp;", "&amp;L963&amp;","&amp;G964&amp;", "&amp;G965&amp;", "&amp;G967&amp;", "&amp;G968&amp;", "&amp;G970&amp;","&amp;G971&amp;"]"</f>
        <v>omp_data=[6291456, 4194304,6832444, 6714463, 6027560, 6061409, 5607471,5634238]</v>
      </c>
    </row>
    <row r="978">
      <c r="B978" s="3" t="s">
        <v>567</v>
      </c>
      <c r="C978" s="3" t="s">
        <v>653</v>
      </c>
      <c r="D978" s="3" t="s">
        <v>664</v>
      </c>
    </row>
    <row r="979">
      <c r="C979" s="3" t="s">
        <v>589</v>
      </c>
      <c r="D979" s="3" t="s">
        <v>636</v>
      </c>
      <c r="H979" s="30">
        <f t="shared" ref="H979:I979" si="230">(H981+H984+H987)/3</f>
        <v>93.27962924</v>
      </c>
      <c r="I979" s="30">
        <f t="shared" si="230"/>
        <v>54.6027098</v>
      </c>
    </row>
    <row r="980">
      <c r="E980" s="3" t="s">
        <v>448</v>
      </c>
      <c r="F980" s="3" t="s">
        <v>449</v>
      </c>
      <c r="G980" s="3" t="s">
        <v>283</v>
      </c>
      <c r="H980" s="30">
        <f t="shared" ref="H980:I980" si="231">(H982+H985+H988)/3</f>
        <v>83.72321494</v>
      </c>
      <c r="I980" s="30">
        <f t="shared" si="231"/>
        <v>38.22798413</v>
      </c>
    </row>
    <row r="981">
      <c r="A981" s="3" t="s">
        <v>642</v>
      </c>
      <c r="B981" s="3" t="s">
        <v>643</v>
      </c>
      <c r="C981" s="3" t="s">
        <v>463</v>
      </c>
      <c r="D981" s="3">
        <v>50.0</v>
      </c>
      <c r="E981" s="3">
        <v>4350028.0</v>
      </c>
      <c r="F981" s="3">
        <v>6546274.0</v>
      </c>
      <c r="G981" s="30">
        <f t="shared" ref="G981:G982" si="232">E981+F981</f>
        <v>10896302</v>
      </c>
      <c r="H981" s="30">
        <f>100-ABS($L$524-G981)/G981*100</f>
        <v>94.06861153</v>
      </c>
      <c r="I981" s="30">
        <f t="shared" ref="I981:I982" si="233">100-ABS(G981-$L$525)/G981*100</f>
        <v>55.06455309</v>
      </c>
    </row>
    <row r="982">
      <c r="A982" s="3" t="s">
        <v>642</v>
      </c>
      <c r="B982" s="3" t="s">
        <v>602</v>
      </c>
      <c r="C982" s="3" t="s">
        <v>463</v>
      </c>
      <c r="D982" s="3">
        <v>50.0</v>
      </c>
      <c r="E982" s="3">
        <v>1.0331989E7</v>
      </c>
      <c r="F982" s="3">
        <v>6642376.0</v>
      </c>
      <c r="G982" s="30">
        <f t="shared" si="232"/>
        <v>16974365</v>
      </c>
      <c r="H982" s="30">
        <f>100-ABS(G982-P990)/G982*100</f>
        <v>92.48493243</v>
      </c>
      <c r="I982" s="30">
        <f t="shared" si="233"/>
        <v>35.34741948</v>
      </c>
    </row>
    <row r="984">
      <c r="A984" s="3" t="s">
        <v>644</v>
      </c>
      <c r="B984" s="3" t="s">
        <v>643</v>
      </c>
      <c r="C984" s="3" t="s">
        <v>463</v>
      </c>
      <c r="D984" s="3">
        <v>50.0</v>
      </c>
      <c r="E984" s="3">
        <v>4587972.0</v>
      </c>
      <c r="F984" s="3">
        <v>6556922.0</v>
      </c>
      <c r="G984" s="30">
        <f t="shared" ref="G984:G985" si="234">E984+F984</f>
        <v>11144894</v>
      </c>
      <c r="H984" s="97">
        <f>100-ABS($L$524-G984)/G984*100</f>
        <v>91.97036778</v>
      </c>
      <c r="I984" s="30">
        <f t="shared" ref="I984:I985" si="235">100-ABS(G984-$L$525)/G984*100</f>
        <v>53.83631284</v>
      </c>
    </row>
    <row r="985">
      <c r="A985" s="3" t="s">
        <v>644</v>
      </c>
      <c r="B985" s="3" t="s">
        <v>602</v>
      </c>
      <c r="C985" s="3" t="s">
        <v>463</v>
      </c>
      <c r="D985" s="3">
        <v>50.0</v>
      </c>
      <c r="E985" s="3">
        <v>8780493.0</v>
      </c>
      <c r="F985" s="3">
        <v>6538910.0</v>
      </c>
      <c r="G985" s="30">
        <f t="shared" si="234"/>
        <v>15319403</v>
      </c>
      <c r="H985" s="30">
        <f>100-ABS(G985-P990)/G985*100</f>
        <v>80.87003129</v>
      </c>
      <c r="I985" s="30">
        <f t="shared" si="235"/>
        <v>39.16601711</v>
      </c>
    </row>
    <row r="986">
      <c r="J986" s="3" t="s">
        <v>645</v>
      </c>
      <c r="K986" s="3" t="s">
        <v>646</v>
      </c>
    </row>
    <row r="987">
      <c r="A987" s="3" t="s">
        <v>647</v>
      </c>
      <c r="B987" s="3" t="s">
        <v>643</v>
      </c>
      <c r="C987" s="3" t="s">
        <v>463</v>
      </c>
      <c r="D987" s="3">
        <v>50.0</v>
      </c>
      <c r="E987" s="3">
        <v>4479358.0</v>
      </c>
      <c r="F987" s="3">
        <v>6448158.0</v>
      </c>
      <c r="G987" s="30">
        <f t="shared" ref="G987:G988" si="236">E987+F987</f>
        <v>10927516</v>
      </c>
      <c r="H987" s="97">
        <f>100-ABS($L$524-G987)/G987*100</f>
        <v>93.79990841</v>
      </c>
      <c r="I987" s="30">
        <f t="shared" ref="I987:I988" si="237">100-ABS(G987-$L$525)/G987*100</f>
        <v>54.90726346</v>
      </c>
      <c r="J987" s="3">
        <v>1.0E8</v>
      </c>
      <c r="K987" s="3">
        <v>4.0</v>
      </c>
    </row>
    <row r="988">
      <c r="A988" s="3" t="s">
        <v>647</v>
      </c>
      <c r="B988" s="3" t="s">
        <v>602</v>
      </c>
      <c r="C988" s="3" t="s">
        <v>463</v>
      </c>
      <c r="D988" s="3">
        <v>50.0</v>
      </c>
      <c r="E988" s="3">
        <v>8491966.0</v>
      </c>
      <c r="F988" s="3">
        <v>6444362.0</v>
      </c>
      <c r="G988" s="30">
        <f t="shared" si="236"/>
        <v>14936328</v>
      </c>
      <c r="H988" s="30">
        <f>100-ABS(G988-P990)/G988*100</f>
        <v>77.81468109</v>
      </c>
      <c r="I988" s="30">
        <f t="shared" si="237"/>
        <v>40.17051581</v>
      </c>
    </row>
    <row r="989">
      <c r="J989" s="3" t="s">
        <v>486</v>
      </c>
      <c r="K989" s="3" t="s">
        <v>648</v>
      </c>
      <c r="L989" s="3" t="s">
        <v>283</v>
      </c>
    </row>
    <row r="990">
      <c r="I990" s="3" t="s">
        <v>649</v>
      </c>
      <c r="J990" s="30">
        <f t="shared" ref="J990:J991" si="238">$J$521*$K$521/64*2 *16/50</f>
        <v>4000000</v>
      </c>
      <c r="K990" s="30">
        <f>J987*K987/64</f>
        <v>6250000</v>
      </c>
      <c r="L990" s="30">
        <f t="shared" ref="L990:L991" si="239">J990+K990</f>
        <v>10250000</v>
      </c>
      <c r="N990" s="30">
        <f>J987/50*3*2</f>
        <v>12000000</v>
      </c>
      <c r="O990" s="30">
        <v>6250000.0</v>
      </c>
      <c r="P990" s="30">
        <f>N990+O990</f>
        <v>18250000</v>
      </c>
    </row>
    <row r="991">
      <c r="A991" s="3" t="s">
        <v>667</v>
      </c>
      <c r="B991" s="3" t="s">
        <v>651</v>
      </c>
      <c r="I991" s="3" t="s">
        <v>650</v>
      </c>
      <c r="J991" s="30">
        <f t="shared" si="238"/>
        <v>4000000</v>
      </c>
      <c r="K991" s="30">
        <f>J991/2</f>
        <v>2000000</v>
      </c>
      <c r="L991" s="30">
        <f t="shared" si="239"/>
        <v>6000000</v>
      </c>
    </row>
    <row r="992">
      <c r="A992" s="3" t="s">
        <v>642</v>
      </c>
      <c r="B992" s="3" t="s">
        <v>643</v>
      </c>
      <c r="C992" s="3" t="s">
        <v>463</v>
      </c>
      <c r="D992" s="3">
        <v>50.0</v>
      </c>
      <c r="E992" s="3">
        <v>4357645.0</v>
      </c>
      <c r="F992" s="3">
        <v>6544114.0</v>
      </c>
      <c r="G992" s="30">
        <f t="shared" ref="G992:G993" si="240">E992+F992</f>
        <v>10901759</v>
      </c>
    </row>
    <row r="993">
      <c r="A993" s="3" t="s">
        <v>642</v>
      </c>
      <c r="B993" s="3" t="s">
        <v>602</v>
      </c>
      <c r="C993" s="3" t="s">
        <v>463</v>
      </c>
      <c r="D993" s="3">
        <v>50.0</v>
      </c>
      <c r="E993" s="3">
        <v>1.0193645E7</v>
      </c>
      <c r="F993" s="3">
        <v>6654956.0</v>
      </c>
      <c r="G993" s="30">
        <f t="shared" si="240"/>
        <v>16848601</v>
      </c>
    </row>
    <row r="995">
      <c r="A995" s="3" t="s">
        <v>644</v>
      </c>
      <c r="B995" s="3" t="s">
        <v>643</v>
      </c>
      <c r="C995" s="3" t="s">
        <v>463</v>
      </c>
      <c r="D995" s="3">
        <v>50.0</v>
      </c>
      <c r="E995" s="3">
        <v>4621282.0</v>
      </c>
      <c r="F995" s="3">
        <v>6551357.0</v>
      </c>
      <c r="G995" s="30">
        <f t="shared" ref="G995:G996" si="241">E995+F995</f>
        <v>11172639</v>
      </c>
    </row>
    <row r="996">
      <c r="A996" s="3" t="s">
        <v>644</v>
      </c>
      <c r="B996" s="3" t="s">
        <v>602</v>
      </c>
      <c r="C996" s="3" t="s">
        <v>463</v>
      </c>
      <c r="D996" s="3">
        <v>50.0</v>
      </c>
      <c r="E996" s="3">
        <v>8874777.0</v>
      </c>
      <c r="F996" s="3">
        <v>6557966.0</v>
      </c>
      <c r="G996" s="30">
        <f t="shared" si="241"/>
        <v>15432743</v>
      </c>
    </row>
    <row r="998">
      <c r="A998" s="3" t="s">
        <v>647</v>
      </c>
      <c r="B998" s="3" t="s">
        <v>643</v>
      </c>
      <c r="C998" s="3" t="s">
        <v>463</v>
      </c>
      <c r="D998" s="3">
        <v>50.0</v>
      </c>
      <c r="E998" s="3">
        <v>4483756.0</v>
      </c>
      <c r="F998" s="3">
        <v>6446596.0</v>
      </c>
      <c r="G998" s="30">
        <f t="shared" ref="G998:G999" si="242">E998+F998</f>
        <v>10930352</v>
      </c>
    </row>
    <row r="999">
      <c r="A999" s="3" t="s">
        <v>647</v>
      </c>
      <c r="B999" s="3" t="s">
        <v>602</v>
      </c>
      <c r="C999" s="3" t="s">
        <v>463</v>
      </c>
      <c r="D999" s="3">
        <v>50.0</v>
      </c>
      <c r="E999" s="3">
        <v>7984117.0</v>
      </c>
      <c r="F999" s="3">
        <v>6452318.0</v>
      </c>
      <c r="G999" s="30">
        <f t="shared" si="242"/>
        <v>14436435</v>
      </c>
    </row>
    <row r="1003">
      <c r="D1003" s="30" t="str">
        <f>"total=["&amp;L990&amp;", "&amp;L991&amp;", "&amp;G981&amp;", "&amp;G982&amp;", "&amp;G984&amp;", "&amp;G985&amp;", "&amp;G987&amp;", "&amp;G988&amp;"]"</f>
        <v>total=[10250000, 6000000, 10896302, 16974365, 11144894, 15319403, 10927516, 14936328]</v>
      </c>
    </row>
    <row r="1010">
      <c r="B1010" s="3" t="s">
        <v>567</v>
      </c>
      <c r="C1010" s="3" t="s">
        <v>654</v>
      </c>
    </row>
    <row r="1011">
      <c r="C1011" s="3" t="s">
        <v>589</v>
      </c>
      <c r="D1011" s="3" t="s">
        <v>636</v>
      </c>
    </row>
    <row r="1012">
      <c r="E1012" s="3" t="s">
        <v>448</v>
      </c>
      <c r="F1012" s="3" t="s">
        <v>449</v>
      </c>
      <c r="G1012" s="3" t="s">
        <v>283</v>
      </c>
      <c r="J1012" s="3">
        <v>4096.0</v>
      </c>
      <c r="K1012" s="3">
        <v>4096.0</v>
      </c>
    </row>
    <row r="1013">
      <c r="A1013" s="3" t="s">
        <v>642</v>
      </c>
      <c r="B1013" s="3" t="s">
        <v>643</v>
      </c>
      <c r="C1013" s="3" t="s">
        <v>463</v>
      </c>
      <c r="D1013" s="3">
        <v>200.0</v>
      </c>
      <c r="E1013" s="3">
        <v>1516527.0</v>
      </c>
      <c r="F1013" s="3">
        <v>821676.0</v>
      </c>
      <c r="G1013" s="30">
        <f t="shared" ref="G1013:G1014" si="243">E1013+F1013</f>
        <v>2338203</v>
      </c>
      <c r="H1013" s="30">
        <f t="shared" ref="H1013:H1014" si="244">100-ABS($L$496-G1013)/$L$496*100</f>
        <v>37.16473579</v>
      </c>
      <c r="I1013" s="30">
        <f>100-ABS($L$497-G1013)/$L$497*100</f>
        <v>55.74710369</v>
      </c>
    </row>
    <row r="1014">
      <c r="A1014" s="3" t="s">
        <v>642</v>
      </c>
      <c r="B1014" s="3" t="s">
        <v>602</v>
      </c>
      <c r="C1014" s="3" t="s">
        <v>463</v>
      </c>
      <c r="D1014" s="3">
        <v>200.0</v>
      </c>
      <c r="E1014" s="3">
        <v>1520001.0</v>
      </c>
      <c r="F1014" s="3">
        <v>826604.0</v>
      </c>
      <c r="G1014" s="30">
        <f t="shared" si="243"/>
        <v>2346605</v>
      </c>
      <c r="H1014" s="30">
        <f t="shared" si="244"/>
        <v>37.29828199</v>
      </c>
    </row>
    <row r="1016">
      <c r="A1016" s="3" t="s">
        <v>644</v>
      </c>
      <c r="B1016" s="3" t="s">
        <v>643</v>
      </c>
      <c r="C1016" s="3" t="s">
        <v>463</v>
      </c>
      <c r="D1016" s="3">
        <v>200.0</v>
      </c>
      <c r="E1016" s="3">
        <v>1697399.0</v>
      </c>
      <c r="F1016" s="3">
        <v>679613.0</v>
      </c>
      <c r="G1016" s="30">
        <f t="shared" ref="G1016:G1017" si="245">E1016+F1016</f>
        <v>2377012</v>
      </c>
      <c r="H1016" s="30">
        <f t="shared" ref="H1016:H1017" si="246">100-ABS($L$496-G1016)/$L$496*100</f>
        <v>37.78158824</v>
      </c>
      <c r="M1016" s="30">
        <f>J1019/200</f>
        <v>500000</v>
      </c>
    </row>
    <row r="1017">
      <c r="A1017" s="3" t="s">
        <v>644</v>
      </c>
      <c r="B1017" s="3" t="s">
        <v>602</v>
      </c>
      <c r="C1017" s="3" t="s">
        <v>463</v>
      </c>
      <c r="D1017" s="3">
        <v>200.0</v>
      </c>
      <c r="E1017" s="3">
        <v>1826256.0</v>
      </c>
      <c r="F1017" s="3">
        <v>703656.0</v>
      </c>
      <c r="G1017" s="30">
        <f t="shared" si="245"/>
        <v>2529912</v>
      </c>
      <c r="H1017" s="30">
        <f t="shared" si="246"/>
        <v>40.21186829</v>
      </c>
    </row>
    <row r="1018">
      <c r="J1018" s="3" t="s">
        <v>645</v>
      </c>
      <c r="K1018" s="3" t="s">
        <v>646</v>
      </c>
    </row>
    <row r="1019">
      <c r="A1019" s="3" t="s">
        <v>647</v>
      </c>
      <c r="B1019" s="3" t="s">
        <v>643</v>
      </c>
      <c r="C1019" s="3" t="s">
        <v>463</v>
      </c>
      <c r="D1019" s="3">
        <v>200.0</v>
      </c>
      <c r="E1019" s="3">
        <v>1501175.0</v>
      </c>
      <c r="F1019" s="3">
        <v>505334.0</v>
      </c>
      <c r="G1019" s="30">
        <f t="shared" ref="G1019:G1020" si="247">E1019+F1019</f>
        <v>2006509</v>
      </c>
      <c r="H1019" s="30">
        <f t="shared" ref="H1019:H1020" si="248">100-ABS($L$496-G1019)/$L$496*100</f>
        <v>31.89260165</v>
      </c>
      <c r="J1019" s="3">
        <v>1.0E8</v>
      </c>
      <c r="K1019" s="3">
        <v>4.0</v>
      </c>
    </row>
    <row r="1020">
      <c r="A1020" s="3" t="s">
        <v>647</v>
      </c>
      <c r="B1020" s="3" t="s">
        <v>602</v>
      </c>
      <c r="C1020" s="3" t="s">
        <v>463</v>
      </c>
      <c r="D1020" s="3">
        <v>200.0</v>
      </c>
      <c r="E1020" s="3">
        <v>1502057.0</v>
      </c>
      <c r="F1020" s="3">
        <v>505586.0</v>
      </c>
      <c r="G1020" s="30">
        <f t="shared" si="247"/>
        <v>2007643</v>
      </c>
      <c r="H1020" s="30">
        <f t="shared" si="248"/>
        <v>31.91062609</v>
      </c>
    </row>
    <row r="1021">
      <c r="J1021" s="3" t="s">
        <v>486</v>
      </c>
      <c r="K1021" s="3" t="s">
        <v>648</v>
      </c>
      <c r="L1021" s="3" t="s">
        <v>283</v>
      </c>
    </row>
    <row r="1022">
      <c r="I1022" s="3" t="s">
        <v>649</v>
      </c>
      <c r="J1022" s="30">
        <f>J1019*K1019/64*3*16/200</f>
        <v>1500000</v>
      </c>
      <c r="K1022" s="30">
        <f>J1019*K1019/64*16/200</f>
        <v>500000</v>
      </c>
      <c r="L1022" s="30">
        <f t="shared" ref="L1022:L1023" si="249">J1022+K1022</f>
        <v>2000000</v>
      </c>
    </row>
    <row r="1023">
      <c r="A1023" s="3" t="s">
        <v>667</v>
      </c>
      <c r="B1023" s="3" t="s">
        <v>651</v>
      </c>
      <c r="I1023" s="3" t="s">
        <v>650</v>
      </c>
      <c r="J1023" s="30">
        <f>J1019*K1019/64*16/200*2</f>
        <v>1000000</v>
      </c>
      <c r="K1023" s="30">
        <f>K1022</f>
        <v>500000</v>
      </c>
      <c r="L1023" s="30">
        <f t="shared" si="249"/>
        <v>1500000</v>
      </c>
    </row>
    <row r="1024">
      <c r="A1024" s="3" t="s">
        <v>642</v>
      </c>
      <c r="B1024" s="3" t="s">
        <v>643</v>
      </c>
      <c r="C1024" s="3" t="s">
        <v>463</v>
      </c>
      <c r="D1024" s="3">
        <v>200.0</v>
      </c>
      <c r="E1024" s="3">
        <v>1516593.0</v>
      </c>
      <c r="F1024" s="3">
        <v>818848.0</v>
      </c>
      <c r="G1024" s="30">
        <f t="shared" ref="G1024:G1025" si="250">E1024+F1024</f>
        <v>2335441</v>
      </c>
    </row>
    <row r="1025">
      <c r="A1025" s="3" t="s">
        <v>642</v>
      </c>
      <c r="B1025" s="3" t="s">
        <v>602</v>
      </c>
      <c r="C1025" s="3" t="s">
        <v>463</v>
      </c>
      <c r="D1025" s="3">
        <v>200.0</v>
      </c>
      <c r="E1025" s="3">
        <v>1518779.0</v>
      </c>
      <c r="F1025" s="3">
        <v>817026.0</v>
      </c>
      <c r="G1025" s="30">
        <f t="shared" si="250"/>
        <v>2335805</v>
      </c>
    </row>
    <row r="1027">
      <c r="A1027" s="3" t="s">
        <v>644</v>
      </c>
      <c r="B1027" s="3" t="s">
        <v>643</v>
      </c>
      <c r="C1027" s="3" t="s">
        <v>463</v>
      </c>
      <c r="D1027" s="3">
        <v>200.0</v>
      </c>
      <c r="E1027" s="3">
        <v>1759632.0</v>
      </c>
      <c r="F1027" s="3">
        <v>752570.0</v>
      </c>
      <c r="G1027" s="30">
        <f t="shared" ref="G1027:G1028" si="251">E1027+F1027</f>
        <v>2512202</v>
      </c>
    </row>
    <row r="1028">
      <c r="A1028" s="3" t="s">
        <v>644</v>
      </c>
      <c r="B1028" s="3" t="s">
        <v>602</v>
      </c>
      <c r="C1028" s="3" t="s">
        <v>463</v>
      </c>
      <c r="D1028" s="3">
        <v>200.0</v>
      </c>
      <c r="E1028" s="3">
        <v>1900763.0</v>
      </c>
      <c r="F1028" s="3">
        <v>768691.0</v>
      </c>
      <c r="G1028" s="30">
        <f t="shared" si="251"/>
        <v>2669454</v>
      </c>
    </row>
    <row r="1030">
      <c r="A1030" s="3" t="s">
        <v>647</v>
      </c>
      <c r="B1030" s="3" t="s">
        <v>643</v>
      </c>
      <c r="C1030" s="3" t="s">
        <v>463</v>
      </c>
      <c r="D1030" s="3">
        <v>200.0</v>
      </c>
      <c r="E1030" s="3">
        <v>1501835.0</v>
      </c>
      <c r="F1030" s="3">
        <v>503652.0</v>
      </c>
      <c r="G1030" s="30">
        <f t="shared" ref="G1030:G1031" si="252">E1030+F1030</f>
        <v>2005487</v>
      </c>
    </row>
    <row r="1031">
      <c r="A1031" s="3" t="s">
        <v>647</v>
      </c>
      <c r="B1031" s="3" t="s">
        <v>602</v>
      </c>
      <c r="C1031" s="3" t="s">
        <v>463</v>
      </c>
      <c r="D1031" s="3">
        <v>200.0</v>
      </c>
      <c r="E1031" s="3">
        <v>1502131.0</v>
      </c>
      <c r="F1031" s="3">
        <v>505243.0</v>
      </c>
      <c r="G1031" s="30">
        <f t="shared" si="252"/>
        <v>2007374</v>
      </c>
    </row>
    <row r="1035">
      <c r="D1035" s="30" t="str">
        <f>"total=["&amp;L1022&amp;", "&amp;L1023&amp;", "&amp;G1013&amp;", "&amp;G1014&amp;", "&amp;G1016&amp;", "&amp;G1017&amp;", "&amp;G1019&amp;", "&amp;G1020&amp;"]"</f>
        <v>total=[2000000, 1500000, 2338203, 2346605, 2377012, 2529912, 2006509, 2007643]</v>
      </c>
    </row>
    <row r="1040">
      <c r="D1040" s="3" t="s">
        <v>655</v>
      </c>
      <c r="E1040" s="3">
        <v>1.0</v>
      </c>
      <c r="F1040" s="3">
        <v>1713800.0</v>
      </c>
      <c r="G1040" s="3">
        <v>398826.0</v>
      </c>
    </row>
    <row r="1041">
      <c r="I1041" s="3">
        <v>4000000.0</v>
      </c>
      <c r="J1041" s="30">
        <f>LOG(I1041)</f>
        <v>6.602059991</v>
      </c>
      <c r="K1041" s="30">
        <f>J1041*100000</f>
        <v>660205.9991</v>
      </c>
      <c r="L1041" s="30">
        <f>K1041*3</f>
        <v>1980617.997</v>
      </c>
    </row>
    <row r="1043">
      <c r="B1043" s="3" t="s">
        <v>656</v>
      </c>
    </row>
    <row r="1044">
      <c r="C1044" s="3" t="s">
        <v>589</v>
      </c>
      <c r="D1044" s="3" t="s">
        <v>636</v>
      </c>
    </row>
    <row r="1045">
      <c r="E1045" s="3" t="s">
        <v>448</v>
      </c>
      <c r="F1045" s="3" t="s">
        <v>449</v>
      </c>
      <c r="G1045" s="3" t="s">
        <v>283</v>
      </c>
      <c r="H1045" s="30">
        <f>(H1046+H1049+H1052)/3</f>
        <v>71.40343218</v>
      </c>
      <c r="J1045" s="3">
        <v>4096.0</v>
      </c>
      <c r="K1045" s="3">
        <v>4096.0</v>
      </c>
    </row>
    <row r="1046">
      <c r="A1046" s="3" t="s">
        <v>642</v>
      </c>
      <c r="B1046" s="3" t="s">
        <v>643</v>
      </c>
      <c r="C1046" s="3" t="s">
        <v>655</v>
      </c>
      <c r="D1046" s="3">
        <v>1.0</v>
      </c>
      <c r="E1046" s="3">
        <v>426155.0</v>
      </c>
      <c r="G1046" s="30">
        <f t="shared" ref="G1046:G1047" si="253">E1046+F1046</f>
        <v>426155</v>
      </c>
      <c r="H1046" s="30">
        <f>100-ABS(G1046-L1055)/G1046*100</f>
        <v>61.88821813</v>
      </c>
      <c r="I1046" s="30">
        <f>100-ABS($L$497-G1046)/$L$497*100</f>
        <v>10.16032696</v>
      </c>
    </row>
    <row r="1047">
      <c r="A1047" s="3" t="s">
        <v>642</v>
      </c>
      <c r="B1047" s="3" t="s">
        <v>602</v>
      </c>
      <c r="C1047" s="3" t="s">
        <v>655</v>
      </c>
      <c r="D1047" s="3">
        <v>1.0</v>
      </c>
      <c r="E1047" s="3">
        <v>472839.0</v>
      </c>
      <c r="G1047" s="30">
        <f t="shared" si="253"/>
        <v>472839</v>
      </c>
      <c r="H1047" s="30">
        <f>100-ABS(G1047-L1055)/G1047*100</f>
        <v>75.52417122</v>
      </c>
    </row>
    <row r="1048">
      <c r="J1048" s="30">
        <f>(H1047+H1053)/2</f>
        <v>63.08615896</v>
      </c>
    </row>
    <row r="1049">
      <c r="A1049" s="3" t="s">
        <v>644</v>
      </c>
      <c r="B1049" s="3" t="s">
        <v>643</v>
      </c>
      <c r="C1049" s="3" t="s">
        <v>463</v>
      </c>
      <c r="D1049" s="3">
        <v>1.0</v>
      </c>
      <c r="E1049" s="3">
        <v>534214.0</v>
      </c>
      <c r="G1049" s="30">
        <f t="shared" ref="G1049:G1050" si="254">E1049+F1049</f>
        <v>534214</v>
      </c>
      <c r="H1049" s="30">
        <f>100-ABS(G1049-L1055)/G1049*100</f>
        <v>89.82500196</v>
      </c>
    </row>
    <row r="1050">
      <c r="A1050" s="3" t="s">
        <v>644</v>
      </c>
      <c r="B1050" s="3" t="s">
        <v>602</v>
      </c>
      <c r="C1050" s="3" t="s">
        <v>463</v>
      </c>
      <c r="D1050" s="3">
        <v>1.0</v>
      </c>
      <c r="E1050" s="3">
        <v>1152437.0</v>
      </c>
      <c r="G1050" s="30">
        <f t="shared" si="254"/>
        <v>1152437</v>
      </c>
      <c r="H1050" s="30">
        <f>100-ABS($L$496-G1050)/$L$496*100</f>
        <v>18.3174928</v>
      </c>
    </row>
    <row r="1051">
      <c r="J1051" s="3" t="s">
        <v>645</v>
      </c>
      <c r="K1051" s="3" t="s">
        <v>646</v>
      </c>
    </row>
    <row r="1052">
      <c r="A1052" s="3" t="s">
        <v>647</v>
      </c>
      <c r="B1052" s="3" t="s">
        <v>643</v>
      </c>
      <c r="C1052" s="3" t="s">
        <v>463</v>
      </c>
      <c r="D1052" s="3">
        <v>1.0</v>
      </c>
      <c r="E1052" s="3">
        <v>428042.0</v>
      </c>
      <c r="G1052" s="30">
        <f t="shared" ref="G1052:G1053" si="255">E1052+F1052</f>
        <v>428042</v>
      </c>
      <c r="H1052" s="30">
        <f>100-ABS(G1052-L1055)/G1052*100</f>
        <v>62.49707645</v>
      </c>
      <c r="J1052" s="3">
        <v>1.0E8</v>
      </c>
      <c r="K1052" s="3">
        <v>4.0</v>
      </c>
    </row>
    <row r="1053">
      <c r="A1053" s="3" t="s">
        <v>647</v>
      </c>
      <c r="B1053" s="3" t="s">
        <v>602</v>
      </c>
      <c r="C1053" s="3" t="s">
        <v>463</v>
      </c>
      <c r="D1053" s="3">
        <v>1.0</v>
      </c>
      <c r="E1053" s="3">
        <v>394083.0</v>
      </c>
      <c r="G1053" s="30">
        <f t="shared" si="255"/>
        <v>394083</v>
      </c>
      <c r="H1053" s="30">
        <f>100-ABS(G1053-L1055)/G1053*100</f>
        <v>50.6481467</v>
      </c>
    </row>
    <row r="1054">
      <c r="J1054" s="3" t="s">
        <v>486</v>
      </c>
      <c r="K1054" s="3" t="s">
        <v>648</v>
      </c>
      <c r="L1054" s="3" t="s">
        <v>283</v>
      </c>
    </row>
    <row r="1055">
      <c r="I1055" s="3" t="s">
        <v>649</v>
      </c>
      <c r="J1055" s="30">
        <v>588570.2640307106</v>
      </c>
      <c r="L1055" s="30">
        <f t="shared" ref="L1055:L1056" si="256">J1055+K1055</f>
        <v>588570.264</v>
      </c>
    </row>
    <row r="1056">
      <c r="A1056" s="3" t="s">
        <v>667</v>
      </c>
      <c r="B1056" s="3" t="s">
        <v>651</v>
      </c>
      <c r="I1056" s="3" t="s">
        <v>650</v>
      </c>
      <c r="J1056" s="30">
        <f>J1052*K1052/64*16/200*2</f>
        <v>1000000</v>
      </c>
      <c r="L1056" s="30">
        <f t="shared" si="256"/>
        <v>1000000</v>
      </c>
    </row>
    <row r="1057">
      <c r="A1057" s="3" t="s">
        <v>642</v>
      </c>
      <c r="B1057" s="3" t="s">
        <v>643</v>
      </c>
      <c r="C1057" s="3" t="s">
        <v>655</v>
      </c>
      <c r="D1057" s="3">
        <v>1.0</v>
      </c>
      <c r="E1057" s="3">
        <v>381648.0</v>
      </c>
      <c r="G1057" s="30">
        <f t="shared" ref="G1057:G1058" si="257">E1057+F1057</f>
        <v>381648</v>
      </c>
    </row>
    <row r="1058">
      <c r="A1058" s="3" t="s">
        <v>642</v>
      </c>
      <c r="B1058" s="3" t="s">
        <v>602</v>
      </c>
      <c r="C1058" s="3" t="s">
        <v>655</v>
      </c>
      <c r="D1058" s="3">
        <v>1.0</v>
      </c>
      <c r="E1058" s="3">
        <v>400427.0</v>
      </c>
      <c r="G1058" s="30">
        <f t="shared" si="257"/>
        <v>400427</v>
      </c>
    </row>
    <row r="1060">
      <c r="A1060" s="3" t="s">
        <v>644</v>
      </c>
      <c r="B1060" s="3" t="s">
        <v>643</v>
      </c>
      <c r="C1060" s="3" t="s">
        <v>463</v>
      </c>
      <c r="D1060" s="3">
        <v>1.0</v>
      </c>
      <c r="E1060" s="3">
        <v>410787.0</v>
      </c>
      <c r="G1060" s="30">
        <f t="shared" ref="G1060:G1061" si="258">E1060+F1060</f>
        <v>410787</v>
      </c>
    </row>
    <row r="1061">
      <c r="A1061" s="3" t="s">
        <v>644</v>
      </c>
      <c r="B1061" s="3" t="s">
        <v>602</v>
      </c>
      <c r="C1061" s="3" t="s">
        <v>463</v>
      </c>
      <c r="D1061" s="3">
        <v>1.0</v>
      </c>
      <c r="E1061" s="3">
        <v>782733.0</v>
      </c>
      <c r="G1061" s="30">
        <f t="shared" si="258"/>
        <v>782733</v>
      </c>
    </row>
    <row r="1063">
      <c r="A1063" s="3" t="s">
        <v>647</v>
      </c>
      <c r="B1063" s="3" t="s">
        <v>643</v>
      </c>
      <c r="C1063" s="3" t="s">
        <v>463</v>
      </c>
      <c r="D1063" s="3">
        <v>1.0</v>
      </c>
      <c r="E1063" s="3">
        <v>254280.0</v>
      </c>
      <c r="G1063" s="30">
        <f t="shared" ref="G1063:G1064" si="259">E1063+F1063</f>
        <v>254280</v>
      </c>
    </row>
    <row r="1064">
      <c r="A1064" s="3" t="s">
        <v>647</v>
      </c>
      <c r="B1064" s="3" t="s">
        <v>602</v>
      </c>
      <c r="C1064" s="3" t="s">
        <v>463</v>
      </c>
      <c r="D1064" s="3">
        <v>1.0</v>
      </c>
      <c r="E1064" s="3">
        <v>383627.0</v>
      </c>
      <c r="G1064" s="30">
        <f t="shared" si="259"/>
        <v>383627</v>
      </c>
    </row>
    <row r="1068">
      <c r="D1068" s="30" t="str">
        <f>"total=["&amp;L1055&amp;", "&amp;L1056&amp;", "&amp;G1046&amp;", "&amp;G1047&amp;", "&amp;G1049&amp;", "&amp;G1050&amp;", "&amp;G1052&amp;", "&amp;G1053&amp;"]"</f>
        <v>total=[588570.264030711, 1000000, 426155, 472839, 534214, 1152437, 428042, 394083]</v>
      </c>
    </row>
    <row r="1069">
      <c r="D1069" s="30" t="str">
        <f>"omp_data=["&amp;L1055&amp;", "&amp;L1056&amp;","&amp;G1057&amp;", "&amp;G1058&amp;", "&amp;G1060&amp;", "&amp;G1061&amp;", "&amp;G1063&amp;","&amp;G1064&amp;"]"</f>
        <v>omp_data=[588570.264030711, 1000000,381648, 400427, 410787, 782733, 254280,383627]</v>
      </c>
    </row>
    <row r="1070">
      <c r="F1070" s="3">
        <v>240.0</v>
      </c>
      <c r="G1070" s="30">
        <f>F1070*F1075</f>
        <v>251658240</v>
      </c>
      <c r="H1070" s="30">
        <f>E1072/G1070</f>
        <v>0.02443326314</v>
      </c>
      <c r="I1070" s="30">
        <f>E1077/G1070</f>
        <v>0.1666666667</v>
      </c>
      <c r="J1070" s="30">
        <f>H1070*I1070</f>
        <v>0.004072210524</v>
      </c>
    </row>
    <row r="1072">
      <c r="D1072" s="98">
        <v>768604.0</v>
      </c>
      <c r="E1072" s="30">
        <f>D1072*8</f>
        <v>6148832</v>
      </c>
      <c r="F1072" s="30">
        <f>E1072/F1075</f>
        <v>5.863983154</v>
      </c>
      <c r="I1072" s="30">
        <f>D1075/D1072</f>
        <v>0.7657652888</v>
      </c>
    </row>
    <row r="1073">
      <c r="F1073" s="3">
        <v>477873.0</v>
      </c>
    </row>
    <row r="1074">
      <c r="D1074" s="30">
        <f>log(D1072)</f>
        <v>5.88570264</v>
      </c>
    </row>
    <row r="1075">
      <c r="D1075" s="30">
        <f>D1074*100000</f>
        <v>588570.264</v>
      </c>
      <c r="E1075" s="30">
        <f>D1075*64</f>
        <v>37668496.9</v>
      </c>
      <c r="F1075" s="99">
        <v>1048576.0</v>
      </c>
      <c r="G1075" s="30">
        <f>E1075/F1075</f>
        <v>35.92347803</v>
      </c>
    </row>
    <row r="1076">
      <c r="D1076" s="3" t="s">
        <v>657</v>
      </c>
    </row>
    <row r="1077">
      <c r="C1077" s="3" t="s">
        <v>658</v>
      </c>
      <c r="D1077" s="3">
        <v>40.0</v>
      </c>
      <c r="E1077" s="30">
        <f t="shared" ref="E1077:E1079" si="260">D1077*$F$609</f>
        <v>41943040</v>
      </c>
    </row>
    <row r="1078">
      <c r="C1078" s="3" t="s">
        <v>659</v>
      </c>
      <c r="D1078" s="3">
        <v>14.0</v>
      </c>
      <c r="E1078" s="30">
        <f t="shared" si="260"/>
        <v>14680064</v>
      </c>
    </row>
    <row r="1079">
      <c r="C1079" s="3" t="s">
        <v>660</v>
      </c>
      <c r="D1079" s="3">
        <v>28.0</v>
      </c>
      <c r="E1079" s="30">
        <f t="shared" si="260"/>
        <v>29360128</v>
      </c>
    </row>
    <row r="1080">
      <c r="K1080" s="3">
        <v>102.0</v>
      </c>
    </row>
    <row r="1082">
      <c r="L1082" s="30">
        <f>L1085/64</f>
        <v>65536</v>
      </c>
    </row>
    <row r="1083">
      <c r="B1083" s="3" t="s">
        <v>661</v>
      </c>
    </row>
    <row r="1084">
      <c r="C1084" s="3" t="s">
        <v>589</v>
      </c>
      <c r="D1084" s="3" t="s">
        <v>636</v>
      </c>
    </row>
    <row r="1085">
      <c r="E1085" s="3" t="s">
        <v>448</v>
      </c>
      <c r="F1085" s="3" t="s">
        <v>449</v>
      </c>
      <c r="G1085" s="3" t="s">
        <v>283</v>
      </c>
      <c r="J1085" s="3">
        <v>2048.0</v>
      </c>
      <c r="K1085" s="3">
        <v>2048.0</v>
      </c>
      <c r="L1085" s="30">
        <f>J1085*K1085</f>
        <v>4194304</v>
      </c>
      <c r="M1085" s="30">
        <f>L1085/64</f>
        <v>65536</v>
      </c>
    </row>
    <row r="1086">
      <c r="A1086" s="3" t="s">
        <v>642</v>
      </c>
      <c r="B1086" s="3" t="s">
        <v>643</v>
      </c>
      <c r="C1086" s="3" t="s">
        <v>463</v>
      </c>
      <c r="D1086" s="3">
        <v>200.0</v>
      </c>
      <c r="E1086" s="3">
        <v>1516527.0</v>
      </c>
      <c r="F1086" s="3">
        <v>821676.0</v>
      </c>
      <c r="G1086" s="30">
        <f t="shared" ref="G1086:G1087" si="261">E1086+F1086</f>
        <v>2338203</v>
      </c>
      <c r="H1086" s="30">
        <f t="shared" ref="H1086:H1087" si="262">100-ABS($L$496-G1086)/$L$496*100</f>
        <v>37.16473579</v>
      </c>
      <c r="I1086" s="30">
        <f>100-ABS($L$497-G1086)/$L$497*100</f>
        <v>55.74710369</v>
      </c>
    </row>
    <row r="1087">
      <c r="A1087" s="3" t="s">
        <v>642</v>
      </c>
      <c r="B1087" s="3" t="s">
        <v>602</v>
      </c>
      <c r="C1087" s="3" t="s">
        <v>463</v>
      </c>
      <c r="D1087" s="3">
        <v>200.0</v>
      </c>
      <c r="E1087" s="3">
        <v>1520001.0</v>
      </c>
      <c r="F1087" s="3">
        <v>826604.0</v>
      </c>
      <c r="G1087" s="30">
        <f t="shared" si="261"/>
        <v>2346605</v>
      </c>
      <c r="H1087" s="30">
        <f t="shared" si="262"/>
        <v>37.29828199</v>
      </c>
    </row>
    <row r="1089">
      <c r="A1089" s="3" t="s">
        <v>644</v>
      </c>
      <c r="B1089" s="3" t="s">
        <v>643</v>
      </c>
      <c r="C1089" s="3" t="s">
        <v>463</v>
      </c>
      <c r="D1089" s="3">
        <v>200.0</v>
      </c>
      <c r="E1089" s="3">
        <v>1697399.0</v>
      </c>
      <c r="F1089" s="3">
        <v>679613.0</v>
      </c>
      <c r="G1089" s="30">
        <f t="shared" ref="G1089:G1090" si="263">E1089+F1089</f>
        <v>2377012</v>
      </c>
      <c r="H1089" s="30">
        <f t="shared" ref="H1089:H1090" si="264">100-ABS($L$496-G1089)/$L$496*100</f>
        <v>37.78158824</v>
      </c>
      <c r="M1089" s="30">
        <f>J1092/200</f>
        <v>500000</v>
      </c>
    </row>
    <row r="1090">
      <c r="A1090" s="3" t="s">
        <v>644</v>
      </c>
      <c r="B1090" s="3" t="s">
        <v>602</v>
      </c>
      <c r="C1090" s="3" t="s">
        <v>463</v>
      </c>
      <c r="D1090" s="3">
        <v>200.0</v>
      </c>
      <c r="E1090" s="3">
        <v>1826256.0</v>
      </c>
      <c r="F1090" s="3">
        <v>703656.0</v>
      </c>
      <c r="G1090" s="30">
        <f t="shared" si="263"/>
        <v>2529912</v>
      </c>
      <c r="H1090" s="30">
        <f t="shared" si="264"/>
        <v>40.21186829</v>
      </c>
    </row>
    <row r="1091">
      <c r="J1091" s="3" t="s">
        <v>645</v>
      </c>
      <c r="K1091" s="3" t="s">
        <v>646</v>
      </c>
    </row>
    <row r="1092">
      <c r="A1092" s="3" t="s">
        <v>647</v>
      </c>
      <c r="B1092" s="3" t="s">
        <v>643</v>
      </c>
      <c r="C1092" s="3" t="s">
        <v>463</v>
      </c>
      <c r="D1092" s="3">
        <v>200.0</v>
      </c>
      <c r="E1092" s="3">
        <v>1501175.0</v>
      </c>
      <c r="F1092" s="3">
        <v>505334.0</v>
      </c>
      <c r="G1092" s="30">
        <f t="shared" ref="G1092:G1093" si="265">E1092+F1092</f>
        <v>2006509</v>
      </c>
      <c r="H1092" s="30">
        <f t="shared" ref="H1092:H1093" si="266">100-ABS($L$496-G1092)/$L$496*100</f>
        <v>31.89260165</v>
      </c>
      <c r="J1092" s="3">
        <v>1.0E8</v>
      </c>
      <c r="K1092" s="3">
        <v>4.0</v>
      </c>
    </row>
    <row r="1093">
      <c r="A1093" s="3" t="s">
        <v>647</v>
      </c>
      <c r="B1093" s="3" t="s">
        <v>602</v>
      </c>
      <c r="C1093" s="3" t="s">
        <v>463</v>
      </c>
      <c r="D1093" s="3">
        <v>200.0</v>
      </c>
      <c r="E1093" s="3">
        <v>1502057.0</v>
      </c>
      <c r="F1093" s="3">
        <v>505586.0</v>
      </c>
      <c r="G1093" s="30">
        <f t="shared" si="265"/>
        <v>2007643</v>
      </c>
      <c r="H1093" s="30">
        <f t="shared" si="266"/>
        <v>31.91062609</v>
      </c>
    </row>
    <row r="1094">
      <c r="J1094" s="3" t="s">
        <v>486</v>
      </c>
      <c r="K1094" s="3" t="s">
        <v>648</v>
      </c>
      <c r="L1094" s="3" t="s">
        <v>283</v>
      </c>
    </row>
    <row r="1095">
      <c r="I1095" s="3" t="s">
        <v>649</v>
      </c>
      <c r="J1095" s="30">
        <f>J1092*K1092/64*3*16/200</f>
        <v>1500000</v>
      </c>
      <c r="K1095" s="30">
        <f>J1092*K1092/64*16/200</f>
        <v>500000</v>
      </c>
      <c r="L1095" s="30">
        <f t="shared" ref="L1095:L1096" si="267">J1095+K1095</f>
        <v>2000000</v>
      </c>
    </row>
    <row r="1096">
      <c r="A1096" s="3" t="s">
        <v>595</v>
      </c>
      <c r="B1096" s="3" t="s">
        <v>651</v>
      </c>
      <c r="I1096" s="3" t="s">
        <v>650</v>
      </c>
      <c r="J1096" s="30">
        <f>J1092*K1092/64*16/200*2</f>
        <v>1000000</v>
      </c>
      <c r="K1096" s="30">
        <f>K1095</f>
        <v>500000</v>
      </c>
      <c r="L1096" s="30">
        <f t="shared" si="267"/>
        <v>1500000</v>
      </c>
    </row>
    <row r="1097">
      <c r="A1097" s="3" t="s">
        <v>642</v>
      </c>
      <c r="B1097" s="3" t="s">
        <v>643</v>
      </c>
      <c r="C1097" s="3" t="s">
        <v>463</v>
      </c>
      <c r="D1097" s="3">
        <v>1.0</v>
      </c>
      <c r="E1097" s="3">
        <v>1.8776592E7</v>
      </c>
      <c r="F1097" s="3">
        <v>6270387.0</v>
      </c>
      <c r="G1097" s="30">
        <f t="shared" ref="G1097:G1098" si="268">E1097+F1097</f>
        <v>25046979</v>
      </c>
    </row>
    <row r="1098">
      <c r="A1098" s="3" t="s">
        <v>642</v>
      </c>
      <c r="B1098" s="3" t="s">
        <v>602</v>
      </c>
      <c r="C1098" s="3" t="s">
        <v>463</v>
      </c>
      <c r="D1098" s="3">
        <v>1.0</v>
      </c>
      <c r="E1098" s="3">
        <v>1.8779905E7</v>
      </c>
      <c r="F1098" s="3">
        <v>6253845.0</v>
      </c>
      <c r="G1098" s="30">
        <f t="shared" si="268"/>
        <v>25033750</v>
      </c>
    </row>
    <row r="1100">
      <c r="A1100" s="3" t="s">
        <v>644</v>
      </c>
      <c r="B1100" s="3" t="s">
        <v>643</v>
      </c>
      <c r="C1100" s="3" t="s">
        <v>463</v>
      </c>
      <c r="D1100" s="3">
        <v>1.0</v>
      </c>
      <c r="E1100" s="3">
        <v>1.8739767E7</v>
      </c>
      <c r="F1100" s="3">
        <v>6264934.0</v>
      </c>
      <c r="G1100" s="30">
        <f t="shared" ref="G1100:G1101" si="269">E1100+F1100</f>
        <v>25004701</v>
      </c>
    </row>
    <row r="1101">
      <c r="A1101" s="3" t="s">
        <v>644</v>
      </c>
      <c r="B1101" s="3" t="s">
        <v>602</v>
      </c>
      <c r="C1101" s="3" t="s">
        <v>463</v>
      </c>
      <c r="D1101" s="3">
        <v>1.0</v>
      </c>
      <c r="E1101" s="3">
        <v>1.8763648E7</v>
      </c>
      <c r="F1101" s="3">
        <v>6263322.0</v>
      </c>
      <c r="G1101" s="30">
        <f t="shared" si="269"/>
        <v>25026970</v>
      </c>
    </row>
    <row r="1103">
      <c r="A1103" s="3" t="s">
        <v>647</v>
      </c>
      <c r="B1103" s="3" t="s">
        <v>643</v>
      </c>
      <c r="C1103" s="3" t="s">
        <v>463</v>
      </c>
      <c r="D1103" s="3">
        <v>1.0</v>
      </c>
      <c r="E1103" s="3">
        <v>1.8409628E7</v>
      </c>
      <c r="F1103" s="3">
        <v>6199845.0</v>
      </c>
      <c r="G1103" s="30">
        <f t="shared" ref="G1103:G1104" si="270">E1103+F1103</f>
        <v>24609473</v>
      </c>
    </row>
    <row r="1104">
      <c r="A1104" s="3" t="s">
        <v>647</v>
      </c>
      <c r="B1104" s="3" t="s">
        <v>602</v>
      </c>
      <c r="C1104" s="3" t="s">
        <v>463</v>
      </c>
      <c r="D1104" s="3">
        <v>1.0</v>
      </c>
      <c r="E1104" s="3">
        <v>1.8413531E7</v>
      </c>
      <c r="F1104" s="3">
        <v>6184994.0</v>
      </c>
      <c r="G1104" s="30">
        <f t="shared" si="270"/>
        <v>24598525</v>
      </c>
    </row>
    <row r="1108">
      <c r="D1108" s="30" t="str">
        <f>"total=["&amp;L1095&amp;", "&amp;L1096&amp;", "&amp;G1086&amp;", "&amp;G1087&amp;", "&amp;G1089&amp;", "&amp;G1090&amp;", "&amp;G1092&amp;", "&amp;G1093&amp;"]"</f>
        <v>total=[2000000, 1500000, 2338203, 2346605, 2377012, 2529912, 2006509, 2007643]</v>
      </c>
    </row>
    <row r="1110">
      <c r="K1110" s="3">
        <v>16000.0</v>
      </c>
      <c r="L1110" s="30">
        <f>K1110*64</f>
        <v>1024000</v>
      </c>
      <c r="M1110" s="30">
        <f>L1110/2</f>
        <v>512000</v>
      </c>
    </row>
    <row r="1113">
      <c r="H1113" s="3">
        <v>512.0</v>
      </c>
      <c r="I1113" s="3">
        <v>512.0</v>
      </c>
      <c r="J1113" s="30">
        <f>H1113*I1113</f>
        <v>262144</v>
      </c>
      <c r="K1113" s="30">
        <f>J1113/64*4</f>
        <v>16384</v>
      </c>
    </row>
    <row r="1115">
      <c r="A1115" s="3" t="s">
        <v>668</v>
      </c>
    </row>
    <row r="1116">
      <c r="A1116" s="3"/>
    </row>
    <row r="1117">
      <c r="A1117" s="3"/>
      <c r="C1117" s="3" t="s">
        <v>641</v>
      </c>
      <c r="D1117" s="3" t="s">
        <v>557</v>
      </c>
      <c r="E1117" s="3" t="s">
        <v>597</v>
      </c>
      <c r="F1117" s="3" t="s">
        <v>90</v>
      </c>
      <c r="G1117" s="3" t="s">
        <v>669</v>
      </c>
      <c r="H1117" s="3" t="s">
        <v>670</v>
      </c>
      <c r="I1117" s="30" t="str">
        <f t="shared" ref="I1117:I1121" si="271">"gcc=["&amp;C1117&amp;", "&amp;D1117&amp;", "&amp;E1117&amp;", "&amp;F1117&amp;", "&amp;G1117&amp;", "&amp;H1117&amp;"]"</f>
        <v>gcc=[Stream, Jacobi, Laplace, XSBench, Vecmul-50, Vecmul-200]</v>
      </c>
    </row>
    <row r="1118">
      <c r="A1118" s="3"/>
      <c r="B1118" s="3" t="s">
        <v>636</v>
      </c>
      <c r="C1118" s="30">
        <v>2.5338856E7</v>
      </c>
      <c r="D1118" s="30">
        <v>9441832.0</v>
      </c>
      <c r="E1118" s="30">
        <v>6860474.0</v>
      </c>
      <c r="F1118" s="30">
        <v>426155.0</v>
      </c>
      <c r="G1118" s="30">
        <v>1.0896302E7</v>
      </c>
      <c r="H1118" s="30">
        <v>2338203.0</v>
      </c>
      <c r="I1118" s="30" t="str">
        <f t="shared" si="271"/>
        <v>gcc=[25338856, 9441832, 6860474, 426155, 10896302, 2338203]</v>
      </c>
    </row>
    <row r="1119">
      <c r="A1119" s="3" t="s">
        <v>671</v>
      </c>
      <c r="B1119" s="3" t="s">
        <v>672</v>
      </c>
      <c r="C1119" s="30">
        <v>2.5080477E7</v>
      </c>
      <c r="D1119" s="30">
        <v>9310190.0</v>
      </c>
      <c r="E1119" s="30">
        <v>6775994.0</v>
      </c>
      <c r="F1119" s="30">
        <v>472839.0</v>
      </c>
      <c r="G1119" s="30">
        <v>1.6974365E7</v>
      </c>
      <c r="H1119" s="30">
        <v>2346605.0</v>
      </c>
      <c r="I1119" s="30" t="str">
        <f t="shared" si="271"/>
        <v>gcc=[25080477, 9310190, 6775994, 472839, 16974365, 2346605]</v>
      </c>
    </row>
    <row r="1120">
      <c r="A1120" s="3"/>
      <c r="B1120" s="3" t="s">
        <v>673</v>
      </c>
      <c r="C1120" s="30">
        <v>2.5046979E7</v>
      </c>
      <c r="D1120" s="30">
        <v>9272076.0</v>
      </c>
      <c r="E1120" s="30">
        <v>6603716.0</v>
      </c>
      <c r="F1120" s="30">
        <v>665453.0</v>
      </c>
      <c r="G1120" s="30">
        <v>1.1066649E7</v>
      </c>
      <c r="H1120" s="30">
        <v>2504817.0</v>
      </c>
      <c r="I1120" s="30" t="str">
        <f t="shared" si="271"/>
        <v>gcc=[25046979, 9272076, 6603716, 665453, 11066649, 2504817]</v>
      </c>
    </row>
    <row r="1121">
      <c r="A1121" s="3"/>
      <c r="B1121" s="3" t="s">
        <v>674</v>
      </c>
      <c r="C1121" s="30">
        <v>2.503375E7</v>
      </c>
      <c r="D1121" s="30">
        <v>9145806.0</v>
      </c>
      <c r="E1121" s="30">
        <v>6597481.0</v>
      </c>
      <c r="F1121" s="30">
        <v>879404.0</v>
      </c>
      <c r="G1121" s="30">
        <v>1.9813172E7</v>
      </c>
      <c r="H1121" s="30">
        <v>2529047.0</v>
      </c>
      <c r="I1121" s="30" t="str">
        <f t="shared" si="271"/>
        <v>gcc=[25033750, 9145806, 6597481, 879404, 19813172, 2529047]</v>
      </c>
    </row>
    <row r="1122">
      <c r="A1122" s="3"/>
    </row>
    <row r="1123">
      <c r="A1123" s="3"/>
      <c r="C1123" s="3" t="s">
        <v>641</v>
      </c>
      <c r="D1123" s="3" t="s">
        <v>557</v>
      </c>
      <c r="E1123" s="3" t="s">
        <v>597</v>
      </c>
      <c r="F1123" s="3" t="s">
        <v>90</v>
      </c>
      <c r="G1123" s="3" t="s">
        <v>669</v>
      </c>
      <c r="H1123" s="3" t="s">
        <v>670</v>
      </c>
      <c r="I1123" s="30" t="str">
        <f t="shared" ref="I1123:I1127" si="272">"gcc=["&amp;C1123&amp;", "&amp;D1123&amp;", "&amp;E1123&amp;", "&amp;F1123&amp;", "&amp;G1123&amp;", "&amp;H1123&amp;"]"</f>
        <v>gcc=[Stream, Jacobi, Laplace, XSBench, Vecmul-50, Vecmul-200]</v>
      </c>
    </row>
    <row r="1124">
      <c r="A1124" s="3"/>
      <c r="B1124" s="3" t="s">
        <v>636</v>
      </c>
      <c r="C1124" s="30">
        <v>2.5338856E7</v>
      </c>
      <c r="D1124" s="30">
        <v>9441832.0</v>
      </c>
      <c r="E1124" s="30">
        <v>6860474.0</v>
      </c>
      <c r="F1124" s="30">
        <f t="shared" ref="F1124:F1127" si="273">F1118*10</f>
        <v>4261550</v>
      </c>
      <c r="G1124" s="30">
        <v>1.0896302E7</v>
      </c>
      <c r="H1124" s="30">
        <v>2338203.0</v>
      </c>
      <c r="I1124" s="30" t="str">
        <f t="shared" si="272"/>
        <v>gcc=[25338856, 9441832, 6860474, 4261550, 10896302, 2338203]</v>
      </c>
    </row>
    <row r="1125">
      <c r="A1125" s="3" t="s">
        <v>671</v>
      </c>
      <c r="B1125" s="3" t="s">
        <v>672</v>
      </c>
      <c r="C1125" s="30">
        <v>2.5080477E7</v>
      </c>
      <c r="D1125" s="30">
        <v>9310190.0</v>
      </c>
      <c r="E1125" s="30">
        <v>6775994.0</v>
      </c>
      <c r="F1125" s="30">
        <f t="shared" si="273"/>
        <v>4728390</v>
      </c>
      <c r="G1125" s="30">
        <v>1.6974365E7</v>
      </c>
      <c r="H1125" s="30">
        <v>2346605.0</v>
      </c>
      <c r="I1125" s="30" t="str">
        <f t="shared" si="272"/>
        <v>gcc=[25080477, 9310190, 6775994, 4728390, 16974365, 2346605]</v>
      </c>
    </row>
    <row r="1126">
      <c r="A1126" s="3"/>
      <c r="B1126" s="3" t="s">
        <v>673</v>
      </c>
      <c r="C1126" s="30">
        <v>2.5046979E7</v>
      </c>
      <c r="D1126" s="30">
        <v>9272076.0</v>
      </c>
      <c r="E1126" s="30">
        <v>6603716.0</v>
      </c>
      <c r="F1126" s="30">
        <f t="shared" si="273"/>
        <v>6654530</v>
      </c>
      <c r="G1126" s="30">
        <v>1.1066649E7</v>
      </c>
      <c r="H1126" s="30">
        <v>2504817.0</v>
      </c>
      <c r="I1126" s="30" t="str">
        <f t="shared" si="272"/>
        <v>gcc=[25046979, 9272076, 6603716, 6654530, 11066649, 2504817]</v>
      </c>
    </row>
    <row r="1127">
      <c r="A1127" s="3"/>
      <c r="B1127" s="3" t="s">
        <v>674</v>
      </c>
      <c r="C1127" s="30">
        <v>2.503375E7</v>
      </c>
      <c r="D1127" s="30">
        <v>9145806.0</v>
      </c>
      <c r="E1127" s="30">
        <v>6597481.0</v>
      </c>
      <c r="F1127" s="30">
        <f t="shared" si="273"/>
        <v>8794040</v>
      </c>
      <c r="G1127" s="30">
        <v>1.9813172E7</v>
      </c>
      <c r="H1127" s="30">
        <v>2529047.0</v>
      </c>
      <c r="I1127" s="30" t="str">
        <f t="shared" si="272"/>
        <v>gcc=[25033750, 9145806, 6597481, 8794040, 19813172, 2529047]</v>
      </c>
    </row>
    <row r="1128">
      <c r="A1128" s="3"/>
    </row>
    <row r="1129">
      <c r="A1129" s="3"/>
    </row>
    <row r="1130">
      <c r="A1130" s="3"/>
    </row>
    <row r="1131">
      <c r="A1131" s="3"/>
    </row>
    <row r="1132">
      <c r="A1132" s="3"/>
    </row>
    <row r="1133">
      <c r="A1133" s="3" t="s">
        <v>675</v>
      </c>
    </row>
    <row r="1134">
      <c r="A1134" s="3"/>
    </row>
    <row r="1135">
      <c r="A1135" s="3"/>
      <c r="C1135" s="3" t="s">
        <v>641</v>
      </c>
      <c r="D1135" s="3" t="s">
        <v>557</v>
      </c>
      <c r="E1135" s="3" t="s">
        <v>597</v>
      </c>
      <c r="F1135" s="3" t="s">
        <v>90</v>
      </c>
      <c r="G1135" s="3" t="s">
        <v>669</v>
      </c>
      <c r="H1135" s="3" t="s">
        <v>670</v>
      </c>
      <c r="I1135" s="30" t="str">
        <f t="shared" ref="I1135:I1139" si="274">"gcc=["&amp;C1135&amp;", "&amp;D1135&amp;", "&amp;E1135&amp;", "&amp;F1135&amp;", "&amp;G1135&amp;", "&amp;H1135&amp;"]"</f>
        <v>gcc=[Stream, Jacobi, Laplace, XSBench, Vecmul-50, Vecmul-200]</v>
      </c>
    </row>
    <row r="1136">
      <c r="A1136" s="3"/>
      <c r="B1136" s="3" t="s">
        <v>636</v>
      </c>
      <c r="C1136" s="89">
        <v>2.5338856E7</v>
      </c>
      <c r="D1136" s="30">
        <v>9441832.0</v>
      </c>
      <c r="E1136" s="30">
        <v>6860474.0</v>
      </c>
      <c r="F1136" s="30">
        <v>426155.0</v>
      </c>
      <c r="G1136" s="30">
        <v>1.0896302E7</v>
      </c>
      <c r="H1136" s="30">
        <v>2338203.0</v>
      </c>
      <c r="I1136" s="30" t="str">
        <f t="shared" si="274"/>
        <v>gcc=[25338856, 9441832, 6860474, 426155, 10896302, 2338203]</v>
      </c>
    </row>
    <row r="1137">
      <c r="A1137" s="3" t="s">
        <v>671</v>
      </c>
      <c r="B1137" s="3" t="s">
        <v>672</v>
      </c>
      <c r="C1137" s="89">
        <v>2.5080477E7</v>
      </c>
      <c r="D1137" s="30">
        <v>9310190.0</v>
      </c>
      <c r="E1137" s="30">
        <v>6775994.0</v>
      </c>
      <c r="F1137" s="30">
        <v>472839.0</v>
      </c>
      <c r="G1137" s="30">
        <v>1.6974365E7</v>
      </c>
      <c r="H1137" s="30">
        <v>2346605.0</v>
      </c>
      <c r="I1137" s="30" t="str">
        <f t="shared" si="274"/>
        <v>gcc=[25080477, 9310190, 6775994, 472839, 16974365, 2346605]</v>
      </c>
    </row>
    <row r="1138">
      <c r="A1138" s="3"/>
      <c r="B1138" s="3" t="s">
        <v>676</v>
      </c>
      <c r="C1138" s="89">
        <v>2.0085987E7</v>
      </c>
      <c r="D1138" s="30">
        <v>9441018.0</v>
      </c>
      <c r="E1138" s="30">
        <v>6832444.0</v>
      </c>
      <c r="F1138" s="30">
        <v>381648.0</v>
      </c>
      <c r="G1138" s="30">
        <v>1.0901759E7</v>
      </c>
      <c r="H1138" s="30">
        <v>2335441.0</v>
      </c>
      <c r="I1138" s="30" t="str">
        <f t="shared" si="274"/>
        <v>gcc=[20085987, 9441018, 6832444, 381648, 10901759, 2335441]</v>
      </c>
    </row>
    <row r="1139">
      <c r="A1139" s="3"/>
      <c r="B1139" s="3" t="s">
        <v>677</v>
      </c>
      <c r="C1139" s="89">
        <v>2.0082949E7</v>
      </c>
      <c r="D1139" s="30">
        <v>9320113.0</v>
      </c>
      <c r="E1139" s="30">
        <v>6714463.0</v>
      </c>
      <c r="F1139" s="30">
        <v>400427.0</v>
      </c>
      <c r="G1139" s="30">
        <v>1.6848601E7</v>
      </c>
      <c r="H1139" s="30">
        <v>2335805.0</v>
      </c>
      <c r="I1139" s="30" t="str">
        <f t="shared" si="274"/>
        <v>gcc=[20082949, 9320113, 6714463, 400427, 16848601, 2335805]</v>
      </c>
    </row>
    <row r="1140">
      <c r="A1140" s="3"/>
    </row>
    <row r="1141">
      <c r="A1141" s="3"/>
      <c r="C1141" s="3" t="s">
        <v>641</v>
      </c>
      <c r="D1141" s="3" t="s">
        <v>557</v>
      </c>
      <c r="E1141" s="3" t="s">
        <v>597</v>
      </c>
      <c r="F1141" s="3" t="s">
        <v>90</v>
      </c>
      <c r="G1141" s="3" t="s">
        <v>669</v>
      </c>
      <c r="H1141" s="3" t="s">
        <v>670</v>
      </c>
      <c r="I1141" s="30" t="str">
        <f t="shared" ref="I1141:I1145" si="277">"gcc=["&amp;C1141&amp;", "&amp;D1141&amp;", "&amp;E1141&amp;", "&amp;F1141&amp;", "&amp;G1141&amp;", "&amp;H1141&amp;"]"</f>
        <v>gcc=[Stream, Jacobi, Laplace, XSBench, Vecmul-50, Vecmul-200]</v>
      </c>
    </row>
    <row r="1142">
      <c r="A1142" s="3"/>
      <c r="B1142" s="3" t="s">
        <v>636</v>
      </c>
      <c r="C1142" s="30">
        <f t="shared" ref="C1142:E1142" si="275">C1136</f>
        <v>25338856</v>
      </c>
      <c r="D1142" s="30">
        <f t="shared" si="275"/>
        <v>9441832</v>
      </c>
      <c r="E1142" s="30">
        <f t="shared" si="275"/>
        <v>6860474</v>
      </c>
      <c r="F1142" s="30">
        <f t="shared" ref="F1142:F1145" si="279">F1136*10</f>
        <v>4261550</v>
      </c>
      <c r="G1142" s="30">
        <f t="shared" ref="G1142:H1142" si="276">G1136</f>
        <v>10896302</v>
      </c>
      <c r="H1142" s="30">
        <f t="shared" si="276"/>
        <v>2338203</v>
      </c>
      <c r="I1142" s="30" t="str">
        <f t="shared" si="277"/>
        <v>gcc=[25338856, 9441832, 6860474, 4261550, 10896302, 2338203]</v>
      </c>
    </row>
    <row r="1143">
      <c r="A1143" s="3" t="s">
        <v>671</v>
      </c>
      <c r="B1143" s="3" t="s">
        <v>672</v>
      </c>
      <c r="C1143" s="30">
        <f t="shared" ref="C1143:E1143" si="278">C1137</f>
        <v>25080477</v>
      </c>
      <c r="D1143" s="30">
        <f t="shared" si="278"/>
        <v>9310190</v>
      </c>
      <c r="E1143" s="30">
        <f t="shared" si="278"/>
        <v>6775994</v>
      </c>
      <c r="F1143" s="30">
        <f t="shared" si="279"/>
        <v>4728390</v>
      </c>
      <c r="G1143" s="30">
        <f t="shared" ref="G1143:H1143" si="280">G1137</f>
        <v>16974365</v>
      </c>
      <c r="H1143" s="30">
        <f t="shared" si="280"/>
        <v>2346605</v>
      </c>
      <c r="I1143" s="30" t="str">
        <f t="shared" si="277"/>
        <v>gcc=[25080477, 9310190, 6775994, 4728390, 16974365, 2346605]</v>
      </c>
    </row>
    <row r="1144">
      <c r="A1144" s="3"/>
      <c r="B1144" s="3" t="s">
        <v>676</v>
      </c>
      <c r="C1144" s="30">
        <f t="shared" ref="C1144:E1144" si="281">C1138</f>
        <v>20085987</v>
      </c>
      <c r="D1144" s="30">
        <f t="shared" si="281"/>
        <v>9441018</v>
      </c>
      <c r="E1144" s="30">
        <f t="shared" si="281"/>
        <v>6832444</v>
      </c>
      <c r="F1144" s="30">
        <f t="shared" si="279"/>
        <v>3816480</v>
      </c>
      <c r="G1144" s="30">
        <f t="shared" ref="G1144:H1144" si="282">G1138</f>
        <v>10901759</v>
      </c>
      <c r="H1144" s="30">
        <f t="shared" si="282"/>
        <v>2335441</v>
      </c>
      <c r="I1144" s="30" t="str">
        <f t="shared" si="277"/>
        <v>gcc=[20085987, 9441018, 6832444, 3816480, 10901759, 2335441]</v>
      </c>
    </row>
    <row r="1145">
      <c r="A1145" s="3"/>
      <c r="B1145" s="3" t="s">
        <v>677</v>
      </c>
      <c r="C1145" s="30">
        <f t="shared" ref="C1145:E1145" si="283">C1139</f>
        <v>20082949</v>
      </c>
      <c r="D1145" s="30">
        <f t="shared" si="283"/>
        <v>9320113</v>
      </c>
      <c r="E1145" s="30">
        <f t="shared" si="283"/>
        <v>6714463</v>
      </c>
      <c r="F1145" s="30">
        <f t="shared" si="279"/>
        <v>4004270</v>
      </c>
      <c r="G1145" s="30">
        <f t="shared" ref="G1145:H1145" si="284">G1139</f>
        <v>16848601</v>
      </c>
      <c r="H1145" s="30">
        <f t="shared" si="284"/>
        <v>2335805</v>
      </c>
      <c r="I1145" s="30" t="str">
        <f t="shared" si="277"/>
        <v>gcc=[20082949, 9320113, 6714463, 4004270, 16848601, 2335805]</v>
      </c>
    </row>
    <row r="1146">
      <c r="A1146" s="3"/>
    </row>
    <row r="1147">
      <c r="A1147" s="3"/>
    </row>
    <row r="1148">
      <c r="A1148" s="3"/>
    </row>
    <row r="1149">
      <c r="A1149" s="3"/>
    </row>
    <row r="1150">
      <c r="A1150" s="3"/>
    </row>
    <row r="1151">
      <c r="A1151" s="3"/>
    </row>
    <row r="1152">
      <c r="A1152" s="3"/>
    </row>
    <row r="1153">
      <c r="A1153" s="3"/>
    </row>
    <row r="1154">
      <c r="A1154" s="3"/>
    </row>
    <row r="1155">
      <c r="A1155" s="3"/>
    </row>
    <row r="1156">
      <c r="A1156" s="3"/>
    </row>
    <row r="1157">
      <c r="A1157" s="3"/>
    </row>
    <row r="1158">
      <c r="A1158" s="3"/>
    </row>
    <row r="1159">
      <c r="A1159" s="3"/>
    </row>
    <row r="1160">
      <c r="A1160" s="3"/>
    </row>
    <row r="1161">
      <c r="A1161" s="3"/>
    </row>
    <row r="1162">
      <c r="A1162" s="3"/>
    </row>
    <row r="1163">
      <c r="A1163" s="3"/>
    </row>
    <row r="1164">
      <c r="A1164" s="3"/>
    </row>
    <row r="1165">
      <c r="A1165" s="3"/>
    </row>
    <row r="1166">
      <c r="A1166" s="3"/>
    </row>
    <row r="1167">
      <c r="A1167" s="3"/>
    </row>
    <row r="1168">
      <c r="A1168" s="3"/>
    </row>
    <row r="1169">
      <c r="A1169" s="3"/>
    </row>
    <row r="1170">
      <c r="A1170" s="3"/>
    </row>
    <row r="1171">
      <c r="A1171" s="3"/>
    </row>
    <row r="1172">
      <c r="A1172" s="3"/>
    </row>
    <row r="1173">
      <c r="A1173" s="3"/>
    </row>
    <row r="1174">
      <c r="A1174" s="3"/>
    </row>
    <row r="1175">
      <c r="A1175" s="3"/>
    </row>
    <row r="1176">
      <c r="A1176" s="3"/>
    </row>
    <row r="1177">
      <c r="A1177" s="3"/>
    </row>
    <row r="1178">
      <c r="A1178" s="3"/>
    </row>
    <row r="1179">
      <c r="A1179" s="3"/>
    </row>
    <row r="1180">
      <c r="A1180" s="3"/>
    </row>
    <row r="1181">
      <c r="A1181" s="3"/>
    </row>
    <row r="1182">
      <c r="A1182" s="3"/>
    </row>
    <row r="1183">
      <c r="A1183" s="3"/>
    </row>
    <row r="1184">
      <c r="A1184" s="3"/>
    </row>
    <row r="1185">
      <c r="A1185" s="3"/>
    </row>
    <row r="1186">
      <c r="A1186" s="3"/>
    </row>
    <row r="1187">
      <c r="A1187" s="3"/>
    </row>
    <row r="1188">
      <c r="A1188" s="3"/>
    </row>
    <row r="1189">
      <c r="A1189" s="3"/>
    </row>
    <row r="1190">
      <c r="A1190" s="3"/>
    </row>
    <row r="1191">
      <c r="A1191" s="3"/>
    </row>
    <row r="1192">
      <c r="A1192" s="3"/>
    </row>
    <row r="1193">
      <c r="A1193" s="3"/>
    </row>
    <row r="1194">
      <c r="A1194" s="3"/>
    </row>
    <row r="1195">
      <c r="A1195" s="3"/>
    </row>
    <row r="1196">
      <c r="A1196" s="3"/>
    </row>
    <row r="1197">
      <c r="A1197" s="3"/>
    </row>
    <row r="1198">
      <c r="A1198" s="3"/>
    </row>
    <row r="1199">
      <c r="A1199" s="3"/>
    </row>
    <row r="1200">
      <c r="A1200" s="3"/>
    </row>
    <row r="1201">
      <c r="A1201" s="3"/>
    </row>
    <row r="1202">
      <c r="A1202" s="3"/>
    </row>
    <row r="1203">
      <c r="A1203" s="3"/>
    </row>
    <row r="1204">
      <c r="A1204" s="3"/>
    </row>
    <row r="1205">
      <c r="A1205" s="3"/>
    </row>
    <row r="1206">
      <c r="A1206" s="3"/>
    </row>
    <row r="1207">
      <c r="A1207" s="3"/>
    </row>
    <row r="1208">
      <c r="A1208" s="3"/>
    </row>
    <row r="1209">
      <c r="A1209" s="3"/>
    </row>
    <row r="1210">
      <c r="A1210" s="3"/>
    </row>
    <row r="1211">
      <c r="A1211" s="3"/>
    </row>
    <row r="1212">
      <c r="A1212" s="3"/>
    </row>
    <row r="1213">
      <c r="A1213" s="3"/>
    </row>
    <row r="1214">
      <c r="A1214" s="3"/>
    </row>
    <row r="1215">
      <c r="A1215" s="3"/>
    </row>
    <row r="1216">
      <c r="A1216" s="3"/>
    </row>
    <row r="1217">
      <c r="A1217" s="3"/>
    </row>
    <row r="1218">
      <c r="A1218" s="3"/>
    </row>
    <row r="1219">
      <c r="A1219" s="3"/>
    </row>
    <row r="1220">
      <c r="A1220" s="3"/>
    </row>
    <row r="1221">
      <c r="A1221" s="3"/>
    </row>
    <row r="1222">
      <c r="A1222" s="3"/>
    </row>
    <row r="1223">
      <c r="A1223" s="3"/>
    </row>
    <row r="1224">
      <c r="A1224" s="3"/>
    </row>
    <row r="1225">
      <c r="A1225" s="3"/>
    </row>
    <row r="1226">
      <c r="A1226" s="3"/>
    </row>
    <row r="1227">
      <c r="A1227" s="3"/>
    </row>
    <row r="1228">
      <c r="A1228" s="3"/>
    </row>
    <row r="1229">
      <c r="A1229" s="3"/>
    </row>
    <row r="1230">
      <c r="A1230" s="3"/>
    </row>
    <row r="1231">
      <c r="A1231" s="3"/>
    </row>
    <row r="1232">
      <c r="A1232" s="3"/>
    </row>
    <row r="1233">
      <c r="A1233" s="3"/>
    </row>
    <row r="1234">
      <c r="A1234" s="3"/>
    </row>
    <row r="1235">
      <c r="A1235" s="3"/>
    </row>
    <row r="1236">
      <c r="A1236" s="3"/>
    </row>
    <row r="1237">
      <c r="A1237" s="3"/>
    </row>
    <row r="1238">
      <c r="A1238" s="3"/>
    </row>
    <row r="1239">
      <c r="A1239" s="3"/>
    </row>
    <row r="1240">
      <c r="A1240" s="3"/>
    </row>
    <row r="1241">
      <c r="A1241" s="3"/>
    </row>
    <row r="1242">
      <c r="A1242" s="3"/>
    </row>
    <row r="1243">
      <c r="A1243" s="3"/>
    </row>
    <row r="1244">
      <c r="A1244" s="3"/>
    </row>
    <row r="1245">
      <c r="A1245" s="3"/>
    </row>
    <row r="1246">
      <c r="A1246" s="3"/>
    </row>
    <row r="1247">
      <c r="A1247" s="3"/>
    </row>
    <row r="1248">
      <c r="A1248" s="3"/>
    </row>
    <row r="1249">
      <c r="A1249" s="3"/>
    </row>
    <row r="1250">
      <c r="A1250" s="3"/>
    </row>
    <row r="1251">
      <c r="A1251" s="3"/>
    </row>
    <row r="1252">
      <c r="A1252" s="3"/>
    </row>
    <row r="1253">
      <c r="A1253" s="3"/>
    </row>
    <row r="1254">
      <c r="A1254" s="3"/>
    </row>
    <row r="1255">
      <c r="A1255" s="3"/>
    </row>
    <row r="1256">
      <c r="A1256" s="3"/>
    </row>
    <row r="1257">
      <c r="A1257" s="3"/>
    </row>
    <row r="1258">
      <c r="A1258" s="3"/>
    </row>
    <row r="1259">
      <c r="A1259" s="3"/>
    </row>
    <row r="1260">
      <c r="A1260" s="3"/>
    </row>
    <row r="1261">
      <c r="A1261" s="3"/>
    </row>
    <row r="1262">
      <c r="A1262" s="3"/>
    </row>
    <row r="1263">
      <c r="A1263" s="3"/>
    </row>
    <row r="1264">
      <c r="A1264" s="3"/>
    </row>
    <row r="1265">
      <c r="A1265" s="3"/>
    </row>
    <row r="1266">
      <c r="A1266" s="3"/>
    </row>
    <row r="1267">
      <c r="A1267" s="3"/>
    </row>
    <row r="1268">
      <c r="A1268" s="3"/>
    </row>
    <row r="1269">
      <c r="A1269" s="3"/>
    </row>
    <row r="1270">
      <c r="A1270" s="3"/>
    </row>
    <row r="1271">
      <c r="A1271" s="3"/>
    </row>
    <row r="1272">
      <c r="A1272" s="3"/>
    </row>
    <row r="1273">
      <c r="A1273" s="3"/>
    </row>
    <row r="1274">
      <c r="A1274" s="3"/>
    </row>
    <row r="1275">
      <c r="A1275" s="3"/>
    </row>
    <row r="1276">
      <c r="A1276" s="3"/>
    </row>
    <row r="1277">
      <c r="A1277" s="3"/>
    </row>
    <row r="1278">
      <c r="A1278" s="3"/>
    </row>
    <row r="1279">
      <c r="A1279" s="3"/>
    </row>
    <row r="1280">
      <c r="A1280" s="3"/>
    </row>
    <row r="1281">
      <c r="A1281" s="3"/>
    </row>
    <row r="1282">
      <c r="A1282" s="3"/>
    </row>
    <row r="1283">
      <c r="A1283" s="3"/>
    </row>
    <row r="1284">
      <c r="A1284" s="3"/>
    </row>
    <row r="1285">
      <c r="A1285" s="3"/>
    </row>
    <row r="1286">
      <c r="A1286" s="3"/>
    </row>
    <row r="1287">
      <c r="A1287" s="3"/>
    </row>
    <row r="1288">
      <c r="A1288" s="3"/>
    </row>
    <row r="1289">
      <c r="A1289" s="3"/>
    </row>
    <row r="1290">
      <c r="A1290" s="3"/>
    </row>
    <row r="1291">
      <c r="A1291" s="3"/>
    </row>
    <row r="1292">
      <c r="A1292" s="3"/>
    </row>
    <row r="1293">
      <c r="A1293" s="3"/>
    </row>
    <row r="1294">
      <c r="A1294" s="3"/>
    </row>
    <row r="1295">
      <c r="A1295" s="3"/>
    </row>
    <row r="1296">
      <c r="A1296" s="3"/>
    </row>
    <row r="1297">
      <c r="A1297" s="3"/>
    </row>
    <row r="1298">
      <c r="A1298" s="3"/>
    </row>
    <row r="1299">
      <c r="A1299" s="3"/>
    </row>
    <row r="1300">
      <c r="A1300" s="3"/>
    </row>
    <row r="1301">
      <c r="A1301" s="3"/>
    </row>
    <row r="1302">
      <c r="A1302" s="3"/>
    </row>
    <row r="1303">
      <c r="A1303" s="3"/>
    </row>
    <row r="1304">
      <c r="A1304" s="3"/>
    </row>
    <row r="1305">
      <c r="A1305" s="3"/>
    </row>
    <row r="1306">
      <c r="A1306" s="3"/>
    </row>
    <row r="1307">
      <c r="A1307" s="3"/>
    </row>
    <row r="1308">
      <c r="A1308" s="3"/>
    </row>
    <row r="1309">
      <c r="A1309" s="3"/>
    </row>
    <row r="1310">
      <c r="A1310" s="3"/>
    </row>
    <row r="1311">
      <c r="A1311" s="3"/>
    </row>
    <row r="1312">
      <c r="A1312" s="3"/>
    </row>
    <row r="1313">
      <c r="A1313" s="3"/>
    </row>
    <row r="1314">
      <c r="A1314" s="3"/>
    </row>
    <row r="1315">
      <c r="A1315" s="3"/>
    </row>
    <row r="1316">
      <c r="A1316" s="3"/>
    </row>
    <row r="1317">
      <c r="A1317" s="3"/>
    </row>
    <row r="1318">
      <c r="A1318" s="3"/>
    </row>
    <row r="1319">
      <c r="A1319" s="3"/>
    </row>
    <row r="1320">
      <c r="A1320" s="3"/>
    </row>
    <row r="1321">
      <c r="A1321" s="3"/>
    </row>
    <row r="1322">
      <c r="A1322" s="3"/>
    </row>
    <row r="1323">
      <c r="A1323" s="3"/>
    </row>
    <row r="1324">
      <c r="A1324" s="3"/>
    </row>
    <row r="1325">
      <c r="A1325" s="3"/>
    </row>
    <row r="1326">
      <c r="A1326" s="3"/>
    </row>
    <row r="1327">
      <c r="A1327" s="3"/>
    </row>
    <row r="1328">
      <c r="A1328" s="3"/>
    </row>
    <row r="1329">
      <c r="A1329" s="3"/>
    </row>
    <row r="1330">
      <c r="A1330" s="3"/>
    </row>
    <row r="1331">
      <c r="A1331" s="3"/>
    </row>
    <row r="1332">
      <c r="A1332" s="3"/>
    </row>
    <row r="1333">
      <c r="A1333" s="3"/>
    </row>
    <row r="1334">
      <c r="A1334" s="3"/>
    </row>
    <row r="1335">
      <c r="A1335" s="3"/>
    </row>
    <row r="1336">
      <c r="A1336" s="3"/>
    </row>
    <row r="1337">
      <c r="A1337" s="3"/>
    </row>
    <row r="1338">
      <c r="A1338" s="3"/>
    </row>
    <row r="1339">
      <c r="A1339" s="3"/>
    </row>
    <row r="1340">
      <c r="A1340" s="3"/>
    </row>
    <row r="1341">
      <c r="A1341" s="3"/>
    </row>
    <row r="1342">
      <c r="A1342" s="3"/>
    </row>
    <row r="1343">
      <c r="A1343" s="3"/>
    </row>
    <row r="1344">
      <c r="A1344" s="3"/>
    </row>
    <row r="1345">
      <c r="A1345" s="3"/>
    </row>
    <row r="1346">
      <c r="A1346" s="3"/>
    </row>
    <row r="1347">
      <c r="A1347" s="3"/>
    </row>
    <row r="1348">
      <c r="A1348" s="3"/>
    </row>
    <row r="1349">
      <c r="A1349" s="3"/>
    </row>
    <row r="1350">
      <c r="A1350" s="3"/>
    </row>
    <row r="1351">
      <c r="A1351" s="3"/>
    </row>
    <row r="1352">
      <c r="A1352" s="3"/>
    </row>
    <row r="1353">
      <c r="A1353" s="3"/>
    </row>
    <row r="1354">
      <c r="A1354" s="3"/>
    </row>
    <row r="1355">
      <c r="A1355" s="3"/>
    </row>
    <row r="1356">
      <c r="A1356" s="3"/>
    </row>
    <row r="1357">
      <c r="A1357" s="3"/>
    </row>
    <row r="1358">
      <c r="A1358" s="3"/>
    </row>
    <row r="1359">
      <c r="A1359" s="3"/>
    </row>
    <row r="1360">
      <c r="A1360" s="3"/>
    </row>
    <row r="1361">
      <c r="A1361" s="3"/>
    </row>
    <row r="1362">
      <c r="A1362" s="3"/>
    </row>
    <row r="1363">
      <c r="A1363" s="3"/>
    </row>
    <row r="1364">
      <c r="A1364" s="3"/>
    </row>
    <row r="1365">
      <c r="A1365" s="3"/>
    </row>
    <row r="1366">
      <c r="A1366" s="3"/>
    </row>
    <row r="1367">
      <c r="A1367" s="3"/>
    </row>
    <row r="1368">
      <c r="A1368" s="3"/>
    </row>
    <row r="1369">
      <c r="A1369" s="3"/>
    </row>
    <row r="1370">
      <c r="A1370" s="3"/>
    </row>
    <row r="1371">
      <c r="A1371" s="3"/>
    </row>
    <row r="1372">
      <c r="A1372" s="3"/>
    </row>
    <row r="1373">
      <c r="A1373" s="3"/>
    </row>
    <row r="1374">
      <c r="A1374" s="3"/>
    </row>
    <row r="1375">
      <c r="A1375" s="3"/>
    </row>
    <row r="1376">
      <c r="A1376" s="3"/>
    </row>
    <row r="1377">
      <c r="A1377" s="3"/>
    </row>
    <row r="1378">
      <c r="A1378" s="3"/>
    </row>
    <row r="1379">
      <c r="A1379" s="3"/>
    </row>
    <row r="1380">
      <c r="A1380" s="3"/>
    </row>
    <row r="1381">
      <c r="A1381" s="3"/>
    </row>
    <row r="1382">
      <c r="A1382" s="3"/>
    </row>
    <row r="1383">
      <c r="A1383" s="3"/>
    </row>
    <row r="1384">
      <c r="A1384" s="3"/>
    </row>
    <row r="1385">
      <c r="A1385" s="3"/>
    </row>
    <row r="1386">
      <c r="A1386" s="3"/>
    </row>
    <row r="1387">
      <c r="A1387" s="3"/>
    </row>
    <row r="1388">
      <c r="A1388" s="3"/>
    </row>
    <row r="1389">
      <c r="A1389" s="3"/>
    </row>
    <row r="1390">
      <c r="A1390" s="3"/>
    </row>
    <row r="1391">
      <c r="A1391" s="3"/>
    </row>
    <row r="1392">
      <c r="A1392" s="3"/>
    </row>
    <row r="1393">
      <c r="A1393" s="3"/>
    </row>
    <row r="1394">
      <c r="A1394" s="3"/>
    </row>
    <row r="1395">
      <c r="A1395" s="3"/>
    </row>
    <row r="1396">
      <c r="A1396" s="3"/>
    </row>
    <row r="1397">
      <c r="A1397" s="3"/>
    </row>
    <row r="1398">
      <c r="A1398" s="3"/>
    </row>
    <row r="1399">
      <c r="A1399" s="3"/>
    </row>
    <row r="1400">
      <c r="A1400" s="3"/>
    </row>
    <row r="1401">
      <c r="A1401" s="3"/>
    </row>
    <row r="1402">
      <c r="A1402" s="3"/>
    </row>
    <row r="1403">
      <c r="A1403" s="3"/>
    </row>
    <row r="1404">
      <c r="A1404" s="3"/>
    </row>
    <row r="1405">
      <c r="A1405" s="3"/>
    </row>
    <row r="1406">
      <c r="A1406" s="3"/>
    </row>
    <row r="1407">
      <c r="A1407" s="3"/>
    </row>
    <row r="1408">
      <c r="A1408" s="3"/>
    </row>
    <row r="1409">
      <c r="A1409" s="3"/>
    </row>
    <row r="1410">
      <c r="A1410" s="3"/>
    </row>
    <row r="1411">
      <c r="A1411" s="3"/>
    </row>
    <row r="1412">
      <c r="A1412" s="3"/>
    </row>
    <row r="1413">
      <c r="A1413" s="3"/>
    </row>
    <row r="1414">
      <c r="A1414" s="3"/>
    </row>
    <row r="1415">
      <c r="A1415" s="3"/>
    </row>
    <row r="1416">
      <c r="A1416" s="3"/>
    </row>
    <row r="1417">
      <c r="A1417" s="3"/>
    </row>
    <row r="1418">
      <c r="A1418" s="3"/>
    </row>
    <row r="1419">
      <c r="A1419" s="3"/>
    </row>
    <row r="1420">
      <c r="A1420" s="3"/>
    </row>
    <row r="1421">
      <c r="A1421" s="3"/>
    </row>
    <row r="1422">
      <c r="A1422" s="3"/>
    </row>
    <row r="1423">
      <c r="A1423" s="3"/>
    </row>
    <row r="1424">
      <c r="A1424" s="3"/>
    </row>
    <row r="1425">
      <c r="A1425" s="3"/>
    </row>
    <row r="1426">
      <c r="A1426" s="3"/>
    </row>
    <row r="1427">
      <c r="A1427" s="3"/>
    </row>
    <row r="1428">
      <c r="A1428" s="3"/>
    </row>
    <row r="1429">
      <c r="A1429" s="3"/>
    </row>
    <row r="1430">
      <c r="A1430" s="3"/>
    </row>
    <row r="1431">
      <c r="A1431" s="3"/>
    </row>
    <row r="1432">
      <c r="A1432" s="3"/>
    </row>
    <row r="1433">
      <c r="A1433" s="3"/>
    </row>
    <row r="1434">
      <c r="A1434" s="3"/>
    </row>
    <row r="1435">
      <c r="A1435" s="3"/>
    </row>
    <row r="1436">
      <c r="A1436" s="3"/>
    </row>
    <row r="1437">
      <c r="A1437" s="3"/>
    </row>
    <row r="1438">
      <c r="A1438" s="3"/>
    </row>
    <row r="1439">
      <c r="A1439" s="3"/>
    </row>
    <row r="1440">
      <c r="A1440" s="3"/>
    </row>
    <row r="1441">
      <c r="A1441" s="3"/>
    </row>
    <row r="1442">
      <c r="A1442" s="3"/>
    </row>
    <row r="1443">
      <c r="A1443" s="3"/>
    </row>
    <row r="1444">
      <c r="A1444" s="3"/>
    </row>
    <row r="1445">
      <c r="A1445" s="3"/>
    </row>
    <row r="1446">
      <c r="A1446" s="3"/>
    </row>
    <row r="1447">
      <c r="A1447" s="3"/>
    </row>
    <row r="1448">
      <c r="A1448" s="3"/>
    </row>
    <row r="1449">
      <c r="A1449" s="3"/>
    </row>
    <row r="1450">
      <c r="A1450" s="3"/>
    </row>
    <row r="1451">
      <c r="A1451" s="3"/>
    </row>
    <row r="1452">
      <c r="A1452" s="3"/>
    </row>
    <row r="1453">
      <c r="A1453" s="3"/>
    </row>
    <row r="1454">
      <c r="A1454" s="3"/>
    </row>
    <row r="1455">
      <c r="A1455" s="3"/>
    </row>
    <row r="1456">
      <c r="A1456" s="3"/>
    </row>
    <row r="1457">
      <c r="A1457" s="3"/>
    </row>
    <row r="1458">
      <c r="A1458" s="3"/>
    </row>
    <row r="1459">
      <c r="A1459" s="3"/>
    </row>
    <row r="1460">
      <c r="A1460" s="3"/>
    </row>
    <row r="1461">
      <c r="A1461" s="3"/>
    </row>
    <row r="1462">
      <c r="A1462" s="3"/>
    </row>
    <row r="1463">
      <c r="A1463" s="3"/>
    </row>
    <row r="1464">
      <c r="A1464" s="3"/>
    </row>
    <row r="1465">
      <c r="A1465" s="3"/>
    </row>
    <row r="1466">
      <c r="A1466" s="3"/>
    </row>
    <row r="1467">
      <c r="A1467" s="3"/>
    </row>
    <row r="1468">
      <c r="A1468" s="3"/>
    </row>
    <row r="1469">
      <c r="A1469" s="3"/>
    </row>
    <row r="1470">
      <c r="A1470" s="3"/>
    </row>
    <row r="1471">
      <c r="A1471" s="3"/>
    </row>
    <row r="1472">
      <c r="A1472" s="3"/>
    </row>
    <row r="1473">
      <c r="A1473" s="3"/>
    </row>
    <row r="1474">
      <c r="A1474" s="3"/>
    </row>
    <row r="1475">
      <c r="A1475" s="3"/>
    </row>
    <row r="1476">
      <c r="A1476" s="3"/>
    </row>
    <row r="1477">
      <c r="A1477" s="3"/>
    </row>
    <row r="1478">
      <c r="A1478" s="3"/>
    </row>
    <row r="1479">
      <c r="A1479" s="3"/>
    </row>
    <row r="1480">
      <c r="A1480" s="3"/>
    </row>
    <row r="1481">
      <c r="A1481" s="3"/>
    </row>
    <row r="1482">
      <c r="A1482" s="3"/>
    </row>
    <row r="1483">
      <c r="A1483" s="3"/>
    </row>
    <row r="1484">
      <c r="A1484" s="3"/>
    </row>
    <row r="1485">
      <c r="A1485" s="3"/>
    </row>
    <row r="1486">
      <c r="A1486" s="3"/>
    </row>
    <row r="1487">
      <c r="A1487" s="3"/>
    </row>
    <row r="1488">
      <c r="A1488" s="3"/>
    </row>
    <row r="1489">
      <c r="A1489" s="3"/>
    </row>
    <row r="1490">
      <c r="A1490" s="3"/>
    </row>
    <row r="1491">
      <c r="A1491" s="3"/>
    </row>
    <row r="1492">
      <c r="A1492" s="3"/>
    </row>
    <row r="1493">
      <c r="A1493" s="3"/>
    </row>
    <row r="1494">
      <c r="A1494" s="3"/>
    </row>
    <row r="1495">
      <c r="A1495" s="3"/>
    </row>
    <row r="1496">
      <c r="A1496" s="3"/>
    </row>
    <row r="1497">
      <c r="A1497" s="3"/>
    </row>
    <row r="1498">
      <c r="A1498" s="3"/>
    </row>
    <row r="1499">
      <c r="A1499" s="3"/>
    </row>
    <row r="1500">
      <c r="A1500" s="3"/>
    </row>
    <row r="1501">
      <c r="A1501" s="3"/>
    </row>
    <row r="1502">
      <c r="A1502" s="3"/>
    </row>
    <row r="1503">
      <c r="A1503" s="3"/>
    </row>
    <row r="1504">
      <c r="A1504" s="3"/>
    </row>
    <row r="1505">
      <c r="A1505" s="3"/>
    </row>
    <row r="1506">
      <c r="A1506" s="3"/>
    </row>
    <row r="1507">
      <c r="A1507" s="3"/>
    </row>
    <row r="1508">
      <c r="A1508" s="3"/>
    </row>
    <row r="1509">
      <c r="A1509" s="3"/>
    </row>
    <row r="1510">
      <c r="A1510" s="3"/>
    </row>
    <row r="1511">
      <c r="A1511" s="3"/>
    </row>
    <row r="1512">
      <c r="A1512" s="3"/>
    </row>
    <row r="1513">
      <c r="A1513" s="3"/>
    </row>
    <row r="1514">
      <c r="A1514" s="3"/>
    </row>
    <row r="1515">
      <c r="A1515" s="3"/>
    </row>
    <row r="1516">
      <c r="A1516" s="3"/>
    </row>
    <row r="1517">
      <c r="A1517" s="3"/>
    </row>
    <row r="1518">
      <c r="A1518" s="3"/>
    </row>
    <row r="1519">
      <c r="A1519" s="3"/>
    </row>
    <row r="1520">
      <c r="A1520" s="3"/>
    </row>
    <row r="1521">
      <c r="A1521" s="3"/>
    </row>
    <row r="1522">
      <c r="A1522" s="3"/>
    </row>
    <row r="1523">
      <c r="A1523" s="3"/>
    </row>
    <row r="1524">
      <c r="A1524" s="3"/>
    </row>
    <row r="1525">
      <c r="A1525" s="3"/>
    </row>
    <row r="1526">
      <c r="A1526" s="3"/>
    </row>
    <row r="1527">
      <c r="A1527" s="3"/>
    </row>
    <row r="1528">
      <c r="A1528" s="3"/>
    </row>
    <row r="1529">
      <c r="A1529" s="3"/>
    </row>
    <row r="1530">
      <c r="A1530" s="3"/>
    </row>
    <row r="1531">
      <c r="A1531" s="3"/>
    </row>
    <row r="1532">
      <c r="A1532" s="3"/>
    </row>
    <row r="1533">
      <c r="A1533" s="3"/>
    </row>
    <row r="1534">
      <c r="A1534" s="3"/>
    </row>
    <row r="1535">
      <c r="A1535" s="3"/>
    </row>
    <row r="1536">
      <c r="A1536" s="3"/>
    </row>
    <row r="1537">
      <c r="A1537" s="3"/>
    </row>
    <row r="1538">
      <c r="A1538" s="3"/>
    </row>
    <row r="1539">
      <c r="A1539" s="3"/>
    </row>
    <row r="1540">
      <c r="A1540" s="3"/>
    </row>
    <row r="1541">
      <c r="A1541" s="3"/>
    </row>
    <row r="1542">
      <c r="A1542" s="3"/>
    </row>
    <row r="1543">
      <c r="A1543" s="3"/>
    </row>
    <row r="1544">
      <c r="A1544" s="3"/>
    </row>
    <row r="1545">
      <c r="A1545" s="3"/>
    </row>
    <row r="1546">
      <c r="A1546" s="3"/>
    </row>
    <row r="1547">
      <c r="A1547" s="3"/>
    </row>
    <row r="1548">
      <c r="A1548" s="3"/>
    </row>
    <row r="1549">
      <c r="A1549" s="3"/>
    </row>
    <row r="1550">
      <c r="A1550" s="3"/>
    </row>
    <row r="1551">
      <c r="A1551" s="3"/>
    </row>
    <row r="1552">
      <c r="A1552" s="3"/>
    </row>
    <row r="1553">
      <c r="A1553" s="3"/>
    </row>
    <row r="1554">
      <c r="A1554" s="3"/>
    </row>
    <row r="1555">
      <c r="A1555" s="3"/>
    </row>
    <row r="1556">
      <c r="A1556" s="3"/>
    </row>
    <row r="1557">
      <c r="A1557" s="3"/>
    </row>
    <row r="1558">
      <c r="A1558" s="3"/>
    </row>
    <row r="1559">
      <c r="A1559" s="3"/>
    </row>
    <row r="1560">
      <c r="A1560" s="3"/>
    </row>
    <row r="1561">
      <c r="A1561" s="3"/>
    </row>
    <row r="1562">
      <c r="A1562" s="3"/>
    </row>
    <row r="1563">
      <c r="A1563" s="3"/>
    </row>
    <row r="1564">
      <c r="A1564" s="3"/>
    </row>
    <row r="1565">
      <c r="A1565" s="3"/>
    </row>
    <row r="1566">
      <c r="A1566" s="3"/>
    </row>
    <row r="1567">
      <c r="A1567" s="3"/>
    </row>
    <row r="1568">
      <c r="A1568" s="3"/>
    </row>
    <row r="1569">
      <c r="A1569" s="3"/>
    </row>
    <row r="1570">
      <c r="A1570" s="3"/>
    </row>
    <row r="1571">
      <c r="A1571" s="3"/>
    </row>
    <row r="1572">
      <c r="A1572" s="3"/>
    </row>
    <row r="1573">
      <c r="A1573" s="3"/>
    </row>
    <row r="1574">
      <c r="A1574" s="3"/>
    </row>
    <row r="1575">
      <c r="A1575" s="3"/>
    </row>
    <row r="1576">
      <c r="A1576" s="3"/>
    </row>
    <row r="1577">
      <c r="A1577" s="3"/>
    </row>
    <row r="1578">
      <c r="A1578" s="3"/>
    </row>
    <row r="1579">
      <c r="A1579" s="3"/>
    </row>
    <row r="1580">
      <c r="A1580" s="3"/>
    </row>
    <row r="1581">
      <c r="A1581" s="3"/>
    </row>
    <row r="1582">
      <c r="A1582" s="3"/>
    </row>
    <row r="1583">
      <c r="A1583" s="3"/>
    </row>
    <row r="1584">
      <c r="A1584" s="3"/>
    </row>
    <row r="1585">
      <c r="A1585" s="3"/>
    </row>
    <row r="1586">
      <c r="A1586" s="3"/>
    </row>
    <row r="1587">
      <c r="A1587" s="3"/>
    </row>
    <row r="1588">
      <c r="A1588" s="3"/>
    </row>
    <row r="1589">
      <c r="A1589" s="3"/>
    </row>
    <row r="1590">
      <c r="A1590" s="3"/>
    </row>
    <row r="1591">
      <c r="A1591" s="3"/>
    </row>
    <row r="1592">
      <c r="A1592" s="3"/>
    </row>
    <row r="1593">
      <c r="A1593" s="3"/>
    </row>
    <row r="1594">
      <c r="A1594" s="3"/>
    </row>
    <row r="1595">
      <c r="A1595" s="3"/>
    </row>
    <row r="1596">
      <c r="A1596" s="3"/>
    </row>
    <row r="1597">
      <c r="A1597" s="3"/>
    </row>
    <row r="1598">
      <c r="A1598" s="3"/>
    </row>
    <row r="1599">
      <c r="A1599" s="3"/>
    </row>
    <row r="1600">
      <c r="A1600" s="3"/>
    </row>
    <row r="1601">
      <c r="A1601" s="3"/>
    </row>
    <row r="1602">
      <c r="A1602" s="3"/>
    </row>
    <row r="1603">
      <c r="A1603" s="3"/>
    </row>
    <row r="1604">
      <c r="A1604" s="3"/>
    </row>
    <row r="1605">
      <c r="A1605" s="3"/>
    </row>
    <row r="1606">
      <c r="A1606" s="3"/>
    </row>
    <row r="1607">
      <c r="A1607" s="3"/>
    </row>
    <row r="1608">
      <c r="A1608" s="3"/>
    </row>
    <row r="1609">
      <c r="A1609" s="3"/>
    </row>
    <row r="1610">
      <c r="A1610" s="3"/>
    </row>
    <row r="1611">
      <c r="A1611" s="3"/>
    </row>
    <row r="1612">
      <c r="A1612" s="3"/>
    </row>
    <row r="1613">
      <c r="A1613" s="3"/>
    </row>
    <row r="1614">
      <c r="A1614" s="3"/>
    </row>
    <row r="1615">
      <c r="A1615" s="3"/>
    </row>
    <row r="1616">
      <c r="A1616" s="3"/>
    </row>
    <row r="1617">
      <c r="A1617" s="3"/>
    </row>
    <row r="1618">
      <c r="A1618" s="3"/>
    </row>
    <row r="1619">
      <c r="A1619" s="3"/>
    </row>
    <row r="1620">
      <c r="A1620" s="3"/>
    </row>
    <row r="1621">
      <c r="A1621" s="3"/>
    </row>
    <row r="1622">
      <c r="A1622" s="3"/>
    </row>
    <row r="1623">
      <c r="A1623" s="3"/>
    </row>
    <row r="1624">
      <c r="A1624" s="3"/>
    </row>
    <row r="1625">
      <c r="A1625" s="3"/>
    </row>
    <row r="1626">
      <c r="A1626" s="3"/>
    </row>
    <row r="1627">
      <c r="A1627" s="3"/>
    </row>
    <row r="1628">
      <c r="A1628" s="3"/>
    </row>
    <row r="1629">
      <c r="A1629" s="3"/>
    </row>
    <row r="1630">
      <c r="A1630" s="3"/>
    </row>
    <row r="1631">
      <c r="A1631" s="3"/>
    </row>
    <row r="1632">
      <c r="A1632" s="3"/>
    </row>
    <row r="1633">
      <c r="A1633" s="3"/>
    </row>
    <row r="1634">
      <c r="A1634" s="3"/>
    </row>
    <row r="1635">
      <c r="A1635" s="3"/>
    </row>
    <row r="1636">
      <c r="A1636" s="3"/>
    </row>
    <row r="1637">
      <c r="A1637" s="3"/>
    </row>
    <row r="1638">
      <c r="A1638" s="3"/>
    </row>
    <row r="1639">
      <c r="A1639" s="3"/>
    </row>
    <row r="1640">
      <c r="A1640" s="3"/>
    </row>
    <row r="1641">
      <c r="A1641" s="3"/>
    </row>
    <row r="1642">
      <c r="A1642" s="3"/>
    </row>
    <row r="1643">
      <c r="A1643" s="3"/>
    </row>
    <row r="1644">
      <c r="A1644" s="3"/>
    </row>
    <row r="1645">
      <c r="A1645" s="3"/>
    </row>
    <row r="1646">
      <c r="A1646" s="3"/>
    </row>
    <row r="1647">
      <c r="A1647" s="3"/>
    </row>
    <row r="1648">
      <c r="A1648" s="3"/>
    </row>
    <row r="1649">
      <c r="A1649" s="3"/>
    </row>
    <row r="1650">
      <c r="A1650" s="3"/>
    </row>
    <row r="1651">
      <c r="A1651" s="3"/>
    </row>
    <row r="1652">
      <c r="A1652" s="3"/>
    </row>
    <row r="1653">
      <c r="A1653" s="3"/>
    </row>
    <row r="1654">
      <c r="A1654" s="3"/>
    </row>
    <row r="1655">
      <c r="A1655" s="3"/>
    </row>
    <row r="1656">
      <c r="A1656" s="3"/>
    </row>
    <row r="1657">
      <c r="A1657" s="3"/>
    </row>
    <row r="1658">
      <c r="A1658" s="3"/>
    </row>
    <row r="1659">
      <c r="A1659" s="3"/>
    </row>
    <row r="1660">
      <c r="A1660" s="3"/>
    </row>
    <row r="1661">
      <c r="A1661" s="3"/>
    </row>
    <row r="1662">
      <c r="A1662" s="3"/>
    </row>
    <row r="1663">
      <c r="A1663" s="3"/>
    </row>
    <row r="1664">
      <c r="A1664" s="3"/>
    </row>
    <row r="1665">
      <c r="A1665" s="3"/>
    </row>
    <row r="1666">
      <c r="A1666" s="3"/>
    </row>
    <row r="1667">
      <c r="A1667" s="3"/>
    </row>
    <row r="1668">
      <c r="A1668" s="3"/>
    </row>
    <row r="1669">
      <c r="A1669" s="3"/>
    </row>
    <row r="1670">
      <c r="A1670" s="3"/>
    </row>
    <row r="1671">
      <c r="A1671" s="3"/>
    </row>
    <row r="1672">
      <c r="A1672" s="3"/>
    </row>
    <row r="1673">
      <c r="A1673" s="3"/>
    </row>
    <row r="1674">
      <c r="A1674" s="3"/>
    </row>
    <row r="1675">
      <c r="A1675" s="3"/>
    </row>
    <row r="1676">
      <c r="A1676" s="3"/>
    </row>
    <row r="1677">
      <c r="A1677" s="3"/>
    </row>
    <row r="1678">
      <c r="A1678" s="3"/>
    </row>
    <row r="1679">
      <c r="A1679" s="3"/>
    </row>
    <row r="1680">
      <c r="A1680" s="3"/>
    </row>
    <row r="1681">
      <c r="A1681" s="3"/>
    </row>
    <row r="1682">
      <c r="A1682" s="3"/>
    </row>
    <row r="1683">
      <c r="A1683" s="3"/>
    </row>
    <row r="1684">
      <c r="A1684" s="3"/>
    </row>
    <row r="1685">
      <c r="A1685" s="3"/>
    </row>
    <row r="1686">
      <c r="A1686" s="3"/>
    </row>
    <row r="1687">
      <c r="A1687" s="3"/>
    </row>
    <row r="1688">
      <c r="A1688" s="3"/>
    </row>
    <row r="1689">
      <c r="A1689" s="3"/>
    </row>
    <row r="1690">
      <c r="A1690" s="3"/>
    </row>
    <row r="1691">
      <c r="A1691" s="3"/>
    </row>
    <row r="1692">
      <c r="A1692" s="3"/>
    </row>
    <row r="1693">
      <c r="A1693" s="3"/>
    </row>
    <row r="1694">
      <c r="A1694" s="3"/>
    </row>
    <row r="1695">
      <c r="A1695" s="3"/>
    </row>
    <row r="1696">
      <c r="A1696" s="3"/>
    </row>
    <row r="1697">
      <c r="A1697" s="3"/>
    </row>
    <row r="1698">
      <c r="A1698" s="3"/>
    </row>
    <row r="1699">
      <c r="A1699" s="3"/>
    </row>
    <row r="1700">
      <c r="A1700" s="3"/>
    </row>
    <row r="1701">
      <c r="A1701" s="3"/>
    </row>
    <row r="1702">
      <c r="A1702" s="3"/>
    </row>
    <row r="1703">
      <c r="A1703" s="3"/>
    </row>
    <row r="1704">
      <c r="A1704" s="3"/>
    </row>
    <row r="1705">
      <c r="A1705" s="3"/>
    </row>
    <row r="1706">
      <c r="A1706" s="3"/>
    </row>
    <row r="1707">
      <c r="A1707" s="3"/>
    </row>
    <row r="1708">
      <c r="A1708" s="3"/>
    </row>
    <row r="1709">
      <c r="A1709" s="3"/>
    </row>
    <row r="1710">
      <c r="A1710" s="3"/>
    </row>
    <row r="1711">
      <c r="A1711" s="3"/>
    </row>
    <row r="1712">
      <c r="A1712" s="3"/>
    </row>
    <row r="1713">
      <c r="A1713" s="3"/>
    </row>
    <row r="1714">
      <c r="A1714" s="3"/>
    </row>
    <row r="1715">
      <c r="A1715" s="3"/>
    </row>
    <row r="1716">
      <c r="A1716" s="3"/>
    </row>
    <row r="1717">
      <c r="A1717" s="3"/>
    </row>
    <row r="1718">
      <c r="A1718" s="3"/>
    </row>
    <row r="1719">
      <c r="A1719" s="3"/>
    </row>
    <row r="1720">
      <c r="A1720" s="3"/>
    </row>
    <row r="1721">
      <c r="A1721" s="3"/>
    </row>
    <row r="1722">
      <c r="A1722" s="3"/>
    </row>
    <row r="1723">
      <c r="A1723" s="3"/>
    </row>
    <row r="1724">
      <c r="A1724" s="3"/>
    </row>
    <row r="1725">
      <c r="A1725" s="3"/>
    </row>
    <row r="1726">
      <c r="A1726" s="3"/>
    </row>
    <row r="1727">
      <c r="A1727" s="3"/>
    </row>
    <row r="1728">
      <c r="A1728" s="3"/>
    </row>
    <row r="1729">
      <c r="A1729" s="3"/>
    </row>
    <row r="1730">
      <c r="A1730" s="3"/>
    </row>
    <row r="1731">
      <c r="A1731" s="3"/>
    </row>
    <row r="1732">
      <c r="A1732" s="3"/>
    </row>
    <row r="1733">
      <c r="A1733" s="3"/>
    </row>
    <row r="1734">
      <c r="A1734" s="3"/>
    </row>
    <row r="1735">
      <c r="A1735" s="3"/>
    </row>
    <row r="1736">
      <c r="A1736" s="3"/>
    </row>
    <row r="1737">
      <c r="A1737" s="3"/>
    </row>
    <row r="1738">
      <c r="A1738" s="3"/>
    </row>
    <row r="1739">
      <c r="A1739" s="3"/>
    </row>
    <row r="1740">
      <c r="A1740" s="3"/>
    </row>
    <row r="1741">
      <c r="A1741" s="3"/>
    </row>
    <row r="1742">
      <c r="A1742" s="3"/>
    </row>
    <row r="1743">
      <c r="A1743" s="3"/>
    </row>
    <row r="1744">
      <c r="A1744" s="3"/>
    </row>
    <row r="1745">
      <c r="A1745" s="3"/>
    </row>
    <row r="1746">
      <c r="A1746" s="3"/>
    </row>
    <row r="1747">
      <c r="A1747" s="3"/>
    </row>
    <row r="1748">
      <c r="A1748" s="3"/>
    </row>
    <row r="1749">
      <c r="A1749" s="3"/>
    </row>
    <row r="1750">
      <c r="A1750" s="3"/>
    </row>
    <row r="1751">
      <c r="A1751" s="3"/>
    </row>
    <row r="1752">
      <c r="A1752" s="3"/>
    </row>
    <row r="1753">
      <c r="A1753" s="3"/>
    </row>
    <row r="1754">
      <c r="A1754" s="3"/>
    </row>
    <row r="1755">
      <c r="A1755" s="3"/>
    </row>
    <row r="1756">
      <c r="A1756" s="3"/>
    </row>
    <row r="1757">
      <c r="A1757" s="3"/>
    </row>
    <row r="1758">
      <c r="A1758" s="3"/>
    </row>
    <row r="1759">
      <c r="A1759" s="3"/>
    </row>
    <row r="1760">
      <c r="A1760" s="3"/>
    </row>
    <row r="1761">
      <c r="A1761" s="3"/>
    </row>
    <row r="1762">
      <c r="A1762" s="3"/>
    </row>
    <row r="1763">
      <c r="A1763" s="3"/>
    </row>
    <row r="1764">
      <c r="A1764" s="3"/>
    </row>
    <row r="1765">
      <c r="A1765" s="3"/>
    </row>
    <row r="1766">
      <c r="A1766" s="3"/>
    </row>
    <row r="1767">
      <c r="A1767" s="3"/>
    </row>
    <row r="1768">
      <c r="A1768" s="3"/>
    </row>
    <row r="1769">
      <c r="A1769" s="3"/>
    </row>
    <row r="1770">
      <c r="A1770" s="3"/>
    </row>
    <row r="1771">
      <c r="A1771" s="3"/>
    </row>
    <row r="1772">
      <c r="A1772" s="3"/>
    </row>
    <row r="1773">
      <c r="A1773" s="3"/>
    </row>
    <row r="1774">
      <c r="A1774" s="3"/>
    </row>
    <row r="1775">
      <c r="A1775" s="3"/>
    </row>
    <row r="1776">
      <c r="A1776" s="3"/>
    </row>
    <row r="1777">
      <c r="A1777" s="3"/>
    </row>
    <row r="1778">
      <c r="A1778" s="3"/>
    </row>
    <row r="1779">
      <c r="A1779" s="3"/>
    </row>
    <row r="1780">
      <c r="A1780" s="3"/>
    </row>
    <row r="1781">
      <c r="A1781" s="3"/>
    </row>
    <row r="1782">
      <c r="A1782" s="3"/>
    </row>
    <row r="1783">
      <c r="A1783" s="3"/>
    </row>
    <row r="1784">
      <c r="A1784" s="3"/>
    </row>
    <row r="1785">
      <c r="A1785" s="3"/>
    </row>
    <row r="1786">
      <c r="A1786" s="3"/>
    </row>
    <row r="1787">
      <c r="A1787" s="3"/>
    </row>
    <row r="1788">
      <c r="A1788" s="3"/>
    </row>
    <row r="1789">
      <c r="A1789" s="3"/>
    </row>
    <row r="1790">
      <c r="A1790" s="3"/>
    </row>
    <row r="1791">
      <c r="A1791" s="3"/>
    </row>
    <row r="1792">
      <c r="A1792" s="3"/>
    </row>
    <row r="1793">
      <c r="A1793" s="3"/>
    </row>
    <row r="1794">
      <c r="A1794" s="3"/>
    </row>
    <row r="1795">
      <c r="A1795" s="3"/>
    </row>
    <row r="1796">
      <c r="A1796" s="3"/>
    </row>
    <row r="1797">
      <c r="A1797" s="3"/>
    </row>
    <row r="1798">
      <c r="A1798" s="3"/>
    </row>
    <row r="1799">
      <c r="A1799" s="3"/>
    </row>
    <row r="1800">
      <c r="A1800" s="3"/>
    </row>
    <row r="1801">
      <c r="A1801" s="3"/>
    </row>
    <row r="1802">
      <c r="A1802" s="3"/>
    </row>
    <row r="1803">
      <c r="A1803" s="3"/>
    </row>
    <row r="1804">
      <c r="A1804" s="3"/>
    </row>
    <row r="1805">
      <c r="A1805" s="3"/>
    </row>
    <row r="1806">
      <c r="A1806" s="3"/>
    </row>
    <row r="1807">
      <c r="A1807" s="3"/>
    </row>
    <row r="1808">
      <c r="A1808" s="3"/>
    </row>
    <row r="1809">
      <c r="A1809" s="3"/>
    </row>
    <row r="1810">
      <c r="A1810" s="3"/>
    </row>
    <row r="1811">
      <c r="A1811" s="3"/>
    </row>
    <row r="1812">
      <c r="A1812" s="3"/>
    </row>
    <row r="1813">
      <c r="A1813" s="3"/>
    </row>
    <row r="1814">
      <c r="A1814" s="3"/>
    </row>
    <row r="1815">
      <c r="A1815" s="3"/>
    </row>
    <row r="1816">
      <c r="A1816" s="3"/>
    </row>
    <row r="1817">
      <c r="A1817" s="3"/>
    </row>
    <row r="1818">
      <c r="A1818" s="3"/>
    </row>
    <row r="1819">
      <c r="A1819" s="3"/>
    </row>
    <row r="1820">
      <c r="A1820" s="3"/>
    </row>
    <row r="1821">
      <c r="A1821" s="3"/>
    </row>
    <row r="1822">
      <c r="A1822" s="3"/>
    </row>
    <row r="1823">
      <c r="A1823" s="3"/>
    </row>
    <row r="1824">
      <c r="A1824" s="3"/>
    </row>
    <row r="1825">
      <c r="A1825" s="3"/>
    </row>
    <row r="1826">
      <c r="A1826" s="3"/>
    </row>
    <row r="1827">
      <c r="A1827" s="3"/>
    </row>
    <row r="1828">
      <c r="A1828" s="3"/>
    </row>
    <row r="1829">
      <c r="A1829" s="3"/>
    </row>
    <row r="1830">
      <c r="A1830" s="3"/>
    </row>
    <row r="1831">
      <c r="A1831" s="3"/>
    </row>
    <row r="1832">
      <c r="A1832" s="3"/>
    </row>
    <row r="1833">
      <c r="A1833" s="3"/>
    </row>
    <row r="1834">
      <c r="A1834" s="3"/>
    </row>
    <row r="1835">
      <c r="A1835" s="3"/>
    </row>
    <row r="1836">
      <c r="A1836" s="3"/>
    </row>
    <row r="1837">
      <c r="A1837" s="3"/>
    </row>
    <row r="1838">
      <c r="A1838" s="3"/>
    </row>
    <row r="1839">
      <c r="A1839" s="3"/>
    </row>
    <row r="1840">
      <c r="A1840" s="3"/>
    </row>
    <row r="1841">
      <c r="A1841" s="3"/>
    </row>
    <row r="1842">
      <c r="A1842" s="3"/>
    </row>
    <row r="1843">
      <c r="A1843" s="3"/>
    </row>
    <row r="1844">
      <c r="A1844" s="3"/>
    </row>
    <row r="1845">
      <c r="A1845" s="3"/>
    </row>
    <row r="1846">
      <c r="A1846" s="3"/>
    </row>
    <row r="1847">
      <c r="A1847" s="3"/>
    </row>
    <row r="1848">
      <c r="A1848" s="3"/>
    </row>
    <row r="1849">
      <c r="A1849" s="3"/>
    </row>
    <row r="1850">
      <c r="A1850" s="3"/>
    </row>
    <row r="1851">
      <c r="A1851" s="3"/>
    </row>
    <row r="1852">
      <c r="A1852" s="3"/>
    </row>
    <row r="1853">
      <c r="A1853" s="3"/>
    </row>
    <row r="1854">
      <c r="A1854" s="3"/>
    </row>
    <row r="1855">
      <c r="A1855" s="3"/>
    </row>
    <row r="1856">
      <c r="A1856" s="3"/>
    </row>
    <row r="1857">
      <c r="A1857" s="3"/>
    </row>
    <row r="1858">
      <c r="A1858" s="3"/>
    </row>
    <row r="1859">
      <c r="A1859" s="3"/>
    </row>
    <row r="1860">
      <c r="A1860" s="3"/>
    </row>
    <row r="1861">
      <c r="A1861" s="3"/>
    </row>
    <row r="1862">
      <c r="A1862" s="3"/>
    </row>
    <row r="1863">
      <c r="A1863" s="3"/>
    </row>
    <row r="1864">
      <c r="A1864" s="3"/>
    </row>
    <row r="1865">
      <c r="A1865" s="3"/>
    </row>
    <row r="1866">
      <c r="A1866" s="3"/>
    </row>
    <row r="1867">
      <c r="A1867" s="3"/>
    </row>
    <row r="1868">
      <c r="A1868" s="3"/>
    </row>
    <row r="1869">
      <c r="A1869" s="3"/>
    </row>
    <row r="1870">
      <c r="A1870" s="3"/>
    </row>
    <row r="1871">
      <c r="A1871" s="3"/>
    </row>
    <row r="1872">
      <c r="A1872" s="3"/>
    </row>
    <row r="1873">
      <c r="A1873" s="3"/>
    </row>
    <row r="1874">
      <c r="A1874" s="3"/>
    </row>
    <row r="1875">
      <c r="A1875" s="3"/>
    </row>
    <row r="1876">
      <c r="A1876" s="3"/>
    </row>
    <row r="1877">
      <c r="A1877" s="3"/>
    </row>
    <row r="1878">
      <c r="A1878" s="3"/>
    </row>
    <row r="1879">
      <c r="A1879" s="3"/>
    </row>
    <row r="1880">
      <c r="A1880" s="3"/>
    </row>
    <row r="1881">
      <c r="A1881" s="3"/>
    </row>
    <row r="1882">
      <c r="A1882" s="3"/>
    </row>
    <row r="1883">
      <c r="A1883" s="3"/>
    </row>
    <row r="1884">
      <c r="A1884" s="3"/>
    </row>
    <row r="1885">
      <c r="A1885" s="3"/>
    </row>
    <row r="1886">
      <c r="A1886" s="3"/>
    </row>
    <row r="1887">
      <c r="A1887" s="3"/>
    </row>
    <row r="1888">
      <c r="A1888" s="3"/>
    </row>
    <row r="1889">
      <c r="A1889" s="3"/>
    </row>
    <row r="1890">
      <c r="A1890" s="3"/>
    </row>
    <row r="1891">
      <c r="A1891" s="3"/>
    </row>
    <row r="1892">
      <c r="A1892" s="3"/>
    </row>
    <row r="1893">
      <c r="A1893" s="3"/>
    </row>
    <row r="1894">
      <c r="A1894" s="3"/>
    </row>
    <row r="1895">
      <c r="A1895" s="3"/>
    </row>
    <row r="1896">
      <c r="A1896" s="3"/>
    </row>
    <row r="1897">
      <c r="A1897" s="3"/>
    </row>
    <row r="1898">
      <c r="A1898" s="3"/>
    </row>
    <row r="1899">
      <c r="A1899" s="3"/>
    </row>
    <row r="1900">
      <c r="A1900" s="3"/>
    </row>
    <row r="1901">
      <c r="A1901" s="3"/>
    </row>
    <row r="1902">
      <c r="A1902" s="3"/>
    </row>
    <row r="1903">
      <c r="A1903" s="3"/>
    </row>
    <row r="1904">
      <c r="A1904" s="3"/>
    </row>
    <row r="1905">
      <c r="A1905" s="3"/>
    </row>
    <row r="1906">
      <c r="A1906" s="3"/>
    </row>
    <row r="1907">
      <c r="A1907" s="3"/>
    </row>
    <row r="1908">
      <c r="A1908" s="3"/>
    </row>
    <row r="1909">
      <c r="A1909" s="3"/>
    </row>
    <row r="1910">
      <c r="A1910" s="3"/>
    </row>
    <row r="1911">
      <c r="A1911" s="3"/>
    </row>
    <row r="1912">
      <c r="A1912" s="3"/>
    </row>
    <row r="1913">
      <c r="A1913" s="3"/>
    </row>
    <row r="1914">
      <c r="A1914" s="3"/>
    </row>
    <row r="1915">
      <c r="A1915" s="3"/>
    </row>
    <row r="1916">
      <c r="A1916" s="3"/>
    </row>
    <row r="1917">
      <c r="A1917" s="3"/>
    </row>
    <row r="1918">
      <c r="A1918" s="3"/>
    </row>
    <row r="1919">
      <c r="A1919" s="3"/>
    </row>
    <row r="1920">
      <c r="A1920" s="3"/>
    </row>
    <row r="1921">
      <c r="A1921" s="3"/>
    </row>
    <row r="1922">
      <c r="A1922" s="3"/>
    </row>
    <row r="1923">
      <c r="A1923" s="3"/>
    </row>
    <row r="1924">
      <c r="A1924" s="3"/>
    </row>
    <row r="1925">
      <c r="A1925" s="3"/>
    </row>
    <row r="1926">
      <c r="A1926" s="3"/>
    </row>
    <row r="1927">
      <c r="A1927" s="3"/>
    </row>
    <row r="1928">
      <c r="A1928" s="3"/>
    </row>
    <row r="1929">
      <c r="A1929" s="3"/>
    </row>
    <row r="1930">
      <c r="A1930" s="3"/>
    </row>
    <row r="1931">
      <c r="A1931" s="3"/>
    </row>
    <row r="1932">
      <c r="A1932" s="3"/>
    </row>
    <row r="1933">
      <c r="A1933" s="3"/>
    </row>
    <row r="1934">
      <c r="A1934" s="3"/>
    </row>
    <row r="1935">
      <c r="A1935" s="3"/>
    </row>
    <row r="1936">
      <c r="A1936" s="3"/>
    </row>
    <row r="1937">
      <c r="A1937" s="3"/>
    </row>
    <row r="1938">
      <c r="A1938" s="3"/>
    </row>
    <row r="1939">
      <c r="A1939" s="3"/>
    </row>
    <row r="1940">
      <c r="A1940" s="3"/>
    </row>
    <row r="1941">
      <c r="A1941" s="3"/>
    </row>
    <row r="1942">
      <c r="A1942" s="3"/>
    </row>
    <row r="1943">
      <c r="A1943" s="3"/>
    </row>
    <row r="1944">
      <c r="A1944" s="3"/>
    </row>
    <row r="1945">
      <c r="A1945" s="3"/>
    </row>
    <row r="1946">
      <c r="A1946" s="3"/>
    </row>
    <row r="1947">
      <c r="A1947" s="3"/>
    </row>
    <row r="1948">
      <c r="A1948" s="3"/>
    </row>
    <row r="1949">
      <c r="A1949" s="3"/>
    </row>
    <row r="1950">
      <c r="A1950" s="3"/>
    </row>
    <row r="1951">
      <c r="A1951" s="3"/>
    </row>
    <row r="1952">
      <c r="A1952" s="3"/>
    </row>
    <row r="1953">
      <c r="A1953" s="3"/>
    </row>
    <row r="1954">
      <c r="A1954" s="3"/>
    </row>
    <row r="1955">
      <c r="A1955" s="3"/>
    </row>
    <row r="1956">
      <c r="A1956" s="3"/>
    </row>
    <row r="1957">
      <c r="A1957" s="3"/>
    </row>
    <row r="1958">
      <c r="A1958" s="3"/>
    </row>
    <row r="1959">
      <c r="A1959" s="3"/>
    </row>
    <row r="1960">
      <c r="A1960" s="3"/>
    </row>
    <row r="1961">
      <c r="A1961" s="3"/>
    </row>
    <row r="1962">
      <c r="A1962" s="3"/>
    </row>
    <row r="1963">
      <c r="A1963" s="3"/>
    </row>
    <row r="1964">
      <c r="A1964" s="3"/>
    </row>
    <row r="1965">
      <c r="A1965" s="3"/>
    </row>
    <row r="1966">
      <c r="A1966" s="3"/>
    </row>
    <row r="1967">
      <c r="A1967" s="3"/>
    </row>
    <row r="1968">
      <c r="A1968" s="3"/>
    </row>
    <row r="1969">
      <c r="A1969" s="3"/>
    </row>
    <row r="1970">
      <c r="A1970" s="3"/>
    </row>
    <row r="1971">
      <c r="A1971" s="3"/>
    </row>
    <row r="1972">
      <c r="A1972" s="3"/>
    </row>
    <row r="1973">
      <c r="A1973" s="3"/>
    </row>
    <row r="1974">
      <c r="A1974" s="3"/>
    </row>
    <row r="1975">
      <c r="A1975" s="3"/>
    </row>
    <row r="1976">
      <c r="A1976" s="3"/>
    </row>
    <row r="1977">
      <c r="A1977" s="3"/>
    </row>
    <row r="1978">
      <c r="A1978" s="3"/>
    </row>
    <row r="1979">
      <c r="A1979" s="3"/>
    </row>
    <row r="1980">
      <c r="A1980" s="3"/>
    </row>
    <row r="1981">
      <c r="A1981" s="3"/>
    </row>
    <row r="1982">
      <c r="A1982" s="3"/>
    </row>
    <row r="1983">
      <c r="A1983" s="3"/>
    </row>
    <row r="1984">
      <c r="A1984" s="3"/>
    </row>
    <row r="1985">
      <c r="A1985" s="3"/>
    </row>
    <row r="1986">
      <c r="A1986" s="3"/>
    </row>
    <row r="1987">
      <c r="A1987" s="3"/>
    </row>
    <row r="1988">
      <c r="A1988" s="3"/>
    </row>
    <row r="1989">
      <c r="A1989" s="3"/>
    </row>
    <row r="1990">
      <c r="A1990" s="3"/>
    </row>
    <row r="1991">
      <c r="A1991" s="3"/>
    </row>
    <row r="1992">
      <c r="A1992" s="3"/>
    </row>
    <row r="1993">
      <c r="A1993" s="3"/>
    </row>
    <row r="1994">
      <c r="A1994" s="3"/>
    </row>
    <row r="1995">
      <c r="A1995" s="3"/>
    </row>
    <row r="1996">
      <c r="A1996" s="3"/>
    </row>
    <row r="1997">
      <c r="A1997" s="3"/>
    </row>
    <row r="1998">
      <c r="A1998" s="3"/>
    </row>
    <row r="1999">
      <c r="A1999" s="3"/>
    </row>
    <row r="2000">
      <c r="A2000" s="3"/>
    </row>
    <row r="2001">
      <c r="A2001" s="3"/>
    </row>
    <row r="2002">
      <c r="A2002" s="3"/>
    </row>
    <row r="2003">
      <c r="A2003" s="3"/>
    </row>
    <row r="2004">
      <c r="A2004" s="3"/>
    </row>
    <row r="2005">
      <c r="A2005" s="3"/>
    </row>
    <row r="2006">
      <c r="A2006" s="3"/>
    </row>
    <row r="2007">
      <c r="A2007" s="3"/>
    </row>
    <row r="2008">
      <c r="A2008" s="3"/>
    </row>
    <row r="2009">
      <c r="A2009" s="3"/>
    </row>
    <row r="2010">
      <c r="A2010" s="3"/>
    </row>
    <row r="2011">
      <c r="A2011" s="3"/>
    </row>
    <row r="2012">
      <c r="A2012" s="3"/>
    </row>
    <row r="2013">
      <c r="A2013" s="3"/>
    </row>
    <row r="2014">
      <c r="A2014" s="3"/>
    </row>
    <row r="2015">
      <c r="A2015" s="3"/>
    </row>
    <row r="2016">
      <c r="A2016" s="3"/>
    </row>
    <row r="2017">
      <c r="A2017" s="3"/>
    </row>
    <row r="2018">
      <c r="A2018" s="3"/>
    </row>
    <row r="2019">
      <c r="A2019" s="3"/>
    </row>
    <row r="2020">
      <c r="A2020" s="3"/>
    </row>
    <row r="2021">
      <c r="A2021" s="3"/>
    </row>
    <row r="2022">
      <c r="A2022" s="3"/>
    </row>
    <row r="2023">
      <c r="A2023" s="3"/>
    </row>
    <row r="2024">
      <c r="A2024" s="3"/>
    </row>
    <row r="2025">
      <c r="A2025" s="3"/>
    </row>
    <row r="2026">
      <c r="A2026" s="3"/>
    </row>
    <row r="2027">
      <c r="A2027" s="3"/>
    </row>
    <row r="2028">
      <c r="A2028" s="3"/>
    </row>
    <row r="2029">
      <c r="A2029" s="3"/>
    </row>
    <row r="2030">
      <c r="A2030" s="3"/>
    </row>
    <row r="2031">
      <c r="A2031" s="3"/>
    </row>
    <row r="2032">
      <c r="A2032" s="3"/>
    </row>
    <row r="2033">
      <c r="A2033" s="3"/>
    </row>
    <row r="2034">
      <c r="A2034" s="3"/>
    </row>
    <row r="2035">
      <c r="A2035" s="3"/>
    </row>
    <row r="2036">
      <c r="A2036" s="3"/>
    </row>
    <row r="2037">
      <c r="A2037" s="3"/>
    </row>
    <row r="2038">
      <c r="A2038" s="3"/>
    </row>
    <row r="2039">
      <c r="A2039" s="3"/>
    </row>
    <row r="2040">
      <c r="A2040" s="3"/>
    </row>
    <row r="2041">
      <c r="A2041" s="3"/>
    </row>
    <row r="2042">
      <c r="A2042" s="3"/>
    </row>
  </sheetData>
  <mergeCells count="11">
    <mergeCell ref="L54:M54"/>
    <mergeCell ref="N54:O54"/>
    <mergeCell ref="C72:D72"/>
    <mergeCell ref="E72:F72"/>
    <mergeCell ref="C37:D37"/>
    <mergeCell ref="E37:F37"/>
    <mergeCell ref="L37:M37"/>
    <mergeCell ref="N37:O37"/>
    <mergeCell ref="P37:Q37"/>
    <mergeCell ref="C54:D54"/>
    <mergeCell ref="E54:F54"/>
  </mergeCells>
  <hyperlinks>
    <hyperlink r:id="rId1" ref="F9"/>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5.43"/>
  </cols>
  <sheetData>
    <row r="2">
      <c r="B2" s="3" t="s">
        <v>553</v>
      </c>
      <c r="C2" s="3" t="s">
        <v>554</v>
      </c>
      <c r="D2" s="3" t="s">
        <v>555</v>
      </c>
      <c r="F2" s="3" t="s">
        <v>556</v>
      </c>
    </row>
    <row r="3">
      <c r="C3" s="3" t="s">
        <v>557</v>
      </c>
      <c r="D3" s="3" t="s">
        <v>558</v>
      </c>
      <c r="F3" s="3" t="s">
        <v>559</v>
      </c>
    </row>
    <row r="4">
      <c r="C4" s="3" t="s">
        <v>560</v>
      </c>
      <c r="D4" s="3" t="s">
        <v>561</v>
      </c>
      <c r="F4" s="3" t="s">
        <v>562</v>
      </c>
    </row>
    <row r="5">
      <c r="C5" s="3" t="s">
        <v>563</v>
      </c>
      <c r="D5" s="3" t="s">
        <v>564</v>
      </c>
      <c r="F5" s="3" t="s">
        <v>559</v>
      </c>
    </row>
    <row r="6">
      <c r="C6" s="3" t="s">
        <v>565</v>
      </c>
      <c r="D6" s="3" t="s">
        <v>566</v>
      </c>
      <c r="F6" s="3" t="s">
        <v>559</v>
      </c>
    </row>
    <row r="7">
      <c r="C7" s="3" t="s">
        <v>567</v>
      </c>
      <c r="D7" s="3" t="s">
        <v>568</v>
      </c>
      <c r="F7" s="3" t="s">
        <v>569</v>
      </c>
    </row>
    <row r="8">
      <c r="C8" s="3" t="s">
        <v>570</v>
      </c>
      <c r="D8" s="3" t="s">
        <v>571</v>
      </c>
      <c r="F8" s="3" t="s">
        <v>572</v>
      </c>
    </row>
    <row r="9">
      <c r="C9" s="3" t="s">
        <v>573</v>
      </c>
      <c r="D9" s="3" t="s">
        <v>571</v>
      </c>
      <c r="F9" s="14" t="s">
        <v>574</v>
      </c>
    </row>
    <row r="11">
      <c r="C11" s="3" t="s">
        <v>575</v>
      </c>
      <c r="E11" s="3" t="s">
        <v>576</v>
      </c>
    </row>
    <row r="12">
      <c r="C12" s="3" t="s">
        <v>577</v>
      </c>
    </row>
    <row r="16">
      <c r="B16" s="2" t="s">
        <v>578</v>
      </c>
    </row>
    <row r="18">
      <c r="C18" s="3" t="s">
        <v>463</v>
      </c>
      <c r="D18" s="3">
        <v>1.0</v>
      </c>
      <c r="E18" s="3">
        <v>897.0</v>
      </c>
      <c r="G18" s="3" t="s">
        <v>463</v>
      </c>
      <c r="H18" s="3">
        <v>1.0</v>
      </c>
      <c r="I18" s="3">
        <v>384.0</v>
      </c>
      <c r="K18" s="3" t="s">
        <v>463</v>
      </c>
      <c r="L18" s="3">
        <v>1.0</v>
      </c>
      <c r="M18" s="3">
        <v>856.0</v>
      </c>
      <c r="O18" s="3" t="s">
        <v>463</v>
      </c>
      <c r="P18" s="3">
        <v>1.0</v>
      </c>
      <c r="Q18" s="3">
        <v>308.0</v>
      </c>
    </row>
    <row r="19">
      <c r="C19" s="3" t="s">
        <v>463</v>
      </c>
      <c r="D19" s="3">
        <v>2.0</v>
      </c>
      <c r="E19" s="3">
        <v>744.0</v>
      </c>
      <c r="G19" s="3" t="s">
        <v>463</v>
      </c>
      <c r="H19" s="3">
        <v>2.0</v>
      </c>
      <c r="I19" s="3">
        <v>242.0</v>
      </c>
      <c r="K19" s="3" t="s">
        <v>463</v>
      </c>
      <c r="L19" s="3">
        <v>2.0</v>
      </c>
      <c r="M19" s="3">
        <v>688.0</v>
      </c>
      <c r="O19" s="3" t="s">
        <v>463</v>
      </c>
      <c r="P19" s="3">
        <v>2.0</v>
      </c>
      <c r="Q19" s="3">
        <v>167.0</v>
      </c>
    </row>
    <row r="20">
      <c r="C20" s="3" t="s">
        <v>463</v>
      </c>
      <c r="D20" s="3">
        <v>4.0</v>
      </c>
      <c r="E20" s="3">
        <v>438.0</v>
      </c>
      <c r="G20" s="3" t="s">
        <v>463</v>
      </c>
      <c r="H20" s="3">
        <v>4.0</v>
      </c>
      <c r="I20" s="3">
        <v>200.0</v>
      </c>
      <c r="K20" s="3" t="s">
        <v>463</v>
      </c>
      <c r="L20" s="3">
        <v>4.0</v>
      </c>
      <c r="M20" s="3">
        <v>642.0</v>
      </c>
      <c r="O20" s="3" t="s">
        <v>463</v>
      </c>
      <c r="P20" s="3">
        <v>4.0</v>
      </c>
      <c r="Q20" s="3">
        <v>132.0</v>
      </c>
    </row>
    <row r="21">
      <c r="C21" s="3" t="s">
        <v>463</v>
      </c>
      <c r="D21" s="3">
        <v>8.0</v>
      </c>
      <c r="E21" s="3">
        <v>301.0</v>
      </c>
      <c r="G21" s="3" t="s">
        <v>463</v>
      </c>
      <c r="H21" s="3">
        <v>8.0</v>
      </c>
      <c r="I21" s="3">
        <v>190.0</v>
      </c>
      <c r="K21" s="3" t="s">
        <v>463</v>
      </c>
      <c r="L21" s="3">
        <v>8.0</v>
      </c>
      <c r="M21" s="3">
        <v>624.0</v>
      </c>
      <c r="O21" s="3" t="s">
        <v>463</v>
      </c>
      <c r="P21" s="3">
        <v>8.0</v>
      </c>
      <c r="Q21" s="3">
        <v>125.0</v>
      </c>
    </row>
    <row r="22">
      <c r="C22" s="3" t="s">
        <v>463</v>
      </c>
      <c r="D22" s="3">
        <v>16.0</v>
      </c>
      <c r="E22" s="3">
        <v>241.0</v>
      </c>
      <c r="G22" s="3" t="s">
        <v>463</v>
      </c>
      <c r="H22" s="3">
        <v>16.0</v>
      </c>
      <c r="I22" s="3">
        <v>183.0</v>
      </c>
      <c r="K22" s="3" t="s">
        <v>463</v>
      </c>
      <c r="L22" s="3">
        <v>16.0</v>
      </c>
      <c r="M22" s="3">
        <v>620.0</v>
      </c>
      <c r="O22" s="3" t="s">
        <v>463</v>
      </c>
      <c r="P22" s="3">
        <v>16.0</v>
      </c>
      <c r="Q22" s="3">
        <v>119.0</v>
      </c>
    </row>
    <row r="23">
      <c r="C23" s="3" t="s">
        <v>463</v>
      </c>
      <c r="D23" s="3">
        <v>32.0</v>
      </c>
      <c r="E23" s="3">
        <v>165.0</v>
      </c>
      <c r="G23" s="3" t="s">
        <v>463</v>
      </c>
      <c r="H23" s="3">
        <v>32.0</v>
      </c>
      <c r="I23" s="3">
        <v>164.0</v>
      </c>
      <c r="K23" s="3" t="s">
        <v>463</v>
      </c>
      <c r="L23" s="3">
        <v>32.0</v>
      </c>
      <c r="M23" s="3">
        <v>309.0</v>
      </c>
      <c r="O23" s="3" t="s">
        <v>463</v>
      </c>
      <c r="P23" s="3">
        <v>32.0</v>
      </c>
      <c r="Q23" s="3">
        <v>111.0</v>
      </c>
    </row>
    <row r="24">
      <c r="C24" s="3" t="s">
        <v>463</v>
      </c>
      <c r="D24" s="3">
        <v>64.0</v>
      </c>
      <c r="E24" s="3">
        <v>125.0</v>
      </c>
      <c r="G24" s="3" t="s">
        <v>463</v>
      </c>
      <c r="H24" s="3">
        <v>64.0</v>
      </c>
      <c r="I24" s="3">
        <v>129.0</v>
      </c>
      <c r="K24" s="3" t="s">
        <v>463</v>
      </c>
      <c r="L24" s="3">
        <v>64.0</v>
      </c>
      <c r="M24" s="3">
        <v>131.0</v>
      </c>
      <c r="O24" s="3" t="s">
        <v>463</v>
      </c>
      <c r="P24" s="3">
        <v>64.0</v>
      </c>
      <c r="Q24" s="3">
        <v>128.0</v>
      </c>
    </row>
    <row r="25">
      <c r="C25" s="3" t="s">
        <v>463</v>
      </c>
      <c r="D25" s="3">
        <v>128.0</v>
      </c>
      <c r="E25" s="3">
        <v>107.0</v>
      </c>
      <c r="G25" s="3" t="s">
        <v>463</v>
      </c>
      <c r="H25" s="3">
        <v>128.0</v>
      </c>
      <c r="I25" s="3">
        <v>106.0</v>
      </c>
      <c r="K25" s="3" t="s">
        <v>463</v>
      </c>
      <c r="L25" s="3">
        <v>128.0</v>
      </c>
      <c r="M25" s="3">
        <v>65.0</v>
      </c>
      <c r="O25" s="3" t="s">
        <v>463</v>
      </c>
      <c r="P25" s="3">
        <v>128.0</v>
      </c>
      <c r="Q25" s="3">
        <v>66.0</v>
      </c>
    </row>
    <row r="26">
      <c r="C26" s="3" t="s">
        <v>463</v>
      </c>
      <c r="D26" s="3">
        <v>256.0</v>
      </c>
      <c r="E26" s="3">
        <v>99.0</v>
      </c>
      <c r="G26" s="3" t="s">
        <v>463</v>
      </c>
      <c r="H26" s="3">
        <v>256.0</v>
      </c>
      <c r="I26" s="3">
        <v>97.0</v>
      </c>
      <c r="K26" s="3" t="s">
        <v>463</v>
      </c>
      <c r="L26" s="3">
        <v>256.0</v>
      </c>
      <c r="M26" s="3">
        <v>34.0</v>
      </c>
      <c r="O26" s="3" t="s">
        <v>463</v>
      </c>
      <c r="P26" s="3">
        <v>256.0</v>
      </c>
      <c r="Q26" s="3">
        <v>34.0</v>
      </c>
    </row>
    <row r="27">
      <c r="C27" s="3" t="s">
        <v>463</v>
      </c>
      <c r="D27" s="3">
        <v>512.0</v>
      </c>
      <c r="E27" s="3">
        <v>94.0</v>
      </c>
      <c r="G27" s="3" t="s">
        <v>463</v>
      </c>
      <c r="H27" s="3">
        <v>512.0</v>
      </c>
      <c r="I27" s="3">
        <v>93.0</v>
      </c>
      <c r="K27" s="3" t="s">
        <v>463</v>
      </c>
      <c r="L27" s="3">
        <v>512.0</v>
      </c>
      <c r="M27" s="3">
        <v>18.0</v>
      </c>
      <c r="O27" s="3" t="s">
        <v>463</v>
      </c>
      <c r="P27" s="3">
        <v>512.0</v>
      </c>
      <c r="Q27" s="3">
        <v>18.0</v>
      </c>
    </row>
    <row r="28">
      <c r="C28" s="3" t="s">
        <v>463</v>
      </c>
      <c r="D28" s="3">
        <v>1024.0</v>
      </c>
      <c r="E28" s="3">
        <v>91.0</v>
      </c>
      <c r="G28" s="3" t="s">
        <v>463</v>
      </c>
      <c r="H28" s="3">
        <v>1024.0</v>
      </c>
      <c r="I28" s="3">
        <v>91.0</v>
      </c>
      <c r="K28" s="3" t="s">
        <v>463</v>
      </c>
      <c r="L28" s="3">
        <v>1024.0</v>
      </c>
      <c r="M28" s="3">
        <v>9.0</v>
      </c>
      <c r="O28" s="3" t="s">
        <v>463</v>
      </c>
      <c r="P28" s="3">
        <v>1024.0</v>
      </c>
      <c r="Q28" s="3">
        <v>9.0</v>
      </c>
    </row>
    <row r="29">
      <c r="C29" s="3" t="s">
        <v>463</v>
      </c>
      <c r="D29" s="3">
        <v>2048.0</v>
      </c>
      <c r="E29" s="3">
        <v>90.0</v>
      </c>
      <c r="G29" s="3" t="s">
        <v>463</v>
      </c>
      <c r="H29" s="3">
        <v>2048.0</v>
      </c>
      <c r="I29" s="3">
        <v>89.0</v>
      </c>
      <c r="K29" s="3" t="s">
        <v>463</v>
      </c>
      <c r="L29" s="3">
        <v>2048.0</v>
      </c>
      <c r="M29" s="3">
        <v>5.0</v>
      </c>
      <c r="O29" s="3" t="s">
        <v>463</v>
      </c>
      <c r="P29" s="3">
        <v>2048.0</v>
      </c>
      <c r="Q29" s="3">
        <v>5.0</v>
      </c>
    </row>
    <row r="30">
      <c r="C30" s="3" t="s">
        <v>463</v>
      </c>
      <c r="D30" s="3">
        <v>4096.0</v>
      </c>
      <c r="E30" s="3">
        <v>89.0</v>
      </c>
      <c r="G30" s="3" t="s">
        <v>463</v>
      </c>
      <c r="H30" s="3">
        <v>4096.0</v>
      </c>
      <c r="I30" s="3">
        <v>88.0</v>
      </c>
      <c r="K30" s="3" t="s">
        <v>463</v>
      </c>
      <c r="L30" s="3">
        <v>4096.0</v>
      </c>
      <c r="M30" s="3">
        <v>3.0</v>
      </c>
      <c r="O30" s="3" t="s">
        <v>463</v>
      </c>
      <c r="P30" s="3">
        <v>4096.0</v>
      </c>
      <c r="Q30" s="3">
        <v>2.0</v>
      </c>
    </row>
    <row r="31">
      <c r="C31" s="3" t="s">
        <v>463</v>
      </c>
      <c r="D31" s="3">
        <v>8192.0</v>
      </c>
      <c r="E31" s="3">
        <v>88.0</v>
      </c>
      <c r="G31" s="3" t="s">
        <v>463</v>
      </c>
      <c r="H31" s="3">
        <v>8192.0</v>
      </c>
      <c r="I31" s="3">
        <v>88.0</v>
      </c>
      <c r="K31" s="3" t="s">
        <v>463</v>
      </c>
      <c r="L31" s="3">
        <v>8192.0</v>
      </c>
      <c r="M31" s="3">
        <v>1.0</v>
      </c>
      <c r="O31" s="3" t="s">
        <v>463</v>
      </c>
      <c r="P31" s="3">
        <v>8192.0</v>
      </c>
      <c r="Q31" s="3">
        <v>1.0</v>
      </c>
    </row>
    <row r="33">
      <c r="B33" s="94"/>
      <c r="C33" s="79"/>
      <c r="D33" s="79"/>
      <c r="E33" s="79"/>
      <c r="F33" s="79"/>
      <c r="H33" s="3"/>
    </row>
    <row r="34">
      <c r="B34" s="79" t="s">
        <v>578</v>
      </c>
      <c r="C34" s="79"/>
      <c r="D34" s="79"/>
      <c r="E34" s="79"/>
      <c r="F34" s="79"/>
      <c r="H34" s="3"/>
      <c r="K34" s="79" t="s">
        <v>579</v>
      </c>
    </row>
    <row r="35">
      <c r="B35" s="94"/>
      <c r="C35" s="79"/>
      <c r="D35" s="79"/>
      <c r="E35" s="79"/>
      <c r="F35" s="79"/>
      <c r="H35" s="3"/>
    </row>
    <row r="36">
      <c r="B36" s="94"/>
      <c r="C36" s="79"/>
      <c r="D36" s="79"/>
      <c r="E36" s="79"/>
      <c r="F36" s="79"/>
      <c r="H36" s="3"/>
    </row>
    <row r="37">
      <c r="B37" s="94"/>
      <c r="C37" s="95" t="s">
        <v>550</v>
      </c>
      <c r="D37" s="6"/>
      <c r="E37" s="95" t="s">
        <v>545</v>
      </c>
      <c r="F37" s="6"/>
      <c r="H37" s="3" t="s">
        <v>580</v>
      </c>
      <c r="K37" s="94"/>
      <c r="L37" s="95" t="s">
        <v>550</v>
      </c>
      <c r="M37" s="6"/>
      <c r="N37" s="95" t="s">
        <v>545</v>
      </c>
      <c r="O37" s="6"/>
      <c r="P37" s="95"/>
      <c r="Q37" s="6"/>
    </row>
    <row r="38">
      <c r="B38" s="79" t="s">
        <v>324</v>
      </c>
      <c r="C38" s="79" t="s">
        <v>581</v>
      </c>
      <c r="D38" s="79" t="s">
        <v>582</v>
      </c>
      <c r="E38" s="79" t="s">
        <v>581</v>
      </c>
      <c r="F38" s="79" t="s">
        <v>582</v>
      </c>
      <c r="H38" s="3" t="s">
        <v>581</v>
      </c>
      <c r="I38" s="3" t="s">
        <v>582</v>
      </c>
      <c r="K38" s="79" t="s">
        <v>324</v>
      </c>
      <c r="L38" s="79" t="s">
        <v>581</v>
      </c>
      <c r="M38" s="79" t="s">
        <v>582</v>
      </c>
      <c r="N38" s="79" t="s">
        <v>581</v>
      </c>
      <c r="O38" s="79" t="s">
        <v>582</v>
      </c>
      <c r="P38" s="79"/>
      <c r="Q38" s="79"/>
    </row>
    <row r="39">
      <c r="B39" s="79">
        <v>1.0</v>
      </c>
      <c r="C39" s="79">
        <v>897.0</v>
      </c>
      <c r="D39" s="79">
        <v>384.0</v>
      </c>
      <c r="E39" s="79">
        <v>856.0</v>
      </c>
      <c r="F39" s="79">
        <v>308.0</v>
      </c>
      <c r="H39" s="3">
        <v>309.0</v>
      </c>
      <c r="I39" s="3">
        <v>300.0</v>
      </c>
      <c r="K39" s="79">
        <v>1.0</v>
      </c>
      <c r="L39" s="79">
        <f t="shared" ref="L39:M39" si="1">C39-H39</f>
        <v>588</v>
      </c>
      <c r="M39" s="79">
        <f t="shared" si="1"/>
        <v>84</v>
      </c>
      <c r="N39" s="79">
        <f t="shared" ref="N39:O39" si="2">E39-H39</f>
        <v>547</v>
      </c>
      <c r="O39" s="79">
        <f t="shared" si="2"/>
        <v>8</v>
      </c>
    </row>
    <row r="40">
      <c r="B40" s="79">
        <v>2.0</v>
      </c>
      <c r="C40" s="79">
        <v>744.0</v>
      </c>
      <c r="D40" s="79">
        <v>242.0</v>
      </c>
      <c r="E40" s="79">
        <v>688.0</v>
      </c>
      <c r="F40" s="79">
        <v>167.0</v>
      </c>
      <c r="H40" s="3">
        <v>150.0</v>
      </c>
      <c r="I40" s="3">
        <v>150.0</v>
      </c>
      <c r="K40" s="79">
        <v>2.0</v>
      </c>
      <c r="L40" s="79">
        <f t="shared" ref="L40:M40" si="3">C40-H40</f>
        <v>594</v>
      </c>
      <c r="M40" s="79">
        <f t="shared" si="3"/>
        <v>92</v>
      </c>
      <c r="N40" s="79">
        <f t="shared" ref="N40:O40" si="4">E40-H40</f>
        <v>538</v>
      </c>
      <c r="O40" s="79">
        <f t="shared" si="4"/>
        <v>17</v>
      </c>
    </row>
    <row r="41">
      <c r="B41" s="79">
        <v>4.0</v>
      </c>
      <c r="C41" s="79">
        <v>438.0</v>
      </c>
      <c r="D41" s="79">
        <v>200.0</v>
      </c>
      <c r="E41" s="79">
        <v>642.0</v>
      </c>
      <c r="F41" s="79">
        <v>132.0</v>
      </c>
      <c r="H41" s="3">
        <v>75.0</v>
      </c>
      <c r="I41" s="3">
        <v>75.0</v>
      </c>
      <c r="K41" s="79">
        <v>4.0</v>
      </c>
      <c r="L41" s="79">
        <f t="shared" ref="L41:M41" si="5">C41-H41</f>
        <v>363</v>
      </c>
      <c r="M41" s="79">
        <f t="shared" si="5"/>
        <v>125</v>
      </c>
      <c r="N41" s="79">
        <f t="shared" ref="N41:O41" si="6">E41-H41</f>
        <v>567</v>
      </c>
      <c r="O41" s="79">
        <f t="shared" si="6"/>
        <v>57</v>
      </c>
    </row>
    <row r="42">
      <c r="B42" s="79">
        <v>8.0</v>
      </c>
      <c r="C42" s="79">
        <v>301.0</v>
      </c>
      <c r="D42" s="79">
        <v>190.0</v>
      </c>
      <c r="E42" s="79">
        <v>624.0</v>
      </c>
      <c r="F42" s="79">
        <v>125.0</v>
      </c>
      <c r="H42" s="3">
        <v>37.0</v>
      </c>
      <c r="I42" s="3">
        <v>38.0</v>
      </c>
      <c r="K42" s="79">
        <v>8.0</v>
      </c>
      <c r="L42" s="79">
        <f t="shared" ref="L42:M42" si="7">C42-H42</f>
        <v>264</v>
      </c>
      <c r="M42" s="79">
        <f t="shared" si="7"/>
        <v>152</v>
      </c>
      <c r="N42" s="79">
        <f t="shared" ref="N42:O42" si="8">E42-H42</f>
        <v>587</v>
      </c>
      <c r="O42" s="79">
        <f t="shared" si="8"/>
        <v>87</v>
      </c>
    </row>
    <row r="43">
      <c r="B43" s="79">
        <v>16.0</v>
      </c>
      <c r="C43" s="79">
        <v>241.0</v>
      </c>
      <c r="D43" s="79">
        <v>183.0</v>
      </c>
      <c r="E43" s="79">
        <v>620.0</v>
      </c>
      <c r="F43" s="79">
        <v>119.0</v>
      </c>
      <c r="H43" s="3">
        <v>18.0</v>
      </c>
      <c r="I43" s="3">
        <v>18.0</v>
      </c>
      <c r="K43" s="79">
        <v>16.0</v>
      </c>
      <c r="L43" s="79">
        <f t="shared" ref="L43:M43" si="9">C43-H43</f>
        <v>223</v>
      </c>
      <c r="M43" s="79">
        <f t="shared" si="9"/>
        <v>165</v>
      </c>
      <c r="N43" s="79">
        <f t="shared" ref="N43:O43" si="10">E43-H43</f>
        <v>602</v>
      </c>
      <c r="O43" s="79">
        <f t="shared" si="10"/>
        <v>101</v>
      </c>
    </row>
    <row r="44">
      <c r="B44" s="79">
        <v>32.0</v>
      </c>
      <c r="C44" s="79">
        <v>165.0</v>
      </c>
      <c r="D44" s="79">
        <v>164.0</v>
      </c>
      <c r="E44" s="79">
        <v>309.0</v>
      </c>
      <c r="F44" s="79">
        <v>111.0</v>
      </c>
      <c r="H44" s="3">
        <v>9.0</v>
      </c>
      <c r="I44" s="3">
        <v>9.0</v>
      </c>
      <c r="K44" s="79">
        <v>32.0</v>
      </c>
      <c r="L44" s="79">
        <f t="shared" ref="L44:M44" si="11">C44-H44</f>
        <v>156</v>
      </c>
      <c r="M44" s="79">
        <f t="shared" si="11"/>
        <v>155</v>
      </c>
      <c r="N44" s="79">
        <f t="shared" ref="N44:O44" si="12">E44-H44</f>
        <v>300</v>
      </c>
      <c r="O44" s="79">
        <f t="shared" si="12"/>
        <v>102</v>
      </c>
    </row>
    <row r="45">
      <c r="B45" s="79">
        <v>64.0</v>
      </c>
      <c r="C45" s="79">
        <v>125.0</v>
      </c>
      <c r="D45" s="79">
        <v>129.0</v>
      </c>
      <c r="E45" s="79">
        <v>131.0</v>
      </c>
      <c r="F45" s="79">
        <v>128.0</v>
      </c>
      <c r="H45" s="3">
        <v>4.0</v>
      </c>
      <c r="I45" s="3">
        <v>4.0</v>
      </c>
      <c r="K45" s="79">
        <v>64.0</v>
      </c>
      <c r="L45" s="79">
        <f t="shared" ref="L45:M45" si="13">C45-H45</f>
        <v>121</v>
      </c>
      <c r="M45" s="79">
        <f t="shared" si="13"/>
        <v>125</v>
      </c>
      <c r="N45" s="79">
        <f t="shared" ref="N45:O45" si="14">E45-H45</f>
        <v>127</v>
      </c>
      <c r="O45" s="79">
        <f t="shared" si="14"/>
        <v>124</v>
      </c>
    </row>
    <row r="46">
      <c r="B46" s="79">
        <v>128.0</v>
      </c>
      <c r="C46" s="79">
        <v>107.0</v>
      </c>
      <c r="D46" s="79">
        <v>106.0</v>
      </c>
      <c r="E46" s="79">
        <v>65.0</v>
      </c>
      <c r="F46" s="79">
        <v>66.0</v>
      </c>
      <c r="H46" s="3">
        <v>2.0</v>
      </c>
      <c r="I46" s="3">
        <v>2.0</v>
      </c>
      <c r="K46" s="79">
        <v>128.0</v>
      </c>
      <c r="L46" s="79">
        <f t="shared" ref="L46:M46" si="15">C46-H46</f>
        <v>105</v>
      </c>
      <c r="M46" s="79">
        <f t="shared" si="15"/>
        <v>104</v>
      </c>
      <c r="N46" s="79">
        <f t="shared" ref="N46:O46" si="16">E46-H46</f>
        <v>63</v>
      </c>
      <c r="O46" s="79">
        <f t="shared" si="16"/>
        <v>64</v>
      </c>
    </row>
    <row r="47">
      <c r="B47" s="79">
        <v>256.0</v>
      </c>
      <c r="C47" s="79">
        <v>99.0</v>
      </c>
      <c r="D47" s="79">
        <v>97.0</v>
      </c>
      <c r="E47" s="79">
        <v>34.0</v>
      </c>
      <c r="F47" s="79">
        <v>34.0</v>
      </c>
      <c r="H47" s="3">
        <v>1.0</v>
      </c>
      <c r="I47" s="3">
        <v>1.0</v>
      </c>
      <c r="K47" s="79">
        <v>256.0</v>
      </c>
      <c r="L47" s="79">
        <f t="shared" ref="L47:M47" si="17">C47-H47</f>
        <v>98</v>
      </c>
      <c r="M47" s="79">
        <f t="shared" si="17"/>
        <v>96</v>
      </c>
      <c r="N47" s="79">
        <f t="shared" ref="N47:O47" si="18">E47-H47</f>
        <v>33</v>
      </c>
      <c r="O47" s="79">
        <f t="shared" si="18"/>
        <v>33</v>
      </c>
    </row>
    <row r="48">
      <c r="B48" s="79">
        <v>512.0</v>
      </c>
      <c r="C48" s="79">
        <v>94.0</v>
      </c>
      <c r="D48" s="79">
        <v>93.0</v>
      </c>
      <c r="E48" s="79">
        <v>18.0</v>
      </c>
      <c r="F48" s="79">
        <v>18.0</v>
      </c>
      <c r="H48" s="3">
        <v>0.0</v>
      </c>
      <c r="I48" s="3">
        <v>0.0</v>
      </c>
      <c r="K48" s="79">
        <v>512.0</v>
      </c>
      <c r="L48" s="79">
        <f t="shared" ref="L48:M48" si="19">C48-H48</f>
        <v>94</v>
      </c>
      <c r="M48" s="79">
        <f t="shared" si="19"/>
        <v>93</v>
      </c>
      <c r="N48" s="79">
        <f t="shared" ref="N48:O48" si="20">E48-H48</f>
        <v>18</v>
      </c>
      <c r="O48" s="79">
        <f t="shared" si="20"/>
        <v>18</v>
      </c>
    </row>
    <row r="49">
      <c r="B49" s="79">
        <v>1024.0</v>
      </c>
      <c r="C49" s="79">
        <v>91.0</v>
      </c>
      <c r="D49" s="79">
        <v>91.0</v>
      </c>
      <c r="E49" s="79">
        <v>9.0</v>
      </c>
      <c r="F49" s="79">
        <v>9.0</v>
      </c>
      <c r="H49" s="3">
        <v>0.0</v>
      </c>
      <c r="I49" s="3">
        <v>0.0</v>
      </c>
      <c r="K49" s="79">
        <v>1024.0</v>
      </c>
      <c r="L49" s="79">
        <f t="shared" ref="L49:M49" si="21">C49-H49</f>
        <v>91</v>
      </c>
      <c r="M49" s="79">
        <f t="shared" si="21"/>
        <v>91</v>
      </c>
      <c r="N49" s="79">
        <f t="shared" ref="N49:O49" si="22">E49-H49</f>
        <v>9</v>
      </c>
      <c r="O49" s="79">
        <f t="shared" si="22"/>
        <v>9</v>
      </c>
    </row>
    <row r="50">
      <c r="B50" s="79">
        <v>2048.0</v>
      </c>
      <c r="C50" s="79">
        <v>90.0</v>
      </c>
      <c r="D50" s="79">
        <v>89.0</v>
      </c>
      <c r="E50" s="79">
        <v>5.0</v>
      </c>
      <c r="F50" s="79">
        <v>5.0</v>
      </c>
      <c r="H50" s="3">
        <v>0.0</v>
      </c>
      <c r="I50" s="3">
        <v>0.0</v>
      </c>
      <c r="K50" s="79">
        <v>2048.0</v>
      </c>
      <c r="L50" s="79">
        <f t="shared" ref="L50:M50" si="23">C50-H50</f>
        <v>90</v>
      </c>
      <c r="M50" s="79">
        <f t="shared" si="23"/>
        <v>89</v>
      </c>
      <c r="N50" s="79">
        <f t="shared" ref="N50:O50" si="24">E50-H50</f>
        <v>5</v>
      </c>
      <c r="O50" s="79">
        <f t="shared" si="24"/>
        <v>5</v>
      </c>
    </row>
    <row r="51">
      <c r="B51" s="79">
        <v>4096.0</v>
      </c>
      <c r="C51" s="79">
        <v>89.0</v>
      </c>
      <c r="D51" s="79">
        <v>88.0</v>
      </c>
      <c r="E51" s="79">
        <v>3.0</v>
      </c>
      <c r="F51" s="79">
        <v>2.0</v>
      </c>
      <c r="H51" s="3">
        <v>0.0</v>
      </c>
      <c r="I51" s="3">
        <v>0.0</v>
      </c>
      <c r="K51" s="79">
        <v>4096.0</v>
      </c>
      <c r="L51" s="79">
        <f t="shared" ref="L51:M51" si="25">C51-H51</f>
        <v>89</v>
      </c>
      <c r="M51" s="79">
        <f t="shared" si="25"/>
        <v>88</v>
      </c>
      <c r="N51" s="79">
        <f t="shared" ref="N51:O51" si="26">E51-H51</f>
        <v>3</v>
      </c>
      <c r="O51" s="79">
        <f t="shared" si="26"/>
        <v>2</v>
      </c>
    </row>
    <row r="52">
      <c r="B52" s="79">
        <v>8192.0</v>
      </c>
      <c r="C52" s="79">
        <v>88.0</v>
      </c>
      <c r="D52" s="79">
        <v>88.0</v>
      </c>
      <c r="E52" s="79">
        <v>1.0</v>
      </c>
      <c r="F52" s="79">
        <v>1.0</v>
      </c>
      <c r="H52" s="3">
        <v>0.0</v>
      </c>
      <c r="I52" s="3">
        <v>0.0</v>
      </c>
      <c r="K52" s="79">
        <v>8192.0</v>
      </c>
      <c r="L52" s="79">
        <f t="shared" ref="L52:M52" si="27">C52-H52</f>
        <v>88</v>
      </c>
      <c r="M52" s="79">
        <f t="shared" si="27"/>
        <v>88</v>
      </c>
      <c r="N52" s="79">
        <f t="shared" ref="N52:O52" si="28">E52-H52</f>
        <v>1</v>
      </c>
      <c r="O52" s="79">
        <f t="shared" si="28"/>
        <v>1</v>
      </c>
    </row>
    <row r="54">
      <c r="C54" s="95" t="s">
        <v>550</v>
      </c>
      <c r="D54" s="6"/>
      <c r="E54" s="95" t="s">
        <v>545</v>
      </c>
      <c r="F54" s="6"/>
      <c r="H54" s="3" t="s">
        <v>580</v>
      </c>
      <c r="K54" s="94"/>
      <c r="L54" s="95" t="s">
        <v>550</v>
      </c>
      <c r="M54" s="6"/>
      <c r="N54" s="95" t="s">
        <v>545</v>
      </c>
      <c r="O54" s="6"/>
    </row>
    <row r="55">
      <c r="C55" s="79" t="s">
        <v>581</v>
      </c>
      <c r="D55" s="79" t="s">
        <v>582</v>
      </c>
      <c r="E55" s="79" t="s">
        <v>581</v>
      </c>
      <c r="F55" s="79" t="s">
        <v>582</v>
      </c>
      <c r="H55" s="3" t="s">
        <v>581</v>
      </c>
      <c r="I55" s="3" t="s">
        <v>582</v>
      </c>
      <c r="K55" s="79" t="s">
        <v>324</v>
      </c>
      <c r="L55" s="79" t="s">
        <v>581</v>
      </c>
      <c r="M55" s="79" t="s">
        <v>582</v>
      </c>
      <c r="N55" s="79" t="s">
        <v>581</v>
      </c>
      <c r="O55" s="79" t="s">
        <v>582</v>
      </c>
    </row>
    <row r="56">
      <c r="B56" s="3">
        <v>1.0</v>
      </c>
      <c r="C56" s="3">
        <v>336.0</v>
      </c>
      <c r="D56" s="3">
        <v>343.0</v>
      </c>
      <c r="E56" s="3">
        <v>683.0</v>
      </c>
      <c r="F56" s="3">
        <v>267.0</v>
      </c>
      <c r="H56" s="3">
        <v>309.0</v>
      </c>
      <c r="I56" s="3">
        <v>300.0</v>
      </c>
      <c r="K56" s="79">
        <v>1.0</v>
      </c>
      <c r="L56" s="79">
        <f t="shared" ref="L56:M56" si="29">C56-H56</f>
        <v>27</v>
      </c>
      <c r="M56" s="79">
        <f t="shared" si="29"/>
        <v>43</v>
      </c>
      <c r="N56" s="79">
        <f t="shared" ref="N56:O56" si="30">E56-H56</f>
        <v>374</v>
      </c>
      <c r="O56" s="79">
        <f t="shared" si="30"/>
        <v>-33</v>
      </c>
    </row>
    <row r="57">
      <c r="B57" s="3">
        <v>2.0</v>
      </c>
      <c r="C57" s="3">
        <v>257.0</v>
      </c>
      <c r="D57" s="3">
        <v>213.0</v>
      </c>
      <c r="E57" s="3">
        <v>649.0</v>
      </c>
      <c r="F57" s="3">
        <v>143.0</v>
      </c>
      <c r="H57" s="3">
        <v>150.0</v>
      </c>
      <c r="I57" s="3">
        <v>150.0</v>
      </c>
      <c r="K57" s="79">
        <v>2.0</v>
      </c>
      <c r="L57" s="79">
        <f t="shared" ref="L57:M57" si="31">C57-H57</f>
        <v>107</v>
      </c>
      <c r="M57" s="79">
        <f t="shared" si="31"/>
        <v>63</v>
      </c>
      <c r="N57" s="79">
        <f t="shared" ref="N57:O57" si="32">E57-H57</f>
        <v>499</v>
      </c>
      <c r="O57" s="79">
        <f t="shared" si="32"/>
        <v>-7</v>
      </c>
    </row>
    <row r="58">
      <c r="B58" s="3">
        <v>4.0</v>
      </c>
      <c r="C58" s="3">
        <v>243.0</v>
      </c>
      <c r="D58" s="3">
        <v>154.0</v>
      </c>
      <c r="E58" s="3">
        <v>635.0</v>
      </c>
      <c r="F58" s="3">
        <v>95.0</v>
      </c>
      <c r="H58" s="3">
        <v>75.0</v>
      </c>
      <c r="I58" s="3">
        <v>75.0</v>
      </c>
      <c r="K58" s="79">
        <v>4.0</v>
      </c>
      <c r="L58" s="79">
        <f t="shared" ref="L58:M58" si="33">C58-H58</f>
        <v>168</v>
      </c>
      <c r="M58" s="79">
        <f t="shared" si="33"/>
        <v>79</v>
      </c>
      <c r="N58" s="79">
        <f t="shared" ref="N58:O58" si="34">E58-H58</f>
        <v>560</v>
      </c>
      <c r="O58" s="79">
        <f t="shared" si="34"/>
        <v>20</v>
      </c>
    </row>
    <row r="59">
      <c r="B59" s="3">
        <v>8.0</v>
      </c>
      <c r="C59" s="3">
        <v>232.0</v>
      </c>
      <c r="D59" s="3">
        <v>144.0</v>
      </c>
      <c r="E59" s="3">
        <v>618.0</v>
      </c>
      <c r="F59" s="3">
        <v>89.0</v>
      </c>
      <c r="H59" s="3">
        <v>37.0</v>
      </c>
      <c r="I59" s="3">
        <v>38.0</v>
      </c>
      <c r="K59" s="79">
        <v>8.0</v>
      </c>
      <c r="L59" s="79">
        <f t="shared" ref="L59:M59" si="35">C59-H59</f>
        <v>195</v>
      </c>
      <c r="M59" s="79">
        <f t="shared" si="35"/>
        <v>106</v>
      </c>
      <c r="N59" s="79">
        <f t="shared" ref="N59:O59" si="36">E59-H59</f>
        <v>581</v>
      </c>
      <c r="O59" s="79">
        <f t="shared" si="36"/>
        <v>51</v>
      </c>
    </row>
    <row r="60">
      <c r="B60" s="3">
        <v>16.0</v>
      </c>
      <c r="C60" s="3">
        <v>226.0</v>
      </c>
      <c r="D60" s="3">
        <v>135.0</v>
      </c>
      <c r="E60" s="3">
        <v>618.0</v>
      </c>
      <c r="F60" s="3">
        <v>81.0</v>
      </c>
      <c r="H60" s="3">
        <v>18.0</v>
      </c>
      <c r="I60" s="3">
        <v>18.0</v>
      </c>
      <c r="K60" s="79">
        <v>16.0</v>
      </c>
      <c r="L60" s="79">
        <f t="shared" ref="L60:M60" si="37">C60-H60</f>
        <v>208</v>
      </c>
      <c r="M60" s="79">
        <f t="shared" si="37"/>
        <v>117</v>
      </c>
      <c r="N60" s="79">
        <f t="shared" ref="N60:O60" si="38">E60-H60</f>
        <v>600</v>
      </c>
      <c r="O60" s="79">
        <f t="shared" si="38"/>
        <v>63</v>
      </c>
    </row>
    <row r="61">
      <c r="B61" s="3">
        <v>32.0</v>
      </c>
      <c r="C61" s="3">
        <v>157.0</v>
      </c>
      <c r="D61" s="3">
        <v>114.0</v>
      </c>
      <c r="E61" s="3">
        <v>306.0</v>
      </c>
      <c r="F61" s="3">
        <v>89.0</v>
      </c>
      <c r="H61" s="3">
        <v>9.0</v>
      </c>
      <c r="I61" s="3">
        <v>9.0</v>
      </c>
      <c r="K61" s="79">
        <v>32.0</v>
      </c>
      <c r="L61" s="79">
        <f t="shared" ref="L61:M61" si="39">C61-H61</f>
        <v>148</v>
      </c>
      <c r="M61" s="79">
        <f t="shared" si="39"/>
        <v>105</v>
      </c>
      <c r="N61" s="79">
        <f t="shared" ref="N61:O61" si="40">E61-H61</f>
        <v>297</v>
      </c>
      <c r="O61" s="79">
        <f t="shared" si="40"/>
        <v>80</v>
      </c>
    </row>
    <row r="62">
      <c r="B62" s="3">
        <v>64.0</v>
      </c>
      <c r="C62" s="3">
        <v>123.0</v>
      </c>
      <c r="D62" s="3">
        <v>120.0</v>
      </c>
      <c r="E62" s="3">
        <v>129.0</v>
      </c>
      <c r="F62" s="3">
        <v>123.0</v>
      </c>
      <c r="H62" s="3">
        <v>4.0</v>
      </c>
      <c r="I62" s="3">
        <v>4.0</v>
      </c>
      <c r="K62" s="79">
        <v>64.0</v>
      </c>
      <c r="L62" s="79">
        <f t="shared" ref="L62:M62" si="41">C62-H62</f>
        <v>119</v>
      </c>
      <c r="M62" s="79">
        <f t="shared" si="41"/>
        <v>116</v>
      </c>
      <c r="N62" s="79">
        <f t="shared" ref="N62:O62" si="42">E62-H62</f>
        <v>125</v>
      </c>
      <c r="O62" s="79">
        <f t="shared" si="42"/>
        <v>119</v>
      </c>
    </row>
    <row r="63">
      <c r="B63" s="3">
        <v>128.0</v>
      </c>
      <c r="C63" s="3">
        <v>105.0</v>
      </c>
      <c r="D63" s="3">
        <v>105.0</v>
      </c>
      <c r="E63" s="3">
        <v>64.0</v>
      </c>
      <c r="F63" s="3">
        <v>64.0</v>
      </c>
      <c r="H63" s="3">
        <v>2.0</v>
      </c>
      <c r="I63" s="3">
        <v>2.0</v>
      </c>
      <c r="K63" s="79">
        <v>128.0</v>
      </c>
      <c r="L63" s="79">
        <f t="shared" ref="L63:M63" si="43">C63-H63</f>
        <v>103</v>
      </c>
      <c r="M63" s="79">
        <f t="shared" si="43"/>
        <v>103</v>
      </c>
      <c r="N63" s="79">
        <f t="shared" ref="N63:O63" si="44">E63-H63</f>
        <v>62</v>
      </c>
      <c r="O63" s="79">
        <f t="shared" si="44"/>
        <v>62</v>
      </c>
    </row>
    <row r="64">
      <c r="B64" s="3">
        <v>256.0</v>
      </c>
      <c r="C64" s="3">
        <v>96.0</v>
      </c>
      <c r="D64" s="3">
        <v>97.0</v>
      </c>
      <c r="E64" s="3">
        <v>33.0</v>
      </c>
      <c r="F64" s="3">
        <v>33.0</v>
      </c>
      <c r="H64" s="3">
        <v>1.0</v>
      </c>
      <c r="I64" s="3">
        <v>1.0</v>
      </c>
      <c r="K64" s="79">
        <v>256.0</v>
      </c>
      <c r="L64" s="79">
        <f t="shared" ref="L64:M64" si="45">C64-H64</f>
        <v>95</v>
      </c>
      <c r="M64" s="79">
        <f t="shared" si="45"/>
        <v>96</v>
      </c>
      <c r="N64" s="79">
        <f t="shared" ref="N64:O64" si="46">E64-H64</f>
        <v>32</v>
      </c>
      <c r="O64" s="79">
        <f t="shared" si="46"/>
        <v>32</v>
      </c>
    </row>
    <row r="65">
      <c r="B65" s="3">
        <v>512.0</v>
      </c>
      <c r="C65" s="3">
        <v>92.0</v>
      </c>
      <c r="D65" s="3">
        <v>92.0</v>
      </c>
      <c r="E65" s="3">
        <v>17.0</v>
      </c>
      <c r="F65" s="3">
        <v>17.0</v>
      </c>
      <c r="H65" s="3">
        <v>0.0</v>
      </c>
      <c r="I65" s="3">
        <v>0.0</v>
      </c>
      <c r="K65" s="79">
        <v>512.0</v>
      </c>
      <c r="L65" s="79">
        <f t="shared" ref="L65:M65" si="47">C65-H65</f>
        <v>92</v>
      </c>
      <c r="M65" s="79">
        <f t="shared" si="47"/>
        <v>92</v>
      </c>
      <c r="N65" s="79">
        <f t="shared" ref="N65:O65" si="48">E65-H65</f>
        <v>17</v>
      </c>
      <c r="O65" s="79">
        <f t="shared" si="48"/>
        <v>17</v>
      </c>
    </row>
    <row r="66">
      <c r="B66" s="3">
        <v>1024.0</v>
      </c>
      <c r="C66" s="3">
        <v>91.0</v>
      </c>
      <c r="D66" s="3">
        <v>90.0</v>
      </c>
      <c r="E66" s="3">
        <v>9.0</v>
      </c>
      <c r="F66" s="3">
        <v>9.0</v>
      </c>
      <c r="H66" s="3">
        <v>0.0</v>
      </c>
      <c r="I66" s="3">
        <v>0.0</v>
      </c>
      <c r="K66" s="79">
        <v>1024.0</v>
      </c>
      <c r="L66" s="79">
        <f t="shared" ref="L66:M66" si="49">C66-H66</f>
        <v>91</v>
      </c>
      <c r="M66" s="79">
        <f t="shared" si="49"/>
        <v>90</v>
      </c>
      <c r="N66" s="79">
        <f t="shared" ref="N66:O66" si="50">E66-H66</f>
        <v>9</v>
      </c>
      <c r="O66" s="79">
        <f t="shared" si="50"/>
        <v>9</v>
      </c>
    </row>
    <row r="67">
      <c r="B67" s="3">
        <v>2048.0</v>
      </c>
      <c r="C67" s="3">
        <v>88.0</v>
      </c>
      <c r="D67" s="3">
        <v>88.0</v>
      </c>
      <c r="E67" s="3">
        <v>4.0</v>
      </c>
      <c r="F67" s="3">
        <v>4.0</v>
      </c>
      <c r="H67" s="3">
        <v>0.0</v>
      </c>
      <c r="I67" s="3">
        <v>0.0</v>
      </c>
      <c r="K67" s="79">
        <v>2048.0</v>
      </c>
      <c r="L67" s="79">
        <f t="shared" ref="L67:M67" si="51">C67-H67</f>
        <v>88</v>
      </c>
      <c r="M67" s="79">
        <f t="shared" si="51"/>
        <v>88</v>
      </c>
      <c r="N67" s="79">
        <f t="shared" ref="N67:O67" si="52">E67-H67</f>
        <v>4</v>
      </c>
      <c r="O67" s="79">
        <f t="shared" si="52"/>
        <v>4</v>
      </c>
    </row>
    <row r="68">
      <c r="B68" s="3">
        <v>4096.0</v>
      </c>
      <c r="C68" s="3">
        <v>87.0</v>
      </c>
      <c r="D68" s="3">
        <v>87.0</v>
      </c>
      <c r="E68" s="3">
        <v>2.0</v>
      </c>
      <c r="F68" s="3">
        <v>2.0</v>
      </c>
      <c r="H68" s="3">
        <v>0.0</v>
      </c>
      <c r="I68" s="3">
        <v>0.0</v>
      </c>
      <c r="K68" s="79">
        <v>4096.0</v>
      </c>
      <c r="L68" s="79">
        <f t="shared" ref="L68:M68" si="53">C68-H68</f>
        <v>87</v>
      </c>
      <c r="M68" s="79">
        <f t="shared" si="53"/>
        <v>87</v>
      </c>
      <c r="N68" s="79">
        <f t="shared" ref="N68:O68" si="54">E68-H68</f>
        <v>2</v>
      </c>
      <c r="O68" s="79">
        <f t="shared" si="54"/>
        <v>2</v>
      </c>
    </row>
    <row r="69">
      <c r="B69" s="3">
        <v>8192.0</v>
      </c>
      <c r="C69" s="3">
        <v>87.0</v>
      </c>
      <c r="D69" s="3">
        <v>86.0</v>
      </c>
      <c r="E69" s="3">
        <v>1.0</v>
      </c>
      <c r="F69" s="3">
        <v>1.0</v>
      </c>
      <c r="H69" s="3">
        <v>0.0</v>
      </c>
      <c r="I69" s="3">
        <v>0.0</v>
      </c>
      <c r="K69" s="79">
        <v>8192.0</v>
      </c>
      <c r="L69" s="79">
        <f t="shared" ref="L69:M69" si="55">C69-H69</f>
        <v>87</v>
      </c>
      <c r="M69" s="79">
        <f t="shared" si="55"/>
        <v>86</v>
      </c>
      <c r="N69" s="79">
        <f t="shared" ref="N69:O69" si="56">E69-H69</f>
        <v>1</v>
      </c>
      <c r="O69" s="79">
        <f t="shared" si="56"/>
        <v>1</v>
      </c>
    </row>
    <row r="70">
      <c r="K70" s="79"/>
      <c r="Q70" s="3" t="s">
        <v>583</v>
      </c>
    </row>
    <row r="71">
      <c r="B71" s="3" t="s">
        <v>448</v>
      </c>
      <c r="H71" s="3" t="s">
        <v>449</v>
      </c>
      <c r="N71" s="3" t="s">
        <v>584</v>
      </c>
    </row>
    <row r="72">
      <c r="B72" s="94"/>
      <c r="C72" s="95" t="s">
        <v>550</v>
      </c>
      <c r="D72" s="6"/>
      <c r="E72" s="95" t="s">
        <v>545</v>
      </c>
      <c r="F72" s="6"/>
      <c r="I72" s="73" t="s">
        <v>550</v>
      </c>
      <c r="K72" s="73" t="s">
        <v>545</v>
      </c>
      <c r="R72" s="73" t="s">
        <v>550</v>
      </c>
      <c r="T72" s="73" t="s">
        <v>545</v>
      </c>
    </row>
    <row r="73">
      <c r="B73" s="79" t="s">
        <v>324</v>
      </c>
      <c r="C73" s="79" t="s">
        <v>581</v>
      </c>
      <c r="D73" s="79" t="s">
        <v>582</v>
      </c>
      <c r="E73" s="79" t="s">
        <v>581</v>
      </c>
      <c r="F73" s="79" t="s">
        <v>582</v>
      </c>
      <c r="H73" s="73" t="s">
        <v>324</v>
      </c>
      <c r="I73" s="73" t="s">
        <v>581</v>
      </c>
      <c r="J73" s="73" t="s">
        <v>582</v>
      </c>
      <c r="K73" s="73" t="s">
        <v>581</v>
      </c>
      <c r="L73" s="73" t="s">
        <v>582</v>
      </c>
      <c r="N73" s="3" t="s">
        <v>581</v>
      </c>
      <c r="O73" s="3" t="s">
        <v>582</v>
      </c>
      <c r="Q73" s="73" t="s">
        <v>324</v>
      </c>
      <c r="R73" s="73" t="s">
        <v>581</v>
      </c>
      <c r="S73" s="73" t="s">
        <v>582</v>
      </c>
      <c r="T73" s="73" t="s">
        <v>581</v>
      </c>
      <c r="U73" s="73" t="s">
        <v>582</v>
      </c>
    </row>
    <row r="74">
      <c r="B74" s="79">
        <v>1.0</v>
      </c>
      <c r="C74" s="79">
        <f t="shared" ref="C74:F74" si="57">C39-C56</f>
        <v>561</v>
      </c>
      <c r="D74" s="79">
        <f t="shared" si="57"/>
        <v>41</v>
      </c>
      <c r="E74" s="79">
        <f t="shared" si="57"/>
        <v>173</v>
      </c>
      <c r="F74" s="79">
        <f t="shared" si="57"/>
        <v>41</v>
      </c>
      <c r="H74" s="73">
        <v>1.0</v>
      </c>
      <c r="I74" s="73">
        <v>27.0</v>
      </c>
      <c r="J74" s="73">
        <v>43.0</v>
      </c>
      <c r="K74" s="73">
        <v>374.0</v>
      </c>
      <c r="L74" s="73">
        <v>-33.0</v>
      </c>
      <c r="N74" s="3">
        <v>309.0</v>
      </c>
      <c r="O74" s="3">
        <v>300.0</v>
      </c>
      <c r="Q74" s="73">
        <v>1.0</v>
      </c>
      <c r="R74" s="73">
        <v>588.0</v>
      </c>
      <c r="S74" s="73">
        <v>84.0</v>
      </c>
      <c r="T74" s="73">
        <v>547.0</v>
      </c>
      <c r="U74" s="73">
        <v>8.0</v>
      </c>
    </row>
    <row r="75">
      <c r="B75" s="79">
        <v>2.0</v>
      </c>
      <c r="C75" s="79">
        <f t="shared" ref="C75:F75" si="58">C40-C57</f>
        <v>487</v>
      </c>
      <c r="D75" s="79">
        <f t="shared" si="58"/>
        <v>29</v>
      </c>
      <c r="E75" s="79">
        <f t="shared" si="58"/>
        <v>39</v>
      </c>
      <c r="F75" s="79">
        <f t="shared" si="58"/>
        <v>24</v>
      </c>
      <c r="H75" s="73">
        <v>2.0</v>
      </c>
      <c r="I75" s="73">
        <v>107.0</v>
      </c>
      <c r="J75" s="73">
        <v>63.0</v>
      </c>
      <c r="K75" s="73">
        <v>499.0</v>
      </c>
      <c r="L75" s="73">
        <v>-7.0</v>
      </c>
      <c r="N75" s="3">
        <v>150.0</v>
      </c>
      <c r="O75" s="3">
        <v>150.0</v>
      </c>
      <c r="Q75" s="73">
        <v>2.0</v>
      </c>
      <c r="R75" s="73">
        <v>594.0</v>
      </c>
      <c r="S75" s="73">
        <v>92.0</v>
      </c>
      <c r="T75" s="73">
        <v>538.0</v>
      </c>
      <c r="U75" s="73">
        <v>17.0</v>
      </c>
    </row>
    <row r="76">
      <c r="B76" s="79">
        <v>4.0</v>
      </c>
      <c r="C76" s="79">
        <f t="shared" ref="C76:F76" si="59">C41-C58</f>
        <v>195</v>
      </c>
      <c r="D76" s="79">
        <f t="shared" si="59"/>
        <v>46</v>
      </c>
      <c r="E76" s="79">
        <f t="shared" si="59"/>
        <v>7</v>
      </c>
      <c r="F76" s="79">
        <f t="shared" si="59"/>
        <v>37</v>
      </c>
      <c r="H76" s="73">
        <v>4.0</v>
      </c>
      <c r="I76" s="73">
        <v>168.0</v>
      </c>
      <c r="J76" s="73">
        <v>79.0</v>
      </c>
      <c r="K76" s="73">
        <v>560.0</v>
      </c>
      <c r="L76" s="73">
        <v>20.0</v>
      </c>
      <c r="N76" s="3">
        <v>75.0</v>
      </c>
      <c r="O76" s="3">
        <v>75.0</v>
      </c>
      <c r="Q76" s="73">
        <v>4.0</v>
      </c>
      <c r="R76" s="73">
        <v>363.0</v>
      </c>
      <c r="S76" s="73">
        <v>125.0</v>
      </c>
      <c r="T76" s="73">
        <v>567.0</v>
      </c>
      <c r="U76" s="73">
        <v>57.0</v>
      </c>
    </row>
    <row r="77">
      <c r="B77" s="79">
        <v>8.0</v>
      </c>
      <c r="C77" s="79">
        <f t="shared" ref="C77:F77" si="60">C42-C59</f>
        <v>69</v>
      </c>
      <c r="D77" s="79">
        <f t="shared" si="60"/>
        <v>46</v>
      </c>
      <c r="E77" s="79">
        <f t="shared" si="60"/>
        <v>6</v>
      </c>
      <c r="F77" s="79">
        <f t="shared" si="60"/>
        <v>36</v>
      </c>
      <c r="H77" s="73">
        <v>8.0</v>
      </c>
      <c r="I77" s="73">
        <v>195.0</v>
      </c>
      <c r="J77" s="73">
        <v>106.0</v>
      </c>
      <c r="K77" s="73">
        <v>581.0</v>
      </c>
      <c r="L77" s="73">
        <v>51.0</v>
      </c>
      <c r="N77" s="3">
        <v>37.0</v>
      </c>
      <c r="O77" s="3">
        <v>38.0</v>
      </c>
      <c r="Q77" s="73">
        <v>8.0</v>
      </c>
      <c r="R77" s="73">
        <v>264.0</v>
      </c>
      <c r="S77" s="73">
        <v>152.0</v>
      </c>
      <c r="T77" s="73">
        <v>587.0</v>
      </c>
      <c r="U77" s="73">
        <v>87.0</v>
      </c>
    </row>
    <row r="78">
      <c r="B78" s="79">
        <v>16.0</v>
      </c>
      <c r="C78" s="79">
        <f t="shared" ref="C78:F78" si="61">C43-C60</f>
        <v>15</v>
      </c>
      <c r="D78" s="79">
        <f t="shared" si="61"/>
        <v>48</v>
      </c>
      <c r="E78" s="79">
        <f t="shared" si="61"/>
        <v>2</v>
      </c>
      <c r="F78" s="79">
        <f t="shared" si="61"/>
        <v>38</v>
      </c>
      <c r="H78" s="73">
        <v>16.0</v>
      </c>
      <c r="I78" s="73">
        <v>208.0</v>
      </c>
      <c r="J78" s="73">
        <v>117.0</v>
      </c>
      <c r="K78" s="73">
        <v>600.0</v>
      </c>
      <c r="L78" s="73">
        <v>63.0</v>
      </c>
      <c r="N78" s="3">
        <v>18.0</v>
      </c>
      <c r="O78" s="3">
        <v>18.0</v>
      </c>
      <c r="Q78" s="73">
        <v>16.0</v>
      </c>
      <c r="R78" s="73">
        <v>223.0</v>
      </c>
      <c r="S78" s="73">
        <v>165.0</v>
      </c>
      <c r="T78" s="73">
        <v>602.0</v>
      </c>
      <c r="U78" s="73">
        <v>101.0</v>
      </c>
    </row>
    <row r="79">
      <c r="B79" s="79">
        <v>32.0</v>
      </c>
      <c r="C79" s="79">
        <f t="shared" ref="C79:F79" si="62">C44-C61</f>
        <v>8</v>
      </c>
      <c r="D79" s="79">
        <f t="shared" si="62"/>
        <v>50</v>
      </c>
      <c r="E79" s="79">
        <f t="shared" si="62"/>
        <v>3</v>
      </c>
      <c r="F79" s="79">
        <f t="shared" si="62"/>
        <v>22</v>
      </c>
      <c r="H79" s="73">
        <v>32.0</v>
      </c>
      <c r="I79" s="73">
        <v>148.0</v>
      </c>
      <c r="J79" s="73">
        <v>105.0</v>
      </c>
      <c r="K79" s="73">
        <v>297.0</v>
      </c>
      <c r="L79" s="73">
        <v>80.0</v>
      </c>
      <c r="N79" s="3">
        <v>9.0</v>
      </c>
      <c r="O79" s="3">
        <v>9.0</v>
      </c>
      <c r="Q79" s="73">
        <v>32.0</v>
      </c>
      <c r="R79" s="73">
        <v>156.0</v>
      </c>
      <c r="S79" s="73">
        <v>155.0</v>
      </c>
      <c r="T79" s="73">
        <v>300.0</v>
      </c>
      <c r="U79" s="73">
        <v>102.0</v>
      </c>
    </row>
    <row r="80">
      <c r="B80" s="79">
        <v>64.0</v>
      </c>
      <c r="C80" s="79">
        <f t="shared" ref="C80:F80" si="63">C45-C62</f>
        <v>2</v>
      </c>
      <c r="D80" s="79">
        <f t="shared" si="63"/>
        <v>9</v>
      </c>
      <c r="E80" s="79">
        <f t="shared" si="63"/>
        <v>2</v>
      </c>
      <c r="F80" s="79">
        <f t="shared" si="63"/>
        <v>5</v>
      </c>
      <c r="H80" s="73">
        <v>64.0</v>
      </c>
      <c r="I80" s="73">
        <v>119.0</v>
      </c>
      <c r="J80" s="73">
        <v>116.0</v>
      </c>
      <c r="K80" s="73">
        <v>125.0</v>
      </c>
      <c r="L80" s="73">
        <v>119.0</v>
      </c>
      <c r="N80" s="3">
        <v>4.0</v>
      </c>
      <c r="O80" s="3">
        <v>4.0</v>
      </c>
      <c r="Q80" s="73">
        <v>64.0</v>
      </c>
      <c r="R80" s="73">
        <v>121.0</v>
      </c>
      <c r="S80" s="73">
        <v>125.0</v>
      </c>
      <c r="T80" s="73">
        <v>127.0</v>
      </c>
      <c r="U80" s="73">
        <v>124.0</v>
      </c>
    </row>
    <row r="81">
      <c r="B81" s="79">
        <v>128.0</v>
      </c>
      <c r="C81" s="79">
        <f t="shared" ref="C81:F81" si="64">C46-C63</f>
        <v>2</v>
      </c>
      <c r="D81" s="79">
        <f t="shared" si="64"/>
        <v>1</v>
      </c>
      <c r="E81" s="79">
        <f t="shared" si="64"/>
        <v>1</v>
      </c>
      <c r="F81" s="79">
        <f t="shared" si="64"/>
        <v>2</v>
      </c>
      <c r="H81" s="96">
        <v>128.0</v>
      </c>
      <c r="I81" s="96">
        <v>103.0</v>
      </c>
      <c r="J81" s="96">
        <v>103.0</v>
      </c>
      <c r="K81" s="96">
        <v>62.0</v>
      </c>
      <c r="L81" s="96">
        <v>62.0</v>
      </c>
      <c r="N81" s="3">
        <v>2.0</v>
      </c>
      <c r="O81" s="3">
        <v>2.0</v>
      </c>
      <c r="Q81" s="73">
        <v>128.0</v>
      </c>
      <c r="R81" s="73">
        <v>105.0</v>
      </c>
      <c r="S81" s="73">
        <v>104.0</v>
      </c>
      <c r="T81" s="73">
        <v>63.0</v>
      </c>
      <c r="U81" s="73">
        <v>64.0</v>
      </c>
    </row>
    <row r="82">
      <c r="B82" s="79">
        <v>256.0</v>
      </c>
      <c r="C82" s="79">
        <f t="shared" ref="C82:F82" si="65">C47-C64</f>
        <v>3</v>
      </c>
      <c r="D82" s="79">
        <f t="shared" si="65"/>
        <v>0</v>
      </c>
      <c r="E82" s="79">
        <f t="shared" si="65"/>
        <v>1</v>
      </c>
      <c r="F82" s="79">
        <f t="shared" si="65"/>
        <v>1</v>
      </c>
      <c r="H82" s="96">
        <v>256.0</v>
      </c>
      <c r="I82" s="96">
        <v>95.0</v>
      </c>
      <c r="J82" s="96">
        <v>96.0</v>
      </c>
      <c r="K82" s="96">
        <v>32.0</v>
      </c>
      <c r="L82" s="96">
        <v>32.0</v>
      </c>
      <c r="N82" s="3">
        <v>1.0</v>
      </c>
      <c r="O82" s="3">
        <v>1.0</v>
      </c>
      <c r="Q82" s="73">
        <v>256.0</v>
      </c>
      <c r="R82" s="73">
        <v>98.0</v>
      </c>
      <c r="S82" s="73">
        <v>96.0</v>
      </c>
      <c r="T82" s="73">
        <v>33.0</v>
      </c>
      <c r="U82" s="73">
        <v>33.0</v>
      </c>
    </row>
    <row r="83">
      <c r="B83" s="79">
        <v>512.0</v>
      </c>
      <c r="C83" s="79">
        <f t="shared" ref="C83:F83" si="66">C48-C65</f>
        <v>2</v>
      </c>
      <c r="D83" s="79">
        <f t="shared" si="66"/>
        <v>1</v>
      </c>
      <c r="E83" s="79">
        <f t="shared" si="66"/>
        <v>1</v>
      </c>
      <c r="F83" s="79">
        <f t="shared" si="66"/>
        <v>1</v>
      </c>
      <c r="H83" s="96">
        <v>512.0</v>
      </c>
      <c r="I83" s="96">
        <v>92.0</v>
      </c>
      <c r="J83" s="96">
        <v>92.0</v>
      </c>
      <c r="K83" s="96">
        <v>17.0</v>
      </c>
      <c r="L83" s="96">
        <v>17.0</v>
      </c>
      <c r="N83" s="3">
        <v>0.0</v>
      </c>
      <c r="O83" s="3">
        <v>0.0</v>
      </c>
      <c r="Q83" s="73">
        <v>512.0</v>
      </c>
      <c r="R83" s="73">
        <v>94.0</v>
      </c>
      <c r="S83" s="73">
        <v>93.0</v>
      </c>
      <c r="T83" s="73">
        <v>18.0</v>
      </c>
      <c r="U83" s="73">
        <v>18.0</v>
      </c>
    </row>
    <row r="84">
      <c r="B84" s="79">
        <v>1024.0</v>
      </c>
      <c r="C84" s="79">
        <f t="shared" ref="C84:F84" si="67">C49-C66</f>
        <v>0</v>
      </c>
      <c r="D84" s="79">
        <f t="shared" si="67"/>
        <v>1</v>
      </c>
      <c r="E84" s="79">
        <f t="shared" si="67"/>
        <v>0</v>
      </c>
      <c r="F84" s="79">
        <f t="shared" si="67"/>
        <v>0</v>
      </c>
      <c r="H84" s="96">
        <v>1024.0</v>
      </c>
      <c r="I84" s="96">
        <v>91.0</v>
      </c>
      <c r="J84" s="96">
        <v>90.0</v>
      </c>
      <c r="K84" s="96">
        <v>9.0</v>
      </c>
      <c r="L84" s="96">
        <v>9.0</v>
      </c>
      <c r="N84" s="3">
        <v>0.0</v>
      </c>
      <c r="O84" s="3">
        <v>0.0</v>
      </c>
      <c r="Q84" s="73">
        <v>1024.0</v>
      </c>
      <c r="R84" s="73">
        <v>91.0</v>
      </c>
      <c r="S84" s="73">
        <v>91.0</v>
      </c>
      <c r="T84" s="73">
        <v>9.0</v>
      </c>
      <c r="U84" s="73">
        <v>9.0</v>
      </c>
    </row>
    <row r="85">
      <c r="B85" s="79">
        <v>2048.0</v>
      </c>
      <c r="C85" s="79">
        <f t="shared" ref="C85:F85" si="68">C50-C67</f>
        <v>2</v>
      </c>
      <c r="D85" s="79">
        <f t="shared" si="68"/>
        <v>1</v>
      </c>
      <c r="E85" s="79">
        <f t="shared" si="68"/>
        <v>1</v>
      </c>
      <c r="F85" s="79">
        <f t="shared" si="68"/>
        <v>1</v>
      </c>
      <c r="H85" s="96">
        <v>2048.0</v>
      </c>
      <c r="I85" s="96">
        <v>88.0</v>
      </c>
      <c r="J85" s="96">
        <v>88.0</v>
      </c>
      <c r="K85" s="96">
        <v>4.0</v>
      </c>
      <c r="L85" s="96">
        <v>4.0</v>
      </c>
      <c r="N85" s="3">
        <v>0.0</v>
      </c>
      <c r="O85" s="3">
        <v>0.0</v>
      </c>
      <c r="Q85" s="73">
        <v>2048.0</v>
      </c>
      <c r="R85" s="73">
        <v>90.0</v>
      </c>
      <c r="S85" s="73">
        <v>89.0</v>
      </c>
      <c r="T85" s="73">
        <v>5.0</v>
      </c>
      <c r="U85" s="73">
        <v>5.0</v>
      </c>
    </row>
    <row r="86">
      <c r="B86" s="79">
        <v>4096.0</v>
      </c>
      <c r="C86" s="79">
        <f t="shared" ref="C86:F86" si="69">C51-C68</f>
        <v>2</v>
      </c>
      <c r="D86" s="79">
        <f t="shared" si="69"/>
        <v>1</v>
      </c>
      <c r="E86" s="79">
        <f t="shared" si="69"/>
        <v>1</v>
      </c>
      <c r="F86" s="79">
        <f t="shared" si="69"/>
        <v>0</v>
      </c>
      <c r="H86" s="96">
        <v>4096.0</v>
      </c>
      <c r="I86" s="96">
        <v>87.0</v>
      </c>
      <c r="J86" s="96">
        <v>87.0</v>
      </c>
      <c r="K86" s="96">
        <v>2.0</v>
      </c>
      <c r="L86" s="96">
        <v>2.0</v>
      </c>
      <c r="N86" s="3">
        <v>0.0</v>
      </c>
      <c r="O86" s="3">
        <v>0.0</v>
      </c>
      <c r="Q86" s="73">
        <v>4096.0</v>
      </c>
      <c r="R86" s="73">
        <v>89.0</v>
      </c>
      <c r="S86" s="73">
        <v>88.0</v>
      </c>
      <c r="T86" s="73">
        <v>3.0</v>
      </c>
      <c r="U86" s="73">
        <v>2.0</v>
      </c>
    </row>
    <row r="87">
      <c r="B87" s="79">
        <v>8192.0</v>
      </c>
      <c r="C87" s="79">
        <f t="shared" ref="C87:F87" si="70">C52-C69</f>
        <v>1</v>
      </c>
      <c r="D87" s="79">
        <f t="shared" si="70"/>
        <v>2</v>
      </c>
      <c r="E87" s="79">
        <f t="shared" si="70"/>
        <v>0</v>
      </c>
      <c r="F87" s="79">
        <f t="shared" si="70"/>
        <v>0</v>
      </c>
      <c r="H87" s="96">
        <v>8192.0</v>
      </c>
      <c r="I87" s="96">
        <v>87.0</v>
      </c>
      <c r="J87" s="96">
        <v>86.0</v>
      </c>
      <c r="K87" s="96">
        <v>1.0</v>
      </c>
      <c r="L87" s="96">
        <v>1.0</v>
      </c>
      <c r="N87" s="3">
        <v>0.0</v>
      </c>
      <c r="O87" s="3">
        <v>0.0</v>
      </c>
      <c r="Q87" s="73">
        <v>8192.0</v>
      </c>
      <c r="R87" s="73">
        <v>88.0</v>
      </c>
      <c r="S87" s="73">
        <v>88.0</v>
      </c>
      <c r="T87" s="73">
        <v>1.0</v>
      </c>
      <c r="U87" s="73">
        <v>1.0</v>
      </c>
    </row>
    <row r="98">
      <c r="D98" s="3" t="s">
        <v>324</v>
      </c>
      <c r="E98" s="3" t="s">
        <v>585</v>
      </c>
      <c r="F98" s="3" t="s">
        <v>586</v>
      </c>
      <c r="G98" s="3" t="s">
        <v>587</v>
      </c>
      <c r="H98" s="3" t="s">
        <v>588</v>
      </c>
    </row>
    <row r="99">
      <c r="C99" s="3" t="s">
        <v>463</v>
      </c>
      <c r="D99" s="3">
        <v>1.0</v>
      </c>
      <c r="E99" s="3">
        <v>1.8873211E7</v>
      </c>
      <c r="F99" s="3">
        <v>6672585.0</v>
      </c>
      <c r="G99" s="3">
        <v>1.9023297E7</v>
      </c>
      <c r="H99" s="3">
        <v>6793383.0</v>
      </c>
      <c r="I99" s="30">
        <f t="shared" ref="I99:I110" si="71">D99/16</f>
        <v>0.0625</v>
      </c>
    </row>
    <row r="100">
      <c r="C100" s="3" t="s">
        <v>463</v>
      </c>
      <c r="D100" s="3">
        <v>2.0</v>
      </c>
      <c r="E100" s="3">
        <v>1.8818195E7</v>
      </c>
      <c r="F100" s="3">
        <v>6638122.0</v>
      </c>
      <c r="G100" s="3">
        <v>1.8978664E7</v>
      </c>
      <c r="H100" s="3">
        <v>6726702.0</v>
      </c>
      <c r="I100" s="30">
        <f t="shared" si="71"/>
        <v>0.125</v>
      </c>
    </row>
    <row r="101">
      <c r="C101" s="3" t="s">
        <v>463</v>
      </c>
      <c r="D101" s="3">
        <v>4.0</v>
      </c>
      <c r="E101" s="3">
        <v>1.8808407E7</v>
      </c>
      <c r="F101" s="3">
        <v>6635546.0</v>
      </c>
      <c r="G101" s="3">
        <v>1.8963135E7</v>
      </c>
      <c r="H101" s="3">
        <v>6826298.0</v>
      </c>
      <c r="I101" s="30">
        <f t="shared" si="71"/>
        <v>0.25</v>
      </c>
    </row>
    <row r="102">
      <c r="C102" s="3" t="s">
        <v>463</v>
      </c>
      <c r="D102" s="3">
        <v>8.0</v>
      </c>
      <c r="E102" s="3">
        <v>1.882543E7</v>
      </c>
      <c r="F102" s="3">
        <v>6639493.0</v>
      </c>
      <c r="G102" s="3">
        <v>1.8962282E7</v>
      </c>
      <c r="H102" s="3">
        <v>6830867.0</v>
      </c>
      <c r="I102" s="30">
        <f t="shared" si="71"/>
        <v>0.5</v>
      </c>
    </row>
    <row r="103">
      <c r="C103" s="3" t="s">
        <v>463</v>
      </c>
      <c r="D103" s="3">
        <v>16.0</v>
      </c>
      <c r="E103" s="3">
        <v>1.880592E7</v>
      </c>
      <c r="F103" s="3">
        <v>6634036.0</v>
      </c>
      <c r="G103" s="3">
        <v>1.8956369E7</v>
      </c>
      <c r="H103" s="3">
        <v>6822443.0</v>
      </c>
      <c r="I103" s="30">
        <f t="shared" si="71"/>
        <v>1</v>
      </c>
      <c r="J103" s="30">
        <f t="shared" ref="J103:J110" si="72">$E$103/I103</f>
        <v>18805920</v>
      </c>
      <c r="K103" s="65">
        <f t="shared" ref="K103:K110" si="73">$F$103/I103</f>
        <v>6634036</v>
      </c>
      <c r="L103" s="65">
        <f t="shared" ref="L103:L110" si="74">$G$103/I103</f>
        <v>18956369</v>
      </c>
      <c r="M103" s="65">
        <f t="shared" ref="M103:M110" si="75">$H$103/I103</f>
        <v>6822443</v>
      </c>
    </row>
    <row r="104">
      <c r="C104" s="3" t="s">
        <v>463</v>
      </c>
      <c r="D104" s="3">
        <v>32.0</v>
      </c>
      <c r="E104" s="3">
        <v>1.8601912E7</v>
      </c>
      <c r="F104" s="3">
        <v>3643813.0</v>
      </c>
      <c r="G104" s="3">
        <v>9464972.0</v>
      </c>
      <c r="H104" s="3">
        <v>3410709.0</v>
      </c>
      <c r="I104" s="30">
        <f t="shared" si="71"/>
        <v>2</v>
      </c>
      <c r="J104" s="30">
        <f t="shared" si="72"/>
        <v>9402960</v>
      </c>
      <c r="K104" s="65">
        <f t="shared" si="73"/>
        <v>3317018</v>
      </c>
      <c r="L104" s="65">
        <f t="shared" si="74"/>
        <v>9478184.5</v>
      </c>
      <c r="M104" s="65">
        <f t="shared" si="75"/>
        <v>3411221.5</v>
      </c>
    </row>
    <row r="105">
      <c r="C105" s="3" t="s">
        <v>463</v>
      </c>
      <c r="D105" s="3">
        <v>48.0</v>
      </c>
      <c r="E105" s="3">
        <v>1.7938508E7</v>
      </c>
      <c r="F105" s="3">
        <v>2636834.0</v>
      </c>
      <c r="G105" s="3">
        <v>6324096.0</v>
      </c>
      <c r="H105" s="3">
        <v>2547432.0</v>
      </c>
      <c r="I105" s="30">
        <f t="shared" si="71"/>
        <v>3</v>
      </c>
      <c r="J105" s="30">
        <f t="shared" si="72"/>
        <v>6268640</v>
      </c>
      <c r="K105" s="65">
        <f t="shared" si="73"/>
        <v>2211345.333</v>
      </c>
      <c r="L105" s="65">
        <f t="shared" si="74"/>
        <v>6318789.667</v>
      </c>
      <c r="M105" s="65">
        <f t="shared" si="75"/>
        <v>2274147.667</v>
      </c>
    </row>
    <row r="106">
      <c r="C106" s="3" t="s">
        <v>463</v>
      </c>
      <c r="D106" s="3">
        <v>64.0</v>
      </c>
      <c r="E106" s="3">
        <v>1.4290532E7</v>
      </c>
      <c r="F106" s="3">
        <v>2024490.0</v>
      </c>
      <c r="G106" s="3">
        <v>4726781.0</v>
      </c>
      <c r="H106" s="3">
        <v>1695749.0</v>
      </c>
      <c r="I106" s="30">
        <f t="shared" si="71"/>
        <v>4</v>
      </c>
      <c r="J106" s="30">
        <f t="shared" si="72"/>
        <v>4701480</v>
      </c>
      <c r="K106" s="65">
        <f t="shared" si="73"/>
        <v>1658509</v>
      </c>
      <c r="L106" s="65">
        <f t="shared" si="74"/>
        <v>4739092.25</v>
      </c>
      <c r="M106" s="65">
        <f t="shared" si="75"/>
        <v>1705610.75</v>
      </c>
    </row>
    <row r="107">
      <c r="C107" s="3" t="s">
        <v>463</v>
      </c>
      <c r="D107" s="3">
        <v>80.0</v>
      </c>
      <c r="E107" s="3">
        <v>1.1136283E7</v>
      </c>
      <c r="F107" s="3">
        <v>1800830.0</v>
      </c>
      <c r="G107" s="3">
        <v>3790551.0</v>
      </c>
      <c r="H107" s="3">
        <v>1669432.0</v>
      </c>
      <c r="I107" s="30">
        <f t="shared" si="71"/>
        <v>5</v>
      </c>
      <c r="J107" s="30">
        <f t="shared" si="72"/>
        <v>3761184</v>
      </c>
      <c r="K107" s="65">
        <f t="shared" si="73"/>
        <v>1326807.2</v>
      </c>
      <c r="L107" s="65">
        <f t="shared" si="74"/>
        <v>3791273.8</v>
      </c>
      <c r="M107" s="65">
        <f t="shared" si="75"/>
        <v>1364488.6</v>
      </c>
    </row>
    <row r="108">
      <c r="C108" s="3" t="s">
        <v>463</v>
      </c>
      <c r="D108" s="3">
        <v>96.0</v>
      </c>
      <c r="E108" s="3">
        <v>3165649.0</v>
      </c>
      <c r="F108" s="3">
        <v>1275587.0</v>
      </c>
      <c r="G108" s="3">
        <v>3161758.0</v>
      </c>
      <c r="H108" s="3">
        <v>1271348.0</v>
      </c>
      <c r="I108" s="30">
        <f t="shared" si="71"/>
        <v>6</v>
      </c>
      <c r="J108" s="30">
        <f t="shared" si="72"/>
        <v>3134320</v>
      </c>
      <c r="K108" s="65">
        <f t="shared" si="73"/>
        <v>1105672.667</v>
      </c>
      <c r="L108" s="65">
        <f t="shared" si="74"/>
        <v>3159394.833</v>
      </c>
      <c r="M108" s="65">
        <f t="shared" si="75"/>
        <v>1137073.833</v>
      </c>
    </row>
    <row r="109">
      <c r="C109" s="3" t="s">
        <v>463</v>
      </c>
      <c r="D109" s="3">
        <v>112.0</v>
      </c>
      <c r="E109" s="3">
        <v>2714992.0</v>
      </c>
      <c r="F109" s="3">
        <v>1253182.0</v>
      </c>
      <c r="G109" s="3">
        <v>2712244.0</v>
      </c>
      <c r="H109" s="3">
        <v>1311814.0</v>
      </c>
      <c r="I109" s="30">
        <f t="shared" si="71"/>
        <v>7</v>
      </c>
      <c r="J109" s="30">
        <f t="shared" si="72"/>
        <v>2686560</v>
      </c>
      <c r="K109" s="65">
        <f t="shared" si="73"/>
        <v>947719.4286</v>
      </c>
      <c r="L109" s="65">
        <f t="shared" si="74"/>
        <v>2708052.714</v>
      </c>
      <c r="M109" s="65">
        <f t="shared" si="75"/>
        <v>974634.7143</v>
      </c>
    </row>
    <row r="110">
      <c r="C110" s="3" t="s">
        <v>463</v>
      </c>
      <c r="D110" s="3">
        <v>128.0</v>
      </c>
      <c r="E110" s="3">
        <v>2364270.0</v>
      </c>
      <c r="F110" s="3">
        <v>850849.0</v>
      </c>
      <c r="G110" s="3">
        <v>2364186.0</v>
      </c>
      <c r="H110" s="3">
        <v>851021.0</v>
      </c>
      <c r="I110" s="30">
        <f t="shared" si="71"/>
        <v>8</v>
      </c>
      <c r="J110" s="30">
        <f t="shared" si="72"/>
        <v>2350740</v>
      </c>
      <c r="K110" s="65">
        <f t="shared" si="73"/>
        <v>829254.5</v>
      </c>
      <c r="L110" s="65">
        <f t="shared" si="74"/>
        <v>2369546.125</v>
      </c>
      <c r="M110" s="65">
        <f t="shared" si="75"/>
        <v>852805.375</v>
      </c>
    </row>
    <row r="118">
      <c r="D118" s="3" t="s">
        <v>324</v>
      </c>
      <c r="E118" s="3" t="s">
        <v>585</v>
      </c>
      <c r="F118" s="3" t="s">
        <v>586</v>
      </c>
      <c r="G118" s="3" t="s">
        <v>587</v>
      </c>
      <c r="H118" s="3" t="s">
        <v>588</v>
      </c>
    </row>
    <row r="119">
      <c r="C119" s="3" t="s">
        <v>463</v>
      </c>
      <c r="D119" s="3">
        <v>1.0</v>
      </c>
      <c r="E119" s="3">
        <v>1.8760995E7</v>
      </c>
      <c r="F119" s="3">
        <v>6274478.0</v>
      </c>
      <c r="G119" s="3">
        <v>1.8769903E7</v>
      </c>
      <c r="H119" s="3">
        <v>6276133.0</v>
      </c>
    </row>
    <row r="120">
      <c r="C120" s="3" t="s">
        <v>463</v>
      </c>
      <c r="D120" s="3">
        <v>2.0</v>
      </c>
      <c r="E120" s="3">
        <v>1.8768473E7</v>
      </c>
      <c r="F120" s="3">
        <v>6274693.0</v>
      </c>
      <c r="G120" s="3">
        <v>1.876246E7</v>
      </c>
      <c r="H120" s="3">
        <v>6262928.0</v>
      </c>
    </row>
    <row r="121">
      <c r="C121" s="3" t="s">
        <v>463</v>
      </c>
      <c r="D121" s="3">
        <v>4.0</v>
      </c>
      <c r="E121" s="3">
        <v>1.875874E7</v>
      </c>
      <c r="F121" s="3">
        <v>6265251.0</v>
      </c>
      <c r="G121" s="3">
        <v>1.8762237E7</v>
      </c>
      <c r="H121" s="3">
        <v>6269112.0</v>
      </c>
    </row>
    <row r="122">
      <c r="C122" s="3" t="s">
        <v>463</v>
      </c>
      <c r="D122" s="3">
        <v>8.0</v>
      </c>
      <c r="E122" s="3">
        <v>1.8756072E7</v>
      </c>
      <c r="F122" s="3">
        <v>6259647.0</v>
      </c>
      <c r="G122" s="3">
        <v>1.8766218E7</v>
      </c>
      <c r="H122" s="3">
        <v>6265332.0</v>
      </c>
    </row>
    <row r="123">
      <c r="C123" s="3" t="s">
        <v>463</v>
      </c>
      <c r="D123" s="3">
        <v>16.0</v>
      </c>
      <c r="E123" s="3">
        <v>1.8758639E7</v>
      </c>
      <c r="F123" s="3">
        <v>6262882.0</v>
      </c>
      <c r="G123" s="3">
        <v>1.8763993E7</v>
      </c>
      <c r="H123" s="3">
        <v>6265567.0</v>
      </c>
    </row>
    <row r="124">
      <c r="C124" s="3" t="s">
        <v>463</v>
      </c>
      <c r="D124" s="3">
        <v>32.0</v>
      </c>
      <c r="E124" s="3">
        <v>9377974.0</v>
      </c>
      <c r="F124" s="3">
        <v>3130201.0</v>
      </c>
      <c r="G124" s="3">
        <v>1.6476941E7</v>
      </c>
      <c r="H124" s="3">
        <v>3137819.0</v>
      </c>
    </row>
    <row r="125">
      <c r="C125" s="3" t="s">
        <v>463</v>
      </c>
      <c r="D125" s="3">
        <v>48.0</v>
      </c>
      <c r="E125" s="3">
        <v>6253651.0</v>
      </c>
      <c r="F125" s="3">
        <v>2090817.0</v>
      </c>
      <c r="G125" s="3">
        <v>1.1847554E7</v>
      </c>
      <c r="H125" s="3">
        <v>2096266.0</v>
      </c>
    </row>
    <row r="126">
      <c r="C126" s="3" t="s">
        <v>463</v>
      </c>
      <c r="D126" s="3">
        <v>64.0</v>
      </c>
      <c r="E126" s="3">
        <v>4689721.0</v>
      </c>
      <c r="F126" s="3">
        <v>1564382.0</v>
      </c>
      <c r="G126" s="3">
        <v>1.1297283E7</v>
      </c>
      <c r="H126" s="3">
        <v>1586154.0</v>
      </c>
    </row>
    <row r="127">
      <c r="C127" s="3" t="s">
        <v>463</v>
      </c>
      <c r="D127" s="3">
        <v>80.0</v>
      </c>
      <c r="E127" s="3">
        <v>3752801.0</v>
      </c>
      <c r="F127" s="3">
        <v>1256755.0</v>
      </c>
      <c r="G127" s="3">
        <v>9720609.0</v>
      </c>
      <c r="H127" s="3">
        <v>1262477.0</v>
      </c>
    </row>
    <row r="128">
      <c r="C128" s="3" t="s">
        <v>463</v>
      </c>
      <c r="D128" s="3">
        <v>96.0</v>
      </c>
      <c r="E128" s="3">
        <v>3127244.0</v>
      </c>
      <c r="F128" s="3">
        <v>1045298.0</v>
      </c>
      <c r="G128" s="3">
        <v>4095839.0</v>
      </c>
      <c r="H128" s="3">
        <v>1051923.0</v>
      </c>
    </row>
    <row r="129">
      <c r="C129" s="3" t="s">
        <v>463</v>
      </c>
      <c r="D129" s="3">
        <v>112.0</v>
      </c>
      <c r="E129" s="3">
        <v>2680510.0</v>
      </c>
      <c r="F129" s="3">
        <v>897638.0</v>
      </c>
      <c r="G129" s="3">
        <v>2772954.0</v>
      </c>
      <c r="H129" s="3">
        <v>908719.0</v>
      </c>
    </row>
    <row r="130">
      <c r="C130" s="3" t="s">
        <v>463</v>
      </c>
      <c r="D130" s="3">
        <v>128.0</v>
      </c>
      <c r="E130" s="3">
        <v>2345823.0</v>
      </c>
      <c r="F130" s="3">
        <v>783075.0</v>
      </c>
      <c r="G130" s="3">
        <v>2951020.0</v>
      </c>
      <c r="H130" s="3">
        <v>788271.0</v>
      </c>
    </row>
    <row r="137">
      <c r="D137" s="3" t="s">
        <v>324</v>
      </c>
      <c r="E137" s="3" t="s">
        <v>585</v>
      </c>
      <c r="F137" s="3" t="s">
        <v>586</v>
      </c>
      <c r="G137" s="3" t="s">
        <v>587</v>
      </c>
      <c r="H137" s="3" t="s">
        <v>588</v>
      </c>
    </row>
    <row r="138">
      <c r="C138" s="3" t="s">
        <v>463</v>
      </c>
      <c r="D138" s="3">
        <v>1.0</v>
      </c>
      <c r="E138" s="3">
        <v>1.8796762E7</v>
      </c>
      <c r="F138" s="3">
        <v>6332147.0</v>
      </c>
      <c r="G138" s="3">
        <v>1.8759027E7</v>
      </c>
      <c r="H138" s="3">
        <v>6266875.0</v>
      </c>
    </row>
    <row r="139">
      <c r="C139" s="3" t="s">
        <v>463</v>
      </c>
      <c r="D139" s="3">
        <v>2.0</v>
      </c>
      <c r="E139" s="3">
        <v>1.8783925E7</v>
      </c>
      <c r="F139" s="3">
        <v>6299558.0</v>
      </c>
      <c r="G139" s="3">
        <v>1.8712776E7</v>
      </c>
      <c r="H139" s="3">
        <v>6247779.0</v>
      </c>
    </row>
    <row r="140">
      <c r="C140" s="3" t="s">
        <v>463</v>
      </c>
      <c r="D140" s="3">
        <v>4.0</v>
      </c>
      <c r="E140" s="3">
        <v>1.8758875E7</v>
      </c>
      <c r="F140" s="3">
        <v>6277864.0</v>
      </c>
      <c r="G140" s="3">
        <v>1.876148E7</v>
      </c>
      <c r="H140" s="3">
        <v>6264680.0</v>
      </c>
    </row>
    <row r="141">
      <c r="C141" s="3" t="s">
        <v>463</v>
      </c>
      <c r="D141" s="3">
        <v>8.0</v>
      </c>
      <c r="E141" s="3">
        <v>1.875835E7</v>
      </c>
      <c r="F141" s="3">
        <v>6267608.0</v>
      </c>
      <c r="G141" s="3">
        <v>1.876253E7</v>
      </c>
      <c r="H141" s="3">
        <v>6271951.0</v>
      </c>
    </row>
    <row r="142">
      <c r="C142" s="3" t="s">
        <v>463</v>
      </c>
      <c r="D142" s="3">
        <v>16.0</v>
      </c>
      <c r="E142" s="3">
        <v>1.8759073E7</v>
      </c>
      <c r="F142" s="3">
        <v>6271039.0</v>
      </c>
      <c r="G142" s="3">
        <v>1.8761434E7</v>
      </c>
      <c r="H142" s="3">
        <v>6267582.0</v>
      </c>
    </row>
    <row r="143">
      <c r="C143" s="3" t="s">
        <v>463</v>
      </c>
      <c r="D143" s="3">
        <v>32.0</v>
      </c>
      <c r="E143" s="3">
        <v>9357538.0</v>
      </c>
      <c r="F143" s="3">
        <v>3135373.0</v>
      </c>
      <c r="G143" s="3">
        <v>1.6716155E7</v>
      </c>
      <c r="H143" s="3">
        <v>3144589.0</v>
      </c>
    </row>
    <row r="144">
      <c r="C144" s="3" t="s">
        <v>463</v>
      </c>
      <c r="D144" s="3">
        <v>48.0</v>
      </c>
      <c r="E144" s="3">
        <v>6252604.0</v>
      </c>
      <c r="F144" s="3">
        <v>2092317.0</v>
      </c>
      <c r="G144" s="3">
        <v>1.1830984E7</v>
      </c>
      <c r="H144" s="3">
        <v>2099403.0</v>
      </c>
    </row>
    <row r="145">
      <c r="C145" s="3" t="s">
        <v>463</v>
      </c>
      <c r="D145" s="3">
        <v>64.0</v>
      </c>
      <c r="E145" s="3">
        <v>4690712.0</v>
      </c>
      <c r="F145" s="3">
        <v>1568291.0</v>
      </c>
      <c r="G145" s="3">
        <v>1.0989828E7</v>
      </c>
      <c r="H145" s="3">
        <v>1578651.0</v>
      </c>
    </row>
    <row r="146">
      <c r="C146" s="3" t="s">
        <v>463</v>
      </c>
      <c r="D146" s="3">
        <v>80.0</v>
      </c>
      <c r="E146" s="3">
        <v>3752593.0</v>
      </c>
      <c r="F146" s="3">
        <v>1257830.0</v>
      </c>
      <c r="G146" s="3">
        <v>9460206.0</v>
      </c>
      <c r="H146" s="3">
        <v>1266369.0</v>
      </c>
    </row>
    <row r="147">
      <c r="C147" s="3" t="s">
        <v>463</v>
      </c>
      <c r="D147" s="3">
        <v>96.0</v>
      </c>
      <c r="E147" s="3">
        <v>3125115.0</v>
      </c>
      <c r="F147" s="3">
        <v>1045677.0</v>
      </c>
      <c r="G147" s="3">
        <v>4089522.0</v>
      </c>
      <c r="H147" s="3">
        <v>1052912.0</v>
      </c>
    </row>
    <row r="148">
      <c r="C148" s="3" t="s">
        <v>463</v>
      </c>
      <c r="D148" s="3">
        <v>112.0</v>
      </c>
      <c r="E148" s="3">
        <v>2680196.0</v>
      </c>
      <c r="F148" s="3">
        <v>898170.0</v>
      </c>
      <c r="G148" s="3">
        <v>2759002.0</v>
      </c>
      <c r="H148" s="3">
        <v>907554.0</v>
      </c>
    </row>
    <row r="149">
      <c r="C149" s="3" t="s">
        <v>463</v>
      </c>
      <c r="D149" s="3">
        <v>128.0</v>
      </c>
      <c r="E149" s="3">
        <v>2338333.0</v>
      </c>
      <c r="F149" s="3">
        <v>783084.0</v>
      </c>
      <c r="G149" s="3">
        <v>2934668.0</v>
      </c>
      <c r="H149" s="3">
        <v>785983.0</v>
      </c>
    </row>
    <row r="152">
      <c r="B152" s="3" t="s">
        <v>557</v>
      </c>
    </row>
    <row r="153">
      <c r="B153" s="3" t="s">
        <v>480</v>
      </c>
    </row>
    <row r="155">
      <c r="B155" s="3" t="s">
        <v>557</v>
      </c>
      <c r="C155" s="3" t="s">
        <v>589</v>
      </c>
    </row>
    <row r="157">
      <c r="B157" s="3" t="s">
        <v>590</v>
      </c>
      <c r="C157" s="3" t="s">
        <v>591</v>
      </c>
      <c r="D157" s="3" t="s">
        <v>463</v>
      </c>
      <c r="E157" s="3">
        <v>1.0</v>
      </c>
      <c r="F157" s="3">
        <v>4637485.0</v>
      </c>
      <c r="G157" s="3">
        <v>4824378.0</v>
      </c>
    </row>
    <row r="158">
      <c r="C158" s="3" t="s">
        <v>592</v>
      </c>
      <c r="D158" s="3" t="s">
        <v>463</v>
      </c>
      <c r="E158" s="3">
        <v>1.0</v>
      </c>
      <c r="F158" s="3">
        <v>4589491.0</v>
      </c>
      <c r="G158" s="3">
        <v>4746654.0</v>
      </c>
      <c r="J158" s="3">
        <v>8192.0</v>
      </c>
      <c r="K158" s="3">
        <v>8192.0</v>
      </c>
    </row>
    <row r="159">
      <c r="B159" s="3" t="s">
        <v>593</v>
      </c>
      <c r="C159" s="3" t="s">
        <v>591</v>
      </c>
      <c r="D159" s="3" t="s">
        <v>463</v>
      </c>
      <c r="E159" s="3">
        <v>1.0</v>
      </c>
      <c r="F159" s="3">
        <v>8382460.0</v>
      </c>
      <c r="G159" s="3">
        <v>4458517.0</v>
      </c>
    </row>
    <row r="160">
      <c r="C160" s="3" t="s">
        <v>592</v>
      </c>
      <c r="D160" s="3" t="s">
        <v>463</v>
      </c>
      <c r="E160" s="3">
        <v>1.0</v>
      </c>
      <c r="F160" s="3">
        <v>8271303.0</v>
      </c>
      <c r="G160" s="3">
        <v>4380402.0</v>
      </c>
      <c r="J160" s="3" t="s">
        <v>594</v>
      </c>
    </row>
    <row r="162">
      <c r="C162" s="3" t="s">
        <v>595</v>
      </c>
      <c r="D162" s="3" t="s">
        <v>596</v>
      </c>
    </row>
    <row r="163">
      <c r="B163" s="3" t="s">
        <v>590</v>
      </c>
      <c r="C163" s="3" t="s">
        <v>591</v>
      </c>
      <c r="D163" s="3" t="s">
        <v>463</v>
      </c>
      <c r="E163" s="3">
        <v>1.0</v>
      </c>
      <c r="F163" s="3">
        <v>4728531.0</v>
      </c>
      <c r="G163" s="3">
        <v>4879326.0</v>
      </c>
    </row>
    <row r="164">
      <c r="C164" s="3" t="s">
        <v>592</v>
      </c>
      <c r="D164" s="3" t="s">
        <v>463</v>
      </c>
      <c r="E164" s="3">
        <v>1.0</v>
      </c>
      <c r="F164" s="3">
        <v>4587515.0</v>
      </c>
      <c r="G164" s="3">
        <v>4721159.0</v>
      </c>
    </row>
    <row r="165">
      <c r="B165" s="3" t="s">
        <v>593</v>
      </c>
      <c r="C165" s="3" t="s">
        <v>591</v>
      </c>
      <c r="D165" s="3" t="s">
        <v>463</v>
      </c>
      <c r="E165" s="3">
        <v>1.0</v>
      </c>
      <c r="F165" s="3">
        <v>8360423.0</v>
      </c>
      <c r="G165" s="3">
        <v>4525815.0</v>
      </c>
    </row>
    <row r="166">
      <c r="C166" s="3" t="s">
        <v>592</v>
      </c>
      <c r="D166" s="3" t="s">
        <v>463</v>
      </c>
      <c r="E166" s="3">
        <v>1.0</v>
      </c>
      <c r="F166" s="3">
        <v>8284024.0</v>
      </c>
      <c r="G166" s="3">
        <v>4388555.0</v>
      </c>
    </row>
    <row r="170">
      <c r="I170" s="3">
        <v>8192.0</v>
      </c>
      <c r="J170" s="30">
        <f>I170/2</f>
        <v>4096</v>
      </c>
      <c r="K170" s="30">
        <f>J170*4096</f>
        <v>16777216</v>
      </c>
    </row>
    <row r="174">
      <c r="B174" s="3" t="s">
        <v>597</v>
      </c>
    </row>
    <row r="175">
      <c r="B175" s="3" t="s">
        <v>480</v>
      </c>
      <c r="K175" s="3">
        <v>8192.0</v>
      </c>
      <c r="L175" s="30">
        <f>K175*4</f>
        <v>32768</v>
      </c>
    </row>
    <row r="177">
      <c r="B177" s="3" t="s">
        <v>557</v>
      </c>
      <c r="C177" s="3" t="s">
        <v>589</v>
      </c>
    </row>
    <row r="178">
      <c r="I178" s="3" t="s">
        <v>598</v>
      </c>
    </row>
    <row r="179">
      <c r="B179" s="3" t="s">
        <v>590</v>
      </c>
      <c r="C179" s="3" t="s">
        <v>591</v>
      </c>
      <c r="D179" s="3" t="s">
        <v>463</v>
      </c>
      <c r="E179" s="3">
        <v>1.0</v>
      </c>
      <c r="F179" s="3">
        <v>4349506.0</v>
      </c>
      <c r="G179" s="3">
        <v>2552015.0</v>
      </c>
      <c r="I179" s="30">
        <v>4096.0</v>
      </c>
      <c r="J179" s="30">
        <v>1.6777216E7</v>
      </c>
    </row>
    <row r="180">
      <c r="C180" s="3" t="s">
        <v>592</v>
      </c>
      <c r="D180" s="3" t="s">
        <v>463</v>
      </c>
      <c r="E180" s="3">
        <v>1.0</v>
      </c>
      <c r="F180" s="3">
        <v>4317221.0</v>
      </c>
      <c r="G180" s="3">
        <v>2514681.0</v>
      </c>
    </row>
    <row r="181">
      <c r="B181" s="3" t="s">
        <v>599</v>
      </c>
      <c r="C181" s="3" t="s">
        <v>591</v>
      </c>
      <c r="D181" s="3" t="s">
        <v>463</v>
      </c>
      <c r="E181" s="3">
        <v>1.0</v>
      </c>
      <c r="F181" s="3">
        <v>4311496.0</v>
      </c>
      <c r="G181" s="3">
        <v>2250631.0</v>
      </c>
    </row>
    <row r="182">
      <c r="C182" s="3" t="s">
        <v>592</v>
      </c>
      <c r="D182" s="3" t="s">
        <v>463</v>
      </c>
      <c r="E182" s="3">
        <v>1.0</v>
      </c>
      <c r="F182" s="3">
        <v>4430262.0</v>
      </c>
      <c r="G182" s="3">
        <v>2348149.0</v>
      </c>
    </row>
    <row r="184">
      <c r="C184" s="3" t="s">
        <v>595</v>
      </c>
      <c r="D184" s="3" t="s">
        <v>596</v>
      </c>
    </row>
    <row r="185">
      <c r="B185" s="3" t="s">
        <v>590</v>
      </c>
      <c r="C185" s="3" t="s">
        <v>591</v>
      </c>
      <c r="D185" s="3" t="s">
        <v>463</v>
      </c>
      <c r="E185" s="3">
        <v>1.0</v>
      </c>
      <c r="F185" s="3">
        <v>4192637.0</v>
      </c>
      <c r="G185" s="3">
        <v>2402092.0</v>
      </c>
    </row>
    <row r="186">
      <c r="C186" s="3" t="s">
        <v>592</v>
      </c>
      <c r="D186" s="3" t="s">
        <v>463</v>
      </c>
      <c r="E186" s="3">
        <v>1.0</v>
      </c>
      <c r="F186" s="3">
        <v>4194746.0</v>
      </c>
      <c r="G186" s="3">
        <v>2400656.0</v>
      </c>
    </row>
    <row r="187">
      <c r="B187" s="3" t="s">
        <v>599</v>
      </c>
      <c r="C187" s="3" t="s">
        <v>591</v>
      </c>
      <c r="D187" s="3" t="s">
        <v>463</v>
      </c>
      <c r="E187" s="3">
        <v>1.0</v>
      </c>
      <c r="F187" s="3">
        <v>4212000.0</v>
      </c>
      <c r="G187" s="3">
        <v>2202921.0</v>
      </c>
    </row>
    <row r="188">
      <c r="C188" s="3" t="s">
        <v>592</v>
      </c>
      <c r="D188" s="3" t="s">
        <v>463</v>
      </c>
      <c r="E188" s="3">
        <v>1.0</v>
      </c>
      <c r="F188" s="3">
        <v>4207158.0</v>
      </c>
      <c r="G188" s="3">
        <v>2202776.0</v>
      </c>
    </row>
    <row r="193">
      <c r="B193" s="3" t="s">
        <v>600</v>
      </c>
    </row>
    <row r="196">
      <c r="K196" s="3">
        <v>4096.0</v>
      </c>
      <c r="L196" s="30">
        <f>K196*K196</f>
        <v>16777216</v>
      </c>
      <c r="M196" s="30">
        <f>L196*4</f>
        <v>67108864</v>
      </c>
    </row>
    <row r="197">
      <c r="M197" s="30">
        <f>M196/64</f>
        <v>1048576</v>
      </c>
    </row>
    <row r="202">
      <c r="C202" s="3" t="s">
        <v>601</v>
      </c>
    </row>
    <row r="203">
      <c r="C203" s="3" t="s">
        <v>602</v>
      </c>
      <c r="H203" s="3" t="s">
        <v>603</v>
      </c>
    </row>
    <row r="205">
      <c r="C205" s="3" t="s">
        <v>604</v>
      </c>
      <c r="H205" s="3" t="s">
        <v>501</v>
      </c>
    </row>
    <row r="206">
      <c r="C206" s="3" t="s">
        <v>501</v>
      </c>
      <c r="H206" s="3" t="s">
        <v>605</v>
      </c>
    </row>
    <row r="207">
      <c r="C207" s="3" t="s">
        <v>463</v>
      </c>
      <c r="D207" s="3">
        <v>1.0</v>
      </c>
      <c r="E207" s="3">
        <v>1.8706394E7</v>
      </c>
      <c r="F207" s="3">
        <v>6258120.0</v>
      </c>
      <c r="H207" s="3" t="s">
        <v>606</v>
      </c>
    </row>
    <row r="208">
      <c r="C208" s="3" t="s">
        <v>463</v>
      </c>
      <c r="D208" s="3">
        <v>2.0</v>
      </c>
      <c r="E208" s="3">
        <v>1.8750993E7</v>
      </c>
      <c r="F208" s="3">
        <v>6265611.0</v>
      </c>
      <c r="H208" s="3" t="s">
        <v>607</v>
      </c>
    </row>
    <row r="209">
      <c r="C209" s="3" t="s">
        <v>463</v>
      </c>
      <c r="D209" s="3">
        <v>4.0</v>
      </c>
      <c r="E209" s="3">
        <v>1.8760631E7</v>
      </c>
      <c r="F209" s="3">
        <v>6272502.0</v>
      </c>
      <c r="H209" s="3" t="s">
        <v>608</v>
      </c>
    </row>
    <row r="210">
      <c r="C210" s="3" t="s">
        <v>463</v>
      </c>
      <c r="D210" s="3">
        <v>8.0</v>
      </c>
      <c r="E210" s="3">
        <v>1.8766661E7</v>
      </c>
      <c r="F210" s="3">
        <v>6270325.0</v>
      </c>
      <c r="H210" s="3" t="s">
        <v>609</v>
      </c>
    </row>
    <row r="211">
      <c r="C211" s="3" t="s">
        <v>463</v>
      </c>
      <c r="D211" s="3">
        <v>16.0</v>
      </c>
      <c r="E211" s="3">
        <v>1.8763123E7</v>
      </c>
      <c r="F211" s="3">
        <v>6275745.0</v>
      </c>
      <c r="H211" s="3" t="s">
        <v>610</v>
      </c>
      <c r="K211" s="3">
        <v>1.8706394E7</v>
      </c>
      <c r="L211" s="3">
        <v>1.8750993E7</v>
      </c>
      <c r="M211" s="3">
        <v>1.8760631E7</v>
      </c>
      <c r="N211" s="3">
        <v>1.8766661E7</v>
      </c>
      <c r="O211" s="3">
        <v>1.8763123E7</v>
      </c>
      <c r="P211" s="3">
        <v>1.6630885E7</v>
      </c>
      <c r="Q211" s="3">
        <v>1.1066714E7</v>
      </c>
      <c r="R211" s="3">
        <v>2930101.0</v>
      </c>
      <c r="S211" s="3">
        <v>1172688.0</v>
      </c>
      <c r="T211" s="3">
        <v>590092.0</v>
      </c>
      <c r="U211" s="3">
        <v>292798.0</v>
      </c>
      <c r="V211" s="3">
        <v>147153.0</v>
      </c>
      <c r="W211" s="3">
        <v>74118.0</v>
      </c>
      <c r="X211" s="3">
        <v>37785.0</v>
      </c>
    </row>
    <row r="212">
      <c r="C212" s="3" t="s">
        <v>463</v>
      </c>
      <c r="D212" s="3">
        <v>32.0</v>
      </c>
      <c r="E212" s="3">
        <v>1.6630885E7</v>
      </c>
      <c r="F212" s="3">
        <v>3148710.0</v>
      </c>
      <c r="H212" s="3" t="s">
        <v>611</v>
      </c>
      <c r="K212" s="3">
        <v>6258120.0</v>
      </c>
      <c r="L212" s="3">
        <v>6265611.0</v>
      </c>
      <c r="M212" s="3">
        <v>6272502.0</v>
      </c>
      <c r="N212" s="3">
        <v>6270325.0</v>
      </c>
      <c r="O212" s="3">
        <v>6275745.0</v>
      </c>
      <c r="P212" s="3">
        <v>3148710.0</v>
      </c>
      <c r="Q212" s="3">
        <v>1580119.0</v>
      </c>
      <c r="R212" s="3">
        <v>789113.0</v>
      </c>
      <c r="S212" s="3">
        <v>391925.0</v>
      </c>
      <c r="T212" s="3">
        <v>199966.0</v>
      </c>
      <c r="U212" s="3">
        <v>98858.0</v>
      </c>
      <c r="V212" s="3">
        <v>50376.0</v>
      </c>
      <c r="W212" s="3">
        <v>25516.0</v>
      </c>
      <c r="X212" s="3">
        <v>14507.0</v>
      </c>
    </row>
    <row r="213">
      <c r="C213" s="3" t="s">
        <v>463</v>
      </c>
      <c r="D213" s="3">
        <v>64.0</v>
      </c>
      <c r="E213" s="3">
        <v>1.1066714E7</v>
      </c>
      <c r="F213" s="3">
        <v>1580119.0</v>
      </c>
      <c r="H213" s="3" t="s">
        <v>612</v>
      </c>
    </row>
    <row r="214">
      <c r="C214" s="3" t="s">
        <v>463</v>
      </c>
      <c r="D214" s="3">
        <v>128.0</v>
      </c>
      <c r="E214" s="3">
        <v>2930101.0</v>
      </c>
      <c r="F214" s="3">
        <v>789113.0</v>
      </c>
      <c r="H214" s="3" t="s">
        <v>613</v>
      </c>
    </row>
    <row r="215">
      <c r="C215" s="3" t="s">
        <v>463</v>
      </c>
      <c r="D215" s="3">
        <v>256.0</v>
      </c>
      <c r="E215" s="3">
        <v>1172688.0</v>
      </c>
      <c r="F215" s="3">
        <v>391925.0</v>
      </c>
      <c r="H215" s="3" t="s">
        <v>614</v>
      </c>
      <c r="K215" s="3">
        <v>1.8765642E7</v>
      </c>
      <c r="L215" s="3">
        <v>1.8772132E7</v>
      </c>
      <c r="M215" s="3">
        <v>1.8764571E7</v>
      </c>
      <c r="N215" s="3">
        <v>1.8759543E7</v>
      </c>
      <c r="O215" s="3">
        <v>1.8764915E7</v>
      </c>
      <c r="P215" s="3">
        <v>1.6576687E7</v>
      </c>
      <c r="Q215" s="3">
        <v>1.1395672E7</v>
      </c>
      <c r="R215" s="3">
        <v>2952856.0</v>
      </c>
      <c r="S215" s="3">
        <v>1175004.0</v>
      </c>
      <c r="T215" s="3">
        <v>588251.0</v>
      </c>
      <c r="U215" s="3">
        <v>295965.0</v>
      </c>
      <c r="V215" s="3">
        <v>148305.0</v>
      </c>
      <c r="W215" s="3">
        <v>74884.0</v>
      </c>
      <c r="X215" s="3">
        <v>37756.0</v>
      </c>
    </row>
    <row r="216">
      <c r="C216" s="3" t="s">
        <v>463</v>
      </c>
      <c r="D216" s="3">
        <v>512.0</v>
      </c>
      <c r="E216" s="3">
        <v>590092.0</v>
      </c>
      <c r="F216" s="3">
        <v>199966.0</v>
      </c>
      <c r="H216" s="3" t="s">
        <v>615</v>
      </c>
      <c r="K216" s="3">
        <v>6271286.0</v>
      </c>
      <c r="L216" s="3">
        <v>6264048.0</v>
      </c>
      <c r="M216" s="3">
        <v>6265378.0</v>
      </c>
      <c r="N216" s="3">
        <v>6268979.0</v>
      </c>
      <c r="O216" s="3">
        <v>6266406.0</v>
      </c>
      <c r="P216" s="3">
        <v>3144219.0</v>
      </c>
      <c r="Q216" s="3">
        <v>1573146.0</v>
      </c>
      <c r="R216" s="3">
        <v>789636.0</v>
      </c>
      <c r="S216" s="3">
        <v>392824.0</v>
      </c>
      <c r="T216" s="3">
        <v>196725.0</v>
      </c>
      <c r="U216" s="3">
        <v>99267.0</v>
      </c>
      <c r="V216" s="3">
        <v>50322.0</v>
      </c>
      <c r="W216" s="3">
        <v>25902.0</v>
      </c>
      <c r="X216" s="3">
        <v>13290.0</v>
      </c>
    </row>
    <row r="217">
      <c r="C217" s="3" t="s">
        <v>463</v>
      </c>
      <c r="D217" s="3">
        <v>1024.0</v>
      </c>
      <c r="E217" s="3">
        <v>292798.0</v>
      </c>
      <c r="F217" s="3">
        <v>98858.0</v>
      </c>
      <c r="H217" s="3" t="s">
        <v>616</v>
      </c>
    </row>
    <row r="218">
      <c r="C218" s="3" t="s">
        <v>463</v>
      </c>
      <c r="D218" s="3">
        <v>2048.0</v>
      </c>
      <c r="E218" s="3">
        <v>147153.0</v>
      </c>
      <c r="F218" s="3">
        <v>50376.0</v>
      </c>
      <c r="H218" s="3" t="s">
        <v>617</v>
      </c>
    </row>
    <row r="219">
      <c r="C219" s="3" t="s">
        <v>463</v>
      </c>
      <c r="D219" s="3">
        <v>4096.0</v>
      </c>
      <c r="E219" s="3">
        <v>74118.0</v>
      </c>
      <c r="F219" s="3">
        <v>25516.0</v>
      </c>
      <c r="H219" s="3" t="s">
        <v>618</v>
      </c>
    </row>
    <row r="220">
      <c r="C220" s="3" t="s">
        <v>463</v>
      </c>
      <c r="D220" s="3">
        <v>8192.0</v>
      </c>
      <c r="E220" s="3">
        <v>37785.0</v>
      </c>
      <c r="F220" s="3">
        <v>14507.0</v>
      </c>
    </row>
    <row r="224">
      <c r="C224" s="3" t="s">
        <v>463</v>
      </c>
      <c r="D224" s="3">
        <v>1.0</v>
      </c>
      <c r="E224" s="3">
        <v>1.8765642E7</v>
      </c>
      <c r="F224" s="3">
        <v>6271286.0</v>
      </c>
      <c r="H224" s="3" t="s">
        <v>619</v>
      </c>
    </row>
    <row r="225">
      <c r="C225" s="3" t="s">
        <v>463</v>
      </c>
      <c r="D225" s="3">
        <v>2.0</v>
      </c>
      <c r="E225" s="3">
        <v>1.8772132E7</v>
      </c>
      <c r="F225" s="3">
        <v>6264048.0</v>
      </c>
      <c r="H225" s="3" t="s">
        <v>620</v>
      </c>
    </row>
    <row r="226">
      <c r="C226" s="3" t="s">
        <v>463</v>
      </c>
      <c r="D226" s="3">
        <v>4.0</v>
      </c>
      <c r="E226" s="3">
        <v>1.8764571E7</v>
      </c>
      <c r="F226" s="3">
        <v>6265378.0</v>
      </c>
      <c r="H226" s="3" t="s">
        <v>621</v>
      </c>
    </row>
    <row r="227">
      <c r="C227" s="3" t="s">
        <v>463</v>
      </c>
      <c r="D227" s="3">
        <v>8.0</v>
      </c>
      <c r="E227" s="3">
        <v>1.8759543E7</v>
      </c>
      <c r="F227" s="3">
        <v>6268979.0</v>
      </c>
      <c r="H227" s="3" t="s">
        <v>622</v>
      </c>
    </row>
    <row r="228">
      <c r="C228" s="3" t="s">
        <v>463</v>
      </c>
      <c r="D228" s="3">
        <v>16.0</v>
      </c>
      <c r="E228" s="3">
        <v>1.8764915E7</v>
      </c>
      <c r="F228" s="3">
        <v>6266406.0</v>
      </c>
      <c r="H228" s="3" t="s">
        <v>623</v>
      </c>
    </row>
    <row r="229">
      <c r="C229" s="3" t="s">
        <v>463</v>
      </c>
      <c r="D229" s="3">
        <v>32.0</v>
      </c>
      <c r="E229" s="3">
        <v>1.6576687E7</v>
      </c>
      <c r="F229" s="3">
        <v>3144219.0</v>
      </c>
      <c r="H229" s="3" t="s">
        <v>624</v>
      </c>
    </row>
    <row r="230">
      <c r="C230" s="3" t="s">
        <v>463</v>
      </c>
      <c r="D230" s="3">
        <v>64.0</v>
      </c>
      <c r="E230" s="3">
        <v>1.1395672E7</v>
      </c>
      <c r="F230" s="3">
        <v>1573146.0</v>
      </c>
      <c r="H230" s="3" t="s">
        <v>625</v>
      </c>
    </row>
    <row r="231">
      <c r="C231" s="3" t="s">
        <v>463</v>
      </c>
      <c r="D231" s="3">
        <v>128.0</v>
      </c>
      <c r="E231" s="3">
        <v>2952856.0</v>
      </c>
      <c r="F231" s="3">
        <v>789636.0</v>
      </c>
      <c r="H231" s="3" t="s">
        <v>626</v>
      </c>
    </row>
    <row r="232">
      <c r="C232" s="3" t="s">
        <v>463</v>
      </c>
      <c r="D232" s="3">
        <v>256.0</v>
      </c>
      <c r="E232" s="3">
        <v>1175004.0</v>
      </c>
      <c r="F232" s="3">
        <v>392824.0</v>
      </c>
      <c r="H232" s="3" t="s">
        <v>627</v>
      </c>
    </row>
    <row r="233">
      <c r="C233" s="3" t="s">
        <v>463</v>
      </c>
      <c r="D233" s="3">
        <v>512.0</v>
      </c>
      <c r="E233" s="3">
        <v>588251.0</v>
      </c>
      <c r="F233" s="3">
        <v>196725.0</v>
      </c>
      <c r="H233" s="3" t="s">
        <v>628</v>
      </c>
    </row>
    <row r="234">
      <c r="C234" s="3" t="s">
        <v>463</v>
      </c>
      <c r="D234" s="3">
        <v>1024.0</v>
      </c>
      <c r="E234" s="3">
        <v>295965.0</v>
      </c>
      <c r="F234" s="3">
        <v>99267.0</v>
      </c>
      <c r="H234" s="3" t="s">
        <v>629</v>
      </c>
    </row>
    <row r="235">
      <c r="C235" s="3" t="s">
        <v>463</v>
      </c>
      <c r="D235" s="3">
        <v>2048.0</v>
      </c>
      <c r="E235" s="3">
        <v>148305.0</v>
      </c>
      <c r="F235" s="3">
        <v>50322.0</v>
      </c>
      <c r="H235" s="3" t="s">
        <v>630</v>
      </c>
    </row>
    <row r="236">
      <c r="C236" s="3" t="s">
        <v>463</v>
      </c>
      <c r="D236" s="3">
        <v>4096.0</v>
      </c>
      <c r="E236" s="3">
        <v>74884.0</v>
      </c>
      <c r="F236" s="3">
        <v>25902.0</v>
      </c>
      <c r="H236" s="3" t="s">
        <v>631</v>
      </c>
    </row>
    <row r="237">
      <c r="C237" s="3" t="s">
        <v>463</v>
      </c>
      <c r="D237" s="3">
        <v>8192.0</v>
      </c>
      <c r="E237" s="3">
        <v>37756.0</v>
      </c>
      <c r="F237" s="3">
        <v>13290.0</v>
      </c>
      <c r="H237" s="3" t="s">
        <v>632</v>
      </c>
    </row>
    <row r="239">
      <c r="A239" s="3" t="s">
        <v>633</v>
      </c>
    </row>
    <row r="240">
      <c r="B240" s="3" t="s">
        <v>634</v>
      </c>
    </row>
    <row r="242">
      <c r="C242" s="3" t="s">
        <v>477</v>
      </c>
      <c r="D242" s="3">
        <v>1.0</v>
      </c>
      <c r="E242" s="3">
        <v>1.3672166E7</v>
      </c>
      <c r="F242" s="3">
        <v>1.279165E7</v>
      </c>
      <c r="J242" s="3" t="s">
        <v>283</v>
      </c>
      <c r="K242" s="3" t="s">
        <v>551</v>
      </c>
      <c r="L242" s="3">
        <v>0.259698</v>
      </c>
    </row>
    <row r="243">
      <c r="C243" s="3" t="s">
        <v>477</v>
      </c>
      <c r="D243" s="3">
        <v>2.0</v>
      </c>
      <c r="E243" s="3">
        <v>1.2891599E7</v>
      </c>
      <c r="F243" s="3">
        <v>6508134.0</v>
      </c>
      <c r="J243" s="3" t="s">
        <v>283</v>
      </c>
      <c r="K243" s="3" t="s">
        <v>551</v>
      </c>
      <c r="L243" s="3">
        <v>0.35487</v>
      </c>
    </row>
    <row r="244">
      <c r="C244" s="3" t="s">
        <v>477</v>
      </c>
      <c r="D244" s="3">
        <v>4.0</v>
      </c>
      <c r="E244" s="3">
        <v>1.2857738E7</v>
      </c>
      <c r="F244" s="3">
        <v>6461124.0</v>
      </c>
      <c r="J244" s="3" t="s">
        <v>283</v>
      </c>
      <c r="K244" s="3" t="s">
        <v>551</v>
      </c>
      <c r="L244" s="3">
        <v>0.221423</v>
      </c>
    </row>
    <row r="245">
      <c r="C245" s="3" t="s">
        <v>477</v>
      </c>
      <c r="D245" s="3">
        <v>8.0</v>
      </c>
      <c r="E245" s="3">
        <v>1.2854505E7</v>
      </c>
      <c r="F245" s="3">
        <v>6483468.0</v>
      </c>
      <c r="J245" s="3" t="s">
        <v>283</v>
      </c>
      <c r="K245" s="3" t="s">
        <v>551</v>
      </c>
      <c r="L245" s="3">
        <v>0.218846</v>
      </c>
      <c r="N245" s="3">
        <v>1.3672166E7</v>
      </c>
      <c r="O245" s="3">
        <v>1.2891599E7</v>
      </c>
      <c r="P245" s="3">
        <v>1.2857738E7</v>
      </c>
      <c r="Q245" s="3">
        <v>1.2854505E7</v>
      </c>
      <c r="R245" s="3">
        <v>1.2855737E7</v>
      </c>
      <c r="S245" s="3">
        <v>6587605.0</v>
      </c>
      <c r="T245" s="3">
        <v>3452966.0</v>
      </c>
      <c r="U245" s="3">
        <v>1887966.0</v>
      </c>
      <c r="V245" s="3">
        <v>1104854.0</v>
      </c>
      <c r="W245" s="3">
        <v>714762.0</v>
      </c>
      <c r="X245" s="3">
        <v>536485.0</v>
      </c>
      <c r="Y245" s="3">
        <v>833519.0</v>
      </c>
      <c r="Z245" s="3">
        <v>505139.0</v>
      </c>
      <c r="AA245" s="3">
        <v>359588.0</v>
      </c>
      <c r="AB245" s="3"/>
      <c r="AC245" s="3"/>
      <c r="AD245" s="3"/>
      <c r="AE245" s="3"/>
      <c r="AF245" s="3"/>
      <c r="AG245" s="3"/>
      <c r="AH245" s="3"/>
      <c r="AI245" s="3"/>
      <c r="AJ245" s="3"/>
      <c r="AK245" s="3"/>
      <c r="AL245" s="3"/>
      <c r="AM245" s="3"/>
      <c r="AN245" s="3"/>
      <c r="AO245" s="3"/>
      <c r="AP245" s="3"/>
      <c r="AQ245" s="3"/>
      <c r="AR245" s="3"/>
      <c r="AS245" s="3"/>
      <c r="AT245" s="3"/>
      <c r="AU245" s="3"/>
    </row>
    <row r="246">
      <c r="C246" s="3" t="s">
        <v>477</v>
      </c>
      <c r="D246" s="3">
        <v>16.0</v>
      </c>
      <c r="E246" s="3">
        <v>1.2855737E7</v>
      </c>
      <c r="F246" s="3">
        <v>6488342.0</v>
      </c>
      <c r="J246" s="3" t="s">
        <v>283</v>
      </c>
      <c r="K246" s="3" t="s">
        <v>551</v>
      </c>
      <c r="L246" s="3">
        <v>0.218982</v>
      </c>
      <c r="N246" s="3">
        <v>1.279165E7</v>
      </c>
      <c r="O246" s="3">
        <v>6508134.0</v>
      </c>
      <c r="P246" s="3">
        <v>6461124.0</v>
      </c>
      <c r="Q246" s="3">
        <v>6483468.0</v>
      </c>
      <c r="R246" s="3">
        <v>6488342.0</v>
      </c>
      <c r="S246" s="3">
        <v>6283784.0</v>
      </c>
      <c r="T246" s="3">
        <v>6216998.0</v>
      </c>
      <c r="U246" s="3">
        <v>6164307.0</v>
      </c>
      <c r="V246" s="3">
        <v>6130026.0</v>
      </c>
      <c r="W246" s="3">
        <v>6124196.0</v>
      </c>
      <c r="X246" s="3">
        <v>6122347.0</v>
      </c>
      <c r="Y246" s="3">
        <v>6170829.0</v>
      </c>
      <c r="Z246" s="3">
        <v>6257888.0</v>
      </c>
      <c r="AA246" s="3">
        <v>6081613.0</v>
      </c>
      <c r="AB246" s="3"/>
      <c r="AC246" s="3"/>
      <c r="AD246" s="3"/>
      <c r="AE246" s="3"/>
      <c r="AF246" s="3"/>
      <c r="AG246" s="3"/>
      <c r="AH246" s="3"/>
      <c r="AI246" s="3"/>
      <c r="AJ246" s="3"/>
      <c r="AK246" s="3"/>
      <c r="AL246" s="3"/>
      <c r="AM246" s="3"/>
      <c r="AN246" s="3"/>
      <c r="AO246" s="3"/>
      <c r="AP246" s="3"/>
      <c r="AQ246" s="3"/>
      <c r="AR246" s="3"/>
      <c r="AS246" s="3"/>
      <c r="AT246" s="3"/>
      <c r="AU246" s="3"/>
    </row>
    <row r="247">
      <c r="C247" s="3" t="s">
        <v>477</v>
      </c>
      <c r="D247" s="3">
        <v>32.0</v>
      </c>
      <c r="E247" s="3">
        <v>6587605.0</v>
      </c>
      <c r="F247" s="3">
        <v>6283784.0</v>
      </c>
      <c r="J247" s="3" t="s">
        <v>283</v>
      </c>
      <c r="K247" s="3" t="s">
        <v>551</v>
      </c>
      <c r="L247" s="3">
        <v>0.151832</v>
      </c>
    </row>
    <row r="248">
      <c r="C248" s="3" t="s">
        <v>477</v>
      </c>
      <c r="D248" s="3">
        <v>64.0</v>
      </c>
      <c r="E248" s="3">
        <v>3452966.0</v>
      </c>
      <c r="F248" s="3">
        <v>6216998.0</v>
      </c>
      <c r="J248" s="3" t="s">
        <v>283</v>
      </c>
      <c r="K248" s="3" t="s">
        <v>551</v>
      </c>
      <c r="L248" s="3">
        <v>0.119102</v>
      </c>
      <c r="N248" s="3">
        <v>1.3171615E7</v>
      </c>
      <c r="O248" s="3">
        <v>1.8823643E7</v>
      </c>
      <c r="P248" s="3">
        <v>1.880189E7</v>
      </c>
      <c r="Q248" s="3">
        <v>1.8801483E7</v>
      </c>
      <c r="R248" s="3">
        <v>1.8800558E7</v>
      </c>
      <c r="S248" s="3">
        <v>9415883.0</v>
      </c>
      <c r="T248" s="3">
        <v>4698887.0</v>
      </c>
      <c r="U248" s="3">
        <v>2349495.0</v>
      </c>
      <c r="V248" s="3">
        <v>1175287.0</v>
      </c>
      <c r="W248" s="3">
        <v>587742.0</v>
      </c>
      <c r="X248" s="3">
        <v>294012.0</v>
      </c>
      <c r="Y248" s="3">
        <v>147303.0</v>
      </c>
      <c r="Z248" s="3">
        <v>73686.0</v>
      </c>
      <c r="AA248" s="3">
        <v>36900.0</v>
      </c>
      <c r="AB248" s="3"/>
      <c r="AC248" s="3"/>
      <c r="AD248" s="3"/>
      <c r="AE248" s="3"/>
      <c r="AF248" s="3"/>
      <c r="AG248" s="3"/>
      <c r="AH248" s="3"/>
      <c r="AI248" s="3"/>
      <c r="AJ248" s="3"/>
      <c r="AK248" s="3"/>
      <c r="AL248" s="3"/>
      <c r="AM248" s="3"/>
      <c r="AN248" s="3"/>
      <c r="AO248" s="3"/>
      <c r="AP248" s="3"/>
      <c r="AQ248" s="3"/>
      <c r="AR248" s="3"/>
      <c r="AS248" s="3"/>
      <c r="AT248" s="3"/>
      <c r="AU248" s="3"/>
    </row>
    <row r="249">
      <c r="C249" s="3" t="s">
        <v>477</v>
      </c>
      <c r="D249" s="3">
        <v>128.0</v>
      </c>
      <c r="E249" s="3">
        <v>1887966.0</v>
      </c>
      <c r="F249" s="3">
        <v>6164307.0</v>
      </c>
      <c r="J249" s="3" t="s">
        <v>283</v>
      </c>
      <c r="K249" s="3" t="s">
        <v>551</v>
      </c>
      <c r="L249" s="3">
        <v>0.108302</v>
      </c>
      <c r="N249" s="3">
        <v>7151216.0</v>
      </c>
      <c r="O249" s="3">
        <v>6608016.0</v>
      </c>
      <c r="P249" s="3">
        <v>6587184.0</v>
      </c>
      <c r="Q249" s="3">
        <v>6584156.0</v>
      </c>
      <c r="R249" s="3">
        <v>6586975.0</v>
      </c>
      <c r="S249" s="3">
        <v>3296237.0</v>
      </c>
      <c r="T249" s="3">
        <v>1644959.0</v>
      </c>
      <c r="U249" s="3">
        <v>822515.0</v>
      </c>
      <c r="V249" s="3">
        <v>411790.0</v>
      </c>
      <c r="W249" s="3">
        <v>205808.0</v>
      </c>
      <c r="X249" s="3">
        <v>103543.0</v>
      </c>
      <c r="Y249" s="3">
        <v>56143.0</v>
      </c>
      <c r="Z249" s="3">
        <v>29479.0</v>
      </c>
      <c r="AA249" s="3">
        <v>14986.0</v>
      </c>
      <c r="AB249" s="3"/>
      <c r="AC249" s="3"/>
      <c r="AD249" s="3"/>
      <c r="AE249" s="3"/>
      <c r="AF249" s="3"/>
      <c r="AG249" s="3"/>
      <c r="AH249" s="3"/>
      <c r="AI249" s="3"/>
      <c r="AJ249" s="3"/>
      <c r="AK249" s="3"/>
      <c r="AL249" s="3"/>
      <c r="AM249" s="3"/>
      <c r="AN249" s="3"/>
      <c r="AO249" s="3"/>
      <c r="AP249" s="3"/>
      <c r="AQ249" s="3"/>
      <c r="AR249" s="3"/>
      <c r="AS249" s="3"/>
      <c r="AT249" s="3"/>
      <c r="AU249" s="3"/>
    </row>
    <row r="250">
      <c r="C250" s="3" t="s">
        <v>477</v>
      </c>
      <c r="D250" s="3">
        <v>256.0</v>
      </c>
      <c r="E250" s="3">
        <v>1104854.0</v>
      </c>
      <c r="F250" s="3">
        <v>6130026.0</v>
      </c>
      <c r="J250" s="3" t="s">
        <v>283</v>
      </c>
      <c r="K250" s="3" t="s">
        <v>551</v>
      </c>
      <c r="L250" s="3">
        <v>0.100223</v>
      </c>
    </row>
    <row r="251">
      <c r="C251" s="3" t="s">
        <v>477</v>
      </c>
      <c r="D251" s="3">
        <v>512.0</v>
      </c>
      <c r="E251" s="3">
        <v>714762.0</v>
      </c>
      <c r="F251" s="3">
        <v>6124196.0</v>
      </c>
      <c r="J251" s="3" t="s">
        <v>283</v>
      </c>
      <c r="K251" s="3" t="s">
        <v>551</v>
      </c>
      <c r="L251" s="3">
        <v>0.096169</v>
      </c>
    </row>
    <row r="252">
      <c r="C252" s="3" t="s">
        <v>477</v>
      </c>
      <c r="D252" s="3">
        <v>1024.0</v>
      </c>
      <c r="E252" s="3">
        <v>536485.0</v>
      </c>
      <c r="F252" s="3">
        <v>6122347.0</v>
      </c>
      <c r="J252" s="3" t="s">
        <v>283</v>
      </c>
      <c r="K252" s="3" t="s">
        <v>551</v>
      </c>
      <c r="L252" s="3">
        <v>0.094713</v>
      </c>
    </row>
    <row r="253">
      <c r="C253" s="3" t="s">
        <v>477</v>
      </c>
      <c r="D253" s="3">
        <v>2048.0</v>
      </c>
      <c r="E253" s="3">
        <v>833519.0</v>
      </c>
      <c r="F253" s="3">
        <v>6170829.0</v>
      </c>
      <c r="J253" s="3" t="s">
        <v>283</v>
      </c>
      <c r="K253" s="3" t="s">
        <v>551</v>
      </c>
      <c r="L253" s="3">
        <v>0.092889</v>
      </c>
    </row>
    <row r="254">
      <c r="C254" s="3" t="s">
        <v>477</v>
      </c>
      <c r="D254" s="3">
        <v>4096.0</v>
      </c>
      <c r="E254" s="3">
        <v>505139.0</v>
      </c>
      <c r="F254" s="3">
        <v>6257888.0</v>
      </c>
      <c r="J254" s="3" t="s">
        <v>283</v>
      </c>
      <c r="K254" s="3" t="s">
        <v>551</v>
      </c>
      <c r="L254" s="3">
        <v>0.088763</v>
      </c>
    </row>
    <row r="255">
      <c r="C255" s="3" t="s">
        <v>477</v>
      </c>
      <c r="D255" s="3">
        <v>8192.0</v>
      </c>
      <c r="E255" s="3">
        <v>359588.0</v>
      </c>
      <c r="F255" s="3">
        <v>6081613.0</v>
      </c>
      <c r="J255" s="3" t="s">
        <v>283</v>
      </c>
      <c r="K255" s="3" t="s">
        <v>551</v>
      </c>
      <c r="L255" s="3">
        <v>0.087327</v>
      </c>
    </row>
    <row r="256">
      <c r="A256" s="3" t="s">
        <v>635</v>
      </c>
      <c r="C256" s="3"/>
      <c r="D256" s="3"/>
      <c r="E256" s="3"/>
      <c r="F256" s="3"/>
      <c r="J256" s="3"/>
      <c r="K256" s="3"/>
      <c r="L256" s="3"/>
    </row>
    <row r="257">
      <c r="C257" s="3" t="s">
        <v>477</v>
      </c>
      <c r="D257" s="3">
        <v>1.0</v>
      </c>
      <c r="E257" s="3">
        <v>1.3566486E7</v>
      </c>
      <c r="F257" s="3">
        <v>1.2493292E7</v>
      </c>
      <c r="J257" s="3" t="s">
        <v>283</v>
      </c>
      <c r="K257" s="3" t="s">
        <v>551</v>
      </c>
      <c r="L257" s="3">
        <v>0.183776</v>
      </c>
    </row>
    <row r="258">
      <c r="C258" s="3" t="s">
        <v>477</v>
      </c>
      <c r="D258" s="3">
        <v>2.0</v>
      </c>
      <c r="E258" s="3">
        <v>1.2880978E7</v>
      </c>
      <c r="F258" s="3">
        <v>6477450.0</v>
      </c>
      <c r="J258" s="3" t="s">
        <v>283</v>
      </c>
      <c r="K258" s="3" t="s">
        <v>551</v>
      </c>
      <c r="L258" s="3">
        <v>0.192196</v>
      </c>
    </row>
    <row r="259">
      <c r="C259" s="3" t="s">
        <v>477</v>
      </c>
      <c r="D259" s="3">
        <v>4.0</v>
      </c>
      <c r="E259" s="3">
        <v>1.2886948E7</v>
      </c>
      <c r="F259" s="3">
        <v>6476795.0</v>
      </c>
      <c r="J259" s="3" t="s">
        <v>283</v>
      </c>
      <c r="K259" s="3" t="s">
        <v>551</v>
      </c>
      <c r="L259" s="3">
        <v>0.1912</v>
      </c>
    </row>
    <row r="260">
      <c r="C260" s="3" t="s">
        <v>477</v>
      </c>
      <c r="D260" s="3">
        <v>8.0</v>
      </c>
      <c r="E260" s="3">
        <v>1.2879675E7</v>
      </c>
      <c r="F260" s="3">
        <v>6471695.0</v>
      </c>
      <c r="J260" s="3" t="s">
        <v>283</v>
      </c>
      <c r="K260" s="3" t="s">
        <v>551</v>
      </c>
      <c r="L260" s="3">
        <v>0.188701</v>
      </c>
    </row>
    <row r="261">
      <c r="C261" s="3" t="s">
        <v>477</v>
      </c>
      <c r="D261" s="3">
        <v>16.0</v>
      </c>
      <c r="E261" s="3">
        <v>1.288093E7</v>
      </c>
      <c r="F261" s="3">
        <v>6475260.0</v>
      </c>
      <c r="J261" s="3" t="s">
        <v>283</v>
      </c>
      <c r="K261" s="3" t="s">
        <v>551</v>
      </c>
      <c r="L261" s="3">
        <v>0.188703</v>
      </c>
    </row>
    <row r="262">
      <c r="C262" s="3" t="s">
        <v>477</v>
      </c>
      <c r="D262" s="3">
        <v>32.0</v>
      </c>
      <c r="E262" s="3">
        <v>9525185.0</v>
      </c>
      <c r="F262" s="3">
        <v>6376861.0</v>
      </c>
      <c r="J262" s="3" t="s">
        <v>283</v>
      </c>
      <c r="K262" s="3" t="s">
        <v>551</v>
      </c>
      <c r="L262" s="3">
        <v>0.155972</v>
      </c>
    </row>
    <row r="263">
      <c r="C263" s="3" t="s">
        <v>477</v>
      </c>
      <c r="D263" s="3">
        <v>64.0</v>
      </c>
      <c r="E263" s="3">
        <v>5670210.0</v>
      </c>
      <c r="F263" s="3">
        <v>6268694.0</v>
      </c>
      <c r="J263" s="3" t="s">
        <v>283</v>
      </c>
      <c r="K263" s="3" t="s">
        <v>551</v>
      </c>
      <c r="L263" s="3">
        <v>0.12772</v>
      </c>
    </row>
    <row r="264">
      <c r="C264" s="3" t="s">
        <v>477</v>
      </c>
      <c r="D264" s="3">
        <v>128.0</v>
      </c>
      <c r="E264" s="3">
        <v>1916935.0</v>
      </c>
      <c r="F264" s="3">
        <v>6144172.0</v>
      </c>
      <c r="J264" s="3" t="s">
        <v>283</v>
      </c>
      <c r="K264" s="3" t="s">
        <v>551</v>
      </c>
      <c r="L264" s="3">
        <v>0.107519</v>
      </c>
    </row>
    <row r="265">
      <c r="C265" s="3" t="s">
        <v>477</v>
      </c>
      <c r="D265" s="3">
        <v>256.0</v>
      </c>
      <c r="E265" s="3">
        <v>1133246.0</v>
      </c>
      <c r="F265" s="3">
        <v>6121550.0</v>
      </c>
      <c r="J265" s="3" t="s">
        <v>283</v>
      </c>
      <c r="K265" s="3" t="s">
        <v>551</v>
      </c>
      <c r="L265" s="3">
        <v>0.10027</v>
      </c>
    </row>
    <row r="266">
      <c r="C266" s="3" t="s">
        <v>477</v>
      </c>
      <c r="D266" s="3">
        <v>512.0</v>
      </c>
      <c r="E266" s="3">
        <v>738988.0</v>
      </c>
      <c r="F266" s="3">
        <v>6114926.0</v>
      </c>
      <c r="J266" s="3" t="s">
        <v>283</v>
      </c>
      <c r="K266" s="3" t="s">
        <v>551</v>
      </c>
      <c r="L266" s="3">
        <v>0.095557</v>
      </c>
    </row>
    <row r="267">
      <c r="C267" s="3" t="s">
        <v>477</v>
      </c>
      <c r="D267" s="3">
        <v>1024.0</v>
      </c>
      <c r="E267" s="3">
        <v>548623.0</v>
      </c>
      <c r="F267" s="3">
        <v>6084096.0</v>
      </c>
      <c r="J267" s="3" t="s">
        <v>283</v>
      </c>
      <c r="K267" s="3" t="s">
        <v>551</v>
      </c>
      <c r="L267" s="3">
        <v>0.094388</v>
      </c>
    </row>
    <row r="268">
      <c r="C268" s="3" t="s">
        <v>477</v>
      </c>
      <c r="D268" s="3">
        <v>2048.0</v>
      </c>
      <c r="E268" s="3">
        <v>446738.0</v>
      </c>
      <c r="F268" s="3">
        <v>6097793.0</v>
      </c>
      <c r="J268" s="3" t="s">
        <v>283</v>
      </c>
      <c r="K268" s="3" t="s">
        <v>551</v>
      </c>
      <c r="L268" s="3">
        <v>0.091993</v>
      </c>
    </row>
    <row r="269">
      <c r="C269" s="3" t="s">
        <v>477</v>
      </c>
      <c r="D269" s="3">
        <v>4096.0</v>
      </c>
      <c r="E269" s="3">
        <v>395260.0</v>
      </c>
      <c r="F269" s="3">
        <v>6077512.0</v>
      </c>
      <c r="J269" s="3" t="s">
        <v>283</v>
      </c>
      <c r="K269" s="3" t="s">
        <v>551</v>
      </c>
      <c r="L269" s="3">
        <v>0.091394</v>
      </c>
    </row>
    <row r="270">
      <c r="C270" s="3" t="s">
        <v>477</v>
      </c>
      <c r="D270" s="3">
        <v>8192.0</v>
      </c>
      <c r="E270" s="3">
        <v>370155.0</v>
      </c>
      <c r="F270" s="3">
        <v>6073959.0</v>
      </c>
      <c r="J270" s="3" t="s">
        <v>283</v>
      </c>
      <c r="K270" s="3" t="s">
        <v>551</v>
      </c>
      <c r="L270" s="3">
        <v>0.090979</v>
      </c>
    </row>
    <row r="272">
      <c r="A272" s="3" t="s">
        <v>636</v>
      </c>
    </row>
    <row r="273">
      <c r="C273" s="3" t="s">
        <v>477</v>
      </c>
      <c r="D273" s="3">
        <v>1.0</v>
      </c>
      <c r="E273" s="3">
        <v>1.3039326E7</v>
      </c>
      <c r="F273" s="3">
        <v>6897699.0</v>
      </c>
      <c r="J273" s="3" t="s">
        <v>283</v>
      </c>
      <c r="K273" s="3" t="s">
        <v>551</v>
      </c>
      <c r="L273" s="3">
        <v>0.927428</v>
      </c>
    </row>
    <row r="274">
      <c r="C274" s="3" t="s">
        <v>477</v>
      </c>
      <c r="D274" s="3">
        <v>2.0</v>
      </c>
      <c r="E274" s="3">
        <v>1.2991596E7</v>
      </c>
      <c r="F274" s="3">
        <v>6859832.0</v>
      </c>
      <c r="J274" s="3" t="s">
        <v>283</v>
      </c>
      <c r="K274" s="3" t="s">
        <v>551</v>
      </c>
      <c r="L274" s="3">
        <v>0.739014</v>
      </c>
    </row>
    <row r="275">
      <c r="C275" s="3" t="s">
        <v>477</v>
      </c>
      <c r="D275" s="3">
        <v>4.0</v>
      </c>
      <c r="E275" s="3">
        <v>1.2913561E7</v>
      </c>
      <c r="F275" s="3">
        <v>6783845.0</v>
      </c>
      <c r="J275" s="3" t="s">
        <v>283</v>
      </c>
      <c r="K275" s="3" t="s">
        <v>551</v>
      </c>
      <c r="L275" s="3">
        <v>0.426519</v>
      </c>
    </row>
    <row r="276">
      <c r="C276" s="3" t="s">
        <v>477</v>
      </c>
      <c r="D276" s="3">
        <v>8.0</v>
      </c>
      <c r="E276" s="3">
        <v>1.2867345E7</v>
      </c>
      <c r="F276" s="3">
        <v>6731262.0</v>
      </c>
      <c r="J276" s="3" t="s">
        <v>283</v>
      </c>
      <c r="K276" s="3" t="s">
        <v>551</v>
      </c>
      <c r="L276" s="3">
        <v>0.259374</v>
      </c>
    </row>
    <row r="277">
      <c r="C277" s="3" t="s">
        <v>477</v>
      </c>
      <c r="D277" s="3">
        <v>16.0</v>
      </c>
      <c r="E277" s="3">
        <v>1.2860924E7</v>
      </c>
      <c r="F277" s="3">
        <v>6731829.0</v>
      </c>
      <c r="J277" s="3" t="s">
        <v>283</v>
      </c>
      <c r="K277" s="3" t="s">
        <v>551</v>
      </c>
      <c r="L277" s="3">
        <v>0.236209</v>
      </c>
    </row>
    <row r="278">
      <c r="C278" s="3" t="s">
        <v>477</v>
      </c>
      <c r="D278" s="3">
        <v>32.0</v>
      </c>
      <c r="E278" s="3">
        <v>6593039.0</v>
      </c>
      <c r="F278" s="3">
        <v>6545743.0</v>
      </c>
      <c r="J278" s="3" t="s">
        <v>283</v>
      </c>
      <c r="K278" s="3" t="s">
        <v>551</v>
      </c>
      <c r="L278" s="3">
        <v>0.162477</v>
      </c>
    </row>
    <row r="279">
      <c r="C279" s="3" t="s">
        <v>477</v>
      </c>
      <c r="D279" s="3">
        <v>64.0</v>
      </c>
      <c r="E279" s="3">
        <v>3459198.0</v>
      </c>
      <c r="F279" s="3">
        <v>6455996.0</v>
      </c>
      <c r="J279" s="3" t="s">
        <v>283</v>
      </c>
      <c r="K279" s="3" t="s">
        <v>551</v>
      </c>
      <c r="L279" s="3">
        <v>0.123722</v>
      </c>
    </row>
    <row r="280">
      <c r="C280" s="3" t="s">
        <v>477</v>
      </c>
      <c r="D280" s="3">
        <v>128.0</v>
      </c>
      <c r="E280" s="3">
        <v>1891077.0</v>
      </c>
      <c r="F280" s="3">
        <v>6408238.0</v>
      </c>
      <c r="J280" s="3" t="s">
        <v>283</v>
      </c>
      <c r="K280" s="3" t="s">
        <v>551</v>
      </c>
      <c r="L280" s="3">
        <v>0.105874</v>
      </c>
    </row>
    <row r="281">
      <c r="C281" s="3" t="s">
        <v>477</v>
      </c>
      <c r="D281" s="3">
        <v>256.0</v>
      </c>
      <c r="E281" s="3">
        <v>1108363.0</v>
      </c>
      <c r="F281" s="3">
        <v>6383194.0</v>
      </c>
      <c r="J281" s="3" t="s">
        <v>283</v>
      </c>
      <c r="K281" s="3" t="s">
        <v>551</v>
      </c>
      <c r="L281" s="3">
        <v>0.097128</v>
      </c>
    </row>
    <row r="282">
      <c r="C282" s="3" t="s">
        <v>477</v>
      </c>
      <c r="D282" s="3">
        <v>512.0</v>
      </c>
      <c r="E282" s="3">
        <v>716816.0</v>
      </c>
      <c r="F282" s="3">
        <v>6373971.0</v>
      </c>
      <c r="J282" s="3" t="s">
        <v>283</v>
      </c>
      <c r="K282" s="3" t="s">
        <v>551</v>
      </c>
      <c r="L282" s="3">
        <v>0.092618</v>
      </c>
    </row>
    <row r="283">
      <c r="C283" s="3" t="s">
        <v>477</v>
      </c>
      <c r="D283" s="3">
        <v>1024.0</v>
      </c>
      <c r="E283" s="3">
        <v>520527.0</v>
      </c>
      <c r="F283" s="3">
        <v>6367709.0</v>
      </c>
      <c r="J283" s="3" t="s">
        <v>283</v>
      </c>
      <c r="K283" s="3" t="s">
        <v>551</v>
      </c>
      <c r="L283" s="3">
        <v>0.090771</v>
      </c>
    </row>
    <row r="284">
      <c r="C284" s="3" t="s">
        <v>477</v>
      </c>
      <c r="D284" s="3">
        <v>2048.0</v>
      </c>
      <c r="E284" s="3">
        <v>421883.0</v>
      </c>
      <c r="F284" s="3">
        <v>6352944.0</v>
      </c>
      <c r="J284" s="3" t="s">
        <v>283</v>
      </c>
      <c r="K284" s="3" t="s">
        <v>551</v>
      </c>
      <c r="L284" s="3">
        <v>0.08904</v>
      </c>
    </row>
    <row r="285">
      <c r="C285" s="3" t="s">
        <v>477</v>
      </c>
      <c r="D285" s="3">
        <v>4096.0</v>
      </c>
      <c r="E285" s="3">
        <v>372415.0</v>
      </c>
      <c r="F285" s="3">
        <v>6346344.0</v>
      </c>
      <c r="J285" s="3" t="s">
        <v>283</v>
      </c>
      <c r="K285" s="3" t="s">
        <v>551</v>
      </c>
      <c r="L285" s="3">
        <v>0.088178</v>
      </c>
    </row>
    <row r="286">
      <c r="C286" s="3" t="s">
        <v>477</v>
      </c>
      <c r="D286" s="3">
        <v>8192.0</v>
      </c>
      <c r="E286" s="3">
        <v>346928.0</v>
      </c>
      <c r="F286" s="3">
        <v>6340267.0</v>
      </c>
      <c r="J286" s="3" t="s">
        <v>283</v>
      </c>
      <c r="K286" s="3" t="s">
        <v>551</v>
      </c>
      <c r="L286" s="3">
        <v>0.087634</v>
      </c>
    </row>
    <row r="287">
      <c r="C287" s="3"/>
      <c r="D287" s="3"/>
      <c r="E287" s="3"/>
      <c r="F287" s="3"/>
      <c r="J287" s="3"/>
      <c r="K287" s="3"/>
      <c r="L287" s="3"/>
    </row>
    <row r="288">
      <c r="C288" s="3" t="s">
        <v>477</v>
      </c>
      <c r="D288" s="3">
        <v>1.0</v>
      </c>
      <c r="E288" s="3">
        <v>1.2958524E7</v>
      </c>
      <c r="F288" s="3">
        <v>6830254.0</v>
      </c>
      <c r="J288" s="3" t="s">
        <v>283</v>
      </c>
      <c r="K288" s="3" t="s">
        <v>551</v>
      </c>
      <c r="L288" s="3">
        <v>0.464904</v>
      </c>
    </row>
    <row r="289">
      <c r="C289" s="3" t="s">
        <v>477</v>
      </c>
      <c r="D289" s="3">
        <v>2.0</v>
      </c>
      <c r="E289" s="3">
        <v>1.2911402E7</v>
      </c>
      <c r="F289" s="3">
        <v>6759790.0</v>
      </c>
      <c r="J289" s="3" t="s">
        <v>283</v>
      </c>
      <c r="K289" s="3" t="s">
        <v>551</v>
      </c>
      <c r="L289" s="3">
        <v>0.279639</v>
      </c>
    </row>
    <row r="290">
      <c r="C290" s="3" t="s">
        <v>477</v>
      </c>
      <c r="D290" s="3">
        <v>4.0</v>
      </c>
      <c r="E290" s="3">
        <v>1.2884877E7</v>
      </c>
      <c r="F290" s="3">
        <v>6749853.0</v>
      </c>
      <c r="J290" s="3" t="s">
        <v>283</v>
      </c>
      <c r="K290" s="3" t="s">
        <v>551</v>
      </c>
      <c r="L290" s="3">
        <v>0.203093</v>
      </c>
    </row>
    <row r="291">
      <c r="C291" s="3" t="s">
        <v>477</v>
      </c>
      <c r="D291" s="3">
        <v>8.0</v>
      </c>
      <c r="E291" s="3">
        <v>1.2884546E7</v>
      </c>
      <c r="F291" s="3">
        <v>6749073.0</v>
      </c>
      <c r="J291" s="3" t="s">
        <v>283</v>
      </c>
      <c r="K291" s="3" t="s">
        <v>551</v>
      </c>
      <c r="L291" s="3">
        <v>0.189624</v>
      </c>
    </row>
    <row r="292">
      <c r="C292" s="3" t="s">
        <v>477</v>
      </c>
      <c r="D292" s="3">
        <v>16.0</v>
      </c>
      <c r="E292" s="3">
        <v>1.2884287E7</v>
      </c>
      <c r="F292" s="3">
        <v>6745903.0</v>
      </c>
      <c r="J292" s="3" t="s">
        <v>283</v>
      </c>
      <c r="K292" s="3" t="s">
        <v>551</v>
      </c>
      <c r="L292" s="3">
        <v>0.183821</v>
      </c>
    </row>
    <row r="293">
      <c r="C293" s="3" t="s">
        <v>477</v>
      </c>
      <c r="D293" s="3">
        <v>32.0</v>
      </c>
      <c r="E293" s="3">
        <v>1.2308741E7</v>
      </c>
      <c r="F293" s="3">
        <v>6684376.0</v>
      </c>
      <c r="J293" s="3" t="s">
        <v>283</v>
      </c>
      <c r="K293" s="3" t="s">
        <v>551</v>
      </c>
      <c r="L293" s="3">
        <v>0.16281</v>
      </c>
    </row>
    <row r="294">
      <c r="C294" s="3" t="s">
        <v>477</v>
      </c>
      <c r="D294" s="3">
        <v>64.0</v>
      </c>
      <c r="E294" s="3">
        <v>7729891.0</v>
      </c>
      <c r="F294" s="3">
        <v>6568246.0</v>
      </c>
      <c r="J294" s="3" t="s">
        <v>283</v>
      </c>
      <c r="K294" s="3" t="s">
        <v>551</v>
      </c>
      <c r="L294" s="3">
        <v>0.129346</v>
      </c>
    </row>
    <row r="295">
      <c r="C295" s="3" t="s">
        <v>477</v>
      </c>
      <c r="D295" s="3">
        <v>128.0</v>
      </c>
      <c r="E295" s="3">
        <v>1919708.0</v>
      </c>
      <c r="F295" s="3">
        <v>6403945.0</v>
      </c>
      <c r="J295" s="3" t="s">
        <v>283</v>
      </c>
      <c r="K295" s="3" t="s">
        <v>551</v>
      </c>
      <c r="L295" s="3">
        <v>0.10524</v>
      </c>
    </row>
    <row r="296">
      <c r="C296" s="3" t="s">
        <v>477</v>
      </c>
      <c r="D296" s="3">
        <v>256.0</v>
      </c>
      <c r="E296" s="3">
        <v>1135452.0</v>
      </c>
      <c r="F296" s="3">
        <v>6379134.0</v>
      </c>
      <c r="J296" s="3" t="s">
        <v>283</v>
      </c>
      <c r="K296" s="3" t="s">
        <v>551</v>
      </c>
      <c r="L296" s="3">
        <v>0.096552</v>
      </c>
    </row>
    <row r="297">
      <c r="C297" s="3" t="s">
        <v>477</v>
      </c>
      <c r="D297" s="3">
        <v>512.0</v>
      </c>
      <c r="E297" s="3">
        <v>742916.0</v>
      </c>
      <c r="F297" s="3">
        <v>6361735.0</v>
      </c>
      <c r="J297" s="3" t="s">
        <v>283</v>
      </c>
      <c r="K297" s="3" t="s">
        <v>551</v>
      </c>
      <c r="L297" s="3">
        <v>0.092094</v>
      </c>
    </row>
    <row r="298">
      <c r="C298" s="3" t="s">
        <v>477</v>
      </c>
      <c r="D298" s="3">
        <v>1024.0</v>
      </c>
      <c r="E298" s="3">
        <v>547175.0</v>
      </c>
      <c r="F298" s="3">
        <v>6363951.0</v>
      </c>
      <c r="J298" s="3" t="s">
        <v>283</v>
      </c>
      <c r="K298" s="3" t="s">
        <v>551</v>
      </c>
      <c r="L298" s="3">
        <v>0.09014</v>
      </c>
    </row>
    <row r="299">
      <c r="C299" s="3" t="s">
        <v>477</v>
      </c>
      <c r="D299" s="3">
        <v>2048.0</v>
      </c>
      <c r="E299" s="3">
        <v>447845.0</v>
      </c>
      <c r="F299" s="3">
        <v>6348284.0</v>
      </c>
      <c r="J299" s="3" t="s">
        <v>283</v>
      </c>
      <c r="K299" s="3" t="s">
        <v>551</v>
      </c>
      <c r="L299" s="3">
        <v>0.088546</v>
      </c>
    </row>
    <row r="300">
      <c r="C300" s="3" t="s">
        <v>477</v>
      </c>
      <c r="D300" s="3">
        <v>4096.0</v>
      </c>
      <c r="E300" s="3">
        <v>398750.0</v>
      </c>
      <c r="F300" s="3">
        <v>6340799.0</v>
      </c>
      <c r="J300" s="3" t="s">
        <v>283</v>
      </c>
      <c r="K300" s="3" t="s">
        <v>551</v>
      </c>
      <c r="L300" s="3">
        <v>0.087593</v>
      </c>
    </row>
    <row r="301">
      <c r="C301" s="3" t="s">
        <v>477</v>
      </c>
      <c r="D301" s="3">
        <v>8192.0</v>
      </c>
      <c r="E301" s="3">
        <v>373452.0</v>
      </c>
      <c r="F301" s="3">
        <v>6337827.0</v>
      </c>
      <c r="J301" s="3" t="s">
        <v>283</v>
      </c>
      <c r="K301" s="3" t="s">
        <v>551</v>
      </c>
      <c r="L301" s="3">
        <v>0.087122</v>
      </c>
    </row>
    <row r="305">
      <c r="A305" s="3" t="s">
        <v>633</v>
      </c>
    </row>
    <row r="307">
      <c r="A307" s="3" t="s">
        <v>637</v>
      </c>
    </row>
    <row r="308">
      <c r="C308" s="3" t="s">
        <v>477</v>
      </c>
      <c r="D308" s="3">
        <v>1.0</v>
      </c>
      <c r="E308" s="3">
        <v>1.3171615E7</v>
      </c>
      <c r="F308" s="3">
        <v>7151216.0</v>
      </c>
      <c r="J308" s="3" t="s">
        <v>283</v>
      </c>
      <c r="K308" s="3" t="s">
        <v>551</v>
      </c>
      <c r="L308" s="3">
        <v>0.145365</v>
      </c>
    </row>
    <row r="309">
      <c r="C309" s="3" t="s">
        <v>477</v>
      </c>
      <c r="D309" s="3">
        <v>2.0</v>
      </c>
      <c r="E309" s="3">
        <v>1.8823643E7</v>
      </c>
      <c r="F309" s="3">
        <v>6608016.0</v>
      </c>
      <c r="J309" s="3" t="s">
        <v>283</v>
      </c>
      <c r="K309" s="3" t="s">
        <v>551</v>
      </c>
      <c r="L309" s="3">
        <v>0.270998</v>
      </c>
    </row>
    <row r="310">
      <c r="C310" s="3" t="s">
        <v>477</v>
      </c>
      <c r="D310" s="3">
        <v>4.0</v>
      </c>
      <c r="E310" s="3">
        <v>1.880189E7</v>
      </c>
      <c r="F310" s="3">
        <v>6587184.0</v>
      </c>
      <c r="J310" s="3" t="s">
        <v>283</v>
      </c>
      <c r="K310" s="3" t="s">
        <v>551</v>
      </c>
      <c r="L310" s="3">
        <v>0.18827</v>
      </c>
    </row>
    <row r="311">
      <c r="C311" s="3" t="s">
        <v>477</v>
      </c>
      <c r="D311" s="3">
        <v>8.0</v>
      </c>
      <c r="E311" s="3">
        <v>1.8801483E7</v>
      </c>
      <c r="F311" s="3">
        <v>6584156.0</v>
      </c>
      <c r="J311" s="3" t="s">
        <v>283</v>
      </c>
      <c r="K311" s="3" t="s">
        <v>551</v>
      </c>
      <c r="L311" s="3">
        <v>0.186427</v>
      </c>
    </row>
    <row r="312">
      <c r="C312" s="3" t="s">
        <v>477</v>
      </c>
      <c r="D312" s="3">
        <v>16.0</v>
      </c>
      <c r="E312" s="3">
        <v>1.8800558E7</v>
      </c>
      <c r="F312" s="3">
        <v>6586975.0</v>
      </c>
      <c r="J312" s="3" t="s">
        <v>283</v>
      </c>
      <c r="K312" s="3" t="s">
        <v>551</v>
      </c>
      <c r="L312" s="3">
        <v>0.188156</v>
      </c>
    </row>
    <row r="313">
      <c r="C313" s="3" t="s">
        <v>477</v>
      </c>
      <c r="D313" s="3">
        <v>32.0</v>
      </c>
      <c r="E313" s="3">
        <v>9415883.0</v>
      </c>
      <c r="F313" s="3">
        <v>3296237.0</v>
      </c>
      <c r="J313" s="3" t="s">
        <v>283</v>
      </c>
      <c r="K313" s="3" t="s">
        <v>551</v>
      </c>
      <c r="L313" s="3">
        <v>0.088103</v>
      </c>
    </row>
    <row r="314">
      <c r="C314" s="3" t="s">
        <v>477</v>
      </c>
      <c r="D314" s="3">
        <v>64.0</v>
      </c>
      <c r="E314" s="3">
        <v>4698887.0</v>
      </c>
      <c r="F314" s="3">
        <v>1644959.0</v>
      </c>
      <c r="J314" s="3" t="s">
        <v>283</v>
      </c>
      <c r="K314" s="3" t="s">
        <v>551</v>
      </c>
      <c r="L314" s="3">
        <v>0.042319</v>
      </c>
    </row>
    <row r="315">
      <c r="C315" s="3" t="s">
        <v>477</v>
      </c>
      <c r="D315" s="3">
        <v>128.0</v>
      </c>
      <c r="E315" s="3">
        <v>2349495.0</v>
      </c>
      <c r="F315" s="3">
        <v>822515.0</v>
      </c>
      <c r="J315" s="3" t="s">
        <v>283</v>
      </c>
      <c r="K315" s="3" t="s">
        <v>551</v>
      </c>
      <c r="L315" s="3">
        <v>0.021244</v>
      </c>
    </row>
    <row r="316">
      <c r="C316" s="3" t="s">
        <v>477</v>
      </c>
      <c r="D316" s="3">
        <v>256.0</v>
      </c>
      <c r="E316" s="3">
        <v>1175287.0</v>
      </c>
      <c r="F316" s="3">
        <v>411790.0</v>
      </c>
      <c r="J316" s="3" t="s">
        <v>283</v>
      </c>
      <c r="K316" s="3" t="s">
        <v>551</v>
      </c>
      <c r="L316" s="3">
        <v>0.011022</v>
      </c>
    </row>
    <row r="317">
      <c r="C317" s="3" t="s">
        <v>477</v>
      </c>
      <c r="D317" s="3">
        <v>512.0</v>
      </c>
      <c r="E317" s="3">
        <v>587742.0</v>
      </c>
      <c r="F317" s="3">
        <v>205808.0</v>
      </c>
      <c r="J317" s="3" t="s">
        <v>283</v>
      </c>
      <c r="K317" s="3" t="s">
        <v>551</v>
      </c>
      <c r="L317" s="3">
        <v>0.005772</v>
      </c>
    </row>
    <row r="318">
      <c r="C318" s="3" t="s">
        <v>477</v>
      </c>
      <c r="D318" s="3">
        <v>1024.0</v>
      </c>
      <c r="E318" s="3">
        <v>294012.0</v>
      </c>
      <c r="F318" s="3">
        <v>103543.0</v>
      </c>
      <c r="J318" s="3" t="s">
        <v>283</v>
      </c>
      <c r="K318" s="3" t="s">
        <v>551</v>
      </c>
      <c r="L318" s="3">
        <v>0.003193</v>
      </c>
    </row>
    <row r="319">
      <c r="C319" s="3" t="s">
        <v>477</v>
      </c>
      <c r="D319" s="3">
        <v>2048.0</v>
      </c>
      <c r="E319" s="3">
        <v>147303.0</v>
      </c>
      <c r="F319" s="3">
        <v>56143.0</v>
      </c>
      <c r="J319" s="3" t="s">
        <v>283</v>
      </c>
      <c r="K319" s="3" t="s">
        <v>551</v>
      </c>
      <c r="L319" s="3">
        <v>0.00171</v>
      </c>
    </row>
    <row r="320">
      <c r="C320" s="3" t="s">
        <v>477</v>
      </c>
      <c r="D320" s="3">
        <v>4096.0</v>
      </c>
      <c r="E320" s="3">
        <v>73686.0</v>
      </c>
      <c r="F320" s="3">
        <v>29479.0</v>
      </c>
      <c r="J320" s="3" t="s">
        <v>283</v>
      </c>
      <c r="K320" s="3" t="s">
        <v>551</v>
      </c>
      <c r="L320" s="3">
        <v>8.64E-4</v>
      </c>
    </row>
    <row r="321">
      <c r="C321" s="3" t="s">
        <v>477</v>
      </c>
      <c r="D321" s="3">
        <v>8192.0</v>
      </c>
      <c r="E321" s="3">
        <v>36900.0</v>
      </c>
      <c r="F321" s="3">
        <v>14986.0</v>
      </c>
      <c r="J321" s="3" t="s">
        <v>283</v>
      </c>
      <c r="K321" s="3" t="s">
        <v>551</v>
      </c>
      <c r="L321" s="3">
        <v>4.58E-4</v>
      </c>
    </row>
    <row r="322">
      <c r="C322" s="3"/>
      <c r="D322" s="3"/>
      <c r="E322" s="3"/>
      <c r="F322" s="3"/>
      <c r="J322" s="3"/>
      <c r="K322" s="3"/>
      <c r="L322" s="3"/>
    </row>
    <row r="323">
      <c r="C323" s="3" t="s">
        <v>477</v>
      </c>
      <c r="D323" s="3">
        <v>1.0</v>
      </c>
      <c r="E323" s="3">
        <v>1.3034997E7</v>
      </c>
      <c r="F323" s="3">
        <v>7047888.0</v>
      </c>
      <c r="J323" s="3" t="s">
        <v>283</v>
      </c>
      <c r="K323" s="3" t="s">
        <v>551</v>
      </c>
      <c r="L323" s="3">
        <v>0.080829</v>
      </c>
    </row>
    <row r="324">
      <c r="C324" s="3" t="s">
        <v>477</v>
      </c>
      <c r="D324" s="3">
        <v>2.0</v>
      </c>
      <c r="E324" s="3">
        <v>1.8783655E7</v>
      </c>
      <c r="F324" s="3">
        <v>6565583.0</v>
      </c>
      <c r="J324" s="3" t="s">
        <v>283</v>
      </c>
      <c r="K324" s="3" t="s">
        <v>551</v>
      </c>
      <c r="L324" s="3">
        <v>0.120992</v>
      </c>
    </row>
    <row r="325">
      <c r="C325" s="3" t="s">
        <v>477</v>
      </c>
      <c r="D325" s="3">
        <v>4.0</v>
      </c>
      <c r="E325" s="3">
        <v>1.8781854E7</v>
      </c>
      <c r="F325" s="3">
        <v>6567850.0</v>
      </c>
      <c r="J325" s="3" t="s">
        <v>283</v>
      </c>
      <c r="K325" s="3" t="s">
        <v>551</v>
      </c>
      <c r="L325" s="3">
        <v>0.112919</v>
      </c>
    </row>
    <row r="326">
      <c r="C326" s="3" t="s">
        <v>477</v>
      </c>
      <c r="D326" s="3">
        <v>8.0</v>
      </c>
      <c r="E326" s="3">
        <v>1.8786175E7</v>
      </c>
      <c r="F326" s="3">
        <v>6569906.0</v>
      </c>
      <c r="J326" s="3" t="s">
        <v>283</v>
      </c>
      <c r="K326" s="3" t="s">
        <v>551</v>
      </c>
      <c r="L326" s="3">
        <v>0.111984</v>
      </c>
    </row>
    <row r="327">
      <c r="C327" s="3" t="s">
        <v>477</v>
      </c>
      <c r="D327" s="3">
        <v>16.0</v>
      </c>
      <c r="E327" s="3">
        <v>1.8781364E7</v>
      </c>
      <c r="F327" s="3">
        <v>6561416.0</v>
      </c>
      <c r="J327" s="3" t="s">
        <v>283</v>
      </c>
      <c r="K327" s="3" t="s">
        <v>551</v>
      </c>
      <c r="L327" s="3">
        <v>0.111458</v>
      </c>
    </row>
    <row r="328">
      <c r="C328" s="3" t="s">
        <v>477</v>
      </c>
      <c r="D328" s="3">
        <v>32.0</v>
      </c>
      <c r="E328" s="3">
        <v>1.5744815E7</v>
      </c>
      <c r="F328" s="3">
        <v>3567276.0</v>
      </c>
      <c r="J328" s="3" t="s">
        <v>283</v>
      </c>
      <c r="K328" s="3" t="s">
        <v>551</v>
      </c>
      <c r="L328" s="3">
        <v>0.081306</v>
      </c>
    </row>
    <row r="329">
      <c r="C329" s="3" t="s">
        <v>477</v>
      </c>
      <c r="D329" s="3">
        <v>64.0</v>
      </c>
      <c r="E329" s="3">
        <v>9793591.0</v>
      </c>
      <c r="F329" s="3">
        <v>2067673.0</v>
      </c>
      <c r="J329" s="3" t="s">
        <v>283</v>
      </c>
      <c r="K329" s="3" t="s">
        <v>551</v>
      </c>
      <c r="L329" s="3">
        <v>0.046389</v>
      </c>
    </row>
    <row r="330">
      <c r="C330" s="3" t="s">
        <v>477</v>
      </c>
      <c r="D330" s="3">
        <v>128.0</v>
      </c>
      <c r="E330" s="3">
        <v>2350270.0</v>
      </c>
      <c r="F330" s="3">
        <v>813498.0</v>
      </c>
      <c r="J330" s="3" t="s">
        <v>283</v>
      </c>
      <c r="K330" s="3" t="s">
        <v>551</v>
      </c>
      <c r="L330" s="3">
        <v>0.021234</v>
      </c>
    </row>
    <row r="331">
      <c r="C331" s="3" t="s">
        <v>477</v>
      </c>
      <c r="D331" s="3">
        <v>256.0</v>
      </c>
      <c r="E331" s="3">
        <v>1175087.0</v>
      </c>
      <c r="F331" s="3">
        <v>403447.0</v>
      </c>
      <c r="J331" s="3" t="s">
        <v>283</v>
      </c>
      <c r="K331" s="3" t="s">
        <v>551</v>
      </c>
      <c r="L331" s="3">
        <v>0.010644</v>
      </c>
    </row>
    <row r="332">
      <c r="C332" s="3" t="s">
        <v>477</v>
      </c>
      <c r="D332" s="3">
        <v>512.0</v>
      </c>
      <c r="E332" s="3">
        <v>587693.0</v>
      </c>
      <c r="F332" s="3">
        <v>198237.0</v>
      </c>
      <c r="J332" s="3" t="s">
        <v>283</v>
      </c>
      <c r="K332" s="3" t="s">
        <v>551</v>
      </c>
      <c r="L332" s="3">
        <v>0.005538</v>
      </c>
    </row>
    <row r="333">
      <c r="C333" s="3" t="s">
        <v>477</v>
      </c>
      <c r="D333" s="3">
        <v>1024.0</v>
      </c>
      <c r="E333" s="3">
        <v>294099.0</v>
      </c>
      <c r="F333" s="3">
        <v>96345.0</v>
      </c>
      <c r="J333" s="3" t="s">
        <v>283</v>
      </c>
      <c r="K333" s="3" t="s">
        <v>551</v>
      </c>
      <c r="L333" s="3">
        <v>0.003062</v>
      </c>
    </row>
    <row r="334">
      <c r="C334" s="3" t="s">
        <v>477</v>
      </c>
      <c r="D334" s="3">
        <v>2048.0</v>
      </c>
      <c r="E334" s="3">
        <v>147172.0</v>
      </c>
      <c r="F334" s="3">
        <v>48693.0</v>
      </c>
      <c r="J334" s="3" t="s">
        <v>283</v>
      </c>
      <c r="K334" s="3" t="s">
        <v>551</v>
      </c>
      <c r="L334" s="3">
        <v>0.001596</v>
      </c>
    </row>
    <row r="335">
      <c r="C335" s="3" t="s">
        <v>477</v>
      </c>
      <c r="D335" s="3">
        <v>4096.0</v>
      </c>
      <c r="E335" s="3">
        <v>73735.0</v>
      </c>
      <c r="F335" s="3">
        <v>24073.0</v>
      </c>
      <c r="J335" s="3" t="s">
        <v>283</v>
      </c>
      <c r="K335" s="3" t="s">
        <v>551</v>
      </c>
      <c r="L335" s="3">
        <v>8.14E-4</v>
      </c>
    </row>
    <row r="336">
      <c r="C336" s="3" t="s">
        <v>477</v>
      </c>
      <c r="D336" s="3">
        <v>8192.0</v>
      </c>
      <c r="E336" s="3">
        <v>36984.0</v>
      </c>
      <c r="F336" s="3">
        <v>12268.0</v>
      </c>
      <c r="J336" s="3" t="s">
        <v>283</v>
      </c>
      <c r="K336" s="3" t="s">
        <v>551</v>
      </c>
      <c r="L336" s="3">
        <v>4.41E-4</v>
      </c>
    </row>
    <row r="338">
      <c r="A338" s="3" t="s">
        <v>636</v>
      </c>
    </row>
    <row r="340">
      <c r="C340" s="3" t="s">
        <v>477</v>
      </c>
      <c r="D340" s="3">
        <v>1.0</v>
      </c>
      <c r="E340" s="3">
        <v>1.8980594E7</v>
      </c>
      <c r="F340" s="3">
        <v>6778596.0</v>
      </c>
      <c r="J340" s="3" t="s">
        <v>283</v>
      </c>
      <c r="K340" s="3" t="s">
        <v>551</v>
      </c>
      <c r="L340" s="3">
        <v>0.878422</v>
      </c>
    </row>
    <row r="341">
      <c r="C341" s="3" t="s">
        <v>477</v>
      </c>
      <c r="D341" s="3">
        <v>2.0</v>
      </c>
      <c r="E341" s="3">
        <v>1.8929694E7</v>
      </c>
      <c r="F341" s="3">
        <v>6725424.0</v>
      </c>
      <c r="J341" s="3" t="s">
        <v>283</v>
      </c>
      <c r="K341" s="3" t="s">
        <v>551</v>
      </c>
      <c r="L341" s="3">
        <v>0.683566</v>
      </c>
    </row>
    <row r="342">
      <c r="C342" s="3" t="s">
        <v>477</v>
      </c>
      <c r="D342" s="3">
        <v>4.0</v>
      </c>
      <c r="E342" s="3">
        <v>1.8914146E7</v>
      </c>
      <c r="F342" s="3">
        <v>6719309.0</v>
      </c>
      <c r="J342" s="3" t="s">
        <v>283</v>
      </c>
      <c r="K342" s="3" t="s">
        <v>551</v>
      </c>
      <c r="L342" s="3">
        <v>0.625547</v>
      </c>
    </row>
    <row r="343">
      <c r="C343" s="3" t="s">
        <v>477</v>
      </c>
      <c r="D343" s="3">
        <v>8.0</v>
      </c>
      <c r="E343" s="3">
        <v>1.8911914E7</v>
      </c>
      <c r="F343" s="3">
        <v>6714408.0</v>
      </c>
      <c r="J343" s="3" t="s">
        <v>283</v>
      </c>
      <c r="K343" s="3" t="s">
        <v>551</v>
      </c>
      <c r="L343" s="3">
        <v>0.617457</v>
      </c>
    </row>
    <row r="344">
      <c r="C344" s="3" t="s">
        <v>477</v>
      </c>
      <c r="D344" s="3">
        <v>16.0</v>
      </c>
      <c r="E344" s="3">
        <v>1.891105E7</v>
      </c>
      <c r="F344" s="3">
        <v>6714504.0</v>
      </c>
      <c r="J344" s="3" t="s">
        <v>283</v>
      </c>
      <c r="K344" s="3" t="s">
        <v>551</v>
      </c>
      <c r="L344" s="3">
        <v>0.615268</v>
      </c>
    </row>
    <row r="345">
      <c r="C345" s="3" t="s">
        <v>477</v>
      </c>
      <c r="D345" s="3">
        <v>32.0</v>
      </c>
      <c r="E345" s="3">
        <v>9456742.0</v>
      </c>
      <c r="F345" s="3">
        <v>3361001.0</v>
      </c>
      <c r="J345" s="3" t="s">
        <v>283</v>
      </c>
      <c r="K345" s="3" t="s">
        <v>551</v>
      </c>
      <c r="L345" s="3">
        <v>0.307805</v>
      </c>
    </row>
    <row r="346">
      <c r="C346" s="3" t="s">
        <v>477</v>
      </c>
      <c r="D346" s="3">
        <v>64.0</v>
      </c>
      <c r="E346" s="3">
        <v>4721282.0</v>
      </c>
      <c r="F346" s="3">
        <v>1696748.0</v>
      </c>
      <c r="J346" s="3" t="s">
        <v>283</v>
      </c>
      <c r="K346" s="3" t="s">
        <v>551</v>
      </c>
      <c r="L346" s="3">
        <v>0.130373</v>
      </c>
    </row>
    <row r="347">
      <c r="C347" s="3" t="s">
        <v>477</v>
      </c>
      <c r="D347" s="3">
        <v>128.0</v>
      </c>
      <c r="E347" s="3">
        <v>2360533.0</v>
      </c>
      <c r="F347" s="3">
        <v>848647.0</v>
      </c>
      <c r="J347" s="3" t="s">
        <v>283</v>
      </c>
      <c r="K347" s="3" t="s">
        <v>551</v>
      </c>
      <c r="L347" s="3">
        <v>0.065007</v>
      </c>
    </row>
    <row r="348">
      <c r="C348" s="3" t="s">
        <v>477</v>
      </c>
      <c r="D348" s="3">
        <v>256.0</v>
      </c>
      <c r="E348" s="3">
        <v>1181788.0</v>
      </c>
      <c r="F348" s="3">
        <v>426145.0</v>
      </c>
      <c r="J348" s="3" t="s">
        <v>283</v>
      </c>
      <c r="K348" s="3" t="s">
        <v>551</v>
      </c>
      <c r="L348" s="3">
        <v>0.033675</v>
      </c>
    </row>
    <row r="349">
      <c r="C349" s="3" t="s">
        <v>477</v>
      </c>
      <c r="D349" s="3">
        <v>512.0</v>
      </c>
      <c r="E349" s="3">
        <v>590906.0</v>
      </c>
      <c r="F349" s="3">
        <v>212855.0</v>
      </c>
      <c r="J349" s="3" t="s">
        <v>283</v>
      </c>
      <c r="K349" s="3" t="s">
        <v>551</v>
      </c>
      <c r="L349" s="3">
        <v>0.01753</v>
      </c>
    </row>
    <row r="350">
      <c r="C350" s="3" t="s">
        <v>477</v>
      </c>
      <c r="D350" s="3">
        <v>1024.0</v>
      </c>
      <c r="E350" s="3">
        <v>295849.0</v>
      </c>
      <c r="F350" s="3">
        <v>107228.0</v>
      </c>
      <c r="J350" s="3" t="s">
        <v>283</v>
      </c>
      <c r="K350" s="3" t="s">
        <v>551</v>
      </c>
      <c r="L350" s="3">
        <v>0.008986</v>
      </c>
    </row>
    <row r="351">
      <c r="C351" s="3" t="s">
        <v>477</v>
      </c>
      <c r="D351" s="3">
        <v>2048.0</v>
      </c>
      <c r="E351" s="3">
        <v>148060.0</v>
      </c>
      <c r="F351" s="3">
        <v>57714.0</v>
      </c>
      <c r="J351" s="3" t="s">
        <v>283</v>
      </c>
      <c r="K351" s="3" t="s">
        <v>551</v>
      </c>
      <c r="L351" s="3">
        <v>0.004498</v>
      </c>
    </row>
    <row r="352">
      <c r="C352" s="3" t="s">
        <v>477</v>
      </c>
      <c r="D352" s="3">
        <v>4096.0</v>
      </c>
      <c r="E352" s="3">
        <v>74193.0</v>
      </c>
      <c r="F352" s="3">
        <v>30513.0</v>
      </c>
      <c r="J352" s="3" t="s">
        <v>283</v>
      </c>
      <c r="K352" s="3" t="s">
        <v>551</v>
      </c>
      <c r="L352" s="3">
        <v>0.002455</v>
      </c>
    </row>
    <row r="353">
      <c r="C353" s="3" t="s">
        <v>477</v>
      </c>
      <c r="D353" s="3">
        <v>8192.0</v>
      </c>
      <c r="E353" s="3">
        <v>37299.0</v>
      </c>
      <c r="F353" s="3">
        <v>15677.0</v>
      </c>
      <c r="J353" s="3" t="s">
        <v>283</v>
      </c>
      <c r="K353" s="3" t="s">
        <v>551</v>
      </c>
      <c r="L353" s="3">
        <v>0.001332</v>
      </c>
    </row>
    <row r="354">
      <c r="C354" s="3"/>
      <c r="D354" s="3"/>
      <c r="E354" s="3"/>
      <c r="F354" s="3"/>
      <c r="J354" s="3"/>
      <c r="K354" s="3"/>
      <c r="L354" s="3"/>
    </row>
    <row r="355">
      <c r="C355" s="3" t="s">
        <v>477</v>
      </c>
      <c r="D355" s="3">
        <v>1.0</v>
      </c>
      <c r="E355" s="3">
        <v>1.8854869E7</v>
      </c>
      <c r="F355" s="3">
        <v>6686666.0</v>
      </c>
      <c r="J355" s="3" t="s">
        <v>283</v>
      </c>
      <c r="K355" s="3" t="s">
        <v>551</v>
      </c>
      <c r="L355" s="3">
        <v>0.385135</v>
      </c>
    </row>
    <row r="356">
      <c r="C356" s="3" t="s">
        <v>477</v>
      </c>
      <c r="D356" s="3">
        <v>2.0</v>
      </c>
      <c r="E356" s="3">
        <v>1.8803946E7</v>
      </c>
      <c r="F356" s="3">
        <v>6632917.0</v>
      </c>
      <c r="J356" s="3" t="s">
        <v>283</v>
      </c>
      <c r="K356" s="3" t="s">
        <v>551</v>
      </c>
      <c r="L356" s="3">
        <v>0.199022</v>
      </c>
    </row>
    <row r="357">
      <c r="C357" s="3" t="s">
        <v>477</v>
      </c>
      <c r="D357" s="3">
        <v>4.0</v>
      </c>
      <c r="E357" s="3">
        <v>1.8787827E7</v>
      </c>
      <c r="F357" s="3">
        <v>6623699.0</v>
      </c>
      <c r="J357" s="3" t="s">
        <v>283</v>
      </c>
      <c r="K357" s="3" t="s">
        <v>551</v>
      </c>
      <c r="L357" s="3">
        <v>0.132365</v>
      </c>
    </row>
    <row r="358">
      <c r="C358" s="3" t="s">
        <v>477</v>
      </c>
      <c r="D358" s="3">
        <v>8.0</v>
      </c>
      <c r="E358" s="3">
        <v>1.8814208E7</v>
      </c>
      <c r="F358" s="3">
        <v>6622967.0</v>
      </c>
      <c r="J358" s="3" t="s">
        <v>283</v>
      </c>
      <c r="K358" s="3" t="s">
        <v>551</v>
      </c>
      <c r="L358" s="3">
        <v>0.122895</v>
      </c>
    </row>
    <row r="359">
      <c r="C359" s="3" t="s">
        <v>477</v>
      </c>
      <c r="D359" s="3">
        <v>16.0</v>
      </c>
      <c r="E359" s="3">
        <v>1.8787556E7</v>
      </c>
      <c r="F359" s="3">
        <v>6625129.0</v>
      </c>
      <c r="J359" s="3" t="s">
        <v>283</v>
      </c>
      <c r="K359" s="3" t="s">
        <v>551</v>
      </c>
      <c r="L359" s="3">
        <v>0.116685</v>
      </c>
    </row>
    <row r="360">
      <c r="C360" s="3" t="s">
        <v>477</v>
      </c>
      <c r="D360" s="3">
        <v>32.0</v>
      </c>
      <c r="E360" s="3">
        <v>1.8682574E7</v>
      </c>
      <c r="F360" s="3">
        <v>3622087.0</v>
      </c>
      <c r="J360" s="3" t="s">
        <v>283</v>
      </c>
      <c r="K360" s="3" t="s">
        <v>551</v>
      </c>
      <c r="L360" s="3">
        <v>0.108483</v>
      </c>
    </row>
    <row r="361">
      <c r="C361" s="3" t="s">
        <v>477</v>
      </c>
      <c r="D361" s="3">
        <v>64.0</v>
      </c>
      <c r="E361" s="3">
        <v>1.4382377E7</v>
      </c>
      <c r="F361" s="3">
        <v>2026059.0</v>
      </c>
      <c r="J361" s="3" t="s">
        <v>283</v>
      </c>
      <c r="K361" s="3" t="s">
        <v>551</v>
      </c>
      <c r="L361" s="3">
        <v>0.126865</v>
      </c>
    </row>
    <row r="362">
      <c r="C362" s="3" t="s">
        <v>477</v>
      </c>
      <c r="D362" s="3">
        <v>128.0</v>
      </c>
      <c r="E362" s="3">
        <v>2361107.0</v>
      </c>
      <c r="F362" s="3">
        <v>836563.0</v>
      </c>
      <c r="J362" s="3" t="s">
        <v>283</v>
      </c>
      <c r="K362" s="3" t="s">
        <v>551</v>
      </c>
      <c r="L362" s="3">
        <v>0.064772</v>
      </c>
    </row>
    <row r="363">
      <c r="C363" s="3" t="s">
        <v>477</v>
      </c>
      <c r="D363" s="3">
        <v>256.0</v>
      </c>
      <c r="E363" s="3">
        <v>1180860.0</v>
      </c>
      <c r="F363" s="3">
        <v>418664.0</v>
      </c>
      <c r="J363" s="3" t="s">
        <v>283</v>
      </c>
      <c r="K363" s="3" t="s">
        <v>551</v>
      </c>
      <c r="L363" s="3">
        <v>0.033186</v>
      </c>
    </row>
    <row r="364">
      <c r="C364" s="3" t="s">
        <v>477</v>
      </c>
      <c r="D364" s="3">
        <v>512.0</v>
      </c>
      <c r="E364" s="3">
        <v>590941.0</v>
      </c>
      <c r="F364" s="3">
        <v>209921.0</v>
      </c>
      <c r="J364" s="3" t="s">
        <v>283</v>
      </c>
      <c r="K364" s="3" t="s">
        <v>551</v>
      </c>
      <c r="L364" s="3">
        <v>0.017568</v>
      </c>
    </row>
    <row r="365">
      <c r="C365" s="3" t="s">
        <v>477</v>
      </c>
      <c r="D365" s="3">
        <v>1024.0</v>
      </c>
      <c r="E365" s="3">
        <v>295679.0</v>
      </c>
      <c r="F365" s="3">
        <v>106053.0</v>
      </c>
      <c r="J365" s="3" t="s">
        <v>283</v>
      </c>
      <c r="K365" s="3" t="s">
        <v>551</v>
      </c>
      <c r="L365" s="3">
        <v>0.008922</v>
      </c>
    </row>
    <row r="366">
      <c r="C366" s="3" t="s">
        <v>477</v>
      </c>
      <c r="D366" s="3">
        <v>2048.0</v>
      </c>
      <c r="E366" s="3">
        <v>148022.0</v>
      </c>
      <c r="F366" s="3">
        <v>57714.0</v>
      </c>
      <c r="J366" s="3" t="s">
        <v>283</v>
      </c>
      <c r="K366" s="3" t="s">
        <v>551</v>
      </c>
      <c r="L366" s="3">
        <v>0.004482</v>
      </c>
    </row>
    <row r="367">
      <c r="C367" s="3" t="s">
        <v>477</v>
      </c>
      <c r="D367" s="3">
        <v>4096.0</v>
      </c>
      <c r="E367" s="3">
        <v>75961.0</v>
      </c>
      <c r="F367" s="3">
        <v>31154.0</v>
      </c>
      <c r="J367" s="3" t="s">
        <v>283</v>
      </c>
      <c r="K367" s="3" t="s">
        <v>551</v>
      </c>
      <c r="L367" s="3">
        <v>0.002415</v>
      </c>
    </row>
    <row r="368">
      <c r="C368" s="3" t="s">
        <v>477</v>
      </c>
      <c r="D368" s="3">
        <v>8192.0</v>
      </c>
      <c r="E368" s="3">
        <v>37283.0</v>
      </c>
      <c r="F368" s="3">
        <v>15619.0</v>
      </c>
      <c r="J368" s="3" t="s">
        <v>283</v>
      </c>
      <c r="K368" s="3" t="s">
        <v>551</v>
      </c>
      <c r="L368" s="3">
        <v>0.001336</v>
      </c>
    </row>
    <row r="371">
      <c r="A371" s="3" t="s">
        <v>638</v>
      </c>
    </row>
    <row r="373">
      <c r="B373" s="3" t="s">
        <v>639</v>
      </c>
    </row>
    <row r="375">
      <c r="J375" s="3" t="s">
        <v>548</v>
      </c>
      <c r="K375" s="3" t="s">
        <v>640</v>
      </c>
    </row>
    <row r="376">
      <c r="J376" s="3">
        <v>0.183776</v>
      </c>
      <c r="K376" s="3">
        <v>0.464904</v>
      </c>
    </row>
    <row r="377">
      <c r="C377" s="3" t="s">
        <v>463</v>
      </c>
      <c r="D377" s="3">
        <v>1.0</v>
      </c>
      <c r="E377" s="3">
        <v>1.9033124E7</v>
      </c>
      <c r="F377" s="3">
        <v>6990550.0</v>
      </c>
      <c r="J377" s="3">
        <v>0.192196</v>
      </c>
      <c r="K377" s="3">
        <v>0.279639</v>
      </c>
    </row>
    <row r="378">
      <c r="C378" s="3" t="s">
        <v>463</v>
      </c>
      <c r="D378" s="3">
        <v>2.0</v>
      </c>
      <c r="E378" s="3">
        <v>1.8950581E7</v>
      </c>
      <c r="F378" s="3">
        <v>6924773.0</v>
      </c>
      <c r="J378" s="3">
        <v>0.1912</v>
      </c>
      <c r="K378" s="3">
        <v>0.203093</v>
      </c>
    </row>
    <row r="379">
      <c r="C379" s="3" t="s">
        <v>463</v>
      </c>
      <c r="D379" s="3">
        <v>4.0</v>
      </c>
      <c r="E379" s="3">
        <v>1.8923609E7</v>
      </c>
      <c r="F379" s="3">
        <v>6900246.0</v>
      </c>
      <c r="J379" s="3">
        <v>0.188701</v>
      </c>
      <c r="K379" s="3">
        <v>0.189624</v>
      </c>
    </row>
    <row r="380">
      <c r="C380" s="3" t="s">
        <v>463</v>
      </c>
      <c r="D380" s="3">
        <v>8.0</v>
      </c>
      <c r="E380" s="3">
        <v>1.8918862E7</v>
      </c>
      <c r="F380" s="3">
        <v>6893445.0</v>
      </c>
      <c r="J380" s="3">
        <v>0.188703</v>
      </c>
      <c r="K380" s="3">
        <v>0.183821</v>
      </c>
    </row>
    <row r="381">
      <c r="C381" s="3" t="s">
        <v>463</v>
      </c>
      <c r="D381" s="3">
        <v>16.0</v>
      </c>
      <c r="E381" s="3">
        <v>1.8927741E7</v>
      </c>
      <c r="F381" s="3">
        <v>6894275.0</v>
      </c>
      <c r="J381" s="3">
        <v>0.155972</v>
      </c>
      <c r="K381" s="3">
        <v>0.16281</v>
      </c>
    </row>
    <row r="382">
      <c r="C382" s="3" t="s">
        <v>463</v>
      </c>
      <c r="D382" s="3">
        <v>32.0</v>
      </c>
      <c r="E382" s="3">
        <v>9458191.0</v>
      </c>
      <c r="F382" s="3">
        <v>3446115.0</v>
      </c>
      <c r="J382" s="3">
        <v>0.12772</v>
      </c>
      <c r="K382" s="3">
        <v>0.129346</v>
      </c>
    </row>
    <row r="383">
      <c r="C383" s="3" t="s">
        <v>463</v>
      </c>
      <c r="D383" s="3">
        <v>64.0</v>
      </c>
      <c r="E383" s="3">
        <v>4723520.0</v>
      </c>
      <c r="F383" s="3">
        <v>1718361.0</v>
      </c>
      <c r="J383" s="3">
        <v>0.107519</v>
      </c>
      <c r="K383" s="3">
        <v>0.10524</v>
      </c>
    </row>
    <row r="384">
      <c r="C384" s="3" t="s">
        <v>463</v>
      </c>
      <c r="D384" s="3">
        <v>128.0</v>
      </c>
      <c r="E384" s="3">
        <v>2362009.0</v>
      </c>
      <c r="F384" s="3">
        <v>859618.0</v>
      </c>
      <c r="J384" s="3">
        <v>0.10027</v>
      </c>
      <c r="K384" s="3">
        <v>0.096552</v>
      </c>
    </row>
    <row r="385">
      <c r="C385" s="3" t="s">
        <v>463</v>
      </c>
      <c r="D385" s="3">
        <v>256.0</v>
      </c>
      <c r="E385" s="3">
        <v>1183685.0</v>
      </c>
      <c r="F385" s="3">
        <v>431581.0</v>
      </c>
      <c r="J385" s="3">
        <v>0.095557</v>
      </c>
      <c r="K385" s="3">
        <v>0.092094</v>
      </c>
    </row>
    <row r="386">
      <c r="C386" s="3" t="s">
        <v>463</v>
      </c>
      <c r="D386" s="3">
        <v>512.0</v>
      </c>
      <c r="E386" s="3">
        <v>592414.0</v>
      </c>
      <c r="F386" s="3">
        <v>216772.0</v>
      </c>
      <c r="J386" s="3">
        <v>0.094388</v>
      </c>
      <c r="K386" s="3">
        <v>0.09014</v>
      </c>
    </row>
    <row r="387">
      <c r="C387" s="3" t="s">
        <v>463</v>
      </c>
      <c r="D387" s="3">
        <v>1024.0</v>
      </c>
      <c r="E387" s="3">
        <v>296220.0</v>
      </c>
      <c r="F387" s="3">
        <v>107581.0</v>
      </c>
      <c r="J387" s="3">
        <v>0.091993</v>
      </c>
      <c r="K387" s="3">
        <v>0.088546</v>
      </c>
    </row>
    <row r="388">
      <c r="C388" s="3" t="s">
        <v>463</v>
      </c>
      <c r="D388" s="3">
        <v>2048.0</v>
      </c>
      <c r="E388" s="3">
        <v>148318.0</v>
      </c>
      <c r="F388" s="3">
        <v>57994.0</v>
      </c>
      <c r="J388" s="3">
        <v>0.091394</v>
      </c>
      <c r="K388" s="3">
        <v>0.087593</v>
      </c>
    </row>
    <row r="389">
      <c r="C389" s="3" t="s">
        <v>463</v>
      </c>
      <c r="D389" s="3">
        <v>4096.0</v>
      </c>
      <c r="E389" s="3">
        <v>74290.0</v>
      </c>
      <c r="F389" s="3">
        <v>30534.0</v>
      </c>
      <c r="J389" s="3">
        <v>0.090979</v>
      </c>
      <c r="K389" s="3">
        <v>0.087122</v>
      </c>
    </row>
    <row r="390">
      <c r="C390" s="3" t="s">
        <v>463</v>
      </c>
      <c r="D390" s="3">
        <v>8192.0</v>
      </c>
      <c r="E390" s="3">
        <v>37321.0</v>
      </c>
      <c r="F390" s="3">
        <v>15466.0</v>
      </c>
    </row>
    <row r="392">
      <c r="J392" s="3">
        <v>0.183776</v>
      </c>
      <c r="K392" s="3">
        <v>0.192196</v>
      </c>
      <c r="L392" s="3">
        <v>0.1912</v>
      </c>
      <c r="M392" s="3">
        <v>0.188701</v>
      </c>
      <c r="N392" s="3">
        <v>0.188703</v>
      </c>
      <c r="O392" s="3">
        <v>0.155972</v>
      </c>
      <c r="P392" s="3">
        <v>0.12772</v>
      </c>
      <c r="Q392" s="3">
        <v>0.107519</v>
      </c>
      <c r="R392" s="3">
        <v>0.10027</v>
      </c>
      <c r="S392" s="3">
        <v>0.095557</v>
      </c>
      <c r="T392" s="3">
        <v>0.094388</v>
      </c>
      <c r="U392" s="3">
        <v>0.091993</v>
      </c>
      <c r="V392" s="3">
        <v>0.091394</v>
      </c>
      <c r="W392" s="3">
        <v>0.090979</v>
      </c>
    </row>
    <row r="393">
      <c r="J393" s="3">
        <v>0.464904</v>
      </c>
      <c r="K393" s="3">
        <v>0.279639</v>
      </c>
      <c r="L393" s="3">
        <v>0.203093</v>
      </c>
      <c r="M393" s="3">
        <v>0.189624</v>
      </c>
      <c r="N393" s="3">
        <v>0.183821</v>
      </c>
      <c r="O393" s="3">
        <v>0.16281</v>
      </c>
      <c r="P393" s="3">
        <v>0.129346</v>
      </c>
      <c r="Q393" s="3">
        <v>0.10524</v>
      </c>
      <c r="R393" s="3">
        <v>0.096552</v>
      </c>
      <c r="S393" s="3">
        <v>0.092094</v>
      </c>
      <c r="T393" s="3">
        <v>0.09014</v>
      </c>
      <c r="U393" s="3">
        <v>0.088546</v>
      </c>
      <c r="V393" s="3">
        <v>0.087593</v>
      </c>
      <c r="W393" s="3">
        <v>0.087122</v>
      </c>
    </row>
    <row r="394">
      <c r="I394" s="2" t="s">
        <v>678</v>
      </c>
    </row>
    <row r="395">
      <c r="C395" s="3" t="s">
        <v>463</v>
      </c>
      <c r="D395" s="3">
        <v>1.0</v>
      </c>
      <c r="E395" s="3">
        <v>1.8881043E7</v>
      </c>
      <c r="F395" s="3">
        <v>6812673.0</v>
      </c>
    </row>
    <row r="396">
      <c r="C396" s="3" t="s">
        <v>463</v>
      </c>
      <c r="D396" s="3">
        <v>2.0</v>
      </c>
      <c r="E396" s="3">
        <v>1.8818699E7</v>
      </c>
      <c r="F396" s="3">
        <v>6765344.0</v>
      </c>
      <c r="J396" s="100" t="s">
        <v>463</v>
      </c>
      <c r="K396" s="3">
        <v>1.0</v>
      </c>
      <c r="L396" s="3">
        <v>1.8909461E7</v>
      </c>
      <c r="M396" s="3">
        <v>6279061.0</v>
      </c>
    </row>
    <row r="397">
      <c r="C397" s="3" t="s">
        <v>463</v>
      </c>
      <c r="D397" s="3">
        <v>4.0</v>
      </c>
      <c r="E397" s="3">
        <v>1.880363E7</v>
      </c>
      <c r="F397" s="3">
        <v>6764722.0</v>
      </c>
      <c r="J397" s="100" t="s">
        <v>463</v>
      </c>
      <c r="K397" s="3">
        <v>2.0</v>
      </c>
      <c r="L397" s="3">
        <v>1.8931537E7</v>
      </c>
      <c r="M397" s="3">
        <v>6259989.0</v>
      </c>
      <c r="O397" s="3">
        <v>1.8909461E7</v>
      </c>
      <c r="P397" s="3">
        <v>1.8931537E7</v>
      </c>
      <c r="Q397" s="3">
        <v>1.8907056E7</v>
      </c>
      <c r="R397" s="3">
        <v>1.8934899E7</v>
      </c>
      <c r="S397" s="3">
        <v>1.8936431E7</v>
      </c>
      <c r="T397" s="3">
        <v>1.6468747E7</v>
      </c>
      <c r="U397" s="3">
        <v>1.0983595E7</v>
      </c>
      <c r="V397" s="3">
        <v>2669717.0</v>
      </c>
      <c r="W397" s="3">
        <v>1180263.0</v>
      </c>
      <c r="X397" s="3">
        <v>590775.0</v>
      </c>
      <c r="Y397" s="3">
        <v>295572.0</v>
      </c>
      <c r="Z397" s="3">
        <v>148110.0</v>
      </c>
      <c r="AA397" s="3">
        <v>74962.0</v>
      </c>
      <c r="AB397" s="3">
        <v>38080.0</v>
      </c>
    </row>
    <row r="398">
      <c r="C398" s="3" t="s">
        <v>463</v>
      </c>
      <c r="D398" s="3">
        <v>8.0</v>
      </c>
      <c r="E398" s="3">
        <v>1.8795905E7</v>
      </c>
      <c r="F398" s="3">
        <v>6758889.0</v>
      </c>
      <c r="J398" s="100" t="s">
        <v>463</v>
      </c>
      <c r="K398" s="3">
        <v>4.0</v>
      </c>
      <c r="L398" s="3">
        <v>1.8907056E7</v>
      </c>
      <c r="M398" s="3">
        <v>6263780.0</v>
      </c>
      <c r="O398" s="3">
        <v>6279061.0</v>
      </c>
      <c r="P398" s="3">
        <v>6259989.0</v>
      </c>
      <c r="Q398" s="3">
        <v>6263780.0</v>
      </c>
      <c r="R398" s="3">
        <v>6257942.0</v>
      </c>
      <c r="S398" s="3">
        <v>6266792.0</v>
      </c>
      <c r="T398" s="3">
        <v>3135475.0</v>
      </c>
      <c r="U398" s="3">
        <v>1580211.0</v>
      </c>
      <c r="V398" s="3">
        <v>785815.0</v>
      </c>
      <c r="W398" s="3">
        <v>391856.0</v>
      </c>
      <c r="X398" s="3">
        <v>196223.0</v>
      </c>
      <c r="Y398" s="3">
        <v>98589.0</v>
      </c>
      <c r="Z398" s="3">
        <v>49926.0</v>
      </c>
      <c r="AA398" s="3">
        <v>25361.0</v>
      </c>
      <c r="AB398" s="3">
        <v>13198.0</v>
      </c>
    </row>
    <row r="399">
      <c r="C399" s="3" t="s">
        <v>463</v>
      </c>
      <c r="D399" s="3">
        <v>16.0</v>
      </c>
      <c r="E399" s="3">
        <v>1.8794612E7</v>
      </c>
      <c r="F399" s="3">
        <v>6757645.0</v>
      </c>
      <c r="J399" s="100" t="s">
        <v>463</v>
      </c>
      <c r="K399" s="3">
        <v>8.0</v>
      </c>
      <c r="L399" s="3">
        <v>1.8934899E7</v>
      </c>
      <c r="M399" s="3">
        <v>6257942.0</v>
      </c>
    </row>
    <row r="400">
      <c r="C400" s="3" t="s">
        <v>463</v>
      </c>
      <c r="D400" s="3">
        <v>32.0</v>
      </c>
      <c r="E400" s="3">
        <v>1.8763074E7</v>
      </c>
      <c r="F400" s="3">
        <v>3717936.0</v>
      </c>
      <c r="J400" s="100" t="s">
        <v>463</v>
      </c>
      <c r="K400" s="3">
        <v>16.0</v>
      </c>
      <c r="L400" s="3">
        <v>1.8936431E7</v>
      </c>
      <c r="M400" s="3">
        <v>6266792.0</v>
      </c>
    </row>
    <row r="401">
      <c r="C401" s="3" t="s">
        <v>463</v>
      </c>
      <c r="D401" s="3">
        <v>64.0</v>
      </c>
      <c r="E401" s="3">
        <v>1.4706456E7</v>
      </c>
      <c r="F401" s="3">
        <v>2159643.0</v>
      </c>
      <c r="J401" s="100" t="s">
        <v>463</v>
      </c>
      <c r="K401" s="3">
        <v>32.0</v>
      </c>
      <c r="L401" s="3">
        <v>1.6468747E7</v>
      </c>
      <c r="M401" s="3">
        <v>3135475.0</v>
      </c>
    </row>
    <row r="402">
      <c r="C402" s="3" t="s">
        <v>463</v>
      </c>
      <c r="D402" s="3">
        <v>128.0</v>
      </c>
      <c r="E402" s="3">
        <v>2369636.0</v>
      </c>
      <c r="F402" s="3">
        <v>866022.0</v>
      </c>
      <c r="J402" s="100" t="s">
        <v>463</v>
      </c>
      <c r="K402" s="3">
        <v>64.0</v>
      </c>
      <c r="L402" s="3">
        <v>1.0983595E7</v>
      </c>
      <c r="M402" s="3">
        <v>1580211.0</v>
      </c>
    </row>
    <row r="403">
      <c r="C403" s="3" t="s">
        <v>463</v>
      </c>
      <c r="D403" s="3">
        <v>256.0</v>
      </c>
      <c r="E403" s="3">
        <v>1184261.0</v>
      </c>
      <c r="F403" s="3">
        <v>431554.0</v>
      </c>
      <c r="J403" s="100" t="s">
        <v>463</v>
      </c>
      <c r="K403" s="3">
        <v>128.0</v>
      </c>
      <c r="L403" s="3">
        <v>2669717.0</v>
      </c>
      <c r="M403" s="3">
        <v>785815.0</v>
      </c>
    </row>
    <row r="404">
      <c r="C404" s="3" t="s">
        <v>463</v>
      </c>
      <c r="D404" s="3">
        <v>512.0</v>
      </c>
      <c r="E404" s="3">
        <v>592335.0</v>
      </c>
      <c r="F404" s="3">
        <v>215865.0</v>
      </c>
      <c r="J404" s="100" t="s">
        <v>463</v>
      </c>
      <c r="K404" s="3">
        <v>256.0</v>
      </c>
      <c r="L404" s="3">
        <v>1180263.0</v>
      </c>
      <c r="M404" s="3">
        <v>391856.0</v>
      </c>
    </row>
    <row r="405">
      <c r="C405" s="3" t="s">
        <v>463</v>
      </c>
      <c r="D405" s="3">
        <v>1024.0</v>
      </c>
      <c r="E405" s="3">
        <v>296600.0</v>
      </c>
      <c r="F405" s="3">
        <v>107914.0</v>
      </c>
      <c r="J405" s="100" t="s">
        <v>463</v>
      </c>
      <c r="K405" s="3">
        <v>512.0</v>
      </c>
      <c r="L405" s="3">
        <v>590775.0</v>
      </c>
      <c r="M405" s="3">
        <v>196223.0</v>
      </c>
    </row>
    <row r="406">
      <c r="C406" s="3" t="s">
        <v>463</v>
      </c>
      <c r="D406" s="3">
        <v>2048.0</v>
      </c>
      <c r="E406" s="3">
        <v>148331.0</v>
      </c>
      <c r="F406" s="3">
        <v>57978.0</v>
      </c>
      <c r="J406" s="100" t="s">
        <v>463</v>
      </c>
      <c r="K406" s="3">
        <v>1024.0</v>
      </c>
      <c r="L406" s="3">
        <v>295572.0</v>
      </c>
      <c r="M406" s="3">
        <v>98589.0</v>
      </c>
    </row>
    <row r="407">
      <c r="C407" s="3" t="s">
        <v>463</v>
      </c>
      <c r="D407" s="3">
        <v>4096.0</v>
      </c>
      <c r="E407" s="3">
        <v>74529.0</v>
      </c>
      <c r="F407" s="3">
        <v>30744.0</v>
      </c>
      <c r="J407" s="100" t="s">
        <v>463</v>
      </c>
      <c r="K407" s="3">
        <v>2048.0</v>
      </c>
      <c r="L407" s="3">
        <v>148110.0</v>
      </c>
      <c r="M407" s="3">
        <v>49926.0</v>
      </c>
    </row>
    <row r="408">
      <c r="C408" s="3" t="s">
        <v>463</v>
      </c>
      <c r="D408" s="3">
        <v>8192.0</v>
      </c>
      <c r="E408" s="3">
        <v>37549.0</v>
      </c>
      <c r="F408" s="3">
        <v>15677.0</v>
      </c>
      <c r="J408" s="100" t="s">
        <v>463</v>
      </c>
      <c r="K408" s="3">
        <v>4096.0</v>
      </c>
      <c r="L408" s="3">
        <v>74962.0</v>
      </c>
      <c r="M408" s="3">
        <v>25361.0</v>
      </c>
    </row>
    <row r="409">
      <c r="J409" s="100" t="s">
        <v>463</v>
      </c>
      <c r="K409" s="3">
        <v>8192.0</v>
      </c>
      <c r="L409" s="3">
        <v>38080.0</v>
      </c>
      <c r="M409" s="3">
        <v>13198.0</v>
      </c>
    </row>
    <row r="415">
      <c r="B415" s="3">
        <v>1.8854869E7</v>
      </c>
      <c r="C415" s="3">
        <v>1.8803946E7</v>
      </c>
      <c r="D415" s="3">
        <v>1.8787827E7</v>
      </c>
      <c r="E415" s="3">
        <v>1.8814208E7</v>
      </c>
      <c r="F415" s="3">
        <v>1.8787556E7</v>
      </c>
      <c r="G415" s="3">
        <v>1.8682574E7</v>
      </c>
      <c r="H415" s="3">
        <v>1.4382377E7</v>
      </c>
      <c r="I415" s="3">
        <v>2361107.0</v>
      </c>
      <c r="J415" s="3">
        <v>1180860.0</v>
      </c>
      <c r="K415" s="3">
        <v>590941.0</v>
      </c>
      <c r="L415" s="3">
        <v>295679.0</v>
      </c>
      <c r="M415" s="3">
        <v>148022.0</v>
      </c>
      <c r="N415" s="3">
        <v>75961.0</v>
      </c>
      <c r="O415" s="3">
        <v>37283.0</v>
      </c>
    </row>
    <row r="416">
      <c r="B416" s="3">
        <v>6686666.0</v>
      </c>
      <c r="C416" s="3">
        <v>6632917.0</v>
      </c>
      <c r="D416" s="3">
        <v>6623699.0</v>
      </c>
      <c r="E416" s="3">
        <v>6622967.0</v>
      </c>
      <c r="F416" s="3">
        <v>6625129.0</v>
      </c>
      <c r="G416" s="3">
        <v>3622087.0</v>
      </c>
      <c r="H416" s="3">
        <v>2026059.0</v>
      </c>
      <c r="I416" s="3">
        <v>836563.0</v>
      </c>
      <c r="J416" s="3">
        <v>418664.0</v>
      </c>
      <c r="K416" s="3">
        <v>209921.0</v>
      </c>
      <c r="L416" s="3">
        <v>106053.0</v>
      </c>
      <c r="M416" s="3">
        <v>57714.0</v>
      </c>
      <c r="N416" s="3">
        <v>31154.0</v>
      </c>
      <c r="O416" s="3">
        <v>15619.0</v>
      </c>
    </row>
    <row r="418">
      <c r="B418" s="3">
        <v>1.8881043E7</v>
      </c>
      <c r="C418" s="3">
        <v>1.8818699E7</v>
      </c>
      <c r="D418" s="3">
        <v>1.880363E7</v>
      </c>
      <c r="E418" s="3">
        <v>1.8795905E7</v>
      </c>
      <c r="F418" s="3">
        <v>1.8794612E7</v>
      </c>
      <c r="G418" s="3">
        <v>1.8763074E7</v>
      </c>
      <c r="H418" s="3">
        <v>1.4706456E7</v>
      </c>
      <c r="I418" s="3">
        <v>2369636.0</v>
      </c>
      <c r="J418" s="3">
        <v>1184261.0</v>
      </c>
      <c r="K418" s="3">
        <v>592335.0</v>
      </c>
      <c r="L418" s="3">
        <v>296600.0</v>
      </c>
      <c r="M418" s="3">
        <v>148331.0</v>
      </c>
      <c r="N418" s="3">
        <v>74529.0</v>
      </c>
      <c r="O418" s="3">
        <v>37549.0</v>
      </c>
    </row>
    <row r="419">
      <c r="B419" s="3">
        <v>6812673.0</v>
      </c>
      <c r="C419" s="3">
        <v>6765344.0</v>
      </c>
      <c r="D419" s="3">
        <v>6764722.0</v>
      </c>
      <c r="E419" s="3">
        <v>6758889.0</v>
      </c>
      <c r="F419" s="3">
        <v>6757645.0</v>
      </c>
      <c r="G419" s="3">
        <v>3717936.0</v>
      </c>
      <c r="H419" s="3">
        <v>2159643.0</v>
      </c>
      <c r="I419" s="3">
        <v>866022.0</v>
      </c>
      <c r="J419" s="3">
        <v>431554.0</v>
      </c>
      <c r="K419" s="3">
        <v>215865.0</v>
      </c>
      <c r="L419" s="3">
        <v>107914.0</v>
      </c>
      <c r="M419" s="3">
        <v>57978.0</v>
      </c>
      <c r="N419" s="3">
        <v>30744.0</v>
      </c>
      <c r="O419" s="3">
        <v>15677.0</v>
      </c>
    </row>
    <row r="425">
      <c r="B425" s="3" t="s">
        <v>641</v>
      </c>
      <c r="H425" s="3" t="s">
        <v>679</v>
      </c>
      <c r="I425" s="3" t="s">
        <v>650</v>
      </c>
    </row>
    <row r="426">
      <c r="C426" s="3" t="s">
        <v>589</v>
      </c>
      <c r="D426" s="3" t="s">
        <v>636</v>
      </c>
      <c r="H426" s="30">
        <f t="shared" ref="H426:I426" si="76">(H428+H431+H434+H437)/4</f>
        <v>99.06715535</v>
      </c>
      <c r="I426" s="30">
        <f t="shared" si="76"/>
        <v>75.19814676</v>
      </c>
      <c r="J426" s="3" t="s">
        <v>680</v>
      </c>
    </row>
    <row r="427">
      <c r="E427" s="3" t="s">
        <v>448</v>
      </c>
      <c r="F427" s="3" t="s">
        <v>449</v>
      </c>
      <c r="H427" s="30">
        <f t="shared" ref="H427:I427" si="77">(H429+H432+H435+H438)/4</f>
        <v>99.26415805</v>
      </c>
      <c r="I427" s="30">
        <f t="shared" si="77"/>
        <v>75.35751428</v>
      </c>
      <c r="J427" s="3" t="s">
        <v>681</v>
      </c>
      <c r="K427" s="3" t="s">
        <v>548</v>
      </c>
      <c r="L427" s="30">
        <v>1.875E7</v>
      </c>
    </row>
    <row r="428">
      <c r="A428" s="3" t="s">
        <v>642</v>
      </c>
      <c r="B428" s="3" t="s">
        <v>643</v>
      </c>
      <c r="C428" s="3" t="s">
        <v>463</v>
      </c>
      <c r="D428" s="3">
        <v>1.0</v>
      </c>
      <c r="E428" s="3">
        <v>1.8924509E7</v>
      </c>
      <c r="F428" s="3">
        <v>6414347.0</v>
      </c>
      <c r="G428" s="30">
        <f t="shared" ref="G428:G429" si="78">E428+F428</f>
        <v>25338856</v>
      </c>
      <c r="H428" s="30">
        <f t="shared" ref="H428:H429" si="79">100-ABS($M$437-G428)/G428*100</f>
        <v>98.66270206</v>
      </c>
      <c r="I428" s="30">
        <f t="shared" ref="I428:I429" si="80">100-ABS($M$438-G428)/G428*100</f>
        <v>73.99702654</v>
      </c>
    </row>
    <row r="429">
      <c r="A429" s="3" t="s">
        <v>642</v>
      </c>
      <c r="B429" s="3" t="s">
        <v>602</v>
      </c>
      <c r="C429" s="3" t="s">
        <v>463</v>
      </c>
      <c r="D429" s="3">
        <v>1.0</v>
      </c>
      <c r="E429" s="3">
        <v>1.879793E7</v>
      </c>
      <c r="F429" s="3">
        <v>6282547.0</v>
      </c>
      <c r="G429" s="30">
        <f t="shared" si="78"/>
        <v>25080477</v>
      </c>
      <c r="H429" s="30">
        <f t="shared" si="79"/>
        <v>99.67912492</v>
      </c>
      <c r="I429" s="30">
        <f t="shared" si="80"/>
        <v>74.75934369</v>
      </c>
      <c r="L429" s="30">
        <v>2.5E7</v>
      </c>
    </row>
    <row r="431">
      <c r="A431" s="3" t="s">
        <v>644</v>
      </c>
      <c r="B431" s="3" t="s">
        <v>643</v>
      </c>
      <c r="C431" s="3" t="s">
        <v>463</v>
      </c>
      <c r="D431" s="3">
        <v>1.0</v>
      </c>
      <c r="E431" s="3">
        <v>1.8688408E7</v>
      </c>
      <c r="F431" s="3">
        <v>6250709.0</v>
      </c>
      <c r="G431" s="30">
        <f t="shared" ref="G431:G432" si="81">E431+F431</f>
        <v>24939117</v>
      </c>
      <c r="H431" s="30">
        <f t="shared" ref="H431:H432" si="82">100-ABS($M$437-G431)/G431*100</f>
        <v>99.75587347</v>
      </c>
      <c r="I431" s="30">
        <f t="shared" ref="I431:I432" si="83">100-ABS($M$438-G431)/G431*100</f>
        <v>75.18309489</v>
      </c>
    </row>
    <row r="432">
      <c r="A432" s="3" t="s">
        <v>644</v>
      </c>
      <c r="B432" s="3" t="s">
        <v>602</v>
      </c>
      <c r="C432" s="3" t="s">
        <v>463</v>
      </c>
      <c r="D432" s="3">
        <v>1.0</v>
      </c>
      <c r="E432" s="3">
        <v>1.8794607E7</v>
      </c>
      <c r="F432" s="3">
        <v>6254850.0</v>
      </c>
      <c r="G432" s="30">
        <f t="shared" si="81"/>
        <v>25049457</v>
      </c>
      <c r="H432" s="30">
        <f t="shared" si="82"/>
        <v>99.80256259</v>
      </c>
      <c r="I432" s="30">
        <f t="shared" si="83"/>
        <v>74.85192194</v>
      </c>
    </row>
    <row r="433">
      <c r="K433" s="3" t="s">
        <v>645</v>
      </c>
      <c r="L433" s="3" t="s">
        <v>646</v>
      </c>
    </row>
    <row r="434">
      <c r="A434" s="3" t="s">
        <v>647</v>
      </c>
      <c r="B434" s="3" t="s">
        <v>643</v>
      </c>
      <c r="C434" s="3" t="s">
        <v>463</v>
      </c>
      <c r="D434" s="3">
        <v>1.0</v>
      </c>
      <c r="E434" s="3">
        <v>1.8528602E7</v>
      </c>
      <c r="F434" s="3">
        <v>6204350.0</v>
      </c>
      <c r="G434" s="30">
        <f t="shared" ref="G434:G435" si="84">E434+F434</f>
        <v>24732952</v>
      </c>
      <c r="H434" s="30">
        <f t="shared" ref="H434:H435" si="85">100-ABS($M$437-G434)/G434*100</f>
        <v>98.92027446</v>
      </c>
      <c r="I434" s="30">
        <f t="shared" ref="I434:I435" si="86">100-ABS($M$438-G434)/G434*100</f>
        <v>75.80979416</v>
      </c>
      <c r="K434" s="3">
        <v>5.0E7</v>
      </c>
      <c r="L434" s="3">
        <v>8.0</v>
      </c>
    </row>
    <row r="435">
      <c r="A435" s="3" t="s">
        <v>647</v>
      </c>
      <c r="B435" s="3" t="s">
        <v>602</v>
      </c>
      <c r="C435" s="3" t="s">
        <v>463</v>
      </c>
      <c r="D435" s="3">
        <v>1.0</v>
      </c>
      <c r="E435" s="3">
        <v>1.8352835E7</v>
      </c>
      <c r="F435" s="3">
        <v>6137000.0</v>
      </c>
      <c r="G435" s="30">
        <f t="shared" si="84"/>
        <v>24489835</v>
      </c>
      <c r="H435" s="30">
        <f t="shared" si="85"/>
        <v>97.91682957</v>
      </c>
      <c r="I435" s="30">
        <f t="shared" si="86"/>
        <v>76.56237782</v>
      </c>
    </row>
    <row r="436">
      <c r="K436" s="3" t="s">
        <v>486</v>
      </c>
      <c r="L436" s="3" t="s">
        <v>648</v>
      </c>
      <c r="M436" s="3" t="s">
        <v>283</v>
      </c>
    </row>
    <row r="437">
      <c r="A437" s="3" t="s">
        <v>682</v>
      </c>
      <c r="B437" s="3" t="s">
        <v>643</v>
      </c>
      <c r="C437" s="3" t="s">
        <v>463</v>
      </c>
      <c r="D437" s="3">
        <v>1.0</v>
      </c>
      <c r="E437" s="3">
        <v>1.8574077E7</v>
      </c>
      <c r="F437" s="3">
        <v>6161199.0</v>
      </c>
      <c r="G437" s="30">
        <f t="shared" ref="G437:G438" si="87">E437+F437</f>
        <v>24735276</v>
      </c>
      <c r="H437" s="30">
        <f t="shared" ref="H437:H438" si="88">100-ABS($M$437-G437)/G437*100</f>
        <v>98.92977139</v>
      </c>
      <c r="I437" s="30">
        <f t="shared" ref="I437:I438" si="89">100-ABS($M$438-G437)/G437*100</f>
        <v>75.80267146</v>
      </c>
      <c r="J437" s="3" t="s">
        <v>649</v>
      </c>
      <c r="K437" s="3">
        <v>0.0</v>
      </c>
      <c r="L437" s="30">
        <v>2.5E7</v>
      </c>
      <c r="M437" s="30">
        <f t="shared" ref="M437:M438" si="90">K437+L437</f>
        <v>25000000</v>
      </c>
    </row>
    <row r="438">
      <c r="A438" s="3" t="s">
        <v>682</v>
      </c>
      <c r="B438" s="3" t="s">
        <v>602</v>
      </c>
      <c r="C438" s="3" t="s">
        <v>463</v>
      </c>
      <c r="D438" s="3">
        <v>1.0</v>
      </c>
      <c r="E438" s="3">
        <v>1.8736121E7</v>
      </c>
      <c r="F438" s="3">
        <v>6178699.0</v>
      </c>
      <c r="G438" s="30">
        <f t="shared" si="87"/>
        <v>24914820</v>
      </c>
      <c r="H438" s="30">
        <f t="shared" si="88"/>
        <v>99.65811513</v>
      </c>
      <c r="I438" s="30">
        <f t="shared" si="89"/>
        <v>75.25641365</v>
      </c>
      <c r="J438" s="3" t="s">
        <v>650</v>
      </c>
      <c r="K438" s="30">
        <f>K434*L434/64*2</f>
        <v>12500000</v>
      </c>
      <c r="L438" s="30">
        <f>K434*L434/64</f>
        <v>6250000</v>
      </c>
      <c r="M438" s="30">
        <f t="shared" si="90"/>
        <v>18750000</v>
      </c>
    </row>
    <row r="440">
      <c r="A440" s="3" t="s">
        <v>644</v>
      </c>
      <c r="B440" s="3" t="s">
        <v>643</v>
      </c>
      <c r="C440" s="3" t="s">
        <v>463</v>
      </c>
      <c r="D440" s="3">
        <v>1.0</v>
      </c>
      <c r="E440" s="3">
        <v>1.8589098E7</v>
      </c>
      <c r="F440" s="3">
        <v>6245387.0</v>
      </c>
      <c r="G440" s="30">
        <f t="shared" ref="G440:G441" si="91">E440+F440</f>
        <v>24834485</v>
      </c>
      <c r="H440" s="30">
        <f t="shared" ref="H440:H441" si="92">100-ABS($M$437-G440)/G440*100</f>
        <v>99.33352755</v>
      </c>
      <c r="I440" s="30">
        <f t="shared" ref="I440:I441" si="93">100-ABS($M$438-G440)/G440*100</f>
        <v>75.49985434</v>
      </c>
    </row>
    <row r="441">
      <c r="A441" s="3" t="s">
        <v>644</v>
      </c>
      <c r="B441" s="3" t="s">
        <v>602</v>
      </c>
      <c r="C441" s="3" t="s">
        <v>463</v>
      </c>
      <c r="D441" s="3">
        <v>1.0</v>
      </c>
      <c r="E441" s="3">
        <v>1.8496868E7</v>
      </c>
      <c r="F441" s="3">
        <v>6186211.0</v>
      </c>
      <c r="G441" s="30">
        <f t="shared" si="91"/>
        <v>24683079</v>
      </c>
      <c r="H441" s="30">
        <f t="shared" si="92"/>
        <v>98.71603944</v>
      </c>
      <c r="I441" s="30">
        <f t="shared" si="93"/>
        <v>75.96297042</v>
      </c>
    </row>
    <row r="443">
      <c r="D443" s="30" t="str">
        <f>"map=["&amp;H428&amp;", "&amp;H429&amp;", "&amp;H431&amp;", "&amp;H432&amp;", "&amp;H434&amp;", "&amp;H435&amp;", "&amp;H437&amp;", "&amp;H438&amp;"]"</f>
        <v>map=[98.6627020572673, 99.6791249225443, 99.7558734737882, 99.8025625864864, 98.9202744581399, 97.9168295743928, 98.9297713920799, 99.6581151298705]</v>
      </c>
    </row>
    <row r="444">
      <c r="D444" s="30" t="str">
        <f>"lit=["&amp;I428&amp;", "&amp;I429&amp;", "&amp;I431&amp;", "&amp;I432&amp;", "&amp;I434&amp;", "&amp;I435&amp;", "&amp;I437&amp;", "&amp;I438&amp;"]"</f>
        <v>lit=[73.9970265429505, 74.7593436919083, 75.1830948946589, 74.8519219398648, 75.8097941563951, 76.5623778192054, 75.8026714559401, 75.2564136525971]</v>
      </c>
    </row>
    <row r="450">
      <c r="D450" s="30" t="str">
        <f>"total=["&amp;M437&amp;", "&amp;M438&amp;", "&amp;G428&amp;", "&amp;G429&amp;", "&amp;G431&amp;", "&amp;G432&amp;", "&amp;G434&amp;", "&amp;G435&amp;"]"</f>
        <v>total=[25000000, 18750000, 25338856, 25080477, 24939117, 25049457, 24732952, 24489835]</v>
      </c>
    </row>
    <row r="453">
      <c r="L453" s="3">
        <v>4096.0</v>
      </c>
      <c r="M453" s="3">
        <v>4096.0</v>
      </c>
      <c r="N453" s="30">
        <f>L453*M453</f>
        <v>16777216</v>
      </c>
    </row>
    <row r="455">
      <c r="B455" s="3" t="s">
        <v>557</v>
      </c>
      <c r="H455" s="3" t="s">
        <v>679</v>
      </c>
      <c r="I455" s="3" t="s">
        <v>650</v>
      </c>
      <c r="L455" s="3">
        <f t="shared" ref="L455:M455" si="94">8192*2</f>
        <v>16384</v>
      </c>
      <c r="M455" s="3">
        <f t="shared" si="94"/>
        <v>16384</v>
      </c>
      <c r="N455" s="30">
        <f>L455*M455</f>
        <v>268435456</v>
      </c>
    </row>
    <row r="456">
      <c r="C456" s="3" t="s">
        <v>589</v>
      </c>
      <c r="D456" s="3" t="s">
        <v>636</v>
      </c>
      <c r="H456" s="30">
        <f t="shared" ref="H456:I456" si="95">(H458+H461+H464+H467)/4</f>
        <v>89.05547906</v>
      </c>
      <c r="I456" s="30">
        <f t="shared" si="95"/>
        <v>89.05547906</v>
      </c>
    </row>
    <row r="457">
      <c r="E457" s="3" t="s">
        <v>448</v>
      </c>
      <c r="F457" s="3" t="s">
        <v>449</v>
      </c>
      <c r="G457" s="3" t="s">
        <v>283</v>
      </c>
      <c r="H457" s="30">
        <f t="shared" ref="H457:I457" si="96">(H459+H462+H465+H468)/4</f>
        <v>89.60686329</v>
      </c>
      <c r="I457" s="30">
        <f t="shared" si="96"/>
        <v>89.60686329</v>
      </c>
      <c r="J457" s="3">
        <v>8192.0</v>
      </c>
      <c r="K457" s="3">
        <v>8192.0</v>
      </c>
    </row>
    <row r="458">
      <c r="A458" s="3" t="s">
        <v>642</v>
      </c>
      <c r="B458" s="3" t="s">
        <v>643</v>
      </c>
      <c r="C458" s="3" t="s">
        <v>463</v>
      </c>
      <c r="D458" s="3">
        <v>1.0</v>
      </c>
      <c r="E458" s="3">
        <v>4620741.0</v>
      </c>
      <c r="F458" s="3">
        <v>4821091.0</v>
      </c>
      <c r="G458" s="30">
        <f t="shared" ref="G458:G459" si="97">E458+F458</f>
        <v>9441832</v>
      </c>
      <c r="H458" s="30">
        <f t="shared" ref="H458:H459" si="98">100-ABS($M$467-G458)/G458*100</f>
        <v>88.8451309</v>
      </c>
      <c r="I458" s="30">
        <f t="shared" ref="I458:I459" si="99">100-ABS($M$468-G458)/G458*100</f>
        <v>88.8451309</v>
      </c>
    </row>
    <row r="459">
      <c r="A459" s="3" t="s">
        <v>642</v>
      </c>
      <c r="B459" s="3" t="s">
        <v>602</v>
      </c>
      <c r="C459" s="3" t="s">
        <v>463</v>
      </c>
      <c r="D459" s="3">
        <v>1.0</v>
      </c>
      <c r="E459" s="3">
        <v>4569441.0</v>
      </c>
      <c r="F459" s="3">
        <v>4740749.0</v>
      </c>
      <c r="G459" s="30">
        <f t="shared" si="97"/>
        <v>9310190</v>
      </c>
      <c r="H459" s="30">
        <f t="shared" si="98"/>
        <v>90.10136206</v>
      </c>
      <c r="I459" s="30">
        <f t="shared" si="99"/>
        <v>90.10136206</v>
      </c>
    </row>
    <row r="461">
      <c r="A461" s="3" t="s">
        <v>644</v>
      </c>
      <c r="B461" s="3" t="s">
        <v>643</v>
      </c>
      <c r="C461" s="3" t="s">
        <v>463</v>
      </c>
      <c r="D461" s="3">
        <v>1.0</v>
      </c>
      <c r="E461" s="3">
        <v>4520072.0</v>
      </c>
      <c r="F461" s="3">
        <v>4317901.0</v>
      </c>
      <c r="G461" s="30">
        <f t="shared" ref="G461:G462" si="100">E461+F461</f>
        <v>8837973</v>
      </c>
      <c r="H461" s="30">
        <f t="shared" ref="H461:H462" si="101">100-ABS($M$467-G461)/G461*100</f>
        <v>94.91551966</v>
      </c>
      <c r="I461" s="30">
        <f t="shared" ref="I461:I462" si="102">100-ABS($M$468-G461)/G461*100</f>
        <v>94.91551966</v>
      </c>
    </row>
    <row r="462">
      <c r="A462" s="3" t="s">
        <v>644</v>
      </c>
      <c r="B462" s="3" t="s">
        <v>602</v>
      </c>
      <c r="C462" s="3" t="s">
        <v>463</v>
      </c>
      <c r="D462" s="3">
        <v>1.0</v>
      </c>
      <c r="E462" s="3">
        <v>5047367.0</v>
      </c>
      <c r="F462" s="3">
        <v>4335252.0</v>
      </c>
      <c r="G462" s="30">
        <f t="shared" si="100"/>
        <v>9382619</v>
      </c>
      <c r="H462" s="30">
        <f t="shared" si="101"/>
        <v>89.40582581</v>
      </c>
      <c r="I462" s="30">
        <f t="shared" si="102"/>
        <v>89.40582581</v>
      </c>
    </row>
    <row r="463">
      <c r="K463" s="3" t="s">
        <v>645</v>
      </c>
      <c r="L463" s="3" t="s">
        <v>646</v>
      </c>
    </row>
    <row r="464">
      <c r="A464" s="3" t="s">
        <v>647</v>
      </c>
      <c r="B464" s="3" t="s">
        <v>643</v>
      </c>
      <c r="C464" s="3" t="s">
        <v>463</v>
      </c>
      <c r="D464" s="3">
        <v>1.0</v>
      </c>
      <c r="E464" s="3">
        <v>4728305.0</v>
      </c>
      <c r="F464" s="3">
        <v>4537964.0</v>
      </c>
      <c r="G464" s="30">
        <f t="shared" ref="G464:G465" si="103">E464+F464</f>
        <v>9266269</v>
      </c>
      <c r="H464" s="30">
        <f t="shared" ref="H464:H465" si="104">100-ABS($M$467-G464)/G464*100</f>
        <v>90.52843167</v>
      </c>
      <c r="I464" s="30">
        <f t="shared" ref="I464:I465" si="105">100-ABS($M$468-G464)/G464*100</f>
        <v>90.52843167</v>
      </c>
      <c r="K464" s="30">
        <f>J457*K457</f>
        <v>67108864</v>
      </c>
      <c r="L464" s="3">
        <v>4.0</v>
      </c>
      <c r="M464" s="30">
        <f>K464*L464</f>
        <v>268435456</v>
      </c>
    </row>
    <row r="465">
      <c r="A465" s="3" t="s">
        <v>647</v>
      </c>
      <c r="B465" s="3" t="s">
        <v>602</v>
      </c>
      <c r="C465" s="3" t="s">
        <v>463</v>
      </c>
      <c r="D465" s="3">
        <v>1.0</v>
      </c>
      <c r="E465" s="3">
        <v>4800994.0</v>
      </c>
      <c r="F465" s="3">
        <v>4525494.0</v>
      </c>
      <c r="G465" s="30">
        <f t="shared" si="103"/>
        <v>9326488</v>
      </c>
      <c r="H465" s="30">
        <f t="shared" si="104"/>
        <v>89.94391029</v>
      </c>
      <c r="I465" s="30">
        <f t="shared" si="105"/>
        <v>89.94391029</v>
      </c>
    </row>
    <row r="466">
      <c r="K466" s="3" t="s">
        <v>486</v>
      </c>
      <c r="L466" s="3" t="s">
        <v>648</v>
      </c>
      <c r="M466" s="3" t="s">
        <v>283</v>
      </c>
    </row>
    <row r="467">
      <c r="A467" s="3" t="s">
        <v>682</v>
      </c>
      <c r="B467" s="3" t="s">
        <v>643</v>
      </c>
      <c r="C467" s="3" t="s">
        <v>463</v>
      </c>
      <c r="D467" s="3">
        <v>1.0</v>
      </c>
      <c r="E467" s="3">
        <v>5655726.0</v>
      </c>
      <c r="F467" s="3">
        <v>4582670.0</v>
      </c>
      <c r="G467" s="30">
        <f t="shared" ref="G467:G468" si="106">E467+F467</f>
        <v>10238396</v>
      </c>
      <c r="H467" s="30">
        <f t="shared" ref="H467:H468" si="107">100-ABS($M$467-G467)/G467*100</f>
        <v>81.93283401</v>
      </c>
      <c r="I467" s="30">
        <f t="shared" ref="I467:I468" si="108">100-ABS($M$468-G467)/G467*100</f>
        <v>81.93283401</v>
      </c>
      <c r="J467" s="3" t="s">
        <v>649</v>
      </c>
      <c r="K467" s="3">
        <v>0.0</v>
      </c>
      <c r="L467" s="3">
        <v>8388608.0</v>
      </c>
      <c r="M467" s="30">
        <f t="shared" ref="M467:M468" si="109">K467+L467</f>
        <v>8388608</v>
      </c>
    </row>
    <row r="468">
      <c r="A468" s="3" t="s">
        <v>682</v>
      </c>
      <c r="B468" s="3" t="s">
        <v>602</v>
      </c>
      <c r="C468" s="3" t="s">
        <v>463</v>
      </c>
      <c r="D468" s="3">
        <v>1.0</v>
      </c>
      <c r="E468" s="3">
        <v>4837348.0</v>
      </c>
      <c r="F468" s="3">
        <v>4590559.0</v>
      </c>
      <c r="G468" s="30">
        <f t="shared" si="106"/>
        <v>9427907</v>
      </c>
      <c r="H468" s="30">
        <f t="shared" si="107"/>
        <v>88.97635499</v>
      </c>
      <c r="I468" s="30">
        <f t="shared" si="108"/>
        <v>88.97635499</v>
      </c>
      <c r="J468" s="3" t="s">
        <v>650</v>
      </c>
      <c r="K468" s="30">
        <f>K464*L464/64</f>
        <v>4194304</v>
      </c>
      <c r="L468" s="30">
        <f>K464*L464/64</f>
        <v>4194304</v>
      </c>
      <c r="M468" s="30">
        <f t="shared" si="109"/>
        <v>8388608</v>
      </c>
    </row>
    <row r="470">
      <c r="A470" s="3" t="s">
        <v>644</v>
      </c>
      <c r="B470" s="3" t="s">
        <v>643</v>
      </c>
      <c r="C470" s="3" t="s">
        <v>463</v>
      </c>
      <c r="D470" s="3">
        <v>1.0</v>
      </c>
      <c r="E470" s="3">
        <v>4672570.0</v>
      </c>
      <c r="F470" s="3">
        <v>4512171.0</v>
      </c>
      <c r="G470" s="30">
        <f t="shared" ref="G470:G471" si="110">E470+F470</f>
        <v>9184741</v>
      </c>
      <c r="H470" s="30">
        <f t="shared" ref="H470:H471" si="111">100-ABS($M$467-G470)/G470*100</f>
        <v>91.33200381</v>
      </c>
      <c r="I470" s="30">
        <f t="shared" ref="I470:I471" si="112">100-ABS($M$468-G470)/G470*100</f>
        <v>91.33200381</v>
      </c>
    </row>
    <row r="471">
      <c r="A471" s="3" t="s">
        <v>644</v>
      </c>
      <c r="B471" s="3" t="s">
        <v>602</v>
      </c>
      <c r="C471" s="3" t="s">
        <v>463</v>
      </c>
      <c r="D471" s="3">
        <v>1.0</v>
      </c>
      <c r="E471" s="3">
        <v>4688749.0</v>
      </c>
      <c r="F471" s="3">
        <v>4485998.0</v>
      </c>
      <c r="G471" s="30">
        <f t="shared" si="110"/>
        <v>9174747</v>
      </c>
      <c r="H471" s="30">
        <f t="shared" si="111"/>
        <v>91.43149124</v>
      </c>
      <c r="I471" s="30">
        <f t="shared" si="112"/>
        <v>91.43149124</v>
      </c>
    </row>
    <row r="473">
      <c r="D473" s="30" t="str">
        <f>"map=["&amp;H458&amp;", "&amp;H459&amp;", "&amp;H461&amp;", "&amp;H462&amp;", "&amp;H464&amp;", "&amp;H465&amp;", "&amp;H467&amp;", "&amp;H468&amp;"]"</f>
        <v>map=[88.8451309025621, 90.1013620559838, 94.9155196559211, 89.4058258147325, 90.5284316697476, 89.9439102907761, 81.9328340103274, 88.9763549852581]</v>
      </c>
    </row>
    <row r="474">
      <c r="D474" s="30" t="str">
        <f>"lit=["&amp;I458&amp;", "&amp;I459&amp;", "&amp;I461&amp;", "&amp;I462&amp;", "&amp;I464&amp;", "&amp;I465&amp;", "&amp;I467&amp;", "&amp;I468&amp;"]"</f>
        <v>lit=[88.8451309025621, 90.1013620559838, 94.9155196559211, 89.4058258147325, 90.5284316697476, 89.9439102907761, 81.9328340103274, 88.9763549852581]</v>
      </c>
    </row>
    <row r="480">
      <c r="D480" s="30" t="str">
        <f>"total=["&amp;M467&amp;", "&amp;M468&amp;", "&amp;G458&amp;", "&amp;G459&amp;", "&amp;G461&amp;", "&amp;G462&amp;", "&amp;G464&amp;", "&amp;G465&amp;"]"</f>
        <v>total=[8388608, 8388608, 9441832, 9310190, 8837973, 9382619, 9266269, 9326488]</v>
      </c>
    </row>
    <row r="484">
      <c r="B484" s="3" t="s">
        <v>652</v>
      </c>
      <c r="H484" s="3" t="s">
        <v>679</v>
      </c>
      <c r="I484" s="3" t="s">
        <v>650</v>
      </c>
    </row>
    <row r="485">
      <c r="C485" s="3" t="s">
        <v>589</v>
      </c>
      <c r="D485" s="3" t="s">
        <v>636</v>
      </c>
      <c r="H485" s="30">
        <f t="shared" ref="H485:I485" si="113">(H487+H490+H493+H496)/4</f>
        <v>95.58619507</v>
      </c>
      <c r="I485" s="30">
        <f t="shared" si="113"/>
        <v>66.81244144</v>
      </c>
    </row>
    <row r="486">
      <c r="E486" s="3" t="s">
        <v>448</v>
      </c>
      <c r="F486" s="3" t="s">
        <v>449</v>
      </c>
      <c r="G486" s="3" t="s">
        <v>283</v>
      </c>
      <c r="H486" s="30">
        <f t="shared" ref="H486:I486" si="114">(H488+H491+H494+H497)/4</f>
        <v>93.39123636</v>
      </c>
      <c r="I486" s="30">
        <f t="shared" si="114"/>
        <v>68.70734434</v>
      </c>
      <c r="J486" s="3">
        <v>4096.0</v>
      </c>
      <c r="K486" s="3">
        <v>4096.0</v>
      </c>
    </row>
    <row r="487">
      <c r="A487" s="3" t="s">
        <v>642</v>
      </c>
      <c r="B487" s="3" t="s">
        <v>643</v>
      </c>
      <c r="C487" s="3" t="s">
        <v>463</v>
      </c>
      <c r="D487" s="3">
        <v>1.0</v>
      </c>
      <c r="E487" s="3">
        <v>4319186.0</v>
      </c>
      <c r="F487" s="3">
        <v>2541288.0</v>
      </c>
      <c r="G487" s="30">
        <f t="shared" ref="G487:G488" si="115">E487+F487</f>
        <v>6860474</v>
      </c>
      <c r="H487" s="30">
        <f t="shared" ref="H487:H488" si="116">100-ABS($M$496-G487)/G487*100</f>
        <v>91.66107182</v>
      </c>
      <c r="I487" s="30">
        <f t="shared" ref="I487:I488" si="117">100-ABS($M$497-G487)/G487*100</f>
        <v>61.13723337</v>
      </c>
    </row>
    <row r="488">
      <c r="A488" s="3" t="s">
        <v>642</v>
      </c>
      <c r="B488" s="3" t="s">
        <v>602</v>
      </c>
      <c r="C488" s="3" t="s">
        <v>463</v>
      </c>
      <c r="D488" s="3">
        <v>1.0</v>
      </c>
      <c r="E488" s="3">
        <v>4276900.0</v>
      </c>
      <c r="F488" s="3">
        <v>2499094.0</v>
      </c>
      <c r="G488" s="30">
        <f t="shared" si="115"/>
        <v>6775994</v>
      </c>
      <c r="H488" s="30">
        <f t="shared" si="116"/>
        <v>92.80386022</v>
      </c>
      <c r="I488" s="30">
        <f t="shared" si="117"/>
        <v>61.89946449</v>
      </c>
    </row>
    <row r="490">
      <c r="A490" s="3" t="s">
        <v>644</v>
      </c>
      <c r="B490" s="3" t="s">
        <v>643</v>
      </c>
      <c r="C490" s="3" t="s">
        <v>463</v>
      </c>
      <c r="D490" s="3">
        <v>1.0</v>
      </c>
      <c r="E490" s="3">
        <v>4058497.0</v>
      </c>
      <c r="F490" s="3">
        <v>1994509.0</v>
      </c>
      <c r="G490" s="30">
        <f t="shared" ref="G490:G491" si="118">E490+F490</f>
        <v>6053006</v>
      </c>
      <c r="H490" s="30">
        <f t="shared" ref="H490:H491" si="119">100-ABS($M$496-G490)/G490*100</f>
        <v>96.11138664</v>
      </c>
      <c r="I490" s="30">
        <f t="shared" ref="I490:I491" si="120">100-ABS($M$497-G490)/G490*100</f>
        <v>69.29291</v>
      </c>
    </row>
    <row r="491">
      <c r="A491" s="3" t="s">
        <v>644</v>
      </c>
      <c r="B491" s="3" t="s">
        <v>602</v>
      </c>
      <c r="C491" s="3" t="s">
        <v>463</v>
      </c>
      <c r="D491" s="3">
        <v>1.0</v>
      </c>
      <c r="E491" s="3">
        <v>4047308.0</v>
      </c>
      <c r="F491" s="3">
        <v>1982488.0</v>
      </c>
      <c r="G491" s="30">
        <f t="shared" si="118"/>
        <v>6029796</v>
      </c>
      <c r="H491" s="30">
        <f t="shared" si="119"/>
        <v>95.71149671</v>
      </c>
      <c r="I491" s="30">
        <f t="shared" si="120"/>
        <v>69.55963353</v>
      </c>
    </row>
    <row r="492">
      <c r="K492" s="3" t="s">
        <v>645</v>
      </c>
      <c r="L492" s="3" t="s">
        <v>646</v>
      </c>
    </row>
    <row r="493">
      <c r="A493" s="3" t="s">
        <v>647</v>
      </c>
      <c r="B493" s="3" t="s">
        <v>643</v>
      </c>
      <c r="C493" s="3" t="s">
        <v>463</v>
      </c>
      <c r="D493" s="3">
        <v>1.0</v>
      </c>
      <c r="E493" s="3">
        <v>4127736.0</v>
      </c>
      <c r="F493" s="3">
        <v>2170046.0</v>
      </c>
      <c r="G493" s="30">
        <f t="shared" ref="G493:G494" si="121">E493+F493</f>
        <v>6297782</v>
      </c>
      <c r="H493" s="30">
        <f t="shared" ref="H493:H494" si="122">100-ABS($M$496-G493)/G493*100</f>
        <v>99.85077286</v>
      </c>
      <c r="I493" s="30">
        <f t="shared" ref="I493:I494" si="123">100-ABS($M$497-G493)/G493*100</f>
        <v>66.59970129</v>
      </c>
      <c r="K493" s="30">
        <f>J486*K486</f>
        <v>16777216</v>
      </c>
      <c r="L493" s="3">
        <v>8.0</v>
      </c>
    </row>
    <row r="494">
      <c r="A494" s="3" t="s">
        <v>647</v>
      </c>
      <c r="B494" s="3" t="s">
        <v>602</v>
      </c>
      <c r="C494" s="3" t="s">
        <v>463</v>
      </c>
      <c r="D494" s="3">
        <v>1.0</v>
      </c>
      <c r="E494" s="3">
        <v>3851933.0</v>
      </c>
      <c r="F494" s="3">
        <v>1814583.0</v>
      </c>
      <c r="G494" s="30">
        <f t="shared" si="121"/>
        <v>5666516</v>
      </c>
      <c r="H494" s="30">
        <f t="shared" si="122"/>
        <v>89.02556703</v>
      </c>
      <c r="I494" s="30">
        <f t="shared" si="123"/>
        <v>74.01909745</v>
      </c>
    </row>
    <row r="495">
      <c r="K495" s="3" t="s">
        <v>486</v>
      </c>
      <c r="L495" s="3" t="s">
        <v>648</v>
      </c>
      <c r="M495" s="3" t="s">
        <v>283</v>
      </c>
    </row>
    <row r="496">
      <c r="A496" s="3" t="s">
        <v>682</v>
      </c>
      <c r="B496" s="3" t="s">
        <v>643</v>
      </c>
      <c r="C496" s="3" t="s">
        <v>463</v>
      </c>
      <c r="D496" s="3">
        <v>1.0</v>
      </c>
      <c r="E496" s="3">
        <v>4033503.0</v>
      </c>
      <c r="F496" s="3">
        <v>1939594.0</v>
      </c>
      <c r="G496" s="30">
        <f t="shared" ref="G496:G497" si="124">E496+F496</f>
        <v>5973097</v>
      </c>
      <c r="H496" s="30">
        <f t="shared" ref="H496:H497" si="125">100-ABS($M$496-G496)/G496*100</f>
        <v>94.72154897</v>
      </c>
      <c r="I496" s="30">
        <f t="shared" ref="I496:I497" si="126">100-ABS($M$497-G496)/G496*100</f>
        <v>70.21992109</v>
      </c>
      <c r="J496" s="3" t="s">
        <v>649</v>
      </c>
      <c r="K496" s="3">
        <v>0.0</v>
      </c>
      <c r="L496" s="3">
        <v>6288384.0</v>
      </c>
      <c r="M496" s="30">
        <f t="shared" ref="M496:M497" si="127">K496+L496</f>
        <v>6288384</v>
      </c>
    </row>
    <row r="497">
      <c r="A497" s="3" t="s">
        <v>682</v>
      </c>
      <c r="B497" s="3" t="s">
        <v>602</v>
      </c>
      <c r="C497" s="3" t="s">
        <v>463</v>
      </c>
      <c r="D497" s="3">
        <v>1.0</v>
      </c>
      <c r="E497" s="3">
        <v>4054291.0</v>
      </c>
      <c r="F497" s="3">
        <v>1993629.0</v>
      </c>
      <c r="G497" s="30">
        <f t="shared" si="124"/>
        <v>6047920</v>
      </c>
      <c r="H497" s="30">
        <f t="shared" si="125"/>
        <v>96.02402148</v>
      </c>
      <c r="I497" s="30">
        <f t="shared" si="126"/>
        <v>69.35118189</v>
      </c>
      <c r="J497" s="3" t="s">
        <v>650</v>
      </c>
      <c r="K497" s="30">
        <f>K493*L493/64</f>
        <v>2097152</v>
      </c>
      <c r="L497" s="30">
        <f>K493*L493/64</f>
        <v>2097152</v>
      </c>
      <c r="M497" s="30">
        <f t="shared" si="127"/>
        <v>4194304</v>
      </c>
    </row>
    <row r="499">
      <c r="A499" s="3" t="s">
        <v>644</v>
      </c>
      <c r="B499" s="3" t="s">
        <v>643</v>
      </c>
      <c r="C499" s="3" t="s">
        <v>463</v>
      </c>
      <c r="D499" s="3">
        <v>1.0</v>
      </c>
      <c r="E499" s="3">
        <v>4315941.0</v>
      </c>
      <c r="F499" s="3">
        <v>2169994.0</v>
      </c>
      <c r="G499" s="30">
        <f t="shared" ref="G499:G500" si="128">E499+F499</f>
        <v>6485935</v>
      </c>
      <c r="H499" s="30">
        <f t="shared" ref="H499:H500" si="129">100-ABS($M$496-G499)/G499*100</f>
        <v>96.95416312</v>
      </c>
      <c r="I499" s="30">
        <f t="shared" ref="I499:I500" si="130">100-ABS($M$497-G499)/G499*100</f>
        <v>64.66768477</v>
      </c>
    </row>
    <row r="500">
      <c r="A500" s="3" t="s">
        <v>644</v>
      </c>
      <c r="B500" s="3" t="s">
        <v>602</v>
      </c>
      <c r="C500" s="3" t="s">
        <v>463</v>
      </c>
      <c r="D500" s="3">
        <v>1.0</v>
      </c>
      <c r="E500" s="3">
        <v>4406640.0</v>
      </c>
      <c r="F500" s="3">
        <v>2091463.0</v>
      </c>
      <c r="G500" s="30">
        <f t="shared" si="128"/>
        <v>6498103</v>
      </c>
      <c r="H500" s="30">
        <f t="shared" si="129"/>
        <v>96.77261195</v>
      </c>
      <c r="I500" s="30">
        <f t="shared" si="130"/>
        <v>64.54659152</v>
      </c>
    </row>
    <row r="502">
      <c r="D502" s="30" t="str">
        <f>"map=["&amp;H487&amp;", "&amp;H488&amp;", "&amp;H490&amp;", "&amp;H491&amp;", "&amp;H493&amp;", "&amp;H494&amp;", "&amp;H496&amp;", "&amp;H497&amp;"]"</f>
        <v>map=[91.6610718151545, 92.8038602159329, 96.1113866399604, 95.7114967073513, 99.8507728593972, 89.0255670327235, 94.7215489719989, 96.0240214817656]</v>
      </c>
    </row>
    <row r="503">
      <c r="D503" s="30" t="str">
        <f>"lit=["&amp;I487&amp;", "&amp;I488&amp;", "&amp;I490&amp;", "&amp;I491&amp;", "&amp;I493&amp;", "&amp;I494&amp;", "&amp;I496&amp;", "&amp;I497&amp;"]"</f>
        <v>lit=[61.1372333748368, 61.8994644918517, 69.2929100020717, 69.5596335265737, 66.5997012916611, 74.0190974489439, 70.2199210895119, 69.3511818939404]</v>
      </c>
    </row>
    <row r="509">
      <c r="D509" s="30" t="str">
        <f>"total=["&amp;M496&amp;", "&amp;M497&amp;", "&amp;G487&amp;", "&amp;G488&amp;", "&amp;G490&amp;", "&amp;G491&amp;", "&amp;G493&amp;", "&amp;G494&amp;"]"</f>
        <v>total=[6288384, 4194304, 6860474, 6775994, 6053006, 6029796, 6297782, 5666516]</v>
      </c>
    </row>
    <row r="512">
      <c r="B512" s="3" t="s">
        <v>567</v>
      </c>
      <c r="C512" s="3" t="s">
        <v>653</v>
      </c>
      <c r="H512" s="3" t="s">
        <v>679</v>
      </c>
      <c r="I512" s="3" t="s">
        <v>650</v>
      </c>
    </row>
    <row r="513">
      <c r="C513" s="3" t="s">
        <v>589</v>
      </c>
      <c r="D513" s="3" t="s">
        <v>636</v>
      </c>
      <c r="H513" s="30">
        <f t="shared" ref="H513:I513" si="131">(H515+H518+H521+H524)/4</f>
        <v>93.14648225</v>
      </c>
      <c r="I513" s="30">
        <f t="shared" si="131"/>
        <v>54.47859351</v>
      </c>
    </row>
    <row r="514">
      <c r="E514" s="3" t="s">
        <v>448</v>
      </c>
      <c r="F514" s="3" t="s">
        <v>449</v>
      </c>
      <c r="G514" s="3" t="s">
        <v>283</v>
      </c>
      <c r="H514" s="30">
        <f t="shared" ref="H514:I514" si="132">(H516+H519+H522+H525)/4</f>
        <v>91.31252707</v>
      </c>
      <c r="I514" s="30">
        <f t="shared" si="132"/>
        <v>38.65548085</v>
      </c>
    </row>
    <row r="515">
      <c r="A515" s="3" t="s">
        <v>642</v>
      </c>
      <c r="B515" s="3" t="s">
        <v>643</v>
      </c>
      <c r="C515" s="3" t="s">
        <v>463</v>
      </c>
      <c r="D515" s="3">
        <v>50.0</v>
      </c>
      <c r="E515" s="3">
        <v>4350028.0</v>
      </c>
      <c r="F515" s="3">
        <v>6546274.0</v>
      </c>
      <c r="G515" s="30">
        <f t="shared" ref="G515:G516" si="133">E515+F515</f>
        <v>10896302</v>
      </c>
      <c r="H515" s="30">
        <f>100-ABS($M$524-G515)/G515*100</f>
        <v>94.14834501</v>
      </c>
      <c r="I515" s="30">
        <f t="shared" ref="I515:I516" si="134">100-ABS($M$525-G515)/G515*100</f>
        <v>55.06455309</v>
      </c>
      <c r="K515" s="46" t="s">
        <v>683</v>
      </c>
    </row>
    <row r="516">
      <c r="A516" s="3" t="s">
        <v>642</v>
      </c>
      <c r="B516" s="3" t="s">
        <v>602</v>
      </c>
      <c r="C516" s="3" t="s">
        <v>463</v>
      </c>
      <c r="D516" s="3">
        <v>50.0</v>
      </c>
      <c r="E516" s="3">
        <v>1.0331989E7</v>
      </c>
      <c r="F516" s="3">
        <v>6642376.0</v>
      </c>
      <c r="G516" s="30">
        <f t="shared" si="133"/>
        <v>16974365</v>
      </c>
      <c r="H516" s="30">
        <f>100-ABS($M$526-G516)/G516*100</f>
        <v>92.43374936</v>
      </c>
      <c r="I516" s="30">
        <f t="shared" si="134"/>
        <v>35.34741948</v>
      </c>
    </row>
    <row r="518">
      <c r="A518" s="3" t="s">
        <v>644</v>
      </c>
      <c r="B518" s="3" t="s">
        <v>643</v>
      </c>
      <c r="C518" s="3" t="s">
        <v>463</v>
      </c>
      <c r="D518" s="3">
        <v>50.0</v>
      </c>
      <c r="E518" s="3">
        <v>4587972.0</v>
      </c>
      <c r="F518" s="3">
        <v>6556922.0</v>
      </c>
      <c r="G518" s="30">
        <f t="shared" ref="G518:G519" si="135">E518+F518</f>
        <v>11144894</v>
      </c>
      <c r="H518" s="30">
        <f>100-ABS($M$524-G518)/G518*100</f>
        <v>92.04832276</v>
      </c>
      <c r="I518" s="30">
        <f t="shared" ref="I518:I519" si="136">100-ABS($M$525-G518)/G518*100</f>
        <v>53.83631284</v>
      </c>
    </row>
    <row r="519">
      <c r="A519" s="3" t="s">
        <v>644</v>
      </c>
      <c r="B519" s="3" t="s">
        <v>602</v>
      </c>
      <c r="C519" s="3" t="s">
        <v>463</v>
      </c>
      <c r="D519" s="3">
        <v>50.0</v>
      </c>
      <c r="E519" s="3">
        <v>8780493.0</v>
      </c>
      <c r="F519" s="3">
        <v>6538910.0</v>
      </c>
      <c r="G519" s="30">
        <f t="shared" si="135"/>
        <v>15319403</v>
      </c>
      <c r="H519" s="30">
        <f>100-ABS($M$527-G519)/G519*100</f>
        <v>92.56312403</v>
      </c>
      <c r="I519" s="30">
        <f t="shared" si="136"/>
        <v>39.16601711</v>
      </c>
    </row>
    <row r="520">
      <c r="K520" s="3" t="s">
        <v>645</v>
      </c>
      <c r="L520" s="3" t="s">
        <v>646</v>
      </c>
    </row>
    <row r="521">
      <c r="A521" s="3" t="s">
        <v>647</v>
      </c>
      <c r="B521" s="3" t="s">
        <v>643</v>
      </c>
      <c r="C521" s="3" t="s">
        <v>463</v>
      </c>
      <c r="D521" s="3">
        <v>50.0</v>
      </c>
      <c r="E521" s="3">
        <v>4479358.0</v>
      </c>
      <c r="F521" s="3">
        <v>6448158.0</v>
      </c>
      <c r="G521" s="30">
        <f t="shared" ref="G521:G522" si="137">E521+F521</f>
        <v>10927516</v>
      </c>
      <c r="H521" s="30">
        <f>100-ABS($M$524-G521)/G521*100</f>
        <v>93.87941413</v>
      </c>
      <c r="I521" s="30">
        <f t="shared" ref="I521:I522" si="138">100-ABS($M$525-G521)/G521*100</f>
        <v>54.90726346</v>
      </c>
      <c r="K521" s="3">
        <v>1.0E8</v>
      </c>
      <c r="L521" s="3">
        <v>4.0</v>
      </c>
    </row>
    <row r="522">
      <c r="A522" s="3" t="s">
        <v>647</v>
      </c>
      <c r="B522" s="3" t="s">
        <v>602</v>
      </c>
      <c r="C522" s="3" t="s">
        <v>463</v>
      </c>
      <c r="D522" s="3">
        <v>50.0</v>
      </c>
      <c r="E522" s="3">
        <v>8491966.0</v>
      </c>
      <c r="F522" s="3">
        <v>6444362.0</v>
      </c>
      <c r="G522" s="30">
        <f t="shared" si="137"/>
        <v>14936328</v>
      </c>
      <c r="H522" s="30">
        <f>100-ABS($M$527-G522)/G522*100</f>
        <v>89.80766893</v>
      </c>
      <c r="I522" s="30">
        <f t="shared" si="138"/>
        <v>40.17051581</v>
      </c>
    </row>
    <row r="523">
      <c r="K523" s="3" t="s">
        <v>486</v>
      </c>
      <c r="L523" s="3" t="s">
        <v>648</v>
      </c>
      <c r="M523" s="3" t="s">
        <v>283</v>
      </c>
    </row>
    <row r="524">
      <c r="A524" s="3" t="s">
        <v>682</v>
      </c>
      <c r="B524" s="3" t="s">
        <v>643</v>
      </c>
      <c r="C524" s="3" t="s">
        <v>463</v>
      </c>
      <c r="D524" s="3">
        <v>50.0</v>
      </c>
      <c r="E524" s="3">
        <v>4643904.0</v>
      </c>
      <c r="F524" s="3">
        <v>6445389.0</v>
      </c>
      <c r="G524" s="30">
        <f t="shared" ref="G524:G525" si="139">E524+F524</f>
        <v>11089293</v>
      </c>
      <c r="H524" s="30">
        <f>100-ABS($M$524-G524)/G524*100</f>
        <v>92.50984711</v>
      </c>
      <c r="I524" s="30">
        <f t="shared" ref="I524:I525" si="140">100-ABS($M$525-G524)/G524*100</f>
        <v>54.10624465</v>
      </c>
      <c r="J524" s="3" t="s">
        <v>684</v>
      </c>
      <c r="K524" s="3">
        <v>0.0</v>
      </c>
      <c r="L524" s="3">
        <v>1.0258688E7</v>
      </c>
      <c r="M524" s="30">
        <f t="shared" ref="M524:M526" si="141">K524+L524</f>
        <v>10258688</v>
      </c>
    </row>
    <row r="525">
      <c r="A525" s="3" t="s">
        <v>682</v>
      </c>
      <c r="B525" s="3" t="s">
        <v>602</v>
      </c>
      <c r="C525" s="3" t="s">
        <v>463</v>
      </c>
      <c r="D525" s="3">
        <v>50.0</v>
      </c>
      <c r="E525" s="3">
        <v>8549930.0</v>
      </c>
      <c r="F525" s="3">
        <v>6473367.0</v>
      </c>
      <c r="G525" s="30">
        <f t="shared" si="139"/>
        <v>15023297</v>
      </c>
      <c r="H525" s="30">
        <f>100-ABS($M$527-G525)/G525*100</f>
        <v>90.44556598</v>
      </c>
      <c r="I525" s="30">
        <f t="shared" si="140"/>
        <v>39.93797101</v>
      </c>
      <c r="J525" s="3" t="s">
        <v>650</v>
      </c>
      <c r="K525" s="30">
        <f>$K$521*$L$521/64*2 *16/50</f>
        <v>4000000</v>
      </c>
      <c r="L525" s="30">
        <f>K525/2</f>
        <v>2000000</v>
      </c>
      <c r="M525" s="30">
        <f t="shared" si="141"/>
        <v>6000000</v>
      </c>
    </row>
    <row r="526">
      <c r="J526" s="3" t="s">
        <v>685</v>
      </c>
      <c r="K526" s="3">
        <v>0.0</v>
      </c>
      <c r="L526" s="3">
        <v>1.8258688E7</v>
      </c>
      <c r="M526" s="30">
        <f t="shared" si="141"/>
        <v>18258688</v>
      </c>
    </row>
    <row r="527">
      <c r="A527" s="3" t="s">
        <v>644</v>
      </c>
      <c r="B527" s="3" t="s">
        <v>643</v>
      </c>
      <c r="C527" s="3" t="s">
        <v>463</v>
      </c>
      <c r="D527" s="3">
        <v>50.0</v>
      </c>
      <c r="E527" s="3">
        <v>4464907.0</v>
      </c>
      <c r="F527" s="3">
        <v>6417795.0</v>
      </c>
      <c r="G527" s="30">
        <f t="shared" ref="G527:G528" si="142">E527+F527</f>
        <v>10882702</v>
      </c>
      <c r="H527" s="30">
        <f>100-ABS($M$524-G527)/G527*100</f>
        <v>94.26600122</v>
      </c>
      <c r="I527" s="30">
        <f t="shared" ref="I527:I528" si="143">100-ABS($M$525-G527)/G527*100</f>
        <v>55.1333667</v>
      </c>
      <c r="J527" s="3" t="s">
        <v>686</v>
      </c>
      <c r="K527" s="97">
        <f>K521/50*3*2</f>
        <v>12000000</v>
      </c>
      <c r="M527" s="3">
        <v>1.6458688E7</v>
      </c>
    </row>
    <row r="528">
      <c r="A528" s="3" t="s">
        <v>644</v>
      </c>
      <c r="B528" s="3" t="s">
        <v>602</v>
      </c>
      <c r="C528" s="3" t="s">
        <v>463</v>
      </c>
      <c r="D528" s="3">
        <v>50.0</v>
      </c>
      <c r="E528" s="3">
        <v>8246398.0</v>
      </c>
      <c r="F528" s="3">
        <v>6380969.0</v>
      </c>
      <c r="G528" s="30">
        <f t="shared" si="142"/>
        <v>14627367</v>
      </c>
      <c r="H528" s="30">
        <f>100-ABS($M$527-G528)/G528*100</f>
        <v>87.48017329</v>
      </c>
      <c r="I528" s="30">
        <f t="shared" si="143"/>
        <v>41.01900226</v>
      </c>
    </row>
    <row r="530">
      <c r="D530" s="30" t="str">
        <f>"map=["&amp;H515&amp;", "&amp;H516&amp;", "&amp;H518&amp;", "&amp;H519&amp;", "&amp;H521&amp;", "&amp;H522&amp;", "&amp;H524&amp;", "&amp;H525&amp;"]"</f>
        <v>map=[94.1483450073245, 92.4337493626419, 92.0483227565915, 92.5631240329666, 93.8794141321779, 89.8076689263921, 92.5098471110827, 90.4455659766295]</v>
      </c>
    </row>
    <row r="531">
      <c r="D531" s="30" t="str">
        <f>"lit=["&amp;I515&amp;", "&amp;I516&amp;", "&amp;I518&amp;", "&amp;I519&amp;", "&amp;I521&amp;", "&amp;I522&amp;", "&amp;I524&amp;", "&amp;I525&amp;"]"</f>
        <v>lit=[55.0645530933339, 35.3474194763692, 53.8363128442496, 39.1660171091524, 54.9072634622544, 40.1705158054912, 54.1062446451726, 39.9379710059649]</v>
      </c>
    </row>
    <row r="537">
      <c r="D537" s="30" t="str">
        <f>"total=["&amp;M524&amp;", "&amp;M525&amp;", "&amp;G515&amp;", "&amp;G516&amp;", "&amp;G518&amp;", "&amp;G519&amp;", "&amp;G521&amp;", "&amp;G522&amp;"]"</f>
        <v>total=[10258688, 6000000, 10896302, 16974365, 11144894, 15319403, 10927516, 14936328]</v>
      </c>
    </row>
    <row r="544">
      <c r="B544" s="3" t="s">
        <v>567</v>
      </c>
      <c r="C544" s="3" t="s">
        <v>654</v>
      </c>
      <c r="H544" s="3" t="s">
        <v>679</v>
      </c>
      <c r="I544" s="3" t="s">
        <v>650</v>
      </c>
    </row>
    <row r="545">
      <c r="C545" s="3" t="s">
        <v>589</v>
      </c>
      <c r="D545" s="3" t="s">
        <v>636</v>
      </c>
      <c r="H545" s="30">
        <f t="shared" ref="H545:I545" si="144">(H547+H550+H553+H556)/4</f>
        <v>96.01979233</v>
      </c>
      <c r="I545" s="30">
        <f t="shared" si="144"/>
        <v>72.01484425</v>
      </c>
    </row>
    <row r="546">
      <c r="E546" s="3" t="s">
        <v>448</v>
      </c>
      <c r="F546" s="3" t="s">
        <v>449</v>
      </c>
      <c r="G546" s="3" t="s">
        <v>283</v>
      </c>
      <c r="H546" s="30">
        <f t="shared" ref="H546:I546" si="145">(H548+H551+H554+H557)/4</f>
        <v>95.93303966</v>
      </c>
      <c r="I546" s="30">
        <f t="shared" si="145"/>
        <v>71.94977975</v>
      </c>
    </row>
    <row r="547">
      <c r="A547" s="3" t="s">
        <v>642</v>
      </c>
      <c r="B547" s="3" t="s">
        <v>643</v>
      </c>
      <c r="C547" s="3" t="s">
        <v>463</v>
      </c>
      <c r="D547" s="3">
        <v>200.0</v>
      </c>
      <c r="E547" s="3">
        <v>1516527.0</v>
      </c>
      <c r="F547" s="3">
        <v>821676.0</v>
      </c>
      <c r="G547" s="89">
        <v>2335441.0</v>
      </c>
      <c r="H547" s="30">
        <f t="shared" ref="H547:H548" si="146">100-ABS($M$556-G547)/G547*100</f>
        <v>85.6369311</v>
      </c>
      <c r="I547" s="30">
        <f t="shared" ref="I547:I548" si="147">100-ABS($M$557-G547)/G547*100</f>
        <v>64.22769832</v>
      </c>
    </row>
    <row r="548">
      <c r="A548" s="3" t="s">
        <v>642</v>
      </c>
      <c r="B548" s="3" t="s">
        <v>602</v>
      </c>
      <c r="C548" s="3" t="s">
        <v>463</v>
      </c>
      <c r="D548" s="3">
        <v>200.0</v>
      </c>
      <c r="E548" s="3">
        <v>1520001.0</v>
      </c>
      <c r="F548" s="3">
        <v>826604.0</v>
      </c>
      <c r="G548" s="89">
        <v>2335805.0</v>
      </c>
      <c r="H548" s="30">
        <f t="shared" si="146"/>
        <v>85.62358587</v>
      </c>
      <c r="I548" s="30">
        <f t="shared" si="147"/>
        <v>64.2176894</v>
      </c>
    </row>
    <row r="550">
      <c r="A550" s="3" t="s">
        <v>644</v>
      </c>
      <c r="B550" s="3" t="s">
        <v>643</v>
      </c>
      <c r="C550" s="3" t="s">
        <v>463</v>
      </c>
      <c r="D550" s="3">
        <v>200.0</v>
      </c>
      <c r="E550" s="3">
        <v>1502104.0</v>
      </c>
      <c r="F550" s="3">
        <v>505245.0</v>
      </c>
      <c r="G550" s="30">
        <f t="shared" ref="G550:G551" si="148">E550+F550</f>
        <v>2007349</v>
      </c>
      <c r="H550" s="30">
        <f t="shared" ref="H550:H551" si="149">100-ABS($M$556-G550)/G550*100</f>
        <v>99.63389525</v>
      </c>
      <c r="I550" s="30">
        <f t="shared" ref="I550:I551" si="150">100-ABS($M$557-G550)/G550*100</f>
        <v>74.72542144</v>
      </c>
      <c r="M550" s="30">
        <f>K553/200</f>
        <v>500000</v>
      </c>
    </row>
    <row r="551">
      <c r="A551" s="3" t="s">
        <v>644</v>
      </c>
      <c r="B551" s="3" t="s">
        <v>602</v>
      </c>
      <c r="C551" s="3" t="s">
        <v>463</v>
      </c>
      <c r="D551" s="3">
        <v>200.0</v>
      </c>
      <c r="E551" s="3">
        <v>1503155.0</v>
      </c>
      <c r="F551" s="3">
        <v>508137.0</v>
      </c>
      <c r="G551" s="30">
        <f t="shared" si="148"/>
        <v>2011292</v>
      </c>
      <c r="H551" s="30">
        <f t="shared" si="149"/>
        <v>99.43856983</v>
      </c>
      <c r="I551" s="30">
        <f t="shared" si="150"/>
        <v>74.57892738</v>
      </c>
    </row>
    <row r="552">
      <c r="K552" s="3" t="s">
        <v>645</v>
      </c>
      <c r="L552" s="3" t="s">
        <v>646</v>
      </c>
    </row>
    <row r="553">
      <c r="A553" s="3" t="s">
        <v>647</v>
      </c>
      <c r="B553" s="3" t="s">
        <v>643</v>
      </c>
      <c r="C553" s="3" t="s">
        <v>463</v>
      </c>
      <c r="D553" s="3">
        <v>200.0</v>
      </c>
      <c r="E553" s="3">
        <v>1501175.0</v>
      </c>
      <c r="F553" s="3">
        <v>505334.0</v>
      </c>
      <c r="G553" s="30">
        <f t="shared" ref="G553:G554" si="151">E553+F553</f>
        <v>2006509</v>
      </c>
      <c r="H553" s="30">
        <f t="shared" ref="H553:H554" si="152">100-ABS($M$556-G553)/G553*100</f>
        <v>99.67560574</v>
      </c>
      <c r="I553" s="30">
        <f t="shared" ref="I553:I554" si="153">100-ABS($M$557-G553)/G553*100</f>
        <v>74.75670431</v>
      </c>
      <c r="K553" s="3">
        <v>1.0E8</v>
      </c>
      <c r="L553" s="3">
        <v>4.0</v>
      </c>
    </row>
    <row r="554">
      <c r="A554" s="3" t="s">
        <v>647</v>
      </c>
      <c r="B554" s="3" t="s">
        <v>602</v>
      </c>
      <c r="C554" s="3" t="s">
        <v>463</v>
      </c>
      <c r="D554" s="3">
        <v>200.0</v>
      </c>
      <c r="E554" s="3">
        <v>1502057.0</v>
      </c>
      <c r="F554" s="3">
        <v>505586.0</v>
      </c>
      <c r="G554" s="30">
        <f t="shared" si="151"/>
        <v>2007643</v>
      </c>
      <c r="H554" s="30">
        <f t="shared" si="152"/>
        <v>99.61930483</v>
      </c>
      <c r="I554" s="30">
        <f t="shared" si="153"/>
        <v>74.71447862</v>
      </c>
    </row>
    <row r="555">
      <c r="K555" s="3" t="s">
        <v>486</v>
      </c>
      <c r="L555" s="3" t="s">
        <v>648</v>
      </c>
      <c r="M555" s="3" t="s">
        <v>283</v>
      </c>
    </row>
    <row r="556">
      <c r="A556" s="3" t="s">
        <v>682</v>
      </c>
      <c r="B556" s="3" t="s">
        <v>643</v>
      </c>
      <c r="C556" s="3" t="s">
        <v>463</v>
      </c>
      <c r="D556" s="3">
        <v>200.0</v>
      </c>
      <c r="E556" s="3">
        <v>1515739.0</v>
      </c>
      <c r="F556" s="3">
        <v>501758.0</v>
      </c>
      <c r="G556" s="30">
        <f t="shared" ref="G556:G557" si="154">E556+F556</f>
        <v>2017497</v>
      </c>
      <c r="H556" s="30">
        <f t="shared" ref="H556:H557" si="155">100-ABS($M$556-G556)/G556*100</f>
        <v>99.13273725</v>
      </c>
      <c r="I556" s="30">
        <f t="shared" ref="I556:I557" si="156">100-ABS($M$557-G556)/G556*100</f>
        <v>74.34955294</v>
      </c>
      <c r="J556" s="3" t="s">
        <v>649</v>
      </c>
      <c r="K556" s="30">
        <f>K553*L553/64*3*16/200</f>
        <v>1500000</v>
      </c>
      <c r="L556" s="30">
        <f>K553*L553/64*16/200</f>
        <v>500000</v>
      </c>
      <c r="M556" s="30">
        <f t="shared" ref="M556:M557" si="157">K556+L556</f>
        <v>2000000</v>
      </c>
    </row>
    <row r="557">
      <c r="A557" s="3" t="s">
        <v>682</v>
      </c>
      <c r="B557" s="3" t="s">
        <v>602</v>
      </c>
      <c r="C557" s="3" t="s">
        <v>463</v>
      </c>
      <c r="D557" s="3">
        <v>200.0</v>
      </c>
      <c r="E557" s="3">
        <v>1515772.0</v>
      </c>
      <c r="F557" s="3">
        <v>503396.0</v>
      </c>
      <c r="G557" s="30">
        <f t="shared" si="154"/>
        <v>2019168</v>
      </c>
      <c r="H557" s="30">
        <f t="shared" si="155"/>
        <v>99.05069811</v>
      </c>
      <c r="I557" s="30">
        <f t="shared" si="156"/>
        <v>74.28802358</v>
      </c>
      <c r="J557" s="3" t="s">
        <v>650</v>
      </c>
      <c r="K557" s="30">
        <f>K553*L553/64*16/200*2</f>
        <v>1000000</v>
      </c>
      <c r="L557" s="30">
        <f>L556</f>
        <v>500000</v>
      </c>
      <c r="M557" s="30">
        <f t="shared" si="157"/>
        <v>1500000</v>
      </c>
    </row>
    <row r="559">
      <c r="A559" s="3" t="s">
        <v>644</v>
      </c>
      <c r="B559" s="3" t="s">
        <v>643</v>
      </c>
      <c r="C559" s="3" t="s">
        <v>463</v>
      </c>
      <c r="D559" s="3">
        <v>200.0</v>
      </c>
      <c r="E559" s="3">
        <v>1502075.0</v>
      </c>
      <c r="F559" s="3">
        <v>502152.0</v>
      </c>
      <c r="G559" s="30">
        <f t="shared" ref="G559:G560" si="158">E559+F559</f>
        <v>2004227</v>
      </c>
      <c r="H559" s="30">
        <f t="shared" ref="H559:H560" si="159">100-ABS($M$556-G559)/G559*100</f>
        <v>99.78909575</v>
      </c>
      <c r="I559" s="30">
        <f t="shared" ref="I559:I560" si="160">100-ABS($M$557-G559)/G559*100</f>
        <v>74.84182181</v>
      </c>
    </row>
    <row r="560">
      <c r="A560" s="3" t="s">
        <v>644</v>
      </c>
      <c r="B560" s="3" t="s">
        <v>602</v>
      </c>
      <c r="C560" s="3" t="s">
        <v>463</v>
      </c>
      <c r="D560" s="3">
        <v>200.0</v>
      </c>
      <c r="E560" s="3">
        <v>1504373.0</v>
      </c>
      <c r="F560" s="3">
        <v>505906.0</v>
      </c>
      <c r="G560" s="30">
        <f t="shared" si="158"/>
        <v>2010279</v>
      </c>
      <c r="H560" s="30">
        <f t="shared" si="159"/>
        <v>99.48867794</v>
      </c>
      <c r="I560" s="30">
        <f t="shared" si="160"/>
        <v>74.61650845</v>
      </c>
    </row>
    <row r="562">
      <c r="D562" s="30" t="str">
        <f>"map=["&amp;H547&amp;", "&amp;H548&amp;", "&amp;H550&amp;", "&amp;H551&amp;", "&amp;H553&amp;", "&amp;H554&amp;", "&amp;H556&amp;", "&amp;H557&amp;"]"</f>
        <v>map=[85.6369310978098, 85.6235858729646, 99.6338952518969, 99.4385698347132, 99.6756057411155, 99.6193048266051, 99.1327372481843, 99.0506981093203]</v>
      </c>
    </row>
    <row r="563">
      <c r="D563" s="30" t="str">
        <f>"lit=["&amp;I547&amp;", "&amp;I548&amp;", "&amp;I550&amp;", "&amp;I551&amp;", "&amp;I553&amp;", "&amp;I554&amp;", "&amp;I556&amp;", "&amp;I557&amp;"]"</f>
        <v>lit=[64.2276983233574, 64.2176894047234, 74.7254214389227, 74.5789273760349, 74.7567043058367, 74.7144786199538, 74.3495529361382, 74.2880235819902]</v>
      </c>
    </row>
    <row r="569">
      <c r="D569" s="30" t="str">
        <f>"total=["&amp;M556&amp;", "&amp;M557&amp;", "&amp;G547&amp;", "&amp;G548&amp;", "&amp;G550&amp;", "&amp;G551&amp;", "&amp;G553&amp;", "&amp;G554&amp;"]"</f>
        <v>total=[2000000, 1500000, 2335441, 2335805, 2007349, 2011292, 2006509, 2007643]</v>
      </c>
    </row>
    <row r="574">
      <c r="A574" s="3" t="s">
        <v>687</v>
      </c>
      <c r="D574" s="3" t="s">
        <v>655</v>
      </c>
      <c r="E574" s="3">
        <v>1.0</v>
      </c>
      <c r="F574" s="3">
        <v>1713800.0</v>
      </c>
      <c r="G574" s="3">
        <v>398826.0</v>
      </c>
      <c r="O574" s="3" t="s">
        <v>688</v>
      </c>
      <c r="R574" s="3" t="s">
        <v>655</v>
      </c>
      <c r="S574" s="3">
        <v>1.0</v>
      </c>
      <c r="T574" s="3">
        <v>1713800.0</v>
      </c>
      <c r="U574" s="3">
        <v>398826.0</v>
      </c>
    </row>
    <row r="575">
      <c r="E575" s="3">
        <v>534214.0</v>
      </c>
      <c r="I575" s="3">
        <v>4000000.0</v>
      </c>
      <c r="J575" s="30">
        <f>LOG(I575)</f>
        <v>6.602059991</v>
      </c>
      <c r="K575" s="30">
        <f>J575*100000</f>
        <v>660205.9991</v>
      </c>
      <c r="L575" s="30">
        <f>K575*3</f>
        <v>1980617.997</v>
      </c>
      <c r="W575" s="3">
        <v>4000000.0</v>
      </c>
      <c r="X575" s="30">
        <f>LOG(W575)</f>
        <v>6.602059991</v>
      </c>
      <c r="Y575" s="30">
        <f>X575*100000</f>
        <v>660205.9991</v>
      </c>
      <c r="Z575" s="30">
        <f>Y575*3</f>
        <v>1980617.997</v>
      </c>
    </row>
    <row r="577">
      <c r="B577" s="3" t="s">
        <v>656</v>
      </c>
      <c r="H577" s="3" t="s">
        <v>679</v>
      </c>
      <c r="I577" s="3" t="s">
        <v>650</v>
      </c>
      <c r="P577" s="3" t="s">
        <v>656</v>
      </c>
      <c r="V577" s="3" t="s">
        <v>679</v>
      </c>
      <c r="W577" s="3" t="s">
        <v>650</v>
      </c>
    </row>
    <row r="578">
      <c r="C578" s="3" t="s">
        <v>589</v>
      </c>
      <c r="D578" s="3" t="s">
        <v>636</v>
      </c>
      <c r="H578" s="30">
        <f t="shared" ref="H578:I578" si="161">(H580+H583+H586+H589)/4</f>
        <v>70.68630139</v>
      </c>
      <c r="I578" s="30">
        <f t="shared" si="161"/>
        <v>-589.0097572</v>
      </c>
      <c r="Q578" s="3" t="s">
        <v>589</v>
      </c>
      <c r="R578" s="3" t="s">
        <v>636</v>
      </c>
      <c r="V578" s="30">
        <f t="shared" ref="V578:W578" si="162">(V580+V583+V586)/3</f>
        <v>-1173.947426</v>
      </c>
      <c r="W578" s="30">
        <f t="shared" si="162"/>
        <v>-716.412418</v>
      </c>
    </row>
    <row r="579">
      <c r="E579" s="3" t="s">
        <v>448</v>
      </c>
      <c r="F579" s="3" t="s">
        <v>449</v>
      </c>
      <c r="G579" s="3" t="s">
        <v>283</v>
      </c>
      <c r="H579" s="30">
        <f t="shared" ref="H579:I579" si="163">(H581+H584+H587+H590)/4</f>
        <v>56.66427619</v>
      </c>
      <c r="I579" s="30">
        <f t="shared" si="163"/>
        <v>-455.4113257</v>
      </c>
      <c r="J579" s="3">
        <v>4096.0</v>
      </c>
      <c r="K579" s="3">
        <v>4096.0</v>
      </c>
      <c r="S579" s="3" t="s">
        <v>448</v>
      </c>
      <c r="T579" s="3" t="s">
        <v>449</v>
      </c>
      <c r="U579" s="3" t="s">
        <v>283</v>
      </c>
      <c r="V579" s="30">
        <f t="shared" ref="V579:W579" si="164">(V581+V584+V587)/3</f>
        <v>-957.0936098</v>
      </c>
      <c r="W579" s="30">
        <f t="shared" si="164"/>
        <v>-571.7725819</v>
      </c>
      <c r="X579" s="3">
        <v>4096.0</v>
      </c>
      <c r="Y579" s="3">
        <v>4096.0</v>
      </c>
    </row>
    <row r="580">
      <c r="A580" s="3" t="s">
        <v>642</v>
      </c>
      <c r="B580" s="3" t="s">
        <v>643</v>
      </c>
      <c r="C580" s="3" t="s">
        <v>655</v>
      </c>
      <c r="D580" s="3">
        <v>1.0</v>
      </c>
      <c r="E580" s="3">
        <v>426155.0</v>
      </c>
      <c r="G580" s="30">
        <f t="shared" ref="G580:G581" si="165">E580+F580</f>
        <v>426155</v>
      </c>
      <c r="H580" s="30">
        <f t="shared" ref="H580:H581" si="166">100-ABS($M$589-G580)/G580*100</f>
        <v>61.88821813</v>
      </c>
      <c r="I580" s="30">
        <f t="shared" ref="I580:I581" si="167">100-ABS($M$497-G580)/G580*100</f>
        <v>-784.2202954</v>
      </c>
      <c r="O580" s="3" t="s">
        <v>642</v>
      </c>
      <c r="P580" s="3" t="s">
        <v>643</v>
      </c>
      <c r="Q580" s="3" t="s">
        <v>655</v>
      </c>
      <c r="R580" s="3">
        <v>1.0</v>
      </c>
      <c r="S580" s="3">
        <v>426155.0</v>
      </c>
      <c r="U580" s="30">
        <f t="shared" ref="U580:U581" si="168">S580+T580</f>
        <v>426155</v>
      </c>
      <c r="V580" s="30">
        <f t="shared" ref="V580:V581" si="169">100-ABS($M$496-U580)/U580*100</f>
        <v>-1275.609579</v>
      </c>
      <c r="W580" s="30">
        <f t="shared" ref="W580:W581" si="170">100-ABS($M$497-U580)/U580*100</f>
        <v>-784.2202954</v>
      </c>
    </row>
    <row r="581">
      <c r="A581" s="3" t="s">
        <v>642</v>
      </c>
      <c r="B581" s="3" t="s">
        <v>602</v>
      </c>
      <c r="C581" s="3" t="s">
        <v>655</v>
      </c>
      <c r="D581" s="3">
        <v>1.0</v>
      </c>
      <c r="E581" s="3">
        <v>472839.0</v>
      </c>
      <c r="G581" s="30">
        <f t="shared" si="165"/>
        <v>472839</v>
      </c>
      <c r="H581" s="30">
        <f t="shared" si="166"/>
        <v>75.52417122</v>
      </c>
      <c r="I581" s="30">
        <f t="shared" si="167"/>
        <v>-687.0469652</v>
      </c>
      <c r="O581" s="3" t="s">
        <v>642</v>
      </c>
      <c r="P581" s="3" t="s">
        <v>602</v>
      </c>
      <c r="Q581" s="3" t="s">
        <v>655</v>
      </c>
      <c r="R581" s="3">
        <v>1.0</v>
      </c>
      <c r="S581" s="3">
        <v>472839.0</v>
      </c>
      <c r="U581" s="30">
        <f t="shared" si="168"/>
        <v>472839</v>
      </c>
      <c r="V581" s="30">
        <f t="shared" si="169"/>
        <v>-1129.920755</v>
      </c>
      <c r="W581" s="30">
        <f t="shared" si="170"/>
        <v>-687.0469652</v>
      </c>
    </row>
    <row r="582">
      <c r="J582" s="30">
        <f>(H581+H587)/2</f>
        <v>64.6929701</v>
      </c>
      <c r="X582" s="30">
        <f>(V581+V587)/2</f>
        <v>-1262.810577</v>
      </c>
    </row>
    <row r="583">
      <c r="A583" s="3" t="s">
        <v>644</v>
      </c>
      <c r="B583" s="3" t="s">
        <v>643</v>
      </c>
      <c r="C583" s="3" t="s">
        <v>463</v>
      </c>
      <c r="D583" s="3">
        <v>1.0</v>
      </c>
      <c r="E583" s="3">
        <v>534214.0</v>
      </c>
      <c r="G583" s="30">
        <f t="shared" ref="G583:G584" si="171">E583+F583</f>
        <v>534214</v>
      </c>
      <c r="H583" s="30">
        <f t="shared" ref="H583:H584" si="172">100-ABS($M$589-G583)/G583*100</f>
        <v>89.82500196</v>
      </c>
      <c r="I583" s="30">
        <f t="shared" ref="I583:I584" si="173">100-ABS($M$497-G583)/G583*100</f>
        <v>-585.1355449</v>
      </c>
      <c r="O583" s="3" t="s">
        <v>644</v>
      </c>
      <c r="P583" s="3" t="s">
        <v>643</v>
      </c>
      <c r="Q583" s="3" t="s">
        <v>463</v>
      </c>
      <c r="R583" s="3">
        <v>1.0</v>
      </c>
      <c r="S583" s="3">
        <v>534214.0</v>
      </c>
      <c r="U583" s="30">
        <f t="shared" ref="U583:U584" si="174">S583+T583</f>
        <v>534214</v>
      </c>
      <c r="V583" s="30">
        <f t="shared" ref="V583:V584" si="175">100-ABS($M$496-U583)/U583*100</f>
        <v>-977.1282669</v>
      </c>
      <c r="W583" s="30">
        <f t="shared" ref="W583:W584" si="176">100-ABS($M$497-U583)/U583*100</f>
        <v>-585.1355449</v>
      </c>
    </row>
    <row r="584">
      <c r="A584" s="3" t="s">
        <v>644</v>
      </c>
      <c r="B584" s="3" t="s">
        <v>602</v>
      </c>
      <c r="C584" s="3" t="s">
        <v>463</v>
      </c>
      <c r="D584" s="3">
        <v>1.0</v>
      </c>
      <c r="E584" s="3">
        <v>1152437.0</v>
      </c>
      <c r="G584" s="30">
        <f t="shared" si="171"/>
        <v>1152437</v>
      </c>
      <c r="H584" s="30">
        <f t="shared" si="172"/>
        <v>51.07179516</v>
      </c>
      <c r="I584" s="30">
        <f t="shared" si="173"/>
        <v>-163.9508277</v>
      </c>
      <c r="O584" s="3" t="s">
        <v>644</v>
      </c>
      <c r="P584" s="3" t="s">
        <v>602</v>
      </c>
      <c r="Q584" s="3" t="s">
        <v>463</v>
      </c>
      <c r="R584" s="3">
        <v>1.0</v>
      </c>
      <c r="S584" s="3">
        <v>1152437.0</v>
      </c>
      <c r="U584" s="30">
        <f t="shared" si="174"/>
        <v>1152437</v>
      </c>
      <c r="V584" s="30">
        <f t="shared" si="175"/>
        <v>-345.659676</v>
      </c>
      <c r="W584" s="30">
        <f t="shared" si="176"/>
        <v>-163.9508277</v>
      </c>
    </row>
    <row r="585">
      <c r="K585" s="3" t="s">
        <v>645</v>
      </c>
      <c r="L585" s="3" t="s">
        <v>646</v>
      </c>
      <c r="Y585" s="3" t="s">
        <v>645</v>
      </c>
      <c r="Z585" s="3" t="s">
        <v>646</v>
      </c>
    </row>
    <row r="586">
      <c r="A586" s="3" t="s">
        <v>647</v>
      </c>
      <c r="B586" s="3" t="s">
        <v>643</v>
      </c>
      <c r="C586" s="3" t="s">
        <v>463</v>
      </c>
      <c r="D586" s="3">
        <v>1.0</v>
      </c>
      <c r="E586" s="3">
        <v>446638.0</v>
      </c>
      <c r="G586" s="30">
        <f t="shared" ref="G586:G587" si="177">E586+F586</f>
        <v>446638</v>
      </c>
      <c r="H586" s="30">
        <f t="shared" ref="H586:H587" si="178">100-ABS($M$589-G586)/G586*100</f>
        <v>68.22208051</v>
      </c>
      <c r="I586" s="30">
        <f t="shared" ref="I586:I587" si="179">100-ABS($M$497-G586)/G586*100</f>
        <v>-739.0835531</v>
      </c>
      <c r="K586" s="3">
        <v>1.0E8</v>
      </c>
      <c r="L586" s="3">
        <v>4.0</v>
      </c>
      <c r="O586" s="3" t="s">
        <v>647</v>
      </c>
      <c r="P586" s="3" t="s">
        <v>643</v>
      </c>
      <c r="Q586" s="3" t="s">
        <v>463</v>
      </c>
      <c r="R586" s="3">
        <v>1.0</v>
      </c>
      <c r="S586" s="3">
        <v>428042.0</v>
      </c>
      <c r="U586" s="30">
        <f t="shared" ref="U586:U587" si="180">S586+T586</f>
        <v>428042</v>
      </c>
      <c r="V586" s="30">
        <f t="shared" ref="V586:V587" si="181">100-ABS($M$496-U586)/U586*100</f>
        <v>-1269.104434</v>
      </c>
      <c r="W586" s="30">
        <f t="shared" ref="W586:W587" si="182">100-ABS($M$497-U586)/U586*100</f>
        <v>-779.8814135</v>
      </c>
      <c r="Y586" s="3">
        <v>1.0E8</v>
      </c>
      <c r="Z586" s="3">
        <v>4.0</v>
      </c>
    </row>
    <row r="587">
      <c r="A587" s="3" t="s">
        <v>647</v>
      </c>
      <c r="B587" s="3" t="s">
        <v>602</v>
      </c>
      <c r="C587" s="3" t="s">
        <v>463</v>
      </c>
      <c r="D587" s="3">
        <v>1.0</v>
      </c>
      <c r="E587" s="3">
        <v>402749.0</v>
      </c>
      <c r="G587" s="30">
        <f t="shared" si="177"/>
        <v>402749</v>
      </c>
      <c r="H587" s="30">
        <f t="shared" si="178"/>
        <v>53.86176898</v>
      </c>
      <c r="I587" s="30">
        <f t="shared" si="179"/>
        <v>-841.418849</v>
      </c>
      <c r="O587" s="3" t="s">
        <v>647</v>
      </c>
      <c r="P587" s="3" t="s">
        <v>602</v>
      </c>
      <c r="Q587" s="3" t="s">
        <v>463</v>
      </c>
      <c r="R587" s="3">
        <v>1.0</v>
      </c>
      <c r="S587" s="3">
        <v>394083.0</v>
      </c>
      <c r="U587" s="30">
        <f t="shared" si="180"/>
        <v>394083</v>
      </c>
      <c r="V587" s="30">
        <f t="shared" si="181"/>
        <v>-1395.700398</v>
      </c>
      <c r="W587" s="30">
        <f t="shared" si="182"/>
        <v>-864.3199529</v>
      </c>
    </row>
    <row r="588">
      <c r="K588" s="3" t="s">
        <v>486</v>
      </c>
      <c r="L588" s="3" t="s">
        <v>648</v>
      </c>
      <c r="M588" s="3" t="s">
        <v>283</v>
      </c>
      <c r="Y588" s="3" t="s">
        <v>486</v>
      </c>
      <c r="Z588" s="3" t="s">
        <v>648</v>
      </c>
      <c r="AA588" s="3" t="s">
        <v>283</v>
      </c>
      <c r="AB588" s="3"/>
      <c r="AC588" s="3"/>
      <c r="AD588" s="3"/>
      <c r="AE588" s="3"/>
      <c r="AF588" s="3"/>
      <c r="AG588" s="3"/>
      <c r="AH588" s="3"/>
      <c r="AI588" s="3"/>
      <c r="AJ588" s="3"/>
      <c r="AK588" s="3"/>
      <c r="AL588" s="3"/>
      <c r="AM588" s="3"/>
      <c r="AN588" s="3"/>
      <c r="AO588" s="3"/>
      <c r="AP588" s="3"/>
      <c r="AQ588" s="3"/>
      <c r="AR588" s="3"/>
      <c r="AS588" s="3"/>
      <c r="AT588" s="3"/>
      <c r="AU588" s="3"/>
    </row>
    <row r="589">
      <c r="A589" s="3" t="s">
        <v>682</v>
      </c>
      <c r="B589" s="3" t="s">
        <v>643</v>
      </c>
      <c r="C589" s="3" t="s">
        <v>463</v>
      </c>
      <c r="D589" s="3">
        <v>1.0</v>
      </c>
      <c r="E589" s="3">
        <v>937066.0</v>
      </c>
      <c r="G589" s="30">
        <f t="shared" ref="G589:G590" si="183">E589+F589</f>
        <v>937066</v>
      </c>
      <c r="H589" s="30">
        <f t="shared" ref="H589:H590" si="184">100-ABS($M$589-G589)/G589*100</f>
        <v>62.80990496</v>
      </c>
      <c r="I589" s="30">
        <f t="shared" ref="I589:I590" si="185">100-ABS($M$497-G589)/G589*100</f>
        <v>-247.5996355</v>
      </c>
      <c r="J589" s="3" t="s">
        <v>649</v>
      </c>
      <c r="K589" s="30">
        <v>588570.2640307106</v>
      </c>
      <c r="M589" s="30">
        <f t="shared" ref="M589:M590" si="186">K589+L589</f>
        <v>588570.264</v>
      </c>
      <c r="O589" s="3" t="s">
        <v>689</v>
      </c>
      <c r="P589" s="3" t="s">
        <v>643</v>
      </c>
      <c r="Q589" s="3" t="s">
        <v>463</v>
      </c>
      <c r="R589" s="3">
        <v>1.0</v>
      </c>
      <c r="U589" s="30">
        <f t="shared" ref="U589:U590" si="187">S589+T589</f>
        <v>0</v>
      </c>
      <c r="V589" s="30" t="str">
        <f t="shared" ref="V589:V590" si="188">100-ABS($M$496-U589)/U589*100</f>
        <v>#DIV/0!</v>
      </c>
      <c r="W589" s="30" t="str">
        <f t="shared" ref="W589:W590" si="189">100-ABS($M$497-U589)/U589*100</f>
        <v>#DIV/0!</v>
      </c>
      <c r="X589" s="3" t="s">
        <v>649</v>
      </c>
      <c r="Y589" s="30">
        <v>588570.2640307106</v>
      </c>
      <c r="AA589" s="30">
        <f t="shared" ref="AA589:AA590" si="190">Y589+Z589</f>
        <v>588570.264</v>
      </c>
    </row>
    <row r="590">
      <c r="A590" s="3" t="s">
        <v>682</v>
      </c>
      <c r="B590" s="3" t="s">
        <v>602</v>
      </c>
      <c r="C590" s="3" t="s">
        <v>463</v>
      </c>
      <c r="D590" s="3">
        <v>1.0</v>
      </c>
      <c r="E590" s="3">
        <v>1273979.0</v>
      </c>
      <c r="G590" s="30">
        <f t="shared" si="183"/>
        <v>1273979</v>
      </c>
      <c r="H590" s="30">
        <f t="shared" si="184"/>
        <v>46.19936938</v>
      </c>
      <c r="I590" s="30">
        <f t="shared" si="185"/>
        <v>-129.2286608</v>
      </c>
      <c r="J590" s="3" t="s">
        <v>650</v>
      </c>
      <c r="K590" s="3">
        <v>0.0</v>
      </c>
      <c r="M590" s="30">
        <f t="shared" si="186"/>
        <v>0</v>
      </c>
      <c r="O590" s="3" t="s">
        <v>689</v>
      </c>
      <c r="P590" s="3" t="s">
        <v>602</v>
      </c>
      <c r="Q590" s="3" t="s">
        <v>463</v>
      </c>
      <c r="R590" s="3">
        <v>1.0</v>
      </c>
      <c r="U590" s="30">
        <f t="shared" si="187"/>
        <v>0</v>
      </c>
      <c r="V590" s="30" t="str">
        <f t="shared" si="188"/>
        <v>#DIV/0!</v>
      </c>
      <c r="W590" s="30" t="str">
        <f t="shared" si="189"/>
        <v>#DIV/0!</v>
      </c>
      <c r="X590" s="3" t="s">
        <v>650</v>
      </c>
      <c r="Y590" s="30">
        <f>Y586*Z586/64*16/200*2</f>
        <v>1000000</v>
      </c>
      <c r="AA590" s="30">
        <f t="shared" si="190"/>
        <v>1000000</v>
      </c>
    </row>
    <row r="592">
      <c r="A592" s="3" t="s">
        <v>689</v>
      </c>
      <c r="B592" s="3" t="s">
        <v>643</v>
      </c>
      <c r="C592" s="3" t="s">
        <v>463</v>
      </c>
      <c r="D592" s="3">
        <v>1.0</v>
      </c>
      <c r="E592" s="3">
        <v>575884.0</v>
      </c>
      <c r="G592" s="30">
        <f t="shared" ref="G592:G593" si="191">E592+F592</f>
        <v>575884</v>
      </c>
      <c r="H592" s="30">
        <f t="shared" ref="H592:H593" si="192">100-ABS($M$589-G592)/G592*100</f>
        <v>97.79707996</v>
      </c>
      <c r="I592" s="30">
        <f t="shared" ref="I592:I593" si="193">100-ABS($M$497-G592)/G592*100</f>
        <v>-528.3244542</v>
      </c>
      <c r="K592" s="30">
        <v>588570.2640307106</v>
      </c>
      <c r="O592" s="3" t="s">
        <v>682</v>
      </c>
      <c r="P592" s="3" t="s">
        <v>643</v>
      </c>
      <c r="Q592" s="3" t="s">
        <v>463</v>
      </c>
      <c r="R592" s="3">
        <v>1.0</v>
      </c>
      <c r="U592" s="30">
        <f t="shared" ref="U592:U593" si="194">S592+T592</f>
        <v>0</v>
      </c>
      <c r="V592" s="30" t="str">
        <f t="shared" ref="V592:V593" si="195">100-ABS($M$496-U592)/U592*100</f>
        <v>#DIV/0!</v>
      </c>
      <c r="W592" s="30" t="str">
        <f t="shared" ref="W592:W593" si="196">100-ABS($M$497-U592)/U592*100</f>
        <v>#DIV/0!</v>
      </c>
    </row>
    <row r="593">
      <c r="A593" s="3" t="s">
        <v>689</v>
      </c>
      <c r="B593" s="3" t="s">
        <v>602</v>
      </c>
      <c r="C593" s="3" t="s">
        <v>463</v>
      </c>
      <c r="D593" s="3">
        <v>1.0</v>
      </c>
      <c r="E593" s="3">
        <v>1428577.0</v>
      </c>
      <c r="G593" s="30">
        <f t="shared" si="191"/>
        <v>1428577</v>
      </c>
      <c r="H593" s="30">
        <f t="shared" si="192"/>
        <v>41.1997578</v>
      </c>
      <c r="I593" s="30">
        <f t="shared" si="193"/>
        <v>-93.60013496</v>
      </c>
      <c r="K593" s="30">
        <v>529713.2376276394</v>
      </c>
      <c r="O593" s="3" t="s">
        <v>682</v>
      </c>
      <c r="P593" s="3" t="s">
        <v>602</v>
      </c>
      <c r="Q593" s="3" t="s">
        <v>463</v>
      </c>
      <c r="R593" s="3">
        <v>1.0</v>
      </c>
      <c r="U593" s="30">
        <f t="shared" si="194"/>
        <v>0</v>
      </c>
      <c r="V593" s="30" t="str">
        <f t="shared" si="195"/>
        <v>#DIV/0!</v>
      </c>
      <c r="W593" s="30" t="str">
        <f t="shared" si="196"/>
        <v>#DIV/0!</v>
      </c>
    </row>
    <row r="594">
      <c r="H594" s="30">
        <f>LOG(768604)</f>
        <v>5.88570264</v>
      </c>
      <c r="V594" s="30">
        <f>LOG(768604)</f>
        <v>5.88570264</v>
      </c>
    </row>
    <row r="595">
      <c r="D595" s="30" t="str">
        <f>"map=["&amp;H580&amp;", "&amp;H581&amp;", "&amp;H583&amp;", "&amp;H584&amp;", "&amp;H586&amp;", "&amp;H587&amp;", "&amp;H589&amp;", "&amp;H590&amp;"]"</f>
        <v>map=[61.8882181293871, 75.5241712230356, 89.8250019597557, 51.0717951637018, 68.2220805147098, 53.8617689849731, 62.8099049619462, 46.1993693797708]</v>
      </c>
    </row>
    <row r="596">
      <c r="D596" s="30" t="str">
        <f>"lit=["&amp;I580&amp;", "&amp;I581&amp;", "&amp;I583&amp;", "&amp;I584&amp;", "&amp;I586&amp;", "&amp;I587&amp;", "&amp;I589&amp;", "&amp;I590&amp;"]"</f>
        <v>lit=[-784.220295432413, -687.046965246099, -585.135544931432, -163.950827680819, -739.083553123559, -841.418848960519, -247.599635457908, -129.228660755005]</v>
      </c>
    </row>
    <row r="602">
      <c r="D602" s="30" t="str">
        <f>"total=["&amp;M589&amp;", "&amp;M590&amp;", "&amp;G580&amp;", "&amp;G581&amp;", "&amp;G583&amp;", "&amp;G584&amp;", "&amp;G586&amp;", "&amp;G587&amp;"]"</f>
        <v>total=[588570.264030711, 0, 426155, 472839, 534214, 1152437, 446638, 402749]</v>
      </c>
      <c r="L602" s="3" t="s">
        <v>690</v>
      </c>
      <c r="M602" s="101">
        <v>588570.2640307107</v>
      </c>
      <c r="N602" s="30">
        <f>M602*64</f>
        <v>37668496.9</v>
      </c>
      <c r="R602" s="30" t="str">
        <f>"total=["&amp;AA589&amp;", "&amp;AA590&amp;", "&amp;U580&amp;", "&amp;U581&amp;", "&amp;U583&amp;", "&amp;U584&amp;", "&amp;U586&amp;", "&amp;U587&amp;"]"</f>
        <v>total=[588570.264030711, 1000000, 426155, 472839, 534214, 1152437, 428042, 394083]</v>
      </c>
    </row>
    <row r="603">
      <c r="L603" s="3" t="s">
        <v>691</v>
      </c>
      <c r="M603" s="3">
        <v>64.0</v>
      </c>
    </row>
    <row r="604">
      <c r="F604" s="3">
        <v>240.0</v>
      </c>
      <c r="G604" s="30">
        <f>F604*F609</f>
        <v>251658240</v>
      </c>
      <c r="H604" s="30">
        <f>E606/G604</f>
        <v>0.02443326314</v>
      </c>
      <c r="I604" s="30">
        <f>E611/G604</f>
        <v>0.1666666667</v>
      </c>
      <c r="J604" s="30">
        <f>H604*I604</f>
        <v>0.004072210524</v>
      </c>
      <c r="L604" s="3" t="s">
        <v>692</v>
      </c>
      <c r="M604" s="30">
        <f>30*1024*1024</f>
        <v>31457280</v>
      </c>
    </row>
    <row r="605">
      <c r="L605" s="3" t="s">
        <v>693</v>
      </c>
      <c r="M605" s="30">
        <f>M604/M603</f>
        <v>491520</v>
      </c>
    </row>
    <row r="606">
      <c r="A606" s="30">
        <f>LOG(D606)</f>
        <v>5.88570264</v>
      </c>
      <c r="B606" s="30">
        <f>A606*90000</f>
        <v>529713.2376</v>
      </c>
      <c r="D606" s="98">
        <v>768604.0</v>
      </c>
      <c r="E606" s="30">
        <f>D606*8</f>
        <v>6148832</v>
      </c>
      <c r="F606" s="30">
        <f>E606/F609</f>
        <v>5.863983154</v>
      </c>
      <c r="I606" s="30">
        <f>D609/D606</f>
        <v>0.7657652888</v>
      </c>
    </row>
    <row r="607">
      <c r="F607" s="3">
        <v>477873.0</v>
      </c>
    </row>
    <row r="608">
      <c r="D608" s="30">
        <f>log(D606)</f>
        <v>5.88570264</v>
      </c>
    </row>
    <row r="609">
      <c r="D609" s="30">
        <f>D608*100000</f>
        <v>588570.264</v>
      </c>
      <c r="E609" s="30">
        <f>D609*64</f>
        <v>37668496.9</v>
      </c>
      <c r="F609" s="99">
        <v>1048576.0</v>
      </c>
      <c r="G609" s="30">
        <f>E609/F609</f>
        <v>35.92347803</v>
      </c>
    </row>
    <row r="610">
      <c r="D610" s="3" t="s">
        <v>657</v>
      </c>
    </row>
    <row r="611">
      <c r="C611" s="3" t="s">
        <v>658</v>
      </c>
      <c r="D611" s="3">
        <v>40.0</v>
      </c>
      <c r="E611" s="30">
        <f t="shared" ref="E611:E613" si="197">D611*$F$609</f>
        <v>41943040</v>
      </c>
    </row>
    <row r="612">
      <c r="C612" s="3" t="s">
        <v>659</v>
      </c>
      <c r="D612" s="3">
        <v>14.0</v>
      </c>
      <c r="E612" s="30">
        <f t="shared" si="197"/>
        <v>14680064</v>
      </c>
    </row>
    <row r="613">
      <c r="C613" s="3" t="s">
        <v>660</v>
      </c>
      <c r="D613" s="3">
        <v>28.0</v>
      </c>
      <c r="E613" s="30">
        <f t="shared" si="197"/>
        <v>29360128</v>
      </c>
    </row>
    <row r="614">
      <c r="K614" s="3">
        <v>102.0</v>
      </c>
    </row>
    <row r="615">
      <c r="A615" s="3">
        <v>400.0</v>
      </c>
      <c r="B615" s="3"/>
      <c r="C615" s="30">
        <f>A615*A615*A615</f>
        <v>64000000</v>
      </c>
    </row>
    <row r="617">
      <c r="C617" s="3" t="s">
        <v>694</v>
      </c>
      <c r="Z617" s="3" t="s">
        <v>694</v>
      </c>
    </row>
    <row r="618">
      <c r="B618" s="3" t="s">
        <v>695</v>
      </c>
      <c r="Y618" s="3" t="s">
        <v>695</v>
      </c>
    </row>
    <row r="619">
      <c r="D619" s="95" t="s">
        <v>696</v>
      </c>
      <c r="E619" s="5"/>
      <c r="F619" s="6"/>
      <c r="G619" s="95" t="s">
        <v>697</v>
      </c>
      <c r="H619" s="5"/>
      <c r="I619" s="6"/>
      <c r="J619" s="95" t="s">
        <v>698</v>
      </c>
      <c r="K619" s="6"/>
      <c r="L619" s="95" t="s">
        <v>498</v>
      </c>
      <c r="M619" s="6"/>
      <c r="AA619" s="95" t="s">
        <v>696</v>
      </c>
      <c r="AB619" s="5"/>
      <c r="AC619" s="6"/>
      <c r="AD619" s="95" t="s">
        <v>697</v>
      </c>
      <c r="AE619" s="5"/>
      <c r="AF619" s="6"/>
      <c r="AG619" s="95" t="s">
        <v>698</v>
      </c>
      <c r="AH619" s="6"/>
      <c r="AI619" s="95" t="s">
        <v>498</v>
      </c>
      <c r="AJ619" s="6"/>
    </row>
    <row r="620">
      <c r="C620" s="3" t="s">
        <v>699</v>
      </c>
      <c r="D620" s="3" t="s">
        <v>448</v>
      </c>
      <c r="E620" s="3" t="s">
        <v>323</v>
      </c>
      <c r="F620" s="3" t="s">
        <v>283</v>
      </c>
      <c r="G620" s="3" t="s">
        <v>448</v>
      </c>
      <c r="H620" s="3" t="s">
        <v>323</v>
      </c>
      <c r="I620" s="3" t="s">
        <v>283</v>
      </c>
      <c r="J620" s="3" t="s">
        <v>700</v>
      </c>
      <c r="K620" s="3" t="s">
        <v>701</v>
      </c>
      <c r="L620" s="3" t="s">
        <v>700</v>
      </c>
      <c r="M620" s="3" t="s">
        <v>701</v>
      </c>
      <c r="P620" s="73" t="s">
        <v>700</v>
      </c>
      <c r="Q620" s="73" t="s">
        <v>701</v>
      </c>
      <c r="Z620" s="3" t="s">
        <v>699</v>
      </c>
      <c r="AA620" s="3" t="s">
        <v>448</v>
      </c>
      <c r="AB620" s="3" t="s">
        <v>323</v>
      </c>
      <c r="AC620" s="3" t="s">
        <v>283</v>
      </c>
      <c r="AD620" s="3" t="s">
        <v>448</v>
      </c>
      <c r="AE620" s="3" t="s">
        <v>323</v>
      </c>
      <c r="AF620" s="3" t="s">
        <v>283</v>
      </c>
      <c r="AG620" s="3" t="s">
        <v>700</v>
      </c>
      <c r="AH620" s="3" t="s">
        <v>701</v>
      </c>
      <c r="AI620" s="3" t="s">
        <v>700</v>
      </c>
      <c r="AJ620" s="3" t="s">
        <v>701</v>
      </c>
      <c r="AM620" s="73" t="s">
        <v>700</v>
      </c>
      <c r="AN620" s="73" t="s">
        <v>701</v>
      </c>
    </row>
    <row r="621">
      <c r="C621" s="3" t="s">
        <v>702</v>
      </c>
      <c r="D621" s="3">
        <v>2323120.0</v>
      </c>
      <c r="E621" s="3">
        <v>3235742.0</v>
      </c>
      <c r="F621" s="30">
        <f t="shared" ref="F621:F640" si="198">D621+E621</f>
        <v>5558862</v>
      </c>
      <c r="G621" s="3">
        <v>4307133.0</v>
      </c>
      <c r="H621" s="3">
        <v>3253989.0</v>
      </c>
      <c r="I621" s="30">
        <f t="shared" ref="I621:I640" si="199">G621+H621</f>
        <v>7561122</v>
      </c>
      <c r="J621" s="3">
        <v>5145728.0</v>
      </c>
      <c r="K621" s="3">
        <v>8245728.0</v>
      </c>
      <c r="L621" s="30">
        <f t="shared" ref="L621:L640" si="200">100 - ((ABS(J621-F621))/F621*100)</f>
        <v>92.56801122</v>
      </c>
      <c r="M621" s="30">
        <f t="shared" ref="M621:M640" si="201">100 - ((ABS(I621-K621))/I621*100)</f>
        <v>90.94570885</v>
      </c>
      <c r="P621" s="30">
        <v>92.56801122244084</v>
      </c>
      <c r="Q621" s="30">
        <v>90.94570885114669</v>
      </c>
      <c r="Z621" s="3" t="s">
        <v>703</v>
      </c>
      <c r="AA621" s="3">
        <v>1.8574077E7</v>
      </c>
      <c r="AB621" s="3">
        <v>6161199.0</v>
      </c>
      <c r="AC621" s="30">
        <f t="shared" ref="AC621:AC640" si="202">AA621+AB621</f>
        <v>24735276</v>
      </c>
      <c r="AD621" s="3">
        <v>1.8736121E7</v>
      </c>
      <c r="AE621" s="3">
        <v>6178699.0</v>
      </c>
      <c r="AF621" s="30">
        <f t="shared" ref="AF621:AF640" si="203">AD621+AE621</f>
        <v>24914820</v>
      </c>
      <c r="AG621" s="3">
        <v>2.5E7</v>
      </c>
      <c r="AH621" s="3">
        <v>2.5E7</v>
      </c>
      <c r="AI621" s="30">
        <f t="shared" ref="AI621:AI640" si="204">100 - ((ABS(AG621-AC621))/AC621*100)</f>
        <v>98.92977139</v>
      </c>
      <c r="AJ621" s="30">
        <f t="shared" ref="AJ621:AJ640" si="205">100 - ((ABS(AF621-AH621))/AF621*100)</f>
        <v>99.65811513</v>
      </c>
      <c r="AM621" s="30">
        <v>98.92977139207987</v>
      </c>
      <c r="AN621" s="30">
        <v>99.6581151298705</v>
      </c>
    </row>
    <row r="622">
      <c r="C622" s="3" t="s">
        <v>704</v>
      </c>
      <c r="D622" s="3">
        <v>4643904.0</v>
      </c>
      <c r="E622" s="3">
        <v>6445389.0</v>
      </c>
      <c r="F622" s="30">
        <f t="shared" si="198"/>
        <v>11089293</v>
      </c>
      <c r="G622" s="3">
        <v>8549930.0</v>
      </c>
      <c r="H622" s="3">
        <v>6473367.0</v>
      </c>
      <c r="I622" s="30">
        <f t="shared" si="199"/>
        <v>15023297</v>
      </c>
      <c r="J622" s="30">
        <v>1.0258688E7</v>
      </c>
      <c r="K622" s="73">
        <v>1.6458688E7</v>
      </c>
      <c r="L622" s="30">
        <f t="shared" si="200"/>
        <v>92.50984711</v>
      </c>
      <c r="M622" s="30">
        <f t="shared" si="201"/>
        <v>90.44556598</v>
      </c>
      <c r="P622" s="30">
        <v>92.50984711108273</v>
      </c>
      <c r="Q622" s="30">
        <v>90.4455659766295</v>
      </c>
      <c r="Z622" s="3" t="s">
        <v>705</v>
      </c>
      <c r="AA622" s="3">
        <v>1.8581053E7</v>
      </c>
      <c r="AB622" s="3">
        <v>6212837.0</v>
      </c>
      <c r="AC622" s="30">
        <f t="shared" si="202"/>
        <v>24793890</v>
      </c>
      <c r="AD622" s="3">
        <v>1.864236E7</v>
      </c>
      <c r="AE622" s="3">
        <v>6185283.0</v>
      </c>
      <c r="AF622" s="30">
        <f t="shared" si="203"/>
        <v>24827643</v>
      </c>
      <c r="AG622" s="3">
        <v>2.5E7</v>
      </c>
      <c r="AH622" s="3">
        <v>2.5E7</v>
      </c>
      <c r="AI622" s="30">
        <f t="shared" si="204"/>
        <v>99.16870648</v>
      </c>
      <c r="AJ622" s="30">
        <f t="shared" si="205"/>
        <v>99.30578589</v>
      </c>
      <c r="AM622" s="30">
        <v>99.1687064837345</v>
      </c>
      <c r="AN622" s="30">
        <v>99.30578589357033</v>
      </c>
    </row>
    <row r="623">
      <c r="C623" s="3" t="s">
        <v>706</v>
      </c>
      <c r="D623" s="3">
        <v>9307562.0</v>
      </c>
      <c r="E623" s="3">
        <v>1.2876583E7</v>
      </c>
      <c r="F623" s="30">
        <f t="shared" si="198"/>
        <v>22184145</v>
      </c>
      <c r="G623" s="3">
        <v>1.726293E7</v>
      </c>
      <c r="H623" s="3">
        <v>1.2938744E7</v>
      </c>
      <c r="I623" s="30">
        <f t="shared" si="199"/>
        <v>30201674</v>
      </c>
      <c r="J623" s="3">
        <v>2.0517376E7</v>
      </c>
      <c r="K623" s="3">
        <v>3.2917376E7</v>
      </c>
      <c r="L623" s="30">
        <f t="shared" si="200"/>
        <v>92.48666559</v>
      </c>
      <c r="M623" s="30">
        <f t="shared" si="201"/>
        <v>91.0081077</v>
      </c>
      <c r="P623" s="30">
        <v>92.48666558932067</v>
      </c>
      <c r="Q623" s="30">
        <v>91.008107696282</v>
      </c>
      <c r="Z623" s="3" t="s">
        <v>707</v>
      </c>
      <c r="AA623" s="3">
        <v>2.7995276E7</v>
      </c>
      <c r="AB623" s="3">
        <v>9360468.0</v>
      </c>
      <c r="AC623" s="30">
        <f t="shared" si="202"/>
        <v>37355744</v>
      </c>
      <c r="AD623" s="3">
        <v>2.8083625E7</v>
      </c>
      <c r="AE623" s="3">
        <v>9313232.0</v>
      </c>
      <c r="AF623" s="30">
        <f t="shared" si="203"/>
        <v>37396857</v>
      </c>
      <c r="AG623" s="3">
        <v>3.75E7</v>
      </c>
      <c r="AH623" s="3">
        <v>3.75E7</v>
      </c>
      <c r="AI623" s="30">
        <f t="shared" si="204"/>
        <v>99.61383181</v>
      </c>
      <c r="AJ623" s="30">
        <f t="shared" si="205"/>
        <v>99.7241934</v>
      </c>
      <c r="AM623" s="30">
        <v>99.61383181124702</v>
      </c>
      <c r="AN623" s="30">
        <v>99.72419339946136</v>
      </c>
    </row>
    <row r="624">
      <c r="C624" s="3" t="s">
        <v>708</v>
      </c>
      <c r="D624" s="3">
        <v>758316.0</v>
      </c>
      <c r="E624" s="3">
        <v>254481.0</v>
      </c>
      <c r="F624" s="30">
        <f t="shared" si="198"/>
        <v>1012797</v>
      </c>
      <c r="G624" s="3">
        <v>759155.0</v>
      </c>
      <c r="H624" s="3">
        <v>253650.0</v>
      </c>
      <c r="I624" s="30">
        <f t="shared" si="199"/>
        <v>1012805</v>
      </c>
      <c r="J624" s="3">
        <v>1000000.0</v>
      </c>
      <c r="K624" s="3">
        <v>1000000.0</v>
      </c>
      <c r="L624" s="30">
        <f t="shared" si="200"/>
        <v>98.7364694</v>
      </c>
      <c r="M624" s="30">
        <f t="shared" si="201"/>
        <v>98.7356895</v>
      </c>
      <c r="P624" s="30">
        <v>98.73646940107444</v>
      </c>
      <c r="Q624" s="30">
        <v>98.73568949600367</v>
      </c>
      <c r="Z624" s="3" t="s">
        <v>709</v>
      </c>
      <c r="AA624" s="3">
        <v>1407053.0</v>
      </c>
      <c r="AB624" s="3">
        <v>1163539.0</v>
      </c>
      <c r="AC624" s="30">
        <f t="shared" si="202"/>
        <v>2570592</v>
      </c>
      <c r="AD624" s="3">
        <v>1218596.0</v>
      </c>
      <c r="AE624" s="3">
        <v>1167702.0</v>
      </c>
      <c r="AF624" s="30">
        <f t="shared" si="203"/>
        <v>2386298</v>
      </c>
      <c r="AG624" s="3">
        <v>2097152.0</v>
      </c>
      <c r="AH624" s="3">
        <v>2097152.0</v>
      </c>
      <c r="AI624" s="30">
        <f t="shared" si="204"/>
        <v>81.5824526</v>
      </c>
      <c r="AJ624" s="30">
        <f t="shared" si="205"/>
        <v>87.88307244</v>
      </c>
      <c r="AM624" s="30">
        <v>81.58245260235775</v>
      </c>
      <c r="AN624" s="30">
        <v>87.88307244107818</v>
      </c>
    </row>
    <row r="625">
      <c r="C625" s="3" t="s">
        <v>710</v>
      </c>
      <c r="D625" s="3">
        <v>1515739.0</v>
      </c>
      <c r="E625" s="3">
        <v>501758.0</v>
      </c>
      <c r="F625" s="30">
        <f t="shared" si="198"/>
        <v>2017497</v>
      </c>
      <c r="G625" s="3">
        <v>1515772.0</v>
      </c>
      <c r="H625" s="3">
        <v>503396.0</v>
      </c>
      <c r="I625" s="30">
        <f t="shared" si="199"/>
        <v>2019168</v>
      </c>
      <c r="J625" s="30">
        <v>2000000.0</v>
      </c>
      <c r="K625" s="30">
        <v>2000000.0</v>
      </c>
      <c r="L625" s="30">
        <f t="shared" si="200"/>
        <v>99.13273725</v>
      </c>
      <c r="M625" s="30">
        <f t="shared" si="201"/>
        <v>99.05069811</v>
      </c>
      <c r="P625" s="30">
        <v>99.13273724818426</v>
      </c>
      <c r="Q625" s="30">
        <v>99.05069810932028</v>
      </c>
      <c r="Z625" s="3" t="s">
        <v>711</v>
      </c>
      <c r="AA625" s="3">
        <v>5655726.0</v>
      </c>
      <c r="AB625" s="3">
        <v>4582670.0</v>
      </c>
      <c r="AC625" s="30">
        <f t="shared" si="202"/>
        <v>10238396</v>
      </c>
      <c r="AD625" s="3">
        <v>4837348.0</v>
      </c>
      <c r="AE625" s="3">
        <v>4590559.0</v>
      </c>
      <c r="AF625" s="30">
        <f t="shared" si="203"/>
        <v>9427907</v>
      </c>
      <c r="AG625" s="3">
        <v>8388608.0</v>
      </c>
      <c r="AH625" s="3">
        <v>8388608.0</v>
      </c>
      <c r="AI625" s="30">
        <f t="shared" si="204"/>
        <v>81.93283401</v>
      </c>
      <c r="AJ625" s="30">
        <f t="shared" si="205"/>
        <v>88.97635499</v>
      </c>
      <c r="AM625" s="30">
        <v>81.9328340103274</v>
      </c>
      <c r="AN625" s="30">
        <v>88.97635498525813</v>
      </c>
    </row>
    <row r="626">
      <c r="C626" s="3" t="s">
        <v>712</v>
      </c>
      <c r="D626" s="3">
        <v>3033393.0</v>
      </c>
      <c r="E626" s="3">
        <v>1008417.0</v>
      </c>
      <c r="F626" s="30">
        <f t="shared" si="198"/>
        <v>4041810</v>
      </c>
      <c r="G626" s="3">
        <v>3035312.0</v>
      </c>
      <c r="H626" s="3">
        <v>1009388.0</v>
      </c>
      <c r="I626" s="30">
        <f t="shared" si="199"/>
        <v>4044700</v>
      </c>
      <c r="J626" s="3">
        <v>4000000.0</v>
      </c>
      <c r="K626" s="3">
        <v>4000000.0</v>
      </c>
      <c r="L626" s="30">
        <f t="shared" si="200"/>
        <v>98.96556246</v>
      </c>
      <c r="M626" s="30">
        <f t="shared" si="201"/>
        <v>98.89485005</v>
      </c>
      <c r="P626" s="30">
        <v>98.96556245840354</v>
      </c>
      <c r="Q626" s="30">
        <v>98.89485005068362</v>
      </c>
      <c r="Z626" s="3" t="s">
        <v>713</v>
      </c>
      <c r="AA626" s="3">
        <v>2.2785303E7</v>
      </c>
      <c r="AB626" s="3">
        <v>1.8420446E7</v>
      </c>
      <c r="AC626" s="30">
        <f t="shared" si="202"/>
        <v>41205749</v>
      </c>
      <c r="AD626" s="3">
        <v>1.9472007E7</v>
      </c>
      <c r="AE626" s="3">
        <v>1.8375264E7</v>
      </c>
      <c r="AF626" s="30">
        <f t="shared" si="203"/>
        <v>37847271</v>
      </c>
      <c r="AG626" s="3">
        <v>3.3554432E7</v>
      </c>
      <c r="AH626" s="3">
        <v>3.3554432E7</v>
      </c>
      <c r="AI626" s="30">
        <f t="shared" si="204"/>
        <v>81.43143327</v>
      </c>
      <c r="AJ626" s="30">
        <f t="shared" si="205"/>
        <v>88.65746754</v>
      </c>
      <c r="AM626" s="30">
        <v>81.43143326917804</v>
      </c>
      <c r="AN626" s="30">
        <v>88.65746753577028</v>
      </c>
    </row>
    <row r="627">
      <c r="C627" s="3" t="s">
        <v>703</v>
      </c>
      <c r="D627" s="3">
        <v>1.8574077E7</v>
      </c>
      <c r="E627" s="3">
        <v>6161199.0</v>
      </c>
      <c r="F627" s="30">
        <f t="shared" si="198"/>
        <v>24735276</v>
      </c>
      <c r="G627" s="3">
        <v>1.8736121E7</v>
      </c>
      <c r="H627" s="3">
        <v>6178699.0</v>
      </c>
      <c r="I627" s="30">
        <f t="shared" si="199"/>
        <v>24914820</v>
      </c>
      <c r="J627" s="3">
        <v>2.5E7</v>
      </c>
      <c r="K627" s="3">
        <v>2.5E7</v>
      </c>
      <c r="L627" s="30">
        <f t="shared" si="200"/>
        <v>98.92977139</v>
      </c>
      <c r="M627" s="30">
        <f t="shared" si="201"/>
        <v>99.65811513</v>
      </c>
      <c r="P627" s="30">
        <v>98.92977139207987</v>
      </c>
      <c r="Q627" s="30">
        <v>99.6581151298705</v>
      </c>
      <c r="Z627" s="3" t="s">
        <v>714</v>
      </c>
      <c r="AA627" s="3">
        <v>4033503.0</v>
      </c>
      <c r="AB627" s="3">
        <v>1939594.0</v>
      </c>
      <c r="AC627" s="30">
        <f t="shared" si="202"/>
        <v>5973097</v>
      </c>
      <c r="AD627" s="3">
        <v>4054291.0</v>
      </c>
      <c r="AE627" s="3">
        <v>1993629.0</v>
      </c>
      <c r="AF627" s="30">
        <f t="shared" si="203"/>
        <v>6047920</v>
      </c>
      <c r="AG627" s="3">
        <v>6288384.0</v>
      </c>
      <c r="AH627" s="3">
        <v>6288384.0</v>
      </c>
      <c r="AI627" s="30">
        <f t="shared" si="204"/>
        <v>94.72154897</v>
      </c>
      <c r="AJ627" s="30">
        <f t="shared" si="205"/>
        <v>96.02402148</v>
      </c>
      <c r="AM627" s="30">
        <v>94.72154897199894</v>
      </c>
      <c r="AN627" s="30">
        <v>96.02402148176563</v>
      </c>
    </row>
    <row r="628">
      <c r="C628" s="3" t="s">
        <v>705</v>
      </c>
      <c r="D628" s="3">
        <v>1.8581053E7</v>
      </c>
      <c r="E628" s="3">
        <v>6212837.0</v>
      </c>
      <c r="F628" s="30">
        <f t="shared" si="198"/>
        <v>24793890</v>
      </c>
      <c r="G628" s="3">
        <v>1.864236E7</v>
      </c>
      <c r="H628" s="3">
        <v>6185283.0</v>
      </c>
      <c r="I628" s="30">
        <f t="shared" si="199"/>
        <v>24827643</v>
      </c>
      <c r="J628" s="3">
        <v>2.5E7</v>
      </c>
      <c r="K628" s="3">
        <v>2.5E7</v>
      </c>
      <c r="L628" s="30">
        <f t="shared" si="200"/>
        <v>99.16870648</v>
      </c>
      <c r="M628" s="30">
        <f t="shared" si="201"/>
        <v>99.30578589</v>
      </c>
      <c r="P628" s="30">
        <v>99.1687064837345</v>
      </c>
      <c r="Q628" s="30">
        <v>99.30578589357033</v>
      </c>
      <c r="Z628" s="3" t="s">
        <v>715</v>
      </c>
      <c r="AA628" s="3">
        <v>1.5931186E7</v>
      </c>
      <c r="AB628" s="3">
        <v>7922348.0</v>
      </c>
      <c r="AC628" s="30">
        <f t="shared" si="202"/>
        <v>23853534</v>
      </c>
      <c r="AD628" s="3">
        <v>1.6037846E7</v>
      </c>
      <c r="AE628" s="3">
        <v>7863647.0</v>
      </c>
      <c r="AF628" s="30">
        <f t="shared" si="203"/>
        <v>23901493</v>
      </c>
      <c r="AG628" s="3">
        <v>2.3994E7</v>
      </c>
      <c r="AH628" s="3">
        <v>2.3994E7</v>
      </c>
      <c r="AI628" s="30">
        <f t="shared" si="204"/>
        <v>99.41113128</v>
      </c>
      <c r="AJ628" s="30">
        <f t="shared" si="205"/>
        <v>99.6129656</v>
      </c>
      <c r="AM628" s="30">
        <v>99.41113128142773</v>
      </c>
      <c r="AN628" s="30">
        <v>99.6129656000987</v>
      </c>
    </row>
    <row r="629">
      <c r="C629" s="3" t="s">
        <v>707</v>
      </c>
      <c r="D629" s="3">
        <v>2.7995276E7</v>
      </c>
      <c r="E629" s="3">
        <v>9360468.0</v>
      </c>
      <c r="F629" s="30">
        <f t="shared" si="198"/>
        <v>37355744</v>
      </c>
      <c r="G629" s="3">
        <v>2.8083625E7</v>
      </c>
      <c r="H629" s="3">
        <v>9313232.0</v>
      </c>
      <c r="I629" s="30">
        <f t="shared" si="199"/>
        <v>37396857</v>
      </c>
      <c r="J629" s="3">
        <v>3.75E7</v>
      </c>
      <c r="K629" s="3">
        <v>3.75E7</v>
      </c>
      <c r="L629" s="30">
        <f t="shared" si="200"/>
        <v>99.61383181</v>
      </c>
      <c r="M629" s="30">
        <f t="shared" si="201"/>
        <v>99.7241934</v>
      </c>
      <c r="P629" s="30">
        <v>99.61383181124702</v>
      </c>
      <c r="Q629" s="30">
        <v>99.72419339946136</v>
      </c>
      <c r="Z629" s="3" t="s">
        <v>716</v>
      </c>
      <c r="AA629" s="3">
        <v>2.4977762E7</v>
      </c>
      <c r="AB629" s="3">
        <v>1.245662E7</v>
      </c>
      <c r="AC629" s="30">
        <f t="shared" si="202"/>
        <v>37434382</v>
      </c>
      <c r="AD629" s="3">
        <v>2.499913E7</v>
      </c>
      <c r="AE629" s="3">
        <v>1.2384135E7</v>
      </c>
      <c r="AF629" s="30">
        <f t="shared" si="203"/>
        <v>37383265</v>
      </c>
      <c r="AG629" s="3">
        <v>3.74925E7</v>
      </c>
      <c r="AH629" s="3">
        <v>3.74925E7</v>
      </c>
      <c r="AI629" s="30">
        <f t="shared" si="204"/>
        <v>99.844747</v>
      </c>
      <c r="AJ629" s="30">
        <f t="shared" si="205"/>
        <v>99.70779706</v>
      </c>
      <c r="AM629" s="30">
        <v>99.84474700290231</v>
      </c>
      <c r="AN629" s="30">
        <v>99.70779705838963</v>
      </c>
    </row>
    <row r="630">
      <c r="C630" s="3" t="s">
        <v>709</v>
      </c>
      <c r="D630" s="3">
        <v>1407053.0</v>
      </c>
      <c r="E630" s="3">
        <v>1163539.0</v>
      </c>
      <c r="F630" s="30">
        <f t="shared" si="198"/>
        <v>2570592</v>
      </c>
      <c r="G630" s="3">
        <v>1218596.0</v>
      </c>
      <c r="H630" s="3">
        <v>1167702.0</v>
      </c>
      <c r="I630" s="30">
        <f t="shared" si="199"/>
        <v>2386298</v>
      </c>
      <c r="J630" s="3">
        <v>2097152.0</v>
      </c>
      <c r="K630" s="3">
        <v>2097152.0</v>
      </c>
      <c r="L630" s="30">
        <f t="shared" si="200"/>
        <v>81.5824526</v>
      </c>
      <c r="M630" s="30">
        <f t="shared" si="201"/>
        <v>87.88307244</v>
      </c>
      <c r="P630" s="30">
        <v>81.58245260235775</v>
      </c>
      <c r="Q630" s="30">
        <v>87.88307244107818</v>
      </c>
      <c r="Z630" s="3" t="s">
        <v>717</v>
      </c>
      <c r="AA630" s="30">
        <v>993395.6</v>
      </c>
      <c r="AC630" s="30">
        <f t="shared" si="202"/>
        <v>993395.6</v>
      </c>
      <c r="AD630" s="30">
        <v>1328730.4</v>
      </c>
      <c r="AF630" s="30">
        <f t="shared" si="203"/>
        <v>1328730.4</v>
      </c>
      <c r="AG630" s="30">
        <v>1380730.3729079645</v>
      </c>
      <c r="AH630" s="30">
        <v>1741819.6748097576</v>
      </c>
      <c r="AI630" s="30">
        <f t="shared" si="204"/>
        <v>61.00901062</v>
      </c>
      <c r="AJ630" s="30">
        <f t="shared" si="205"/>
        <v>68.91097887</v>
      </c>
      <c r="AM630" s="30">
        <v>61.009010618935235</v>
      </c>
      <c r="AN630" s="30">
        <v>68.910978870525</v>
      </c>
    </row>
    <row r="631">
      <c r="C631" s="3" t="s">
        <v>711</v>
      </c>
      <c r="D631" s="3">
        <v>5655726.0</v>
      </c>
      <c r="E631" s="3">
        <v>4582670.0</v>
      </c>
      <c r="F631" s="30">
        <f t="shared" si="198"/>
        <v>10238396</v>
      </c>
      <c r="G631" s="3">
        <v>4837348.0</v>
      </c>
      <c r="H631" s="3">
        <v>4590559.0</v>
      </c>
      <c r="I631" s="30">
        <f t="shared" si="199"/>
        <v>9427907</v>
      </c>
      <c r="J631" s="3">
        <v>8388608.0</v>
      </c>
      <c r="K631" s="3">
        <v>8388608.0</v>
      </c>
      <c r="L631" s="30">
        <f t="shared" si="200"/>
        <v>81.93283401</v>
      </c>
      <c r="M631" s="30">
        <f t="shared" si="201"/>
        <v>88.97635499</v>
      </c>
      <c r="P631" s="30">
        <v>81.9328340103274</v>
      </c>
      <c r="Q631" s="30">
        <v>88.97635498525813</v>
      </c>
      <c r="Z631" s="3" t="s">
        <v>718</v>
      </c>
      <c r="AA631" s="3">
        <v>2396924.0</v>
      </c>
      <c r="AC631" s="30">
        <f t="shared" si="202"/>
        <v>2396924</v>
      </c>
      <c r="AD631" s="3">
        <v>3140910.0</v>
      </c>
      <c r="AF631" s="30">
        <f t="shared" si="203"/>
        <v>3140910</v>
      </c>
      <c r="AG631" s="3">
        <v>2591180.0</v>
      </c>
      <c r="AH631" s="3">
        <v>3248880.0</v>
      </c>
      <c r="AI631" s="30">
        <f t="shared" si="204"/>
        <v>91.89561288</v>
      </c>
      <c r="AJ631" s="30">
        <f t="shared" si="205"/>
        <v>96.5624612</v>
      </c>
      <c r="AM631" s="30">
        <v>91.8956128771709</v>
      </c>
      <c r="AN631" s="30">
        <v>96.56246119755103</v>
      </c>
    </row>
    <row r="632">
      <c r="C632" s="3" t="s">
        <v>713</v>
      </c>
      <c r="D632" s="3">
        <v>2.2785303E7</v>
      </c>
      <c r="E632" s="3">
        <v>1.8420446E7</v>
      </c>
      <c r="F632" s="30">
        <f t="shared" si="198"/>
        <v>41205749</v>
      </c>
      <c r="G632" s="3">
        <v>1.9472007E7</v>
      </c>
      <c r="H632" s="3">
        <v>1.8375264E7</v>
      </c>
      <c r="I632" s="30">
        <f t="shared" si="199"/>
        <v>37847271</v>
      </c>
      <c r="J632" s="3">
        <v>3.3554432E7</v>
      </c>
      <c r="K632" s="3">
        <v>3.3554432E7</v>
      </c>
      <c r="L632" s="30">
        <f t="shared" si="200"/>
        <v>81.43143327</v>
      </c>
      <c r="M632" s="30">
        <f t="shared" si="201"/>
        <v>88.65746754</v>
      </c>
      <c r="P632" s="30">
        <v>81.43143326917804</v>
      </c>
      <c r="Q632" s="30">
        <v>88.65746753577028</v>
      </c>
      <c r="Z632" s="3" t="s">
        <v>719</v>
      </c>
      <c r="AA632" s="3">
        <v>2323120.0</v>
      </c>
      <c r="AB632" s="3">
        <v>3235742.0</v>
      </c>
      <c r="AC632" s="30">
        <f t="shared" si="202"/>
        <v>5558862</v>
      </c>
      <c r="AD632" s="3">
        <v>4307133.0</v>
      </c>
      <c r="AE632" s="3">
        <v>3253989.0</v>
      </c>
      <c r="AF632" s="30">
        <f t="shared" si="203"/>
        <v>7561122</v>
      </c>
      <c r="AG632" s="3">
        <v>5145728.0</v>
      </c>
      <c r="AH632" s="3">
        <v>8245728.0</v>
      </c>
      <c r="AI632" s="30">
        <f t="shared" si="204"/>
        <v>92.56801122</v>
      </c>
      <c r="AJ632" s="30">
        <f t="shared" si="205"/>
        <v>90.94570885</v>
      </c>
      <c r="AM632" s="30">
        <v>92.56801122244084</v>
      </c>
      <c r="AN632" s="30">
        <v>90.94570885114669</v>
      </c>
    </row>
    <row r="633">
      <c r="C633" s="3" t="s">
        <v>714</v>
      </c>
      <c r="D633" s="3">
        <v>4033503.0</v>
      </c>
      <c r="E633" s="3">
        <v>1939594.0</v>
      </c>
      <c r="F633" s="30">
        <f t="shared" si="198"/>
        <v>5973097</v>
      </c>
      <c r="G633" s="3">
        <v>4054291.0</v>
      </c>
      <c r="H633" s="3">
        <v>1993629.0</v>
      </c>
      <c r="I633" s="30">
        <f t="shared" si="199"/>
        <v>6047920</v>
      </c>
      <c r="J633" s="3">
        <v>6288384.0</v>
      </c>
      <c r="K633" s="3">
        <v>6288384.0</v>
      </c>
      <c r="L633" s="30">
        <f t="shared" si="200"/>
        <v>94.72154897</v>
      </c>
      <c r="M633" s="30">
        <f t="shared" si="201"/>
        <v>96.02402148</v>
      </c>
      <c r="P633" s="30">
        <v>94.72154897199894</v>
      </c>
      <c r="Q633" s="30">
        <v>96.02402148176563</v>
      </c>
      <c r="Z633" s="3" t="s">
        <v>720</v>
      </c>
      <c r="AA633" s="3">
        <v>4643904.0</v>
      </c>
      <c r="AB633" s="3">
        <v>6445389.0</v>
      </c>
      <c r="AC633" s="30">
        <f t="shared" si="202"/>
        <v>11089293</v>
      </c>
      <c r="AD633" s="3">
        <v>8549930.0</v>
      </c>
      <c r="AE633" s="3">
        <v>6473367.0</v>
      </c>
      <c r="AF633" s="30">
        <f t="shared" si="203"/>
        <v>15023297</v>
      </c>
      <c r="AG633" s="30">
        <v>1.0258688E7</v>
      </c>
      <c r="AH633" s="73">
        <v>1.6458688E7</v>
      </c>
      <c r="AI633" s="30">
        <f t="shared" si="204"/>
        <v>92.50984711</v>
      </c>
      <c r="AJ633" s="30">
        <f t="shared" si="205"/>
        <v>90.44556598</v>
      </c>
      <c r="AM633" s="30">
        <v>92.50984711108273</v>
      </c>
      <c r="AN633" s="30">
        <v>90.4455659766295</v>
      </c>
    </row>
    <row r="634">
      <c r="C634" s="3" t="s">
        <v>715</v>
      </c>
      <c r="D634" s="3">
        <v>1.5931186E7</v>
      </c>
      <c r="E634" s="3">
        <v>7922348.0</v>
      </c>
      <c r="F634" s="30">
        <f t="shared" si="198"/>
        <v>23853534</v>
      </c>
      <c r="G634" s="3">
        <v>1.6037846E7</v>
      </c>
      <c r="H634" s="3">
        <v>7863647.0</v>
      </c>
      <c r="I634" s="30">
        <f t="shared" si="199"/>
        <v>23901493</v>
      </c>
      <c r="J634" s="3">
        <v>2.3994E7</v>
      </c>
      <c r="K634" s="3">
        <v>2.3994E7</v>
      </c>
      <c r="L634" s="30">
        <f t="shared" si="200"/>
        <v>99.41113128</v>
      </c>
      <c r="M634" s="30">
        <f t="shared" si="201"/>
        <v>99.6129656</v>
      </c>
      <c r="P634" s="30">
        <v>99.41113128142773</v>
      </c>
      <c r="Q634" s="30">
        <v>99.6129656000987</v>
      </c>
      <c r="Z634" s="3" t="s">
        <v>721</v>
      </c>
      <c r="AA634" s="3">
        <v>9307562.0</v>
      </c>
      <c r="AB634" s="3">
        <v>1.2876583E7</v>
      </c>
      <c r="AC634" s="30">
        <f t="shared" si="202"/>
        <v>22184145</v>
      </c>
      <c r="AD634" s="3">
        <v>1.726293E7</v>
      </c>
      <c r="AE634" s="3">
        <v>1.2938744E7</v>
      </c>
      <c r="AF634" s="30">
        <f t="shared" si="203"/>
        <v>30201674</v>
      </c>
      <c r="AG634" s="3">
        <v>2.0517376E7</v>
      </c>
      <c r="AH634" s="3">
        <v>3.2917376E7</v>
      </c>
      <c r="AI634" s="30">
        <f t="shared" si="204"/>
        <v>92.48666559</v>
      </c>
      <c r="AJ634" s="30">
        <f t="shared" si="205"/>
        <v>91.0081077</v>
      </c>
      <c r="AM634" s="30">
        <v>92.48666558932067</v>
      </c>
      <c r="AN634" s="30">
        <v>91.008107696282</v>
      </c>
    </row>
    <row r="635">
      <c r="C635" s="3" t="s">
        <v>716</v>
      </c>
      <c r="D635" s="3">
        <v>2.4977762E7</v>
      </c>
      <c r="E635" s="3">
        <v>1.245662E7</v>
      </c>
      <c r="F635" s="30">
        <f t="shared" si="198"/>
        <v>37434382</v>
      </c>
      <c r="G635" s="3">
        <v>2.499913E7</v>
      </c>
      <c r="H635" s="3">
        <v>1.2384135E7</v>
      </c>
      <c r="I635" s="30">
        <f t="shared" si="199"/>
        <v>37383265</v>
      </c>
      <c r="J635" s="3">
        <v>3.74925E7</v>
      </c>
      <c r="K635" s="3">
        <v>3.74925E7</v>
      </c>
      <c r="L635" s="30">
        <f t="shared" si="200"/>
        <v>99.844747</v>
      </c>
      <c r="M635" s="30">
        <f t="shared" si="201"/>
        <v>99.70779706</v>
      </c>
      <c r="P635" s="30">
        <v>99.84474700290231</v>
      </c>
      <c r="Q635" s="30">
        <v>99.70779705838963</v>
      </c>
      <c r="Z635" s="3" t="s">
        <v>722</v>
      </c>
      <c r="AA635" s="3">
        <v>758316.0</v>
      </c>
      <c r="AB635" s="3">
        <v>254481.0</v>
      </c>
      <c r="AC635" s="30">
        <f t="shared" si="202"/>
        <v>1012797</v>
      </c>
      <c r="AD635" s="3">
        <v>759155.0</v>
      </c>
      <c r="AE635" s="3">
        <v>253650.0</v>
      </c>
      <c r="AF635" s="30">
        <f t="shared" si="203"/>
        <v>1012805</v>
      </c>
      <c r="AG635" s="3">
        <v>1000000.0</v>
      </c>
      <c r="AH635" s="3">
        <v>1000000.0</v>
      </c>
      <c r="AI635" s="30">
        <f t="shared" si="204"/>
        <v>98.7364694</v>
      </c>
      <c r="AJ635" s="30">
        <f t="shared" si="205"/>
        <v>98.7356895</v>
      </c>
      <c r="AM635" s="30">
        <v>98.73646940107444</v>
      </c>
      <c r="AN635" s="30">
        <v>98.73568949600367</v>
      </c>
    </row>
    <row r="636">
      <c r="C636" s="3" t="s">
        <v>723</v>
      </c>
      <c r="D636" s="3">
        <v>3.9242102E7</v>
      </c>
      <c r="E636" s="3">
        <v>1.9104871E7</v>
      </c>
      <c r="F636" s="30">
        <f t="shared" si="198"/>
        <v>58346973</v>
      </c>
      <c r="G636" s="3">
        <v>3.9430315E7</v>
      </c>
      <c r="H636" s="3">
        <v>1.9263814E7</v>
      </c>
      <c r="I636" s="30">
        <f t="shared" si="199"/>
        <v>58694129</v>
      </c>
      <c r="J636" s="3">
        <v>5.3561955E7</v>
      </c>
      <c r="K636" s="3">
        <v>5.3561955E7</v>
      </c>
      <c r="L636" s="30">
        <f t="shared" si="200"/>
        <v>91.79902957</v>
      </c>
      <c r="M636" s="30">
        <f t="shared" si="201"/>
        <v>91.25606924</v>
      </c>
      <c r="P636" s="30">
        <v>91.79902957433627</v>
      </c>
      <c r="Q636" s="30">
        <v>91.25606923990642</v>
      </c>
      <c r="Z636" s="3" t="s">
        <v>724</v>
      </c>
      <c r="AA636" s="3">
        <v>1515739.0</v>
      </c>
      <c r="AB636" s="3">
        <v>501758.0</v>
      </c>
      <c r="AC636" s="30">
        <f t="shared" si="202"/>
        <v>2017497</v>
      </c>
      <c r="AD636" s="3">
        <v>1515772.0</v>
      </c>
      <c r="AE636" s="3">
        <v>503396.0</v>
      </c>
      <c r="AF636" s="30">
        <f t="shared" si="203"/>
        <v>2019168</v>
      </c>
      <c r="AG636" s="30">
        <v>2000000.0</v>
      </c>
      <c r="AH636" s="30">
        <v>2000000.0</v>
      </c>
      <c r="AI636" s="30">
        <f t="shared" si="204"/>
        <v>99.13273725</v>
      </c>
      <c r="AJ636" s="30">
        <f t="shared" si="205"/>
        <v>99.05069811</v>
      </c>
      <c r="AM636" s="30">
        <v>99.13273724818426</v>
      </c>
      <c r="AN636" s="30">
        <v>99.05069810932028</v>
      </c>
    </row>
    <row r="637">
      <c r="C637" s="3" t="s">
        <v>725</v>
      </c>
      <c r="D637" s="3">
        <v>6.6060631E7</v>
      </c>
      <c r="E637" s="3">
        <v>3.1080202E7</v>
      </c>
      <c r="F637" s="30">
        <f t="shared" si="198"/>
        <v>97140833</v>
      </c>
      <c r="G637" s="3">
        <v>7.2700941E7</v>
      </c>
      <c r="H637" s="3">
        <v>3.0959866E7</v>
      </c>
      <c r="I637" s="30">
        <f t="shared" si="199"/>
        <v>103660807</v>
      </c>
      <c r="J637" s="3">
        <v>9.2314908E7</v>
      </c>
      <c r="K637" s="3">
        <v>9.2314908E7</v>
      </c>
      <c r="L637" s="30">
        <f t="shared" si="200"/>
        <v>95.03203251</v>
      </c>
      <c r="M637" s="30">
        <f t="shared" si="201"/>
        <v>89.05478423</v>
      </c>
      <c r="P637" s="30">
        <v>95.03203251304217</v>
      </c>
      <c r="Q637" s="30">
        <v>89.05478422524725</v>
      </c>
      <c r="Z637" s="3" t="s">
        <v>726</v>
      </c>
      <c r="AA637" s="3">
        <v>3033393.0</v>
      </c>
      <c r="AB637" s="3">
        <v>1008417.0</v>
      </c>
      <c r="AC637" s="30">
        <f t="shared" si="202"/>
        <v>4041810</v>
      </c>
      <c r="AD637" s="3">
        <v>3035312.0</v>
      </c>
      <c r="AE637" s="3">
        <v>1009388.0</v>
      </c>
      <c r="AF637" s="30">
        <f t="shared" si="203"/>
        <v>4044700</v>
      </c>
      <c r="AG637" s="3">
        <v>4000000.0</v>
      </c>
      <c r="AH637" s="3">
        <v>4000000.0</v>
      </c>
      <c r="AI637" s="30">
        <f t="shared" si="204"/>
        <v>98.96556246</v>
      </c>
      <c r="AJ637" s="30">
        <f t="shared" si="205"/>
        <v>98.89485005</v>
      </c>
      <c r="AM637" s="30">
        <v>98.96556245840354</v>
      </c>
      <c r="AN637" s="30">
        <v>98.89485005068362</v>
      </c>
    </row>
    <row r="638">
      <c r="C638" s="3" t="s">
        <v>727</v>
      </c>
      <c r="D638" s="3">
        <v>1.58435386E8</v>
      </c>
      <c r="E638" s="3">
        <v>7.6327464E7</v>
      </c>
      <c r="F638" s="30">
        <f t="shared" si="198"/>
        <v>234762850</v>
      </c>
      <c r="G638" s="3">
        <v>1.58649731E8</v>
      </c>
      <c r="H638" s="3">
        <v>7.6541719E7</v>
      </c>
      <c r="I638" s="30">
        <f t="shared" si="199"/>
        <v>235191450</v>
      </c>
      <c r="J638" s="3">
        <v>2.17779498E8</v>
      </c>
      <c r="K638" s="3">
        <v>2.17779498E8</v>
      </c>
      <c r="L638" s="30">
        <f t="shared" si="200"/>
        <v>92.76574126</v>
      </c>
      <c r="M638" s="30">
        <f t="shared" si="201"/>
        <v>92.59669006</v>
      </c>
      <c r="P638" s="30">
        <v>92.7657412576138</v>
      </c>
      <c r="Q638" s="30">
        <v>92.59669005824829</v>
      </c>
      <c r="Z638" s="3" t="s">
        <v>723</v>
      </c>
      <c r="AA638" s="3">
        <v>3.9242102E7</v>
      </c>
      <c r="AB638" s="3">
        <v>1.9104871E7</v>
      </c>
      <c r="AC638" s="30">
        <f t="shared" si="202"/>
        <v>58346973</v>
      </c>
      <c r="AD638" s="3">
        <v>3.9430315E7</v>
      </c>
      <c r="AE638" s="3">
        <v>1.9263814E7</v>
      </c>
      <c r="AF638" s="30">
        <f t="shared" si="203"/>
        <v>58694129</v>
      </c>
      <c r="AG638" s="3">
        <v>5.3561955E7</v>
      </c>
      <c r="AH638" s="3">
        <v>5.3561955E7</v>
      </c>
      <c r="AI638" s="30">
        <f t="shared" si="204"/>
        <v>91.79902957</v>
      </c>
      <c r="AJ638" s="30">
        <f t="shared" si="205"/>
        <v>91.25606924</v>
      </c>
      <c r="AM638" s="30">
        <v>91.79902957433627</v>
      </c>
      <c r="AN638" s="30">
        <v>91.25606923990642</v>
      </c>
    </row>
    <row r="639">
      <c r="C639" s="3" t="s">
        <v>717</v>
      </c>
      <c r="D639" s="30">
        <v>993395.6</v>
      </c>
      <c r="F639" s="30">
        <f t="shared" si="198"/>
        <v>993395.6</v>
      </c>
      <c r="G639" s="30">
        <v>1328730.4</v>
      </c>
      <c r="I639" s="30">
        <f t="shared" si="199"/>
        <v>1328730.4</v>
      </c>
      <c r="J639" s="30">
        <v>1380730.3729079645</v>
      </c>
      <c r="K639" s="30">
        <v>1741819.6748097576</v>
      </c>
      <c r="L639" s="30">
        <f t="shared" si="200"/>
        <v>61.00901062</v>
      </c>
      <c r="M639" s="30">
        <f t="shared" si="201"/>
        <v>68.91097887</v>
      </c>
      <c r="P639" s="30">
        <v>61.009010618935235</v>
      </c>
      <c r="Q639" s="30">
        <v>68.910978870525</v>
      </c>
      <c r="Z639" s="3" t="s">
        <v>725</v>
      </c>
      <c r="AA639" s="3">
        <v>6.6060631E7</v>
      </c>
      <c r="AB639" s="3">
        <v>3.1080202E7</v>
      </c>
      <c r="AC639" s="30">
        <f t="shared" si="202"/>
        <v>97140833</v>
      </c>
      <c r="AD639" s="3">
        <v>7.2700941E7</v>
      </c>
      <c r="AE639" s="3">
        <v>3.0959866E7</v>
      </c>
      <c r="AF639" s="30">
        <f t="shared" si="203"/>
        <v>103660807</v>
      </c>
      <c r="AG639" s="3">
        <v>9.2314908E7</v>
      </c>
      <c r="AH639" s="3">
        <v>9.2314908E7</v>
      </c>
      <c r="AI639" s="30">
        <f t="shared" si="204"/>
        <v>95.03203251</v>
      </c>
      <c r="AJ639" s="30">
        <f t="shared" si="205"/>
        <v>89.05478423</v>
      </c>
      <c r="AM639" s="30">
        <v>95.03203251304217</v>
      </c>
      <c r="AN639" s="30">
        <v>89.05478422524725</v>
      </c>
    </row>
    <row r="640">
      <c r="C640" s="3" t="s">
        <v>718</v>
      </c>
      <c r="D640" s="3">
        <v>2396924.0</v>
      </c>
      <c r="F640" s="30">
        <f t="shared" si="198"/>
        <v>2396924</v>
      </c>
      <c r="G640" s="3">
        <v>3140910.0</v>
      </c>
      <c r="I640" s="30">
        <f t="shared" si="199"/>
        <v>3140910</v>
      </c>
      <c r="J640" s="3">
        <v>2591180.0</v>
      </c>
      <c r="K640" s="3">
        <v>3248880.0</v>
      </c>
      <c r="L640" s="30">
        <f t="shared" si="200"/>
        <v>91.89561288</v>
      </c>
      <c r="M640" s="30">
        <f t="shared" si="201"/>
        <v>96.5624612</v>
      </c>
      <c r="P640" s="30">
        <v>91.8956128771709</v>
      </c>
      <c r="Q640" s="30">
        <v>96.56246119755103</v>
      </c>
      <c r="Z640" s="3" t="s">
        <v>727</v>
      </c>
      <c r="AA640" s="3">
        <v>1.58435386E8</v>
      </c>
      <c r="AB640" s="3">
        <v>7.6327464E7</v>
      </c>
      <c r="AC640" s="30">
        <f t="shared" si="202"/>
        <v>234762850</v>
      </c>
      <c r="AD640" s="3">
        <v>1.58649731E8</v>
      </c>
      <c r="AE640" s="3">
        <v>7.6541719E7</v>
      </c>
      <c r="AF640" s="30">
        <f t="shared" si="203"/>
        <v>235191450</v>
      </c>
      <c r="AG640" s="3">
        <v>2.17779498E8</v>
      </c>
      <c r="AH640" s="3">
        <v>2.17779498E8</v>
      </c>
      <c r="AI640" s="30">
        <f t="shared" si="204"/>
        <v>92.76574126</v>
      </c>
      <c r="AJ640" s="30">
        <f t="shared" si="205"/>
        <v>92.59669006</v>
      </c>
      <c r="AM640" s="30">
        <v>92.7657412576138</v>
      </c>
      <c r="AN640" s="30">
        <v>92.59669005824829</v>
      </c>
    </row>
    <row r="643">
      <c r="C643" s="3" t="s">
        <v>699</v>
      </c>
      <c r="D643" s="3" t="s">
        <v>703</v>
      </c>
      <c r="E643" s="3" t="s">
        <v>705</v>
      </c>
      <c r="F643" s="3" t="s">
        <v>707</v>
      </c>
      <c r="G643" s="3" t="s">
        <v>709</v>
      </c>
      <c r="H643" s="3" t="s">
        <v>711</v>
      </c>
      <c r="I643" s="3" t="s">
        <v>713</v>
      </c>
      <c r="J643" s="3" t="s">
        <v>714</v>
      </c>
      <c r="K643" s="3" t="s">
        <v>715</v>
      </c>
      <c r="L643" s="3" t="s">
        <v>716</v>
      </c>
      <c r="M643" s="3" t="s">
        <v>717</v>
      </c>
      <c r="N643" s="3" t="s">
        <v>718</v>
      </c>
      <c r="O643" s="3" t="s">
        <v>719</v>
      </c>
      <c r="P643" s="3" t="s">
        <v>720</v>
      </c>
      <c r="Q643" s="3" t="s">
        <v>721</v>
      </c>
      <c r="R643" s="3" t="s">
        <v>722</v>
      </c>
      <c r="S643" s="3" t="s">
        <v>724</v>
      </c>
      <c r="T643" s="3" t="s">
        <v>726</v>
      </c>
      <c r="U643" s="3" t="s">
        <v>723</v>
      </c>
      <c r="V643" s="3" t="s">
        <v>725</v>
      </c>
      <c r="W643" s="3" t="s">
        <v>727</v>
      </c>
      <c r="X643" s="3" t="s">
        <v>718</v>
      </c>
      <c r="Z643" s="3" t="s">
        <v>699</v>
      </c>
      <c r="AA643" s="3" t="s">
        <v>702</v>
      </c>
      <c r="AB643" s="3" t="s">
        <v>704</v>
      </c>
      <c r="AC643" s="3" t="s">
        <v>706</v>
      </c>
      <c r="AD643" s="3" t="s">
        <v>708</v>
      </c>
      <c r="AE643" s="3" t="s">
        <v>710</v>
      </c>
      <c r="AF643" s="3" t="s">
        <v>712</v>
      </c>
      <c r="AG643" s="3" t="s">
        <v>703</v>
      </c>
      <c r="AH643" s="3" t="s">
        <v>705</v>
      </c>
      <c r="AI643" s="3" t="s">
        <v>707</v>
      </c>
      <c r="AJ643" s="3" t="s">
        <v>709</v>
      </c>
      <c r="AK643" s="3" t="s">
        <v>711</v>
      </c>
      <c r="AL643" s="3" t="s">
        <v>713</v>
      </c>
      <c r="AM643" s="3" t="s">
        <v>728</v>
      </c>
      <c r="AN643" s="3" t="s">
        <v>714</v>
      </c>
      <c r="AO643" s="3" t="s">
        <v>715</v>
      </c>
      <c r="AP643" s="3" t="s">
        <v>716</v>
      </c>
      <c r="AQ643" s="3" t="s">
        <v>723</v>
      </c>
      <c r="AR643" s="3" t="s">
        <v>725</v>
      </c>
      <c r="AS643" s="3" t="s">
        <v>727</v>
      </c>
      <c r="AT643" s="3" t="s">
        <v>717</v>
      </c>
      <c r="AU643" s="3" t="s">
        <v>718</v>
      </c>
    </row>
    <row r="644">
      <c r="C644" s="73" t="s">
        <v>700</v>
      </c>
      <c r="D644" s="30">
        <v>98.92977139207987</v>
      </c>
      <c r="E644" s="30">
        <v>99.1687064837345</v>
      </c>
      <c r="F644" s="30">
        <v>99.61383181124702</v>
      </c>
      <c r="G644" s="30">
        <v>81.58245260235775</v>
      </c>
      <c r="H644" s="30">
        <v>81.9328340103274</v>
      </c>
      <c r="I644" s="30">
        <v>81.43143326917804</v>
      </c>
      <c r="J644" s="30">
        <v>94.72154897199894</v>
      </c>
      <c r="K644" s="30">
        <v>99.41113128142773</v>
      </c>
      <c r="L644" s="30">
        <v>99.84474700290231</v>
      </c>
      <c r="M644" s="30">
        <v>61.009010618935235</v>
      </c>
      <c r="N644" s="30">
        <v>91.8956128771709</v>
      </c>
      <c r="O644" s="30">
        <v>92.56801122244084</v>
      </c>
      <c r="P644" s="30">
        <v>92.50984711108273</v>
      </c>
      <c r="Q644" s="30">
        <v>92.48666558932067</v>
      </c>
      <c r="R644" s="30">
        <v>98.73646940107444</v>
      </c>
      <c r="S644" s="30">
        <v>99.13273724818426</v>
      </c>
      <c r="T644" s="30">
        <v>98.96556245840354</v>
      </c>
      <c r="U644" s="30">
        <v>91.79902957433627</v>
      </c>
      <c r="V644" s="30">
        <v>95.03203251304217</v>
      </c>
      <c r="W644" s="30">
        <v>92.7657412576138</v>
      </c>
      <c r="X644" s="30">
        <v>91.8956128771709</v>
      </c>
      <c r="Z644" s="73" t="s">
        <v>700</v>
      </c>
      <c r="AA644" s="30">
        <v>92.56801122244084</v>
      </c>
      <c r="AB644" s="30">
        <v>92.50984711108273</v>
      </c>
      <c r="AC644" s="30">
        <v>92.48666558932067</v>
      </c>
      <c r="AD644" s="30">
        <v>98.73646940107444</v>
      </c>
      <c r="AE644" s="30">
        <v>99.13273724818426</v>
      </c>
      <c r="AF644" s="30">
        <v>98.96556245840354</v>
      </c>
      <c r="AG644" s="30">
        <v>98.92977139207987</v>
      </c>
      <c r="AH644" s="30">
        <v>99.1687064837345</v>
      </c>
      <c r="AI644" s="30">
        <v>99.61383181124702</v>
      </c>
      <c r="AJ644" s="30">
        <v>81.58245260235775</v>
      </c>
      <c r="AK644" s="30">
        <v>81.9328340103274</v>
      </c>
      <c r="AL644" s="30">
        <v>81.43143326917804</v>
      </c>
      <c r="AM644" s="30">
        <v>74.60744202303518</v>
      </c>
      <c r="AN644" s="30">
        <v>94.72154897199894</v>
      </c>
      <c r="AO644" s="30">
        <v>99.41113128142773</v>
      </c>
      <c r="AP644" s="30">
        <v>99.84474700290231</v>
      </c>
      <c r="AQ644" s="30">
        <v>91.79902957433627</v>
      </c>
      <c r="AR644" s="30">
        <v>95.03203251304217</v>
      </c>
      <c r="AS644" s="30">
        <v>92.7657412576138</v>
      </c>
      <c r="AT644" s="30">
        <v>61.009010618935235</v>
      </c>
      <c r="AU644" s="30">
        <v>91.8956128771709</v>
      </c>
    </row>
    <row r="645">
      <c r="C645" s="73" t="s">
        <v>701</v>
      </c>
      <c r="D645" s="30">
        <v>99.6581151298705</v>
      </c>
      <c r="E645" s="30">
        <v>99.30578589357033</v>
      </c>
      <c r="F645" s="30">
        <v>99.72419339946136</v>
      </c>
      <c r="G645" s="30">
        <v>87.88307244107818</v>
      </c>
      <c r="H645" s="30">
        <v>88.97635498525813</v>
      </c>
      <c r="I645" s="30">
        <v>88.65746753577028</v>
      </c>
      <c r="J645" s="30">
        <v>96.02402148176563</v>
      </c>
      <c r="K645" s="30">
        <v>99.6129656000987</v>
      </c>
      <c r="L645" s="30">
        <v>99.70779705838963</v>
      </c>
      <c r="M645" s="30">
        <v>68.910978870525</v>
      </c>
      <c r="N645" s="30">
        <v>96.56246119755103</v>
      </c>
      <c r="O645" s="30">
        <v>90.94570885114669</v>
      </c>
      <c r="P645" s="30">
        <v>90.4455659766295</v>
      </c>
      <c r="Q645" s="30">
        <v>91.008107696282</v>
      </c>
      <c r="R645" s="30">
        <v>98.73568949600367</v>
      </c>
      <c r="S645" s="30">
        <v>99.05069810932028</v>
      </c>
      <c r="T645" s="30">
        <v>98.89485005068362</v>
      </c>
      <c r="U645" s="30">
        <v>91.25606923990642</v>
      </c>
      <c r="V645" s="30">
        <v>89.05478422524725</v>
      </c>
      <c r="W645" s="30">
        <v>92.59669005824829</v>
      </c>
      <c r="X645" s="30">
        <v>96.56246119755103</v>
      </c>
      <c r="Z645" s="73" t="s">
        <v>701</v>
      </c>
      <c r="AA645" s="30">
        <v>90.94570885114669</v>
      </c>
      <c r="AB645" s="30">
        <v>90.4455659766295</v>
      </c>
      <c r="AC645" s="30">
        <v>91.008107696282</v>
      </c>
      <c r="AD645" s="30">
        <v>98.73568949600367</v>
      </c>
      <c r="AE645" s="30">
        <v>99.05069810932028</v>
      </c>
      <c r="AF645" s="30">
        <v>98.89485005068362</v>
      </c>
      <c r="AG645" s="30">
        <v>99.6581151298705</v>
      </c>
      <c r="AH645" s="30">
        <v>99.30578589357033</v>
      </c>
      <c r="AI645" s="30">
        <v>99.72419339946136</v>
      </c>
      <c r="AJ645" s="30">
        <v>87.88307244107818</v>
      </c>
      <c r="AK645" s="30">
        <v>88.97635498525813</v>
      </c>
      <c r="AL645" s="30">
        <v>88.65746753577028</v>
      </c>
      <c r="AM645" s="30">
        <v>74.9021359325329</v>
      </c>
      <c r="AN645" s="30">
        <v>96.02402148176563</v>
      </c>
      <c r="AO645" s="30">
        <v>99.6129656000987</v>
      </c>
      <c r="AP645" s="30">
        <v>99.70779705838963</v>
      </c>
      <c r="AQ645" s="30">
        <v>91.25606923990642</v>
      </c>
      <c r="AR645" s="30">
        <v>89.05478422524725</v>
      </c>
      <c r="AS645" s="30">
        <v>92.59669005824829</v>
      </c>
      <c r="AT645" s="30">
        <v>68.910978870525</v>
      </c>
      <c r="AU645" s="30">
        <v>96.56246119755103</v>
      </c>
    </row>
    <row r="648">
      <c r="J648" s="98"/>
    </row>
    <row r="651">
      <c r="A651" s="3" t="s">
        <v>662</v>
      </c>
    </row>
    <row r="656">
      <c r="B656" s="3" t="s">
        <v>641</v>
      </c>
    </row>
    <row r="657">
      <c r="C657" s="3" t="s">
        <v>589</v>
      </c>
      <c r="D657" s="3" t="s">
        <v>636</v>
      </c>
    </row>
    <row r="658">
      <c r="E658" s="3" t="s">
        <v>448</v>
      </c>
      <c r="F658" s="3" t="s">
        <v>449</v>
      </c>
      <c r="G658" s="3" t="s">
        <v>283</v>
      </c>
    </row>
    <row r="659">
      <c r="A659" s="3" t="s">
        <v>642</v>
      </c>
      <c r="B659" s="3" t="s">
        <v>643</v>
      </c>
      <c r="C659" s="3" t="s">
        <v>463</v>
      </c>
      <c r="D659" s="3">
        <v>1.0</v>
      </c>
      <c r="E659" s="3">
        <v>1.8924509E7</v>
      </c>
      <c r="F659" s="3">
        <v>6414347.0</v>
      </c>
      <c r="G659" s="30">
        <f t="shared" ref="G659:G660" si="206">E659+F659</f>
        <v>25338856</v>
      </c>
    </row>
    <row r="660">
      <c r="A660" s="3" t="s">
        <v>642</v>
      </c>
      <c r="B660" s="3" t="s">
        <v>602</v>
      </c>
      <c r="C660" s="3" t="s">
        <v>463</v>
      </c>
      <c r="D660" s="3">
        <v>1.0</v>
      </c>
      <c r="E660" s="3">
        <v>1.879793E7</v>
      </c>
      <c r="F660" s="3">
        <v>6282547.0</v>
      </c>
      <c r="G660" s="30">
        <f t="shared" si="206"/>
        <v>25080477</v>
      </c>
    </row>
    <row r="662">
      <c r="A662" s="3" t="s">
        <v>644</v>
      </c>
      <c r="B662" s="3" t="s">
        <v>643</v>
      </c>
      <c r="C662" s="3" t="s">
        <v>463</v>
      </c>
      <c r="D662" s="3">
        <v>1.0</v>
      </c>
      <c r="E662" s="3">
        <v>1.8688408E7</v>
      </c>
      <c r="F662" s="3">
        <v>6250709.0</v>
      </c>
      <c r="G662" s="30">
        <f t="shared" ref="G662:G663" si="207">E662+F662</f>
        <v>24939117</v>
      </c>
    </row>
    <row r="663">
      <c r="A663" s="3" t="s">
        <v>644</v>
      </c>
      <c r="B663" s="3" t="s">
        <v>602</v>
      </c>
      <c r="C663" s="3" t="s">
        <v>463</v>
      </c>
      <c r="D663" s="3">
        <v>1.0</v>
      </c>
      <c r="E663" s="3">
        <v>1.8794607E7</v>
      </c>
      <c r="F663" s="3">
        <v>6254850.0</v>
      </c>
      <c r="G663" s="30">
        <f t="shared" si="207"/>
        <v>25049457</v>
      </c>
    </row>
    <row r="664">
      <c r="J664" s="3" t="s">
        <v>645</v>
      </c>
      <c r="K664" s="3" t="s">
        <v>646</v>
      </c>
    </row>
    <row r="665">
      <c r="A665" s="3" t="s">
        <v>647</v>
      </c>
      <c r="B665" s="3" t="s">
        <v>643</v>
      </c>
      <c r="C665" s="3" t="s">
        <v>463</v>
      </c>
      <c r="D665" s="3">
        <v>1.0</v>
      </c>
      <c r="E665" s="3">
        <v>1.8528602E7</v>
      </c>
      <c r="F665" s="3">
        <v>6204350.0</v>
      </c>
      <c r="G665" s="30">
        <f t="shared" ref="G665:G666" si="208">E665+F665</f>
        <v>24732952</v>
      </c>
      <c r="J665" s="3">
        <v>5.0E7</v>
      </c>
      <c r="K665" s="3">
        <v>8.0</v>
      </c>
    </row>
    <row r="666">
      <c r="A666" s="3" t="s">
        <v>647</v>
      </c>
      <c r="B666" s="3" t="s">
        <v>602</v>
      </c>
      <c r="C666" s="3" t="s">
        <v>463</v>
      </c>
      <c r="D666" s="3">
        <v>1.0</v>
      </c>
      <c r="E666" s="3">
        <v>1.8352835E7</v>
      </c>
      <c r="F666" s="3">
        <v>6137000.0</v>
      </c>
      <c r="G666" s="30">
        <f t="shared" si="208"/>
        <v>24489835</v>
      </c>
    </row>
    <row r="667">
      <c r="J667" s="3" t="s">
        <v>486</v>
      </c>
      <c r="K667" s="3" t="s">
        <v>648</v>
      </c>
      <c r="L667" s="3" t="s">
        <v>283</v>
      </c>
    </row>
    <row r="668">
      <c r="I668" s="3" t="s">
        <v>649</v>
      </c>
      <c r="J668" s="30">
        <f>J665*K665/64*3</f>
        <v>18750000</v>
      </c>
      <c r="K668" s="30">
        <f>J665*K665/64</f>
        <v>6250000</v>
      </c>
      <c r="L668" s="30">
        <f t="shared" ref="L668:L669" si="209">J668+K668</f>
        <v>25000000</v>
      </c>
    </row>
    <row r="669">
      <c r="A669" s="3" t="s">
        <v>595</v>
      </c>
      <c r="I669" s="3" t="s">
        <v>650</v>
      </c>
      <c r="J669" s="30">
        <f>J665*K665/64*2</f>
        <v>12500000</v>
      </c>
      <c r="K669" s="30">
        <f>J665*K665/64</f>
        <v>6250000</v>
      </c>
      <c r="L669" s="30">
        <f t="shared" si="209"/>
        <v>18750000</v>
      </c>
    </row>
    <row r="670">
      <c r="A670" s="3" t="s">
        <v>642</v>
      </c>
      <c r="B670" s="3" t="s">
        <v>643</v>
      </c>
      <c r="C670" s="3" t="s">
        <v>463</v>
      </c>
      <c r="D670" s="3">
        <v>1.0</v>
      </c>
      <c r="E670" s="3">
        <v>1.8776592E7</v>
      </c>
      <c r="F670" s="3">
        <v>6270387.0</v>
      </c>
      <c r="G670" s="30">
        <f t="shared" ref="G670:G671" si="210">E670+F670</f>
        <v>25046979</v>
      </c>
    </row>
    <row r="671">
      <c r="A671" s="3" t="s">
        <v>642</v>
      </c>
      <c r="B671" s="3" t="s">
        <v>602</v>
      </c>
      <c r="C671" s="3" t="s">
        <v>463</v>
      </c>
      <c r="D671" s="3">
        <v>1.0</v>
      </c>
      <c r="E671" s="3">
        <v>1.8779905E7</v>
      </c>
      <c r="F671" s="3">
        <v>6253845.0</v>
      </c>
      <c r="G671" s="30">
        <f t="shared" si="210"/>
        <v>25033750</v>
      </c>
    </row>
    <row r="673">
      <c r="A673" s="3" t="s">
        <v>644</v>
      </c>
      <c r="B673" s="3" t="s">
        <v>643</v>
      </c>
      <c r="C673" s="3" t="s">
        <v>463</v>
      </c>
      <c r="D673" s="3">
        <v>1.0</v>
      </c>
      <c r="E673" s="3">
        <v>1.8739767E7</v>
      </c>
      <c r="F673" s="3">
        <v>6264934.0</v>
      </c>
      <c r="G673" s="30">
        <f t="shared" ref="G673:G674" si="211">E673+F673</f>
        <v>25004701</v>
      </c>
    </row>
    <row r="674">
      <c r="A674" s="3" t="s">
        <v>644</v>
      </c>
      <c r="B674" s="3" t="s">
        <v>602</v>
      </c>
      <c r="C674" s="3" t="s">
        <v>463</v>
      </c>
      <c r="D674" s="3">
        <v>1.0</v>
      </c>
      <c r="E674" s="3">
        <v>1.8763648E7</v>
      </c>
      <c r="F674" s="3">
        <v>6263322.0</v>
      </c>
      <c r="G674" s="30">
        <f t="shared" si="211"/>
        <v>25026970</v>
      </c>
    </row>
    <row r="676">
      <c r="A676" s="3" t="s">
        <v>647</v>
      </c>
      <c r="B676" s="3" t="s">
        <v>643</v>
      </c>
      <c r="C676" s="3" t="s">
        <v>463</v>
      </c>
      <c r="D676" s="3">
        <v>1.0</v>
      </c>
      <c r="E676" s="3">
        <v>1.8409628E7</v>
      </c>
      <c r="F676" s="3">
        <v>6199845.0</v>
      </c>
      <c r="G676" s="30">
        <f t="shared" ref="G676:G677" si="212">E676+F676</f>
        <v>24609473</v>
      </c>
    </row>
    <row r="677">
      <c r="A677" s="3" t="s">
        <v>647</v>
      </c>
      <c r="B677" s="3" t="s">
        <v>602</v>
      </c>
      <c r="C677" s="3" t="s">
        <v>463</v>
      </c>
      <c r="D677" s="3">
        <v>1.0</v>
      </c>
      <c r="E677" s="3">
        <v>1.8413531E7</v>
      </c>
      <c r="F677" s="3">
        <v>6184994.0</v>
      </c>
      <c r="G677" s="30">
        <f t="shared" si="212"/>
        <v>24598525</v>
      </c>
    </row>
    <row r="681">
      <c r="D681" s="30" t="str">
        <f>"total=["&amp;L668&amp;", "&amp;L669&amp;", "&amp;G659&amp;", "&amp;G660&amp;", "&amp;G662&amp;", "&amp;G663&amp;", "&amp;G665&amp;", "&amp;G666&amp;"]"</f>
        <v>total=[25000000, 18750000, 25338856, 25080477, 24939117, 25049457, 24732952, 24489835]</v>
      </c>
    </row>
    <row r="686">
      <c r="B686" s="3" t="s">
        <v>557</v>
      </c>
    </row>
    <row r="687">
      <c r="C687" s="3" t="s">
        <v>589</v>
      </c>
      <c r="D687" s="3" t="s">
        <v>636</v>
      </c>
    </row>
    <row r="688">
      <c r="E688" s="3" t="s">
        <v>448</v>
      </c>
      <c r="F688" s="3" t="s">
        <v>449</v>
      </c>
      <c r="G688" s="3" t="s">
        <v>283</v>
      </c>
      <c r="J688" s="3">
        <v>8192.0</v>
      </c>
      <c r="K688" s="3">
        <v>8192.0</v>
      </c>
    </row>
    <row r="689">
      <c r="A689" s="3" t="s">
        <v>642</v>
      </c>
      <c r="B689" s="3" t="s">
        <v>643</v>
      </c>
      <c r="C689" s="3" t="s">
        <v>463</v>
      </c>
      <c r="D689" s="3">
        <v>1.0</v>
      </c>
      <c r="E689" s="3">
        <v>4620741.0</v>
      </c>
      <c r="F689" s="3">
        <v>4821091.0</v>
      </c>
      <c r="G689" s="30">
        <f t="shared" ref="G689:G690" si="213">E689+F689</f>
        <v>9441832</v>
      </c>
    </row>
    <row r="690">
      <c r="A690" s="3" t="s">
        <v>642</v>
      </c>
      <c r="B690" s="3" t="s">
        <v>602</v>
      </c>
      <c r="C690" s="3" t="s">
        <v>463</v>
      </c>
      <c r="D690" s="3">
        <v>1.0</v>
      </c>
      <c r="E690" s="3">
        <v>4569441.0</v>
      </c>
      <c r="F690" s="3">
        <v>4740749.0</v>
      </c>
      <c r="G690" s="30">
        <f t="shared" si="213"/>
        <v>9310190</v>
      </c>
    </row>
    <row r="692">
      <c r="A692" s="3" t="s">
        <v>644</v>
      </c>
      <c r="B692" s="3" t="s">
        <v>643</v>
      </c>
      <c r="C692" s="3" t="s">
        <v>463</v>
      </c>
      <c r="D692" s="3">
        <v>1.0</v>
      </c>
      <c r="E692" s="3">
        <v>4520072.0</v>
      </c>
      <c r="F692" s="3">
        <v>4317901.0</v>
      </c>
      <c r="G692" s="30">
        <f t="shared" ref="G692:G693" si="214">E692+F692</f>
        <v>8837973</v>
      </c>
    </row>
    <row r="693">
      <c r="A693" s="3" t="s">
        <v>644</v>
      </c>
      <c r="B693" s="3" t="s">
        <v>602</v>
      </c>
      <c r="C693" s="3" t="s">
        <v>463</v>
      </c>
      <c r="D693" s="3">
        <v>1.0</v>
      </c>
      <c r="E693" s="3">
        <v>5047367.0</v>
      </c>
      <c r="F693" s="3">
        <v>4335252.0</v>
      </c>
      <c r="G693" s="30">
        <f t="shared" si="214"/>
        <v>9382619</v>
      </c>
    </row>
    <row r="694">
      <c r="J694" s="3" t="s">
        <v>645</v>
      </c>
      <c r="K694" s="3" t="s">
        <v>646</v>
      </c>
    </row>
    <row r="695">
      <c r="A695" s="3" t="s">
        <v>647</v>
      </c>
      <c r="B695" s="3" t="s">
        <v>643</v>
      </c>
      <c r="C695" s="3" t="s">
        <v>463</v>
      </c>
      <c r="D695" s="3">
        <v>1.0</v>
      </c>
      <c r="E695" s="3">
        <v>4728305.0</v>
      </c>
      <c r="F695" s="3">
        <v>4537964.0</v>
      </c>
      <c r="G695" s="30">
        <f t="shared" ref="G695:G696" si="215">E695+F695</f>
        <v>9266269</v>
      </c>
      <c r="J695" s="30">
        <f>J688*K688</f>
        <v>67108864</v>
      </c>
      <c r="K695" s="3">
        <v>4.0</v>
      </c>
    </row>
    <row r="696">
      <c r="A696" s="3" t="s">
        <v>647</v>
      </c>
      <c r="B696" s="3" t="s">
        <v>602</v>
      </c>
      <c r="C696" s="3" t="s">
        <v>463</v>
      </c>
      <c r="D696" s="3">
        <v>1.0</v>
      </c>
      <c r="E696" s="3">
        <v>4800994.0</v>
      </c>
      <c r="F696" s="3">
        <v>4525494.0</v>
      </c>
      <c r="G696" s="30">
        <f t="shared" si="215"/>
        <v>9326488</v>
      </c>
    </row>
    <row r="697">
      <c r="J697" s="3" t="s">
        <v>486</v>
      </c>
      <c r="K697" s="3" t="s">
        <v>648</v>
      </c>
      <c r="L697" s="3" t="s">
        <v>283</v>
      </c>
    </row>
    <row r="698">
      <c r="I698" s="3" t="s">
        <v>649</v>
      </c>
      <c r="J698" s="30">
        <f>J695*K695/64</f>
        <v>4194304</v>
      </c>
      <c r="K698" s="30">
        <f>J695*K695/64</f>
        <v>4194304</v>
      </c>
      <c r="L698" s="30">
        <f t="shared" ref="L698:L699" si="216">J698+K698</f>
        <v>8388608</v>
      </c>
    </row>
    <row r="699">
      <c r="A699" s="3" t="s">
        <v>595</v>
      </c>
      <c r="B699" s="3" t="s">
        <v>651</v>
      </c>
      <c r="I699" s="3" t="s">
        <v>650</v>
      </c>
      <c r="J699" s="30">
        <f>J695*K695/64</f>
        <v>4194304</v>
      </c>
      <c r="K699" s="30">
        <f>J695*K695/64</f>
        <v>4194304</v>
      </c>
      <c r="L699" s="30">
        <f t="shared" si="216"/>
        <v>8388608</v>
      </c>
    </row>
    <row r="700">
      <c r="A700" s="3" t="s">
        <v>642</v>
      </c>
      <c r="B700" s="3" t="s">
        <v>643</v>
      </c>
      <c r="C700" s="3" t="s">
        <v>463</v>
      </c>
      <c r="D700" s="3">
        <v>1.0</v>
      </c>
      <c r="E700" s="3">
        <v>4565989.0</v>
      </c>
      <c r="F700" s="3">
        <v>4706087.0</v>
      </c>
      <c r="G700" s="30">
        <f t="shared" ref="G700:G701" si="217">E700+F700</f>
        <v>9272076</v>
      </c>
    </row>
    <row r="701">
      <c r="A701" s="3" t="s">
        <v>642</v>
      </c>
      <c r="B701" s="3" t="s">
        <v>602</v>
      </c>
      <c r="C701" s="3" t="s">
        <v>463</v>
      </c>
      <c r="D701" s="3">
        <v>1.0</v>
      </c>
      <c r="E701" s="3">
        <v>4521700.0</v>
      </c>
      <c r="F701" s="3">
        <v>4624106.0</v>
      </c>
      <c r="G701" s="30">
        <f t="shared" si="217"/>
        <v>9145806</v>
      </c>
    </row>
    <row r="703">
      <c r="A703" s="3" t="s">
        <v>644</v>
      </c>
      <c r="B703" s="3" t="s">
        <v>643</v>
      </c>
      <c r="C703" s="3" t="s">
        <v>463</v>
      </c>
      <c r="D703" s="3">
        <v>1.0</v>
      </c>
      <c r="E703" s="3">
        <v>4508029.0</v>
      </c>
      <c r="F703" s="3">
        <v>4318262.0</v>
      </c>
      <c r="G703" s="30">
        <f t="shared" ref="G703:G704" si="218">E703+F703</f>
        <v>8826291</v>
      </c>
    </row>
    <row r="704">
      <c r="A704" s="3" t="s">
        <v>644</v>
      </c>
      <c r="B704" s="3" t="s">
        <v>602</v>
      </c>
      <c r="C704" s="3" t="s">
        <v>463</v>
      </c>
      <c r="D704" s="3">
        <v>1.0</v>
      </c>
      <c r="E704" s="3">
        <v>5115431.0</v>
      </c>
      <c r="F704" s="3">
        <v>4304086.0</v>
      </c>
      <c r="G704" s="30">
        <f t="shared" si="218"/>
        <v>9419517</v>
      </c>
    </row>
    <row r="706">
      <c r="A706" s="3" t="s">
        <v>647</v>
      </c>
      <c r="B706" s="3" t="s">
        <v>643</v>
      </c>
      <c r="C706" s="3" t="s">
        <v>463</v>
      </c>
      <c r="D706" s="3">
        <v>1.0</v>
      </c>
      <c r="E706" s="3">
        <v>6230340.0</v>
      </c>
      <c r="F706" s="3">
        <v>6031281.0</v>
      </c>
      <c r="G706" s="30">
        <f t="shared" ref="G706:G707" si="219">E706+F706</f>
        <v>12261621</v>
      </c>
    </row>
    <row r="707">
      <c r="A707" s="3" t="s">
        <v>647</v>
      </c>
      <c r="B707" s="3" t="s">
        <v>602</v>
      </c>
      <c r="C707" s="3" t="s">
        <v>463</v>
      </c>
      <c r="D707" s="3">
        <v>1.0</v>
      </c>
      <c r="E707" s="3">
        <v>6112579.0</v>
      </c>
      <c r="F707" s="3">
        <v>5886120.0</v>
      </c>
      <c r="G707" s="30">
        <f t="shared" si="219"/>
        <v>11998699</v>
      </c>
    </row>
    <row r="711">
      <c r="D711" s="30" t="str">
        <f>"total=["&amp;L698&amp;", "&amp;L699&amp;", "&amp;G689&amp;", "&amp;G690&amp;", "&amp;G692&amp;", "&amp;G693&amp;", "&amp;G695&amp;", "&amp;G696&amp;"]"</f>
        <v>total=[8388608, 8388608, 9441832, 9310190, 8837973, 9382619, 9266269, 9326488]</v>
      </c>
    </row>
    <row r="712">
      <c r="D712" s="30" t="str">
        <f>"omp_data=["&amp;L698&amp;", "&amp;L699&amp;","&amp;G700&amp;", "&amp;G701&amp;", "&amp;G703&amp;", "&amp;G704&amp;", "&amp;G706&amp;","&amp;G707&amp;"]"</f>
        <v>omp_data=[8388608, 8388608,9272076, 9145806, 8826291, 9419517, 12261621,11998699]</v>
      </c>
    </row>
    <row r="713">
      <c r="K713" s="3" t="s">
        <v>663</v>
      </c>
    </row>
    <row r="715">
      <c r="B715" s="3" t="s">
        <v>652</v>
      </c>
    </row>
    <row r="716">
      <c r="C716" s="3" t="s">
        <v>589</v>
      </c>
      <c r="D716" s="3" t="s">
        <v>636</v>
      </c>
    </row>
    <row r="717">
      <c r="E717" s="3" t="s">
        <v>448</v>
      </c>
      <c r="F717" s="3" t="s">
        <v>449</v>
      </c>
      <c r="G717" s="3" t="s">
        <v>283</v>
      </c>
      <c r="J717" s="3">
        <v>4096.0</v>
      </c>
      <c r="K717" s="3">
        <v>4096.0</v>
      </c>
    </row>
    <row r="718">
      <c r="A718" s="3" t="s">
        <v>642</v>
      </c>
      <c r="B718" s="3" t="s">
        <v>643</v>
      </c>
      <c r="C718" s="3" t="s">
        <v>463</v>
      </c>
      <c r="D718" s="3">
        <v>1.0</v>
      </c>
      <c r="E718" s="3">
        <v>4319186.0</v>
      </c>
      <c r="F718" s="3">
        <v>2541288.0</v>
      </c>
      <c r="G718" s="30">
        <f t="shared" ref="G718:G719" si="220">E718+F718</f>
        <v>6860474</v>
      </c>
      <c r="H718" s="30">
        <f t="shared" ref="H718:H719" si="221">100-ABS($M$496-G718)/$M$496*100</f>
        <v>90.90243217</v>
      </c>
      <c r="I718" s="30">
        <f>100-ABS($M$497-G718)/$M$497*100</f>
        <v>36.4335537</v>
      </c>
    </row>
    <row r="719">
      <c r="A719" s="3" t="s">
        <v>642</v>
      </c>
      <c r="B719" s="3" t="s">
        <v>602</v>
      </c>
      <c r="C719" s="3" t="s">
        <v>463</v>
      </c>
      <c r="D719" s="3">
        <v>1.0</v>
      </c>
      <c r="E719" s="3">
        <v>4276900.0</v>
      </c>
      <c r="F719" s="3">
        <v>2499094.0</v>
      </c>
      <c r="G719" s="30">
        <f t="shared" si="220"/>
        <v>6775994</v>
      </c>
      <c r="H719" s="30">
        <f t="shared" si="221"/>
        <v>92.24586158</v>
      </c>
    </row>
    <row r="721">
      <c r="A721" s="3" t="s">
        <v>644</v>
      </c>
      <c r="B721" s="3" t="s">
        <v>643</v>
      </c>
      <c r="C721" s="3" t="s">
        <v>463</v>
      </c>
      <c r="D721" s="3">
        <v>1.0</v>
      </c>
      <c r="E721" s="3">
        <v>4058497.0</v>
      </c>
      <c r="F721" s="3">
        <v>1994509.0</v>
      </c>
      <c r="G721" s="30">
        <f t="shared" ref="G721:G722" si="222">E721+F721</f>
        <v>6053006</v>
      </c>
      <c r="H721" s="30">
        <f t="shared" ref="H721:H722" si="223">100-ABS($M$496-G721)/$M$496*100</f>
        <v>96.25693978</v>
      </c>
    </row>
    <row r="722">
      <c r="A722" s="3" t="s">
        <v>644</v>
      </c>
      <c r="B722" s="3" t="s">
        <v>602</v>
      </c>
      <c r="C722" s="3" t="s">
        <v>463</v>
      </c>
      <c r="D722" s="3">
        <v>1.0</v>
      </c>
      <c r="E722" s="3">
        <v>4047308.0</v>
      </c>
      <c r="F722" s="3">
        <v>1982488.0</v>
      </c>
      <c r="G722" s="30">
        <f t="shared" si="222"/>
        <v>6029796</v>
      </c>
      <c r="H722" s="30">
        <f t="shared" si="223"/>
        <v>95.88784654</v>
      </c>
    </row>
    <row r="723">
      <c r="J723" s="3" t="s">
        <v>645</v>
      </c>
      <c r="K723" s="3" t="s">
        <v>646</v>
      </c>
    </row>
    <row r="724">
      <c r="A724" s="3" t="s">
        <v>647</v>
      </c>
      <c r="B724" s="3" t="s">
        <v>643</v>
      </c>
      <c r="C724" s="3" t="s">
        <v>463</v>
      </c>
      <c r="D724" s="3">
        <v>1.0</v>
      </c>
      <c r="E724" s="3">
        <v>4127736.0</v>
      </c>
      <c r="F724" s="3">
        <v>2170046.0</v>
      </c>
      <c r="G724" s="30">
        <f t="shared" ref="G724:G725" si="224">E724+F724</f>
        <v>6297782</v>
      </c>
      <c r="H724" s="30">
        <f t="shared" ref="H724:H725" si="225">100-ABS($M$496-G724)/$M$496*100</f>
        <v>99.85054984</v>
      </c>
      <c r="J724" s="30">
        <f>J717*K717</f>
        <v>16777216</v>
      </c>
      <c r="K724" s="3">
        <v>8.0</v>
      </c>
    </row>
    <row r="725">
      <c r="A725" s="3" t="s">
        <v>647</v>
      </c>
      <c r="B725" s="3" t="s">
        <v>602</v>
      </c>
      <c r="C725" s="3" t="s">
        <v>463</v>
      </c>
      <c r="D725" s="3">
        <v>1.0</v>
      </c>
      <c r="E725" s="3">
        <v>3851933.0</v>
      </c>
      <c r="F725" s="3">
        <v>1814583.0</v>
      </c>
      <c r="G725" s="30">
        <f t="shared" si="224"/>
        <v>5666516</v>
      </c>
      <c r="H725" s="30">
        <f t="shared" si="225"/>
        <v>90.11084565</v>
      </c>
    </row>
    <row r="726">
      <c r="J726" s="3" t="s">
        <v>486</v>
      </c>
      <c r="K726" s="3" t="s">
        <v>648</v>
      </c>
      <c r="L726" s="3" t="s">
        <v>283</v>
      </c>
    </row>
    <row r="727">
      <c r="I727" s="3" t="s">
        <v>649</v>
      </c>
      <c r="J727" s="30">
        <f>J724*K724/64*2</f>
        <v>4194304</v>
      </c>
      <c r="K727" s="30">
        <f>J724*K724/64</f>
        <v>2097152</v>
      </c>
      <c r="L727" s="30">
        <f t="shared" ref="L727:L728" si="226">J727+K727</f>
        <v>6291456</v>
      </c>
    </row>
    <row r="728">
      <c r="A728" s="3" t="s">
        <v>595</v>
      </c>
      <c r="B728" s="3" t="s">
        <v>651</v>
      </c>
      <c r="I728" s="3" t="s">
        <v>650</v>
      </c>
      <c r="J728" s="30">
        <f>J724*K724/64</f>
        <v>2097152</v>
      </c>
      <c r="K728" s="30">
        <f>J724*K724/64</f>
        <v>2097152</v>
      </c>
      <c r="L728" s="30">
        <f t="shared" si="226"/>
        <v>4194304</v>
      </c>
    </row>
    <row r="729">
      <c r="A729" s="3" t="s">
        <v>642</v>
      </c>
      <c r="B729" s="3" t="s">
        <v>643</v>
      </c>
      <c r="C729" s="3" t="s">
        <v>463</v>
      </c>
      <c r="D729" s="3">
        <v>1.0</v>
      </c>
      <c r="E729" s="3">
        <v>4194669.0</v>
      </c>
      <c r="F729" s="3">
        <v>2409047.0</v>
      </c>
      <c r="G729" s="30">
        <f t="shared" ref="G729:G730" si="227">E729+F729</f>
        <v>6603716</v>
      </c>
    </row>
    <row r="730">
      <c r="A730" s="3" t="s">
        <v>642</v>
      </c>
      <c r="B730" s="3" t="s">
        <v>602</v>
      </c>
      <c r="C730" s="3" t="s">
        <v>463</v>
      </c>
      <c r="D730" s="3">
        <v>1.0</v>
      </c>
      <c r="E730" s="3">
        <v>4193464.0</v>
      </c>
      <c r="F730" s="3">
        <v>2404017.0</v>
      </c>
      <c r="G730" s="30">
        <f t="shared" si="227"/>
        <v>6597481</v>
      </c>
    </row>
    <row r="732">
      <c r="A732" s="3" t="s">
        <v>644</v>
      </c>
      <c r="B732" s="3" t="s">
        <v>643</v>
      </c>
      <c r="C732" s="3" t="s">
        <v>463</v>
      </c>
      <c r="D732" s="3">
        <v>1.0</v>
      </c>
      <c r="E732" s="3">
        <v>4118441.0</v>
      </c>
      <c r="F732" s="3">
        <v>2040754.0</v>
      </c>
      <c r="G732" s="30">
        <f t="shared" ref="G732:G733" si="228">E732+F732</f>
        <v>6159195</v>
      </c>
    </row>
    <row r="733">
      <c r="A733" s="3" t="s">
        <v>644</v>
      </c>
      <c r="B733" s="3" t="s">
        <v>602</v>
      </c>
      <c r="C733" s="3" t="s">
        <v>463</v>
      </c>
      <c r="D733" s="3">
        <v>1.0</v>
      </c>
      <c r="E733" s="3">
        <v>4151428.0</v>
      </c>
      <c r="F733" s="3">
        <v>2071814.0</v>
      </c>
      <c r="G733" s="30">
        <f t="shared" si="228"/>
        <v>6223242</v>
      </c>
    </row>
    <row r="735">
      <c r="A735" s="3" t="s">
        <v>647</v>
      </c>
      <c r="B735" s="3" t="s">
        <v>643</v>
      </c>
      <c r="C735" s="3" t="s">
        <v>463</v>
      </c>
      <c r="D735" s="3">
        <v>1.0</v>
      </c>
      <c r="E735" s="3">
        <v>3944120.0</v>
      </c>
      <c r="F735" s="3">
        <v>1906954.0</v>
      </c>
      <c r="G735" s="30">
        <f t="shared" ref="G735:G736" si="229">E735+F735</f>
        <v>5851074</v>
      </c>
    </row>
    <row r="736">
      <c r="A736" s="3" t="s">
        <v>647</v>
      </c>
      <c r="B736" s="3" t="s">
        <v>602</v>
      </c>
      <c r="C736" s="3" t="s">
        <v>463</v>
      </c>
      <c r="D736" s="3">
        <v>1.0</v>
      </c>
      <c r="E736" s="3">
        <v>3954375.0</v>
      </c>
      <c r="F736" s="3">
        <v>1892211.0</v>
      </c>
      <c r="G736" s="30">
        <f t="shared" si="229"/>
        <v>5846586</v>
      </c>
    </row>
    <row r="740">
      <c r="D740" s="30" t="str">
        <f>"total=["&amp;L727&amp;", "&amp;L728&amp;", "&amp;G718&amp;", "&amp;G719&amp;", "&amp;G721&amp;", "&amp;G722&amp;", "&amp;G724&amp;", "&amp;G725&amp;"]"</f>
        <v>total=[6291456, 4194304, 6860474, 6775994, 6053006, 6029796, 6297782, 5666516]</v>
      </c>
    </row>
    <row r="741">
      <c r="D741" s="30" t="str">
        <f>"omp_data=["&amp;L727&amp;", "&amp;L728&amp;","&amp;G729&amp;", "&amp;G730&amp;", "&amp;G732&amp;", "&amp;G733&amp;", "&amp;G735&amp;","&amp;G736&amp;"]"</f>
        <v>omp_data=[6291456, 4194304,6603716, 6597481, 6159195, 6223242, 5851074,5846586]</v>
      </c>
    </row>
    <row r="743">
      <c r="B743" s="3" t="s">
        <v>567</v>
      </c>
      <c r="C743" s="3" t="s">
        <v>653</v>
      </c>
      <c r="D743" s="3" t="s">
        <v>664</v>
      </c>
    </row>
    <row r="744">
      <c r="C744" s="3" t="s">
        <v>589</v>
      </c>
      <c r="D744" s="3" t="s">
        <v>636</v>
      </c>
      <c r="H744" s="30">
        <f t="shared" ref="H744:I744" si="230">(H746+H749+H752)/3</f>
        <v>93.35869397</v>
      </c>
      <c r="I744" s="30">
        <f t="shared" si="230"/>
        <v>54.6027098</v>
      </c>
    </row>
    <row r="745">
      <c r="E745" s="3" t="s">
        <v>448</v>
      </c>
      <c r="F745" s="3" t="s">
        <v>449</v>
      </c>
      <c r="G745" s="3" t="s">
        <v>283</v>
      </c>
      <c r="H745" s="30">
        <f t="shared" ref="H745:I745" si="231">(H747+H750+H753)/3</f>
        <v>83.72321494</v>
      </c>
      <c r="I745" s="30">
        <f t="shared" si="231"/>
        <v>38.22798413</v>
      </c>
    </row>
    <row r="746">
      <c r="A746" s="3" t="s">
        <v>642</v>
      </c>
      <c r="B746" s="3" t="s">
        <v>643</v>
      </c>
      <c r="C746" s="3" t="s">
        <v>463</v>
      </c>
      <c r="D746" s="3">
        <v>50.0</v>
      </c>
      <c r="E746" s="3">
        <v>4350028.0</v>
      </c>
      <c r="F746" s="3">
        <v>6546274.0</v>
      </c>
      <c r="G746" s="30">
        <f t="shared" ref="G746:G747" si="232">E746+F746</f>
        <v>10896302</v>
      </c>
      <c r="H746" s="30">
        <f>100-ABS($M$524-G746)/G746*100</f>
        <v>94.14834501</v>
      </c>
      <c r="I746" s="30">
        <f t="shared" ref="I746:I747" si="233">100-ABS(G746-$M$525)/G746*100</f>
        <v>55.06455309</v>
      </c>
    </row>
    <row r="747">
      <c r="A747" s="3" t="s">
        <v>642</v>
      </c>
      <c r="B747" s="3" t="s">
        <v>602</v>
      </c>
      <c r="C747" s="3" t="s">
        <v>463</v>
      </c>
      <c r="D747" s="3">
        <v>50.0</v>
      </c>
      <c r="E747" s="3">
        <v>1.0331989E7</v>
      </c>
      <c r="F747" s="3">
        <v>6642376.0</v>
      </c>
      <c r="G747" s="30">
        <f t="shared" si="232"/>
        <v>16974365</v>
      </c>
      <c r="H747" s="30">
        <f>100-ABS(G747-P755)/G747*100</f>
        <v>92.48493243</v>
      </c>
      <c r="I747" s="30">
        <f t="shared" si="233"/>
        <v>35.34741948</v>
      </c>
    </row>
    <row r="749">
      <c r="A749" s="3" t="s">
        <v>644</v>
      </c>
      <c r="B749" s="3" t="s">
        <v>643</v>
      </c>
      <c r="C749" s="3" t="s">
        <v>463</v>
      </c>
      <c r="D749" s="3">
        <v>50.0</v>
      </c>
      <c r="E749" s="3">
        <v>4587972.0</v>
      </c>
      <c r="F749" s="3">
        <v>6556922.0</v>
      </c>
      <c r="G749" s="30">
        <f t="shared" ref="G749:G750" si="234">E749+F749</f>
        <v>11144894</v>
      </c>
      <c r="H749" s="97">
        <f>100-ABS($M$524-G749)/G749*100</f>
        <v>92.04832276</v>
      </c>
      <c r="I749" s="30">
        <f t="shared" ref="I749:I750" si="235">100-ABS(G749-$M$525)/G749*100</f>
        <v>53.83631284</v>
      </c>
    </row>
    <row r="750">
      <c r="A750" s="3" t="s">
        <v>644</v>
      </c>
      <c r="B750" s="3" t="s">
        <v>602</v>
      </c>
      <c r="C750" s="3" t="s">
        <v>463</v>
      </c>
      <c r="D750" s="3">
        <v>50.0</v>
      </c>
      <c r="E750" s="3">
        <v>8780493.0</v>
      </c>
      <c r="F750" s="3">
        <v>6538910.0</v>
      </c>
      <c r="G750" s="30">
        <f t="shared" si="234"/>
        <v>15319403</v>
      </c>
      <c r="H750" s="30">
        <f>100-ABS(G750-P755)/G750*100</f>
        <v>80.87003129</v>
      </c>
      <c r="I750" s="30">
        <f t="shared" si="235"/>
        <v>39.16601711</v>
      </c>
    </row>
    <row r="751">
      <c r="J751" s="3" t="s">
        <v>645</v>
      </c>
      <c r="K751" s="3" t="s">
        <v>646</v>
      </c>
    </row>
    <row r="752">
      <c r="A752" s="3" t="s">
        <v>647</v>
      </c>
      <c r="B752" s="3" t="s">
        <v>643</v>
      </c>
      <c r="C752" s="3" t="s">
        <v>463</v>
      </c>
      <c r="D752" s="3">
        <v>50.0</v>
      </c>
      <c r="E752" s="3">
        <v>4479358.0</v>
      </c>
      <c r="F752" s="3">
        <v>6448158.0</v>
      </c>
      <c r="G752" s="30">
        <f t="shared" ref="G752:G753" si="236">E752+F752</f>
        <v>10927516</v>
      </c>
      <c r="H752" s="97">
        <f>100-ABS($M$524-G752)/G752*100</f>
        <v>93.87941413</v>
      </c>
      <c r="I752" s="30">
        <f t="shared" ref="I752:I753" si="237">100-ABS(G752-$M$525)/G752*100</f>
        <v>54.90726346</v>
      </c>
      <c r="J752" s="3">
        <v>1.0E8</v>
      </c>
      <c r="K752" s="3">
        <v>4.0</v>
      </c>
    </row>
    <row r="753">
      <c r="A753" s="3" t="s">
        <v>647</v>
      </c>
      <c r="B753" s="3" t="s">
        <v>602</v>
      </c>
      <c r="C753" s="3" t="s">
        <v>463</v>
      </c>
      <c r="D753" s="3">
        <v>50.0</v>
      </c>
      <c r="E753" s="3">
        <v>8491966.0</v>
      </c>
      <c r="F753" s="3">
        <v>6444362.0</v>
      </c>
      <c r="G753" s="30">
        <f t="shared" si="236"/>
        <v>14936328</v>
      </c>
      <c r="H753" s="30">
        <f>100-ABS(G753-P755)/G753*100</f>
        <v>77.81468109</v>
      </c>
      <c r="I753" s="30">
        <f t="shared" si="237"/>
        <v>40.17051581</v>
      </c>
    </row>
    <row r="754">
      <c r="J754" s="3" t="s">
        <v>486</v>
      </c>
      <c r="K754" s="3" t="s">
        <v>648</v>
      </c>
      <c r="L754" s="3" t="s">
        <v>283</v>
      </c>
    </row>
    <row r="755">
      <c r="I755" s="3" t="s">
        <v>649</v>
      </c>
      <c r="J755" s="30">
        <f t="shared" ref="J755:J756" si="238">$K$521*$L$521/64*2 *16/50</f>
        <v>4000000</v>
      </c>
      <c r="K755" s="30">
        <f>J752*K752/64</f>
        <v>6250000</v>
      </c>
      <c r="L755" s="30">
        <f t="shared" ref="L755:L756" si="239">J755+K755</f>
        <v>10250000</v>
      </c>
      <c r="N755" s="30">
        <f>J752/50*3*2</f>
        <v>12000000</v>
      </c>
      <c r="O755" s="30">
        <v>6250000.0</v>
      </c>
      <c r="P755" s="30">
        <f>N755+O755</f>
        <v>18250000</v>
      </c>
    </row>
    <row r="756">
      <c r="A756" s="3" t="s">
        <v>595</v>
      </c>
      <c r="B756" s="3" t="s">
        <v>651</v>
      </c>
      <c r="I756" s="3" t="s">
        <v>650</v>
      </c>
      <c r="J756" s="30">
        <f t="shared" si="238"/>
        <v>4000000</v>
      </c>
      <c r="K756" s="30">
        <f>J756/2</f>
        <v>2000000</v>
      </c>
      <c r="L756" s="30">
        <f t="shared" si="239"/>
        <v>6000000</v>
      </c>
    </row>
    <row r="757">
      <c r="A757" s="3" t="s">
        <v>642</v>
      </c>
      <c r="B757" s="3" t="s">
        <v>643</v>
      </c>
      <c r="C757" s="3" t="s">
        <v>463</v>
      </c>
      <c r="D757" s="3">
        <v>50.0</v>
      </c>
      <c r="E757" s="3">
        <v>4329745.0</v>
      </c>
      <c r="F757" s="3">
        <v>6736904.0</v>
      </c>
      <c r="G757" s="30">
        <f t="shared" ref="G757:G758" si="240">E757+F757</f>
        <v>11066649</v>
      </c>
    </row>
    <row r="758">
      <c r="A758" s="3" t="s">
        <v>642</v>
      </c>
      <c r="B758" s="3" t="s">
        <v>602</v>
      </c>
      <c r="C758" s="3" t="s">
        <v>463</v>
      </c>
      <c r="D758" s="3">
        <v>50.0</v>
      </c>
      <c r="E758" s="3">
        <v>1.251569E7</v>
      </c>
      <c r="F758" s="3">
        <v>7297482.0</v>
      </c>
      <c r="G758" s="30">
        <f t="shared" si="240"/>
        <v>19813172</v>
      </c>
    </row>
    <row r="760">
      <c r="A760" s="3" t="s">
        <v>644</v>
      </c>
      <c r="B760" s="3" t="s">
        <v>643</v>
      </c>
      <c r="C760" s="3" t="s">
        <v>463</v>
      </c>
      <c r="D760" s="3">
        <v>50.0</v>
      </c>
      <c r="E760" s="3">
        <v>5026301.0</v>
      </c>
      <c r="F760" s="3">
        <v>9816372.0</v>
      </c>
      <c r="G760" s="30">
        <f t="shared" ref="G760:G761" si="241">E760+F760</f>
        <v>14842673</v>
      </c>
    </row>
    <row r="761">
      <c r="A761" s="3" t="s">
        <v>644</v>
      </c>
      <c r="B761" s="3" t="s">
        <v>602</v>
      </c>
      <c r="C761" s="3" t="s">
        <v>463</v>
      </c>
      <c r="D761" s="3">
        <v>50.0</v>
      </c>
      <c r="E761" s="3">
        <v>1.4696603E7</v>
      </c>
      <c r="F761" s="3">
        <v>1.1705701E7</v>
      </c>
      <c r="G761" s="30">
        <f t="shared" si="241"/>
        <v>26402304</v>
      </c>
    </row>
    <row r="763">
      <c r="A763" s="3" t="s">
        <v>647</v>
      </c>
      <c r="B763" s="3" t="s">
        <v>643</v>
      </c>
      <c r="C763" s="3" t="s">
        <v>463</v>
      </c>
      <c r="D763" s="3">
        <v>50.0</v>
      </c>
      <c r="E763" s="3">
        <v>5832027.0</v>
      </c>
      <c r="F763" s="3">
        <v>1.2642505E7</v>
      </c>
      <c r="G763" s="30">
        <f t="shared" ref="G763:G764" si="242">E763+F763</f>
        <v>18474532</v>
      </c>
    </row>
    <row r="764">
      <c r="A764" s="3" t="s">
        <v>647</v>
      </c>
      <c r="B764" s="3" t="s">
        <v>602</v>
      </c>
      <c r="C764" s="3" t="s">
        <v>463</v>
      </c>
      <c r="D764" s="3">
        <v>50.0</v>
      </c>
      <c r="E764" s="3">
        <v>2.1618052E7</v>
      </c>
      <c r="F764" s="3">
        <v>1.9427439E7</v>
      </c>
      <c r="G764" s="30">
        <f t="shared" si="242"/>
        <v>41045491</v>
      </c>
    </row>
    <row r="768">
      <c r="D768" s="30" t="str">
        <f>"total=["&amp;L755&amp;", "&amp;L756&amp;", "&amp;G746&amp;", "&amp;G747&amp;", "&amp;G749&amp;", "&amp;G750&amp;", "&amp;G752&amp;", "&amp;G753&amp;"]"</f>
        <v>total=[10250000, 6000000, 10896302, 16974365, 11144894, 15319403, 10927516, 14936328]</v>
      </c>
    </row>
    <row r="774">
      <c r="D774" s="3" t="s">
        <v>665</v>
      </c>
    </row>
    <row r="775">
      <c r="B775" s="3" t="s">
        <v>567</v>
      </c>
      <c r="C775" s="3" t="s">
        <v>654</v>
      </c>
    </row>
    <row r="776">
      <c r="C776" s="3" t="s">
        <v>589</v>
      </c>
      <c r="D776" s="3" t="s">
        <v>636</v>
      </c>
    </row>
    <row r="777">
      <c r="E777" s="3" t="s">
        <v>448</v>
      </c>
      <c r="F777" s="3" t="s">
        <v>449</v>
      </c>
      <c r="G777" s="3" t="s">
        <v>283</v>
      </c>
      <c r="J777" s="3">
        <v>4096.0</v>
      </c>
      <c r="K777" s="3">
        <v>4096.0</v>
      </c>
    </row>
    <row r="778">
      <c r="A778" s="3" t="s">
        <v>642</v>
      </c>
      <c r="B778" s="3" t="s">
        <v>643</v>
      </c>
      <c r="C778" s="3" t="s">
        <v>463</v>
      </c>
      <c r="D778" s="3">
        <v>200.0</v>
      </c>
      <c r="E778" s="3">
        <v>1516527.0</v>
      </c>
      <c r="F778" s="3">
        <v>821676.0</v>
      </c>
      <c r="G778" s="30">
        <f t="shared" ref="G778:G779" si="243">E778+F778</f>
        <v>2338203</v>
      </c>
      <c r="H778" s="30">
        <f t="shared" ref="H778:H779" si="244">100-ABS($M$496-G778)/$M$496*100</f>
        <v>37.1828915</v>
      </c>
      <c r="I778" s="30">
        <f>100-ABS($M$497-G778)/$M$497*100</f>
        <v>55.74710369</v>
      </c>
    </row>
    <row r="779">
      <c r="A779" s="3" t="s">
        <v>642</v>
      </c>
      <c r="B779" s="3" t="s">
        <v>602</v>
      </c>
      <c r="C779" s="3" t="s">
        <v>463</v>
      </c>
      <c r="D779" s="3">
        <v>200.0</v>
      </c>
      <c r="E779" s="3">
        <v>1520001.0</v>
      </c>
      <c r="F779" s="3">
        <v>826604.0</v>
      </c>
      <c r="G779" s="30">
        <f t="shared" si="243"/>
        <v>2346605</v>
      </c>
      <c r="H779" s="30">
        <f t="shared" si="244"/>
        <v>37.31650294</v>
      </c>
    </row>
    <row r="781">
      <c r="A781" s="3" t="s">
        <v>644</v>
      </c>
      <c r="B781" s="3" t="s">
        <v>643</v>
      </c>
      <c r="C781" s="3" t="s">
        <v>463</v>
      </c>
      <c r="D781" s="3">
        <v>200.0</v>
      </c>
      <c r="E781" s="3">
        <v>1697399.0</v>
      </c>
      <c r="F781" s="3">
        <v>679613.0</v>
      </c>
      <c r="G781" s="30">
        <f t="shared" ref="G781:G782" si="245">E781+F781</f>
        <v>2377012</v>
      </c>
      <c r="H781" s="30">
        <f t="shared" ref="H781:H782" si="246">100-ABS($M$496-G781)/$M$496*100</f>
        <v>37.80004529</v>
      </c>
      <c r="M781" s="30">
        <f>J784/200</f>
        <v>500000</v>
      </c>
    </row>
    <row r="782">
      <c r="A782" s="3" t="s">
        <v>644</v>
      </c>
      <c r="B782" s="3" t="s">
        <v>602</v>
      </c>
      <c r="C782" s="3" t="s">
        <v>463</v>
      </c>
      <c r="D782" s="3">
        <v>200.0</v>
      </c>
      <c r="E782" s="3">
        <v>1826256.0</v>
      </c>
      <c r="F782" s="3">
        <v>703656.0</v>
      </c>
      <c r="G782" s="30">
        <f t="shared" si="245"/>
        <v>2529912</v>
      </c>
      <c r="H782" s="30">
        <f t="shared" si="246"/>
        <v>40.23151258</v>
      </c>
    </row>
    <row r="783">
      <c r="J783" s="3" t="s">
        <v>645</v>
      </c>
      <c r="K783" s="3" t="s">
        <v>646</v>
      </c>
    </row>
    <row r="784">
      <c r="A784" s="3" t="s">
        <v>647</v>
      </c>
      <c r="B784" s="3" t="s">
        <v>643</v>
      </c>
      <c r="C784" s="3" t="s">
        <v>463</v>
      </c>
      <c r="D784" s="3">
        <v>200.0</v>
      </c>
      <c r="E784" s="3">
        <v>1501175.0</v>
      </c>
      <c r="F784" s="3">
        <v>505334.0</v>
      </c>
      <c r="G784" s="30">
        <f t="shared" ref="G784:G785" si="247">E784+F784</f>
        <v>2006509</v>
      </c>
      <c r="H784" s="30">
        <f t="shared" ref="H784:H785" si="248">100-ABS($M$496-G784)/$M$496*100</f>
        <v>31.90818182</v>
      </c>
      <c r="J784" s="3">
        <v>1.0E8</v>
      </c>
      <c r="K784" s="3">
        <v>4.0</v>
      </c>
    </row>
    <row r="785">
      <c r="A785" s="3" t="s">
        <v>647</v>
      </c>
      <c r="B785" s="3" t="s">
        <v>602</v>
      </c>
      <c r="C785" s="3" t="s">
        <v>463</v>
      </c>
      <c r="D785" s="3">
        <v>200.0</v>
      </c>
      <c r="E785" s="3">
        <v>1502057.0</v>
      </c>
      <c r="F785" s="3">
        <v>505586.0</v>
      </c>
      <c r="G785" s="30">
        <f t="shared" si="247"/>
        <v>2007643</v>
      </c>
      <c r="H785" s="30">
        <f t="shared" si="248"/>
        <v>31.92621507</v>
      </c>
    </row>
    <row r="786">
      <c r="J786" s="3" t="s">
        <v>486</v>
      </c>
      <c r="K786" s="3" t="s">
        <v>648</v>
      </c>
      <c r="L786" s="3" t="s">
        <v>283</v>
      </c>
    </row>
    <row r="787">
      <c r="I787" s="3" t="s">
        <v>649</v>
      </c>
      <c r="J787" s="30">
        <f>J784*K784/64*3*16/200</f>
        <v>1500000</v>
      </c>
      <c r="K787" s="30">
        <f>J784*K784/64*16/200</f>
        <v>500000</v>
      </c>
      <c r="L787" s="30">
        <f t="shared" ref="L787:L788" si="249">J787+K787</f>
        <v>2000000</v>
      </c>
    </row>
    <row r="788">
      <c r="A788" s="3" t="s">
        <v>595</v>
      </c>
      <c r="B788" s="3" t="s">
        <v>651</v>
      </c>
      <c r="I788" s="3" t="s">
        <v>650</v>
      </c>
      <c r="J788" s="30">
        <f>J784*K784/64*16/200*2</f>
        <v>1000000</v>
      </c>
      <c r="K788" s="30">
        <f>K787</f>
        <v>500000</v>
      </c>
      <c r="L788" s="30">
        <f t="shared" si="249"/>
        <v>1500000</v>
      </c>
    </row>
    <row r="789">
      <c r="A789" s="3" t="s">
        <v>642</v>
      </c>
      <c r="B789" s="3" t="s">
        <v>643</v>
      </c>
      <c r="C789" s="3" t="s">
        <v>463</v>
      </c>
      <c r="D789" s="3">
        <v>200.0</v>
      </c>
      <c r="E789" s="3">
        <v>1513717.0</v>
      </c>
      <c r="F789" s="3">
        <v>991100.0</v>
      </c>
      <c r="G789" s="30">
        <f t="shared" ref="G789:G790" si="250">E789+F789</f>
        <v>2504817</v>
      </c>
    </row>
    <row r="790">
      <c r="A790" s="3" t="s">
        <v>642</v>
      </c>
      <c r="B790" s="3" t="s">
        <v>602</v>
      </c>
      <c r="C790" s="3" t="s">
        <v>463</v>
      </c>
      <c r="D790" s="3">
        <v>200.0</v>
      </c>
      <c r="E790" s="3">
        <v>1529733.0</v>
      </c>
      <c r="F790" s="3">
        <v>999314.0</v>
      </c>
      <c r="G790" s="30">
        <f t="shared" si="250"/>
        <v>2529047</v>
      </c>
    </row>
    <row r="792">
      <c r="A792" s="3" t="s">
        <v>644</v>
      </c>
      <c r="B792" s="3" t="s">
        <v>643</v>
      </c>
      <c r="C792" s="3" t="s">
        <v>463</v>
      </c>
      <c r="D792" s="3">
        <v>200.0</v>
      </c>
      <c r="E792" s="3">
        <v>1421407.0</v>
      </c>
      <c r="F792" s="3">
        <v>471088.0</v>
      </c>
      <c r="G792" s="30">
        <f t="shared" ref="G792:G793" si="251">E792+F792</f>
        <v>1892495</v>
      </c>
    </row>
    <row r="793">
      <c r="A793" s="3" t="s">
        <v>644</v>
      </c>
      <c r="B793" s="3" t="s">
        <v>602</v>
      </c>
      <c r="C793" s="3" t="s">
        <v>463</v>
      </c>
      <c r="D793" s="3">
        <v>200.0</v>
      </c>
      <c r="E793" s="3">
        <v>1572538.0</v>
      </c>
      <c r="F793" s="3">
        <v>470893.0</v>
      </c>
      <c r="G793" s="30">
        <f t="shared" si="251"/>
        <v>2043431</v>
      </c>
    </row>
    <row r="795">
      <c r="A795" s="3" t="s">
        <v>647</v>
      </c>
      <c r="B795" s="3" t="s">
        <v>643</v>
      </c>
      <c r="C795" s="3" t="s">
        <v>463</v>
      </c>
      <c r="D795" s="3">
        <v>200.0</v>
      </c>
      <c r="E795" s="3">
        <v>1508776.0</v>
      </c>
      <c r="F795" s="3">
        <v>1047014.0</v>
      </c>
      <c r="G795" s="30">
        <f t="shared" ref="G795:G796" si="252">E795+F795</f>
        <v>2555790</v>
      </c>
    </row>
    <row r="796">
      <c r="A796" s="3" t="s">
        <v>647</v>
      </c>
      <c r="B796" s="3" t="s">
        <v>602</v>
      </c>
      <c r="C796" s="3" t="s">
        <v>463</v>
      </c>
      <c r="D796" s="3">
        <v>200.0</v>
      </c>
      <c r="E796" s="3">
        <v>1765203.0</v>
      </c>
      <c r="F796" s="3">
        <v>1034721.0</v>
      </c>
      <c r="G796" s="30">
        <f t="shared" si="252"/>
        <v>2799924</v>
      </c>
    </row>
    <row r="800">
      <c r="D800" s="30" t="str">
        <f>"total=["&amp;L787&amp;", "&amp;L788&amp;", "&amp;G778&amp;", "&amp;G779&amp;", "&amp;G781&amp;", "&amp;G782&amp;", "&amp;G784&amp;", "&amp;G785&amp;"]"</f>
        <v>total=[2000000, 1500000, 2338203, 2346605, 2377012, 2529912, 2006509, 2007643]</v>
      </c>
    </row>
    <row r="805">
      <c r="D805" s="3" t="s">
        <v>655</v>
      </c>
      <c r="E805" s="3">
        <v>1.0</v>
      </c>
      <c r="F805" s="3">
        <v>1713800.0</v>
      </c>
      <c r="G805" s="3">
        <v>398826.0</v>
      </c>
    </row>
    <row r="806">
      <c r="I806" s="3">
        <v>4000000.0</v>
      </c>
      <c r="J806" s="30">
        <f>LOG(I806)</f>
        <v>6.602059991</v>
      </c>
      <c r="K806" s="30">
        <f>J806*100000</f>
        <v>660205.9991</v>
      </c>
      <c r="L806" s="30">
        <f>K806*3</f>
        <v>1980617.997</v>
      </c>
    </row>
    <row r="808">
      <c r="B808" s="3" t="s">
        <v>656</v>
      </c>
    </row>
    <row r="809">
      <c r="C809" s="3" t="s">
        <v>589</v>
      </c>
      <c r="D809" s="3" t="s">
        <v>636</v>
      </c>
    </row>
    <row r="810">
      <c r="E810" s="3" t="s">
        <v>448</v>
      </c>
      <c r="F810" s="3" t="s">
        <v>449</v>
      </c>
      <c r="G810" s="3" t="s">
        <v>283</v>
      </c>
      <c r="H810" s="30">
        <f>(H811+H814+H817)/3</f>
        <v>71.40343218</v>
      </c>
      <c r="J810" s="3">
        <v>4096.0</v>
      </c>
      <c r="K810" s="3">
        <v>4096.0</v>
      </c>
    </row>
    <row r="811">
      <c r="A811" s="3" t="s">
        <v>642</v>
      </c>
      <c r="B811" s="3" t="s">
        <v>643</v>
      </c>
      <c r="C811" s="3" t="s">
        <v>655</v>
      </c>
      <c r="D811" s="3">
        <v>1.0</v>
      </c>
      <c r="E811" s="3">
        <v>426155.0</v>
      </c>
      <c r="G811" s="30">
        <f t="shared" ref="G811:G812" si="253">E811+F811</f>
        <v>426155</v>
      </c>
      <c r="H811" s="30">
        <f>100-ABS(G811-L820)/G811*100</f>
        <v>61.88821813</v>
      </c>
      <c r="I811" s="30">
        <f>100-ABS($M$497-G811)/$M$497*100</f>
        <v>10.16032696</v>
      </c>
    </row>
    <row r="812">
      <c r="A812" s="3" t="s">
        <v>642</v>
      </c>
      <c r="B812" s="3" t="s">
        <v>602</v>
      </c>
      <c r="C812" s="3" t="s">
        <v>655</v>
      </c>
      <c r="D812" s="3">
        <v>1.0</v>
      </c>
      <c r="E812" s="3">
        <v>472839.0</v>
      </c>
      <c r="G812" s="30">
        <f t="shared" si="253"/>
        <v>472839</v>
      </c>
      <c r="H812" s="30">
        <f>100-ABS(G812-L820)/G812*100</f>
        <v>75.52417122</v>
      </c>
    </row>
    <row r="813">
      <c r="J813" s="30">
        <f>(H812+H818)/2</f>
        <v>63.08615896</v>
      </c>
    </row>
    <row r="814">
      <c r="A814" s="3" t="s">
        <v>644</v>
      </c>
      <c r="B814" s="3" t="s">
        <v>643</v>
      </c>
      <c r="C814" s="3" t="s">
        <v>463</v>
      </c>
      <c r="D814" s="3">
        <v>1.0</v>
      </c>
      <c r="E814" s="3">
        <v>534214.0</v>
      </c>
      <c r="G814" s="30">
        <f t="shared" ref="G814:G815" si="254">E814+F814</f>
        <v>534214</v>
      </c>
      <c r="H814" s="30">
        <f>100-ABS(G814-L820)/G814*100</f>
        <v>89.82500196</v>
      </c>
    </row>
    <row r="815">
      <c r="A815" s="3" t="s">
        <v>644</v>
      </c>
      <c r="B815" s="3" t="s">
        <v>602</v>
      </c>
      <c r="C815" s="3" t="s">
        <v>463</v>
      </c>
      <c r="D815" s="3">
        <v>1.0</v>
      </c>
      <c r="E815" s="3">
        <v>1152437.0</v>
      </c>
      <c r="G815" s="30">
        <f t="shared" si="254"/>
        <v>1152437</v>
      </c>
      <c r="H815" s="30">
        <f>100-ABS($M$496-G815)/$M$496*100</f>
        <v>18.32644126</v>
      </c>
    </row>
    <row r="816">
      <c r="J816" s="3" t="s">
        <v>645</v>
      </c>
      <c r="K816" s="3" t="s">
        <v>646</v>
      </c>
    </row>
    <row r="817">
      <c r="A817" s="3" t="s">
        <v>647</v>
      </c>
      <c r="B817" s="3" t="s">
        <v>643</v>
      </c>
      <c r="C817" s="3" t="s">
        <v>463</v>
      </c>
      <c r="D817" s="3">
        <v>1.0</v>
      </c>
      <c r="E817" s="3">
        <v>428042.0</v>
      </c>
      <c r="G817" s="30">
        <f t="shared" ref="G817:G818" si="255">E817+F817</f>
        <v>428042</v>
      </c>
      <c r="H817" s="30">
        <f>100-ABS(G817-L820)/G817*100</f>
        <v>62.49707645</v>
      </c>
      <c r="J817" s="3">
        <v>1.0E8</v>
      </c>
      <c r="K817" s="3">
        <v>4.0</v>
      </c>
    </row>
    <row r="818">
      <c r="A818" s="3" t="s">
        <v>647</v>
      </c>
      <c r="B818" s="3" t="s">
        <v>602</v>
      </c>
      <c r="C818" s="3" t="s">
        <v>463</v>
      </c>
      <c r="D818" s="3">
        <v>1.0</v>
      </c>
      <c r="E818" s="3">
        <v>394083.0</v>
      </c>
      <c r="G818" s="30">
        <f t="shared" si="255"/>
        <v>394083</v>
      </c>
      <c r="H818" s="30">
        <f>100-ABS(G818-L820)/G818*100</f>
        <v>50.6481467</v>
      </c>
    </row>
    <row r="819">
      <c r="J819" s="3" t="s">
        <v>486</v>
      </c>
      <c r="K819" s="3" t="s">
        <v>648</v>
      </c>
      <c r="L819" s="3" t="s">
        <v>283</v>
      </c>
    </row>
    <row r="820">
      <c r="I820" s="3" t="s">
        <v>649</v>
      </c>
      <c r="J820" s="30">
        <v>588570.2640307106</v>
      </c>
      <c r="L820" s="30">
        <f t="shared" ref="L820:L821" si="256">J820+K820</f>
        <v>588570.264</v>
      </c>
    </row>
    <row r="821">
      <c r="A821" s="3" t="s">
        <v>595</v>
      </c>
      <c r="B821" s="3" t="s">
        <v>651</v>
      </c>
      <c r="I821" s="3" t="s">
        <v>650</v>
      </c>
      <c r="J821" s="30">
        <f>J817*K817/64*16/200*2</f>
        <v>1000000</v>
      </c>
      <c r="L821" s="30">
        <f t="shared" si="256"/>
        <v>1000000</v>
      </c>
    </row>
    <row r="822">
      <c r="A822" s="3" t="s">
        <v>642</v>
      </c>
      <c r="B822" s="3" t="s">
        <v>643</v>
      </c>
      <c r="C822" s="3" t="s">
        <v>655</v>
      </c>
      <c r="D822" s="3">
        <v>1.0</v>
      </c>
      <c r="E822" s="3">
        <v>639516.0</v>
      </c>
      <c r="F822" s="3">
        <v>25937.0</v>
      </c>
      <c r="G822" s="30">
        <f t="shared" ref="G822:G823" si="257">E822+F822</f>
        <v>665453</v>
      </c>
    </row>
    <row r="823">
      <c r="A823" s="3" t="s">
        <v>642</v>
      </c>
      <c r="B823" s="3" t="s">
        <v>602</v>
      </c>
      <c r="C823" s="3" t="s">
        <v>655</v>
      </c>
      <c r="D823" s="3">
        <v>1.0</v>
      </c>
      <c r="E823" s="3">
        <v>853467.0</v>
      </c>
      <c r="F823" s="3">
        <v>25937.0</v>
      </c>
      <c r="G823" s="30">
        <f t="shared" si="257"/>
        <v>879404</v>
      </c>
    </row>
    <row r="825">
      <c r="A825" s="3" t="s">
        <v>644</v>
      </c>
      <c r="B825" s="3" t="s">
        <v>643</v>
      </c>
      <c r="C825" s="3" t="s">
        <v>463</v>
      </c>
      <c r="D825" s="3">
        <v>1.0</v>
      </c>
      <c r="E825" s="3">
        <v>911139.0</v>
      </c>
      <c r="F825" s="3">
        <v>0.0</v>
      </c>
      <c r="G825" s="30">
        <f t="shared" ref="G825:G826" si="258">E825+F825</f>
        <v>911139</v>
      </c>
    </row>
    <row r="826">
      <c r="A826" s="3" t="s">
        <v>644</v>
      </c>
      <c r="B826" s="3" t="s">
        <v>602</v>
      </c>
      <c r="C826" s="3" t="s">
        <v>463</v>
      </c>
      <c r="D826" s="3">
        <v>1.0</v>
      </c>
      <c r="E826" s="3">
        <v>1925681.0</v>
      </c>
      <c r="F826" s="3">
        <v>0.0</v>
      </c>
      <c r="G826" s="30">
        <f t="shared" si="258"/>
        <v>1925681</v>
      </c>
    </row>
    <row r="828">
      <c r="A828" s="3" t="s">
        <v>647</v>
      </c>
      <c r="B828" s="3" t="s">
        <v>643</v>
      </c>
      <c r="C828" s="3" t="s">
        <v>463</v>
      </c>
      <c r="D828" s="3">
        <v>1.0</v>
      </c>
      <c r="E828" s="3">
        <v>593093.0</v>
      </c>
      <c r="F828" s="3">
        <v>0.0</v>
      </c>
      <c r="G828" s="30">
        <f t="shared" ref="G828:G829" si="259">E828+F828</f>
        <v>593093</v>
      </c>
    </row>
    <row r="829">
      <c r="A829" s="3" t="s">
        <v>647</v>
      </c>
      <c r="B829" s="3" t="s">
        <v>602</v>
      </c>
      <c r="C829" s="3" t="s">
        <v>463</v>
      </c>
      <c r="D829" s="3">
        <v>1.0</v>
      </c>
      <c r="E829" s="3">
        <v>1018796.0</v>
      </c>
      <c r="F829" s="3">
        <v>0.0</v>
      </c>
      <c r="G829" s="30">
        <f t="shared" si="259"/>
        <v>1018796</v>
      </c>
    </row>
    <row r="833">
      <c r="D833" s="30" t="str">
        <f>"total=["&amp;L820&amp;", "&amp;L821&amp;", "&amp;G811&amp;", "&amp;G812&amp;", "&amp;G814&amp;", "&amp;G815&amp;", "&amp;G817&amp;", "&amp;G818&amp;"]"</f>
        <v>total=[588570.264030711, 1000000, 426155, 472839, 534214, 1152437, 428042, 394083]</v>
      </c>
    </row>
    <row r="834">
      <c r="D834" s="30" t="str">
        <f>"omp_data=["&amp;L820&amp;", "&amp;L821&amp;","&amp;G822&amp;", "&amp;G823&amp;", "&amp;G825&amp;", "&amp;G826&amp;", "&amp;G828&amp;","&amp;G829&amp;"]"</f>
        <v>omp_data=[588570.264030711, 1000000,665453, 879404, 911139, 1925681, 593093,1018796]</v>
      </c>
    </row>
    <row r="835">
      <c r="F835" s="3">
        <v>240.0</v>
      </c>
      <c r="G835" s="30">
        <f>F835*F840</f>
        <v>251658240</v>
      </c>
      <c r="H835" s="30">
        <f>E837/G835</f>
        <v>0.02443326314</v>
      </c>
      <c r="I835" s="30">
        <f>E842/G835</f>
        <v>0.1666666667</v>
      </c>
      <c r="J835" s="30">
        <f>H835*I835</f>
        <v>0.004072210524</v>
      </c>
    </row>
    <row r="837">
      <c r="D837" s="98">
        <v>768604.0</v>
      </c>
      <c r="E837" s="30">
        <f>D837*8</f>
        <v>6148832</v>
      </c>
      <c r="F837" s="30">
        <f>E837/F840</f>
        <v>5.863983154</v>
      </c>
      <c r="I837" s="30">
        <f>D840/D837</f>
        <v>0.7657652888</v>
      </c>
    </row>
    <row r="838">
      <c r="F838" s="3">
        <v>477873.0</v>
      </c>
    </row>
    <row r="839">
      <c r="D839" s="30">
        <f>log(D837)</f>
        <v>5.88570264</v>
      </c>
    </row>
    <row r="840">
      <c r="D840" s="30">
        <f>D839*100000</f>
        <v>588570.264</v>
      </c>
      <c r="E840" s="30">
        <f>D840*64</f>
        <v>37668496.9</v>
      </c>
      <c r="F840" s="99">
        <v>1048576.0</v>
      </c>
      <c r="G840" s="30">
        <f>E840/F840</f>
        <v>35.92347803</v>
      </c>
    </row>
    <row r="841">
      <c r="D841" s="3" t="s">
        <v>657</v>
      </c>
    </row>
    <row r="842">
      <c r="C842" s="3" t="s">
        <v>658</v>
      </c>
      <c r="D842" s="3">
        <v>40.0</v>
      </c>
      <c r="E842" s="30">
        <f t="shared" ref="E842:E844" si="260">D842*$F$609</f>
        <v>41943040</v>
      </c>
    </row>
    <row r="843">
      <c r="C843" s="3" t="s">
        <v>659</v>
      </c>
      <c r="D843" s="3">
        <v>14.0</v>
      </c>
      <c r="E843" s="30">
        <f t="shared" si="260"/>
        <v>14680064</v>
      </c>
    </row>
    <row r="844">
      <c r="C844" s="3" t="s">
        <v>660</v>
      </c>
      <c r="D844" s="3">
        <v>28.0</v>
      </c>
      <c r="E844" s="30">
        <f t="shared" si="260"/>
        <v>29360128</v>
      </c>
    </row>
    <row r="845">
      <c r="K845" s="3">
        <v>102.0</v>
      </c>
    </row>
    <row r="847">
      <c r="L847" s="30">
        <f>L850/64</f>
        <v>65536</v>
      </c>
    </row>
    <row r="848">
      <c r="B848" s="3" t="s">
        <v>661</v>
      </c>
    </row>
    <row r="849">
      <c r="C849" s="3" t="s">
        <v>589</v>
      </c>
      <c r="D849" s="3" t="s">
        <v>636</v>
      </c>
    </row>
    <row r="850">
      <c r="E850" s="3" t="s">
        <v>448</v>
      </c>
      <c r="F850" s="3" t="s">
        <v>449</v>
      </c>
      <c r="G850" s="3" t="s">
        <v>283</v>
      </c>
      <c r="J850" s="3">
        <v>2048.0</v>
      </c>
      <c r="K850" s="3">
        <v>2048.0</v>
      </c>
      <c r="L850" s="30">
        <f>J850*K850</f>
        <v>4194304</v>
      </c>
      <c r="M850" s="30">
        <f>L850/64</f>
        <v>65536</v>
      </c>
    </row>
    <row r="851">
      <c r="A851" s="3" t="s">
        <v>642</v>
      </c>
      <c r="B851" s="3" t="s">
        <v>643</v>
      </c>
      <c r="C851" s="3" t="s">
        <v>463</v>
      </c>
      <c r="D851" s="3">
        <v>200.0</v>
      </c>
      <c r="E851" s="3">
        <v>1516527.0</v>
      </c>
      <c r="F851" s="3">
        <v>821676.0</v>
      </c>
      <c r="G851" s="30">
        <f t="shared" ref="G851:G852" si="261">E851+F851</f>
        <v>2338203</v>
      </c>
      <c r="H851" s="30">
        <f t="shared" ref="H851:H852" si="262">100-ABS($M$496-G851)/$M$496*100</f>
        <v>37.1828915</v>
      </c>
      <c r="I851" s="30">
        <f>100-ABS($M$497-G851)/$M$497*100</f>
        <v>55.74710369</v>
      </c>
    </row>
    <row r="852">
      <c r="A852" s="3" t="s">
        <v>642</v>
      </c>
      <c r="B852" s="3" t="s">
        <v>602</v>
      </c>
      <c r="C852" s="3" t="s">
        <v>463</v>
      </c>
      <c r="D852" s="3">
        <v>200.0</v>
      </c>
      <c r="E852" s="3">
        <v>1520001.0</v>
      </c>
      <c r="F852" s="3">
        <v>826604.0</v>
      </c>
      <c r="G852" s="30">
        <f t="shared" si="261"/>
        <v>2346605</v>
      </c>
      <c r="H852" s="30">
        <f t="shared" si="262"/>
        <v>37.31650294</v>
      </c>
    </row>
    <row r="854">
      <c r="A854" s="3" t="s">
        <v>644</v>
      </c>
      <c r="B854" s="3" t="s">
        <v>643</v>
      </c>
      <c r="C854" s="3" t="s">
        <v>463</v>
      </c>
      <c r="D854" s="3">
        <v>200.0</v>
      </c>
      <c r="E854" s="3">
        <v>1697399.0</v>
      </c>
      <c r="F854" s="3">
        <v>679613.0</v>
      </c>
      <c r="G854" s="30">
        <f t="shared" ref="G854:G855" si="263">E854+F854</f>
        <v>2377012</v>
      </c>
      <c r="H854" s="30">
        <f t="shared" ref="H854:H855" si="264">100-ABS($M$496-G854)/$M$496*100</f>
        <v>37.80004529</v>
      </c>
      <c r="M854" s="30">
        <f>J857/200</f>
        <v>500000</v>
      </c>
    </row>
    <row r="855">
      <c r="A855" s="3" t="s">
        <v>644</v>
      </c>
      <c r="B855" s="3" t="s">
        <v>602</v>
      </c>
      <c r="C855" s="3" t="s">
        <v>463</v>
      </c>
      <c r="D855" s="3">
        <v>200.0</v>
      </c>
      <c r="E855" s="3">
        <v>1826256.0</v>
      </c>
      <c r="F855" s="3">
        <v>703656.0</v>
      </c>
      <c r="G855" s="30">
        <f t="shared" si="263"/>
        <v>2529912</v>
      </c>
      <c r="H855" s="30">
        <f t="shared" si="264"/>
        <v>40.23151258</v>
      </c>
    </row>
    <row r="856">
      <c r="J856" s="3" t="s">
        <v>645</v>
      </c>
      <c r="K856" s="3" t="s">
        <v>646</v>
      </c>
    </row>
    <row r="857">
      <c r="A857" s="3" t="s">
        <v>647</v>
      </c>
      <c r="B857" s="3" t="s">
        <v>643</v>
      </c>
      <c r="C857" s="3" t="s">
        <v>463</v>
      </c>
      <c r="D857" s="3">
        <v>200.0</v>
      </c>
      <c r="E857" s="3">
        <v>1501175.0</v>
      </c>
      <c r="F857" s="3">
        <v>505334.0</v>
      </c>
      <c r="G857" s="30">
        <f t="shared" ref="G857:G858" si="265">E857+F857</f>
        <v>2006509</v>
      </c>
      <c r="H857" s="30">
        <f t="shared" ref="H857:H858" si="266">100-ABS($M$496-G857)/$M$496*100</f>
        <v>31.90818182</v>
      </c>
      <c r="J857" s="3">
        <v>1.0E8</v>
      </c>
      <c r="K857" s="3">
        <v>4.0</v>
      </c>
    </row>
    <row r="858">
      <c r="A858" s="3" t="s">
        <v>647</v>
      </c>
      <c r="B858" s="3" t="s">
        <v>602</v>
      </c>
      <c r="C858" s="3" t="s">
        <v>463</v>
      </c>
      <c r="D858" s="3">
        <v>200.0</v>
      </c>
      <c r="E858" s="3">
        <v>1502057.0</v>
      </c>
      <c r="F858" s="3">
        <v>505586.0</v>
      </c>
      <c r="G858" s="30">
        <f t="shared" si="265"/>
        <v>2007643</v>
      </c>
      <c r="H858" s="30">
        <f t="shared" si="266"/>
        <v>31.92621507</v>
      </c>
    </row>
    <row r="859">
      <c r="J859" s="3" t="s">
        <v>486</v>
      </c>
      <c r="K859" s="3" t="s">
        <v>648</v>
      </c>
      <c r="L859" s="3" t="s">
        <v>283</v>
      </c>
    </row>
    <row r="860">
      <c r="I860" s="3" t="s">
        <v>649</v>
      </c>
      <c r="J860" s="30">
        <f>J857*K857/64*3*16/200</f>
        <v>1500000</v>
      </c>
      <c r="K860" s="30">
        <f>J857*K857/64*16/200</f>
        <v>500000</v>
      </c>
      <c r="L860" s="30">
        <f t="shared" ref="L860:L861" si="267">J860+K860</f>
        <v>2000000</v>
      </c>
    </row>
    <row r="861">
      <c r="A861" s="3" t="s">
        <v>595</v>
      </c>
      <c r="B861" s="3" t="s">
        <v>651</v>
      </c>
      <c r="I861" s="3" t="s">
        <v>650</v>
      </c>
      <c r="J861" s="30">
        <f>J857*K857/64*16/200*2</f>
        <v>1000000</v>
      </c>
      <c r="K861" s="30">
        <f>K860</f>
        <v>500000</v>
      </c>
      <c r="L861" s="30">
        <f t="shared" si="267"/>
        <v>1500000</v>
      </c>
    </row>
    <row r="862">
      <c r="A862" s="3" t="s">
        <v>642</v>
      </c>
      <c r="B862" s="3" t="s">
        <v>643</v>
      </c>
      <c r="C862" s="3" t="s">
        <v>463</v>
      </c>
      <c r="D862" s="3">
        <v>1.0</v>
      </c>
      <c r="E862" s="3">
        <v>1.8776592E7</v>
      </c>
      <c r="F862" s="3">
        <v>6270387.0</v>
      </c>
      <c r="G862" s="30">
        <f t="shared" ref="G862:G863" si="268">E862+F862</f>
        <v>25046979</v>
      </c>
    </row>
    <row r="863">
      <c r="A863" s="3" t="s">
        <v>642</v>
      </c>
      <c r="B863" s="3" t="s">
        <v>602</v>
      </c>
      <c r="C863" s="3" t="s">
        <v>463</v>
      </c>
      <c r="D863" s="3">
        <v>1.0</v>
      </c>
      <c r="E863" s="3">
        <v>1.8779905E7</v>
      </c>
      <c r="F863" s="3">
        <v>6253845.0</v>
      </c>
      <c r="G863" s="30">
        <f t="shared" si="268"/>
        <v>25033750</v>
      </c>
    </row>
    <row r="865">
      <c r="A865" s="3" t="s">
        <v>644</v>
      </c>
      <c r="B865" s="3" t="s">
        <v>643</v>
      </c>
      <c r="C865" s="3" t="s">
        <v>463</v>
      </c>
      <c r="D865" s="3">
        <v>1.0</v>
      </c>
      <c r="E865" s="3">
        <v>1.8739767E7</v>
      </c>
      <c r="F865" s="3">
        <v>6264934.0</v>
      </c>
      <c r="G865" s="30">
        <f t="shared" ref="G865:G866" si="269">E865+F865</f>
        <v>25004701</v>
      </c>
    </row>
    <row r="866">
      <c r="A866" s="3" t="s">
        <v>644</v>
      </c>
      <c r="B866" s="3" t="s">
        <v>602</v>
      </c>
      <c r="C866" s="3" t="s">
        <v>463</v>
      </c>
      <c r="D866" s="3">
        <v>1.0</v>
      </c>
      <c r="E866" s="3">
        <v>1.8763648E7</v>
      </c>
      <c r="F866" s="3">
        <v>6263322.0</v>
      </c>
      <c r="G866" s="30">
        <f t="shared" si="269"/>
        <v>25026970</v>
      </c>
    </row>
    <row r="868">
      <c r="A868" s="3" t="s">
        <v>647</v>
      </c>
      <c r="B868" s="3" t="s">
        <v>643</v>
      </c>
      <c r="C868" s="3" t="s">
        <v>463</v>
      </c>
      <c r="D868" s="3">
        <v>1.0</v>
      </c>
      <c r="E868" s="3">
        <v>1.8409628E7</v>
      </c>
      <c r="F868" s="3">
        <v>6199845.0</v>
      </c>
      <c r="G868" s="30">
        <f t="shared" ref="G868:G869" si="270">E868+F868</f>
        <v>24609473</v>
      </c>
    </row>
    <row r="869">
      <c r="A869" s="3" t="s">
        <v>647</v>
      </c>
      <c r="B869" s="3" t="s">
        <v>602</v>
      </c>
      <c r="C869" s="3" t="s">
        <v>463</v>
      </c>
      <c r="D869" s="3">
        <v>1.0</v>
      </c>
      <c r="E869" s="3">
        <v>1.8413531E7</v>
      </c>
      <c r="F869" s="3">
        <v>6184994.0</v>
      </c>
      <c r="G869" s="30">
        <f t="shared" si="270"/>
        <v>24598525</v>
      </c>
    </row>
    <row r="873">
      <c r="D873" s="30" t="str">
        <f>"total=["&amp;L860&amp;", "&amp;L861&amp;", "&amp;G851&amp;", "&amp;G852&amp;", "&amp;G854&amp;", "&amp;G855&amp;", "&amp;G857&amp;", "&amp;G858&amp;"]"</f>
        <v>total=[2000000, 1500000, 2338203, 2346605, 2377012, 2529912, 2006509, 2007643]</v>
      </c>
    </row>
    <row r="875">
      <c r="K875" s="3">
        <v>16000.0</v>
      </c>
      <c r="L875" s="30">
        <f>K875*64</f>
        <v>1024000</v>
      </c>
      <c r="M875" s="30">
        <f>L875/2</f>
        <v>512000</v>
      </c>
    </row>
    <row r="878">
      <c r="H878" s="3">
        <v>512.0</v>
      </c>
      <c r="I878" s="3">
        <v>512.0</v>
      </c>
      <c r="J878" s="30">
        <f>H878*I878</f>
        <v>262144</v>
      </c>
      <c r="K878" s="30">
        <f>J878/64*4</f>
        <v>16384</v>
      </c>
    </row>
    <row r="885">
      <c r="A885" s="3" t="s">
        <v>666</v>
      </c>
    </row>
    <row r="890">
      <c r="B890" s="3" t="s">
        <v>641</v>
      </c>
    </row>
    <row r="891">
      <c r="C891" s="3" t="s">
        <v>589</v>
      </c>
      <c r="D891" s="3" t="s">
        <v>636</v>
      </c>
    </row>
    <row r="892">
      <c r="E892" s="3" t="s">
        <v>448</v>
      </c>
      <c r="F892" s="3" t="s">
        <v>449</v>
      </c>
      <c r="G892" s="3" t="s">
        <v>283</v>
      </c>
    </row>
    <row r="893">
      <c r="A893" s="3" t="s">
        <v>642</v>
      </c>
      <c r="B893" s="3" t="s">
        <v>643</v>
      </c>
      <c r="C893" s="3" t="s">
        <v>463</v>
      </c>
      <c r="D893" s="3">
        <v>1.0</v>
      </c>
      <c r="E893" s="3">
        <v>1.8924509E7</v>
      </c>
      <c r="F893" s="3">
        <v>6414347.0</v>
      </c>
      <c r="G893" s="30">
        <f t="shared" ref="G893:G894" si="271">E893+F893</f>
        <v>25338856</v>
      </c>
    </row>
    <row r="894">
      <c r="A894" s="3" t="s">
        <v>642</v>
      </c>
      <c r="B894" s="3" t="s">
        <v>602</v>
      </c>
      <c r="C894" s="3" t="s">
        <v>463</v>
      </c>
      <c r="D894" s="3">
        <v>1.0</v>
      </c>
      <c r="E894" s="3">
        <v>1.879793E7</v>
      </c>
      <c r="F894" s="3">
        <v>6282547.0</v>
      </c>
      <c r="G894" s="30">
        <f t="shared" si="271"/>
        <v>25080477</v>
      </c>
    </row>
    <row r="896">
      <c r="A896" s="3" t="s">
        <v>644</v>
      </c>
      <c r="B896" s="3" t="s">
        <v>643</v>
      </c>
      <c r="C896" s="3" t="s">
        <v>463</v>
      </c>
      <c r="D896" s="3">
        <v>1.0</v>
      </c>
      <c r="E896" s="3">
        <v>1.8688408E7</v>
      </c>
      <c r="F896" s="3">
        <v>6250709.0</v>
      </c>
      <c r="G896" s="30">
        <f t="shared" ref="G896:G897" si="272">E896+F896</f>
        <v>24939117</v>
      </c>
    </row>
    <row r="897">
      <c r="A897" s="3" t="s">
        <v>644</v>
      </c>
      <c r="B897" s="3" t="s">
        <v>602</v>
      </c>
      <c r="C897" s="3" t="s">
        <v>463</v>
      </c>
      <c r="D897" s="3">
        <v>1.0</v>
      </c>
      <c r="E897" s="3">
        <v>1.8794607E7</v>
      </c>
      <c r="F897" s="3">
        <v>6254850.0</v>
      </c>
      <c r="G897" s="30">
        <f t="shared" si="272"/>
        <v>25049457</v>
      </c>
    </row>
    <row r="898">
      <c r="J898" s="3" t="s">
        <v>645</v>
      </c>
      <c r="K898" s="3" t="s">
        <v>646</v>
      </c>
    </row>
    <row r="899">
      <c r="A899" s="3" t="s">
        <v>647</v>
      </c>
      <c r="B899" s="3" t="s">
        <v>643</v>
      </c>
      <c r="C899" s="3" t="s">
        <v>463</v>
      </c>
      <c r="D899" s="3">
        <v>1.0</v>
      </c>
      <c r="E899" s="3">
        <v>1.8528602E7</v>
      </c>
      <c r="F899" s="3">
        <v>6204350.0</v>
      </c>
      <c r="G899" s="30">
        <f t="shared" ref="G899:G900" si="273">E899+F899</f>
        <v>24732952</v>
      </c>
      <c r="J899" s="3">
        <v>5.0E7</v>
      </c>
      <c r="K899" s="3">
        <v>8.0</v>
      </c>
    </row>
    <row r="900">
      <c r="A900" s="3" t="s">
        <v>647</v>
      </c>
      <c r="B900" s="3" t="s">
        <v>602</v>
      </c>
      <c r="C900" s="3" t="s">
        <v>463</v>
      </c>
      <c r="D900" s="3">
        <v>1.0</v>
      </c>
      <c r="E900" s="3">
        <v>1.8352835E7</v>
      </c>
      <c r="F900" s="3">
        <v>6137000.0</v>
      </c>
      <c r="G900" s="30">
        <f t="shared" si="273"/>
        <v>24489835</v>
      </c>
    </row>
    <row r="901">
      <c r="J901" s="3" t="s">
        <v>486</v>
      </c>
      <c r="K901" s="3" t="s">
        <v>648</v>
      </c>
      <c r="L901" s="3" t="s">
        <v>283</v>
      </c>
    </row>
    <row r="902">
      <c r="I902" s="3" t="s">
        <v>649</v>
      </c>
      <c r="J902" s="30">
        <f>J899*K899/64*3</f>
        <v>18750000</v>
      </c>
      <c r="K902" s="30">
        <f>J899*K899/64</f>
        <v>6250000</v>
      </c>
      <c r="L902" s="30">
        <f t="shared" ref="L902:L903" si="274">J902+K902</f>
        <v>25000000</v>
      </c>
    </row>
    <row r="903">
      <c r="A903" s="3" t="s">
        <v>667</v>
      </c>
      <c r="I903" s="3" t="s">
        <v>650</v>
      </c>
      <c r="J903" s="30">
        <f>J899*K899/64*2</f>
        <v>12500000</v>
      </c>
      <c r="K903" s="30">
        <f>J899*K899/64</f>
        <v>6250000</v>
      </c>
      <c r="L903" s="30">
        <f t="shared" si="274"/>
        <v>18750000</v>
      </c>
    </row>
    <row r="904">
      <c r="A904" s="3" t="s">
        <v>642</v>
      </c>
      <c r="B904" s="3" t="s">
        <v>643</v>
      </c>
      <c r="C904" s="3" t="s">
        <v>477</v>
      </c>
      <c r="D904" s="3">
        <v>1.0</v>
      </c>
      <c r="E904" s="3">
        <v>1.3036172E7</v>
      </c>
      <c r="F904" s="3">
        <v>7049815.0</v>
      </c>
      <c r="G904" s="3">
        <f t="shared" ref="G904:G905" si="275">E904+F904</f>
        <v>20085987</v>
      </c>
    </row>
    <row r="905">
      <c r="A905" s="3" t="s">
        <v>642</v>
      </c>
      <c r="B905" s="3" t="s">
        <v>602</v>
      </c>
      <c r="C905" s="3" t="s">
        <v>477</v>
      </c>
      <c r="D905" s="3">
        <v>1.0</v>
      </c>
      <c r="E905" s="3">
        <v>1.3034292E7</v>
      </c>
      <c r="F905" s="3">
        <v>7048657.0</v>
      </c>
      <c r="G905" s="3">
        <f t="shared" si="275"/>
        <v>20082949</v>
      </c>
    </row>
    <row r="907">
      <c r="A907" s="3" t="s">
        <v>644</v>
      </c>
      <c r="B907" s="3" t="s">
        <v>643</v>
      </c>
      <c r="C907" s="3" t="s">
        <v>463</v>
      </c>
      <c r="D907" s="3">
        <v>1.0</v>
      </c>
      <c r="E907" s="30">
        <f>E904*0.95</f>
        <v>12384363.4</v>
      </c>
      <c r="F907" s="30">
        <f>F904*0.93</f>
        <v>6556327.95</v>
      </c>
      <c r="G907" s="30">
        <f t="shared" ref="G907:G908" si="276">E907+F907</f>
        <v>18940691.35</v>
      </c>
    </row>
    <row r="908">
      <c r="A908" s="3" t="s">
        <v>644</v>
      </c>
      <c r="B908" s="3" t="s">
        <v>602</v>
      </c>
      <c r="C908" s="3" t="s">
        <v>463</v>
      </c>
      <c r="D908" s="3">
        <v>1.0</v>
      </c>
      <c r="E908" s="30">
        <f>E905*0.97</f>
        <v>12643263.24</v>
      </c>
      <c r="F908" s="30">
        <f>F905*0.91</f>
        <v>6414277.87</v>
      </c>
      <c r="G908" s="30">
        <f t="shared" si="276"/>
        <v>19057541.11</v>
      </c>
    </row>
    <row r="910">
      <c r="A910" s="3" t="s">
        <v>647</v>
      </c>
      <c r="B910" s="3" t="s">
        <v>643</v>
      </c>
      <c r="C910" s="3" t="s">
        <v>463</v>
      </c>
      <c r="D910" s="3">
        <v>1.0</v>
      </c>
      <c r="E910" s="30">
        <f>E904*0.94</f>
        <v>12254001.68</v>
      </c>
      <c r="F910" s="30">
        <f>F904*0.934</f>
        <v>6584527.21</v>
      </c>
      <c r="G910" s="30">
        <f t="shared" ref="G910:G911" si="277">E910+F910</f>
        <v>18838528.89</v>
      </c>
    </row>
    <row r="911">
      <c r="A911" s="3" t="s">
        <v>647</v>
      </c>
      <c r="B911" s="3" t="s">
        <v>602</v>
      </c>
      <c r="C911" s="3" t="s">
        <v>463</v>
      </c>
      <c r="D911" s="3">
        <v>1.0</v>
      </c>
      <c r="E911" s="30">
        <f>E905*0.955</f>
        <v>12447748.86</v>
      </c>
      <c r="F911" s="30">
        <f>F905*0.928</f>
        <v>6541153.696</v>
      </c>
      <c r="G911" s="30">
        <f t="shared" si="277"/>
        <v>18988902.56</v>
      </c>
    </row>
    <row r="915">
      <c r="D915" s="30" t="str">
        <f>"total=["&amp;L902&amp;", "&amp;L903&amp;", "&amp;G893&amp;", "&amp;G894&amp;", "&amp;G896&amp;", "&amp;G897&amp;", "&amp;G899&amp;", "&amp;G900&amp;"]"</f>
        <v>total=[25000000, 18750000, 25338856, 25080477, 24939117, 25049457, 24732952, 24489835]</v>
      </c>
    </row>
    <row r="920">
      <c r="B920" s="3" t="s">
        <v>557</v>
      </c>
    </row>
    <row r="921">
      <c r="C921" s="3" t="s">
        <v>589</v>
      </c>
      <c r="D921" s="3" t="s">
        <v>636</v>
      </c>
    </row>
    <row r="922">
      <c r="E922" s="3" t="s">
        <v>448</v>
      </c>
      <c r="F922" s="3" t="s">
        <v>449</v>
      </c>
      <c r="G922" s="3" t="s">
        <v>283</v>
      </c>
      <c r="J922" s="3">
        <v>8192.0</v>
      </c>
      <c r="K922" s="3">
        <v>8192.0</v>
      </c>
    </row>
    <row r="923">
      <c r="A923" s="3" t="s">
        <v>642</v>
      </c>
      <c r="B923" s="3" t="s">
        <v>643</v>
      </c>
      <c r="C923" s="3" t="s">
        <v>463</v>
      </c>
      <c r="D923" s="3">
        <v>1.0</v>
      </c>
      <c r="E923" s="3">
        <v>4620741.0</v>
      </c>
      <c r="F923" s="3">
        <v>4821091.0</v>
      </c>
      <c r="G923" s="30">
        <f t="shared" ref="G923:G924" si="278">E923+F923</f>
        <v>9441832</v>
      </c>
    </row>
    <row r="924">
      <c r="A924" s="3" t="s">
        <v>642</v>
      </c>
      <c r="B924" s="3" t="s">
        <v>602</v>
      </c>
      <c r="C924" s="3" t="s">
        <v>463</v>
      </c>
      <c r="D924" s="3">
        <v>1.0</v>
      </c>
      <c r="E924" s="3">
        <v>4569441.0</v>
      </c>
      <c r="F924" s="3">
        <v>4740749.0</v>
      </c>
      <c r="G924" s="30">
        <f t="shared" si="278"/>
        <v>9310190</v>
      </c>
    </row>
    <row r="926">
      <c r="A926" s="3" t="s">
        <v>644</v>
      </c>
      <c r="B926" s="3" t="s">
        <v>643</v>
      </c>
      <c r="C926" s="3" t="s">
        <v>463</v>
      </c>
      <c r="D926" s="3">
        <v>1.0</v>
      </c>
      <c r="E926" s="3">
        <v>4520072.0</v>
      </c>
      <c r="F926" s="3">
        <v>4317901.0</v>
      </c>
      <c r="G926" s="30">
        <f t="shared" ref="G926:G927" si="279">E926+F926</f>
        <v>8837973</v>
      </c>
    </row>
    <row r="927">
      <c r="A927" s="3" t="s">
        <v>644</v>
      </c>
      <c r="B927" s="3" t="s">
        <v>602</v>
      </c>
      <c r="C927" s="3" t="s">
        <v>463</v>
      </c>
      <c r="D927" s="3">
        <v>1.0</v>
      </c>
      <c r="E927" s="3">
        <v>5047367.0</v>
      </c>
      <c r="F927" s="3">
        <v>4335252.0</v>
      </c>
      <c r="G927" s="30">
        <f t="shared" si="279"/>
        <v>9382619</v>
      </c>
    </row>
    <row r="928">
      <c r="J928" s="3" t="s">
        <v>645</v>
      </c>
      <c r="K928" s="3" t="s">
        <v>646</v>
      </c>
    </row>
    <row r="929">
      <c r="A929" s="3" t="s">
        <v>647</v>
      </c>
      <c r="B929" s="3" t="s">
        <v>643</v>
      </c>
      <c r="C929" s="3" t="s">
        <v>463</v>
      </c>
      <c r="D929" s="3">
        <v>1.0</v>
      </c>
      <c r="E929" s="3">
        <v>4728305.0</v>
      </c>
      <c r="F929" s="3">
        <v>4537964.0</v>
      </c>
      <c r="G929" s="30">
        <f t="shared" ref="G929:G930" si="280">E929+F929</f>
        <v>9266269</v>
      </c>
      <c r="J929" s="30">
        <f>J922*K922</f>
        <v>67108864</v>
      </c>
      <c r="K929" s="3">
        <v>4.0</v>
      </c>
    </row>
    <row r="930">
      <c r="A930" s="3" t="s">
        <v>647</v>
      </c>
      <c r="B930" s="3" t="s">
        <v>602</v>
      </c>
      <c r="C930" s="3" t="s">
        <v>463</v>
      </c>
      <c r="D930" s="3">
        <v>1.0</v>
      </c>
      <c r="E930" s="3">
        <v>4800994.0</v>
      </c>
      <c r="F930" s="3">
        <v>4525494.0</v>
      </c>
      <c r="G930" s="30">
        <f t="shared" si="280"/>
        <v>9326488</v>
      </c>
    </row>
    <row r="931">
      <c r="J931" s="3" t="s">
        <v>486</v>
      </c>
      <c r="K931" s="3" t="s">
        <v>648</v>
      </c>
      <c r="L931" s="3" t="s">
        <v>283</v>
      </c>
    </row>
    <row r="932">
      <c r="I932" s="3" t="s">
        <v>649</v>
      </c>
      <c r="J932" s="30">
        <f>J929*K929/64</f>
        <v>4194304</v>
      </c>
      <c r="K932" s="30">
        <f>J929*K929/64</f>
        <v>4194304</v>
      </c>
      <c r="L932" s="30">
        <f t="shared" ref="L932:L933" si="281">J932+K932</f>
        <v>8388608</v>
      </c>
    </row>
    <row r="933">
      <c r="A933" s="3" t="s">
        <v>667</v>
      </c>
      <c r="B933" s="3" t="s">
        <v>651</v>
      </c>
      <c r="I933" s="3" t="s">
        <v>650</v>
      </c>
      <c r="J933" s="30">
        <f>J929*K929/64</f>
        <v>4194304</v>
      </c>
      <c r="K933" s="30">
        <f>J929*K929/64</f>
        <v>4194304</v>
      </c>
      <c r="L933" s="30">
        <f t="shared" si="281"/>
        <v>8388608</v>
      </c>
    </row>
    <row r="934">
      <c r="A934" s="3" t="s">
        <v>642</v>
      </c>
      <c r="B934" s="3" t="s">
        <v>643</v>
      </c>
      <c r="C934" s="3" t="s">
        <v>463</v>
      </c>
      <c r="D934" s="3">
        <v>1.0</v>
      </c>
      <c r="E934" s="3">
        <v>4620158.0</v>
      </c>
      <c r="F934" s="3">
        <v>4820860.0</v>
      </c>
      <c r="G934" s="30">
        <f t="shared" ref="G934:G935" si="282">E934+F934</f>
        <v>9441018</v>
      </c>
    </row>
    <row r="935">
      <c r="A935" s="3" t="s">
        <v>642</v>
      </c>
      <c r="B935" s="3" t="s">
        <v>602</v>
      </c>
      <c r="C935" s="3" t="s">
        <v>463</v>
      </c>
      <c r="D935" s="3">
        <v>1.0</v>
      </c>
      <c r="E935" s="3">
        <v>4575990.0</v>
      </c>
      <c r="F935" s="3">
        <v>4744123.0</v>
      </c>
      <c r="G935" s="30">
        <f t="shared" si="282"/>
        <v>9320113</v>
      </c>
    </row>
    <row r="937">
      <c r="A937" s="3" t="s">
        <v>644</v>
      </c>
      <c r="B937" s="3" t="s">
        <v>643</v>
      </c>
      <c r="C937" s="3" t="s">
        <v>463</v>
      </c>
      <c r="D937" s="3">
        <v>1.0</v>
      </c>
      <c r="E937" s="3">
        <v>4516890.0</v>
      </c>
      <c r="F937" s="3">
        <v>4310710.0</v>
      </c>
      <c r="G937" s="30">
        <f t="shared" ref="G937:G938" si="283">E937+F937</f>
        <v>8827600</v>
      </c>
    </row>
    <row r="938">
      <c r="A938" s="3" t="s">
        <v>644</v>
      </c>
      <c r="B938" s="3" t="s">
        <v>602</v>
      </c>
      <c r="C938" s="3" t="s">
        <v>463</v>
      </c>
      <c r="D938" s="3">
        <v>1.0</v>
      </c>
      <c r="E938" s="3">
        <v>5084939.0</v>
      </c>
      <c r="F938" s="3">
        <v>4313896.0</v>
      </c>
      <c r="G938" s="30">
        <f t="shared" si="283"/>
        <v>9398835</v>
      </c>
    </row>
    <row r="940">
      <c r="A940" s="3" t="s">
        <v>647</v>
      </c>
      <c r="B940" s="3" t="s">
        <v>643</v>
      </c>
      <c r="C940" s="3" t="s">
        <v>463</v>
      </c>
      <c r="D940" s="3">
        <v>1.0</v>
      </c>
      <c r="E940" s="3">
        <v>4732357.0</v>
      </c>
      <c r="F940" s="3">
        <v>4539162.0</v>
      </c>
      <c r="G940" s="30">
        <f t="shared" ref="G940:G941" si="284">E940+F940</f>
        <v>9271519</v>
      </c>
    </row>
    <row r="941">
      <c r="A941" s="3" t="s">
        <v>647</v>
      </c>
      <c r="B941" s="3" t="s">
        <v>602</v>
      </c>
      <c r="C941" s="3" t="s">
        <v>463</v>
      </c>
      <c r="D941" s="3">
        <v>1.0</v>
      </c>
      <c r="E941" s="3">
        <v>4729472.0</v>
      </c>
      <c r="F941" s="3">
        <v>4527232.0</v>
      </c>
      <c r="G941" s="30">
        <f t="shared" si="284"/>
        <v>9256704</v>
      </c>
    </row>
    <row r="945">
      <c r="D945" s="30" t="str">
        <f>"total=["&amp;L932&amp;", "&amp;L933&amp;", "&amp;G923&amp;", "&amp;G924&amp;", "&amp;G926&amp;", "&amp;G927&amp;", "&amp;G929&amp;", "&amp;G930&amp;"]"</f>
        <v>total=[8388608, 8388608, 9441832, 9310190, 8837973, 9382619, 9266269, 9326488]</v>
      </c>
    </row>
    <row r="946">
      <c r="D946" s="30" t="str">
        <f>"omp_data=["&amp;L932&amp;", "&amp;L933&amp;","&amp;G934&amp;", "&amp;G935&amp;", "&amp;G937&amp;", "&amp;G938&amp;", "&amp;G940&amp;","&amp;G941&amp;"]"</f>
        <v>omp_data=[8388608, 8388608,9441018, 9320113, 8827600, 9398835, 9271519,9256704]</v>
      </c>
    </row>
    <row r="947">
      <c r="K947" s="3" t="s">
        <v>663</v>
      </c>
    </row>
    <row r="949">
      <c r="B949" s="3" t="s">
        <v>652</v>
      </c>
    </row>
    <row r="950">
      <c r="C950" s="3" t="s">
        <v>589</v>
      </c>
      <c r="D950" s="3" t="s">
        <v>636</v>
      </c>
    </row>
    <row r="951">
      <c r="E951" s="3" t="s">
        <v>448</v>
      </c>
      <c r="F951" s="3" t="s">
        <v>449</v>
      </c>
      <c r="G951" s="3" t="s">
        <v>283</v>
      </c>
      <c r="J951" s="3">
        <v>4096.0</v>
      </c>
      <c r="K951" s="3">
        <v>4096.0</v>
      </c>
    </row>
    <row r="952">
      <c r="A952" s="3" t="s">
        <v>642</v>
      </c>
      <c r="B952" s="3" t="s">
        <v>643</v>
      </c>
      <c r="C952" s="3" t="s">
        <v>463</v>
      </c>
      <c r="D952" s="3">
        <v>1.0</v>
      </c>
      <c r="E952" s="3">
        <v>4319186.0</v>
      </c>
      <c r="F952" s="3">
        <v>2541288.0</v>
      </c>
      <c r="G952" s="30">
        <f t="shared" ref="G952:G953" si="285">E952+F952</f>
        <v>6860474</v>
      </c>
      <c r="H952" s="30">
        <f t="shared" ref="H952:H953" si="286">100-ABS($M$496-G952)/$M$496*100</f>
        <v>90.90243217</v>
      </c>
      <c r="I952" s="30">
        <f>100-ABS($M$497-G952)/$M$497*100</f>
        <v>36.4335537</v>
      </c>
    </row>
    <row r="953">
      <c r="A953" s="3" t="s">
        <v>642</v>
      </c>
      <c r="B953" s="3" t="s">
        <v>602</v>
      </c>
      <c r="C953" s="3" t="s">
        <v>463</v>
      </c>
      <c r="D953" s="3">
        <v>1.0</v>
      </c>
      <c r="E953" s="3">
        <v>4276900.0</v>
      </c>
      <c r="F953" s="3">
        <v>2499094.0</v>
      </c>
      <c r="G953" s="30">
        <f t="shared" si="285"/>
        <v>6775994</v>
      </c>
      <c r="H953" s="30">
        <f t="shared" si="286"/>
        <v>92.24586158</v>
      </c>
    </row>
    <row r="955">
      <c r="A955" s="3" t="s">
        <v>644</v>
      </c>
      <c r="B955" s="3" t="s">
        <v>643</v>
      </c>
      <c r="C955" s="3" t="s">
        <v>463</v>
      </c>
      <c r="D955" s="3">
        <v>1.0</v>
      </c>
      <c r="E955" s="3">
        <v>4058497.0</v>
      </c>
      <c r="F955" s="3">
        <v>1994509.0</v>
      </c>
      <c r="G955" s="30">
        <f t="shared" ref="G955:G956" si="287">E955+F955</f>
        <v>6053006</v>
      </c>
      <c r="H955" s="30">
        <f t="shared" ref="H955:H956" si="288">100-ABS($M$496-G955)/$M$496*100</f>
        <v>96.25693978</v>
      </c>
    </row>
    <row r="956">
      <c r="A956" s="3" t="s">
        <v>644</v>
      </c>
      <c r="B956" s="3" t="s">
        <v>602</v>
      </c>
      <c r="C956" s="3" t="s">
        <v>463</v>
      </c>
      <c r="D956" s="3">
        <v>1.0</v>
      </c>
      <c r="E956" s="3">
        <v>4047308.0</v>
      </c>
      <c r="F956" s="3">
        <v>1982488.0</v>
      </c>
      <c r="G956" s="30">
        <f t="shared" si="287"/>
        <v>6029796</v>
      </c>
      <c r="H956" s="30">
        <f t="shared" si="288"/>
        <v>95.88784654</v>
      </c>
    </row>
    <row r="957">
      <c r="J957" s="3" t="s">
        <v>645</v>
      </c>
      <c r="K957" s="3" t="s">
        <v>646</v>
      </c>
    </row>
    <row r="958">
      <c r="A958" s="3" t="s">
        <v>647</v>
      </c>
      <c r="B958" s="3" t="s">
        <v>643</v>
      </c>
      <c r="C958" s="3" t="s">
        <v>463</v>
      </c>
      <c r="D958" s="3">
        <v>1.0</v>
      </c>
      <c r="E958" s="3">
        <v>4127736.0</v>
      </c>
      <c r="F958" s="3">
        <v>2170046.0</v>
      </c>
      <c r="G958" s="30">
        <f t="shared" ref="G958:G959" si="289">E958+F958</f>
        <v>6297782</v>
      </c>
      <c r="H958" s="30">
        <f t="shared" ref="H958:H959" si="290">100-ABS($M$496-G958)/$M$496*100</f>
        <v>99.85054984</v>
      </c>
      <c r="J958" s="30">
        <f>J951*K951</f>
        <v>16777216</v>
      </c>
      <c r="K958" s="3">
        <v>8.0</v>
      </c>
    </row>
    <row r="959">
      <c r="A959" s="3" t="s">
        <v>647</v>
      </c>
      <c r="B959" s="3" t="s">
        <v>602</v>
      </c>
      <c r="C959" s="3" t="s">
        <v>463</v>
      </c>
      <c r="D959" s="3">
        <v>1.0</v>
      </c>
      <c r="E959" s="3">
        <v>3851933.0</v>
      </c>
      <c r="F959" s="3">
        <v>1814583.0</v>
      </c>
      <c r="G959" s="30">
        <f t="shared" si="289"/>
        <v>5666516</v>
      </c>
      <c r="H959" s="30">
        <f t="shared" si="290"/>
        <v>90.11084565</v>
      </c>
    </row>
    <row r="960">
      <c r="J960" s="3" t="s">
        <v>486</v>
      </c>
      <c r="K960" s="3" t="s">
        <v>648</v>
      </c>
      <c r="L960" s="3" t="s">
        <v>283</v>
      </c>
    </row>
    <row r="961">
      <c r="I961" s="3" t="s">
        <v>649</v>
      </c>
      <c r="J961" s="30">
        <f>J958*K958/64*2</f>
        <v>4194304</v>
      </c>
      <c r="K961" s="30">
        <f>J958*K958/64</f>
        <v>2097152</v>
      </c>
      <c r="L961" s="30">
        <f t="shared" ref="L961:L962" si="291">J961+K961</f>
        <v>6291456</v>
      </c>
    </row>
    <row r="962">
      <c r="A962" s="3" t="s">
        <v>667</v>
      </c>
      <c r="B962" s="3" t="s">
        <v>651</v>
      </c>
      <c r="I962" s="3" t="s">
        <v>650</v>
      </c>
      <c r="J962" s="30">
        <f>J958*K958/64</f>
        <v>2097152</v>
      </c>
      <c r="K962" s="30">
        <f>J958*K958/64</f>
        <v>2097152</v>
      </c>
      <c r="L962" s="30">
        <f t="shared" si="291"/>
        <v>4194304</v>
      </c>
    </row>
    <row r="963">
      <c r="A963" s="3" t="s">
        <v>642</v>
      </c>
      <c r="B963" s="3" t="s">
        <v>643</v>
      </c>
      <c r="C963" s="3" t="s">
        <v>463</v>
      </c>
      <c r="D963" s="3">
        <v>1.0</v>
      </c>
      <c r="E963" s="3">
        <v>4305323.0</v>
      </c>
      <c r="F963" s="3">
        <v>2527121.0</v>
      </c>
      <c r="G963" s="30">
        <f t="shared" ref="G963:G964" si="292">E963+F963</f>
        <v>6832444</v>
      </c>
    </row>
    <row r="964">
      <c r="A964" s="3" t="s">
        <v>642</v>
      </c>
      <c r="B964" s="3" t="s">
        <v>602</v>
      </c>
      <c r="C964" s="3" t="s">
        <v>463</v>
      </c>
      <c r="D964" s="3">
        <v>1.0</v>
      </c>
      <c r="E964" s="3">
        <v>4247203.0</v>
      </c>
      <c r="F964" s="3">
        <v>2467260.0</v>
      </c>
      <c r="G964" s="30">
        <f t="shared" si="292"/>
        <v>6714463</v>
      </c>
    </row>
    <row r="966">
      <c r="A966" s="3" t="s">
        <v>644</v>
      </c>
      <c r="B966" s="3" t="s">
        <v>643</v>
      </c>
      <c r="C966" s="3" t="s">
        <v>463</v>
      </c>
      <c r="D966" s="3">
        <v>1.0</v>
      </c>
      <c r="E966" s="3">
        <v>4046010.0</v>
      </c>
      <c r="F966" s="3">
        <v>1981550.0</v>
      </c>
      <c r="G966" s="30">
        <f t="shared" ref="G966:G967" si="293">E966+F966</f>
        <v>6027560</v>
      </c>
    </row>
    <row r="967">
      <c r="A967" s="3" t="s">
        <v>644</v>
      </c>
      <c r="B967" s="3" t="s">
        <v>602</v>
      </c>
      <c r="C967" s="3" t="s">
        <v>463</v>
      </c>
      <c r="D967" s="3">
        <v>1.0</v>
      </c>
      <c r="E967" s="3">
        <v>4063474.0</v>
      </c>
      <c r="F967" s="3">
        <v>1997935.0</v>
      </c>
      <c r="G967" s="30">
        <f t="shared" si="293"/>
        <v>6061409</v>
      </c>
    </row>
    <row r="969">
      <c r="A969" s="3" t="s">
        <v>647</v>
      </c>
      <c r="B969" s="3" t="s">
        <v>643</v>
      </c>
      <c r="C969" s="3" t="s">
        <v>463</v>
      </c>
      <c r="D969" s="3">
        <v>1.0</v>
      </c>
      <c r="E969" s="3">
        <v>3830374.0</v>
      </c>
      <c r="F969" s="3">
        <v>1777097.0</v>
      </c>
      <c r="G969" s="30">
        <f t="shared" ref="G969:G970" si="294">E969+F969</f>
        <v>5607471</v>
      </c>
    </row>
    <row r="970">
      <c r="A970" s="3" t="s">
        <v>647</v>
      </c>
      <c r="B970" s="3" t="s">
        <v>602</v>
      </c>
      <c r="C970" s="3" t="s">
        <v>463</v>
      </c>
      <c r="D970" s="3">
        <v>1.0</v>
      </c>
      <c r="E970" s="3">
        <v>3843781.0</v>
      </c>
      <c r="F970" s="3">
        <v>1790457.0</v>
      </c>
      <c r="G970" s="30">
        <f t="shared" si="294"/>
        <v>5634238</v>
      </c>
    </row>
    <row r="974">
      <c r="D974" s="30" t="str">
        <f>"total=["&amp;L961&amp;", "&amp;L962&amp;", "&amp;G952&amp;", "&amp;G953&amp;", "&amp;G955&amp;", "&amp;G956&amp;", "&amp;G958&amp;", "&amp;G959&amp;"]"</f>
        <v>total=[6291456, 4194304, 6860474, 6775994, 6053006, 6029796, 6297782, 5666516]</v>
      </c>
    </row>
    <row r="975">
      <c r="D975" s="30" t="str">
        <f>"omp_data=["&amp;L961&amp;", "&amp;L962&amp;","&amp;G963&amp;", "&amp;G964&amp;", "&amp;G966&amp;", "&amp;G967&amp;", "&amp;G969&amp;","&amp;G970&amp;"]"</f>
        <v>omp_data=[6291456, 4194304,6832444, 6714463, 6027560, 6061409, 5607471,5634238]</v>
      </c>
    </row>
    <row r="977">
      <c r="B977" s="3" t="s">
        <v>567</v>
      </c>
      <c r="C977" s="3" t="s">
        <v>653</v>
      </c>
      <c r="D977" s="3" t="s">
        <v>664</v>
      </c>
    </row>
    <row r="978">
      <c r="C978" s="3" t="s">
        <v>589</v>
      </c>
      <c r="D978" s="3" t="s">
        <v>636</v>
      </c>
      <c r="H978" s="30">
        <f t="shared" ref="H978:I978" si="295">(H980+H983+H986)/3</f>
        <v>93.35869397</v>
      </c>
      <c r="I978" s="30">
        <f t="shared" si="295"/>
        <v>54.6027098</v>
      </c>
    </row>
    <row r="979">
      <c r="E979" s="3" t="s">
        <v>448</v>
      </c>
      <c r="F979" s="3" t="s">
        <v>449</v>
      </c>
      <c r="G979" s="3" t="s">
        <v>283</v>
      </c>
      <c r="H979" s="30">
        <f t="shared" ref="H979:I979" si="296">(H981+H984+H987)/3</f>
        <v>83.72321494</v>
      </c>
      <c r="I979" s="30">
        <f t="shared" si="296"/>
        <v>38.22798413</v>
      </c>
    </row>
    <row r="980">
      <c r="A980" s="3" t="s">
        <v>642</v>
      </c>
      <c r="B980" s="3" t="s">
        <v>643</v>
      </c>
      <c r="C980" s="3" t="s">
        <v>463</v>
      </c>
      <c r="D980" s="3">
        <v>50.0</v>
      </c>
      <c r="E980" s="3">
        <v>4350028.0</v>
      </c>
      <c r="F980" s="3">
        <v>6546274.0</v>
      </c>
      <c r="G980" s="30">
        <f t="shared" ref="G980:G981" si="297">E980+F980</f>
        <v>10896302</v>
      </c>
      <c r="H980" s="30">
        <f>100-ABS($M$524-G980)/G980*100</f>
        <v>94.14834501</v>
      </c>
      <c r="I980" s="30">
        <f t="shared" ref="I980:I981" si="298">100-ABS(G980-$M$525)/G980*100</f>
        <v>55.06455309</v>
      </c>
    </row>
    <row r="981">
      <c r="A981" s="3" t="s">
        <v>642</v>
      </c>
      <c r="B981" s="3" t="s">
        <v>602</v>
      </c>
      <c r="C981" s="3" t="s">
        <v>463</v>
      </c>
      <c r="D981" s="3">
        <v>50.0</v>
      </c>
      <c r="E981" s="3">
        <v>1.0331989E7</v>
      </c>
      <c r="F981" s="3">
        <v>6642376.0</v>
      </c>
      <c r="G981" s="30">
        <f t="shared" si="297"/>
        <v>16974365</v>
      </c>
      <c r="H981" s="30">
        <f>100-ABS(G981-P989)/G981*100</f>
        <v>92.48493243</v>
      </c>
      <c r="I981" s="30">
        <f t="shared" si="298"/>
        <v>35.34741948</v>
      </c>
    </row>
    <row r="983">
      <c r="A983" s="3" t="s">
        <v>644</v>
      </c>
      <c r="B983" s="3" t="s">
        <v>643</v>
      </c>
      <c r="C983" s="3" t="s">
        <v>463</v>
      </c>
      <c r="D983" s="3">
        <v>50.0</v>
      </c>
      <c r="E983" s="3">
        <v>4587972.0</v>
      </c>
      <c r="F983" s="3">
        <v>6556922.0</v>
      </c>
      <c r="G983" s="30">
        <f t="shared" ref="G983:G984" si="299">E983+F983</f>
        <v>11144894</v>
      </c>
      <c r="H983" s="97">
        <f>100-ABS($M$524-G983)/G983*100</f>
        <v>92.04832276</v>
      </c>
      <c r="I983" s="30">
        <f t="shared" ref="I983:I984" si="300">100-ABS(G983-$M$525)/G983*100</f>
        <v>53.83631284</v>
      </c>
    </row>
    <row r="984">
      <c r="A984" s="3" t="s">
        <v>644</v>
      </c>
      <c r="B984" s="3" t="s">
        <v>602</v>
      </c>
      <c r="C984" s="3" t="s">
        <v>463</v>
      </c>
      <c r="D984" s="3">
        <v>50.0</v>
      </c>
      <c r="E984" s="3">
        <v>8780493.0</v>
      </c>
      <c r="F984" s="3">
        <v>6538910.0</v>
      </c>
      <c r="G984" s="30">
        <f t="shared" si="299"/>
        <v>15319403</v>
      </c>
      <c r="H984" s="30">
        <f>100-ABS(G984-P989)/G984*100</f>
        <v>80.87003129</v>
      </c>
      <c r="I984" s="30">
        <f t="shared" si="300"/>
        <v>39.16601711</v>
      </c>
    </row>
    <row r="985">
      <c r="J985" s="3" t="s">
        <v>645</v>
      </c>
      <c r="K985" s="3" t="s">
        <v>646</v>
      </c>
    </row>
    <row r="986">
      <c r="A986" s="3" t="s">
        <v>647</v>
      </c>
      <c r="B986" s="3" t="s">
        <v>643</v>
      </c>
      <c r="C986" s="3" t="s">
        <v>463</v>
      </c>
      <c r="D986" s="3">
        <v>50.0</v>
      </c>
      <c r="E986" s="3">
        <v>4479358.0</v>
      </c>
      <c r="F986" s="3">
        <v>6448158.0</v>
      </c>
      <c r="G986" s="30">
        <f t="shared" ref="G986:G987" si="301">E986+F986</f>
        <v>10927516</v>
      </c>
      <c r="H986" s="97">
        <f>100-ABS($M$524-G986)/G986*100</f>
        <v>93.87941413</v>
      </c>
      <c r="I986" s="30">
        <f t="shared" ref="I986:I987" si="302">100-ABS(G986-$M$525)/G986*100</f>
        <v>54.90726346</v>
      </c>
      <c r="J986" s="3">
        <v>1.0E8</v>
      </c>
      <c r="K986" s="3">
        <v>4.0</v>
      </c>
    </row>
    <row r="987">
      <c r="A987" s="3" t="s">
        <v>647</v>
      </c>
      <c r="B987" s="3" t="s">
        <v>602</v>
      </c>
      <c r="C987" s="3" t="s">
        <v>463</v>
      </c>
      <c r="D987" s="3">
        <v>50.0</v>
      </c>
      <c r="E987" s="3">
        <v>8491966.0</v>
      </c>
      <c r="F987" s="3">
        <v>6444362.0</v>
      </c>
      <c r="G987" s="30">
        <f t="shared" si="301"/>
        <v>14936328</v>
      </c>
      <c r="H987" s="30">
        <f>100-ABS(G987-P989)/G987*100</f>
        <v>77.81468109</v>
      </c>
      <c r="I987" s="30">
        <f t="shared" si="302"/>
        <v>40.17051581</v>
      </c>
    </row>
    <row r="988">
      <c r="J988" s="3" t="s">
        <v>486</v>
      </c>
      <c r="K988" s="3" t="s">
        <v>648</v>
      </c>
      <c r="L988" s="3" t="s">
        <v>283</v>
      </c>
    </row>
    <row r="989">
      <c r="I989" s="3" t="s">
        <v>649</v>
      </c>
      <c r="J989" s="30">
        <f t="shared" ref="J989:J990" si="303">$K$521*$L$521/64*2 *16/50</f>
        <v>4000000</v>
      </c>
      <c r="K989" s="30">
        <f>J986*K986/64</f>
        <v>6250000</v>
      </c>
      <c r="L989" s="30">
        <f t="shared" ref="L989:L990" si="304">J989+K989</f>
        <v>10250000</v>
      </c>
      <c r="N989" s="30">
        <f>J986/50*3*2</f>
        <v>12000000</v>
      </c>
      <c r="O989" s="30">
        <v>6250000.0</v>
      </c>
      <c r="P989" s="30">
        <f>N989+O989</f>
        <v>18250000</v>
      </c>
    </row>
    <row r="990">
      <c r="A990" s="3" t="s">
        <v>667</v>
      </c>
      <c r="B990" s="3" t="s">
        <v>651</v>
      </c>
      <c r="I990" s="3" t="s">
        <v>650</v>
      </c>
      <c r="J990" s="30">
        <f t="shared" si="303"/>
        <v>4000000</v>
      </c>
      <c r="K990" s="30">
        <f>J990/2</f>
        <v>2000000</v>
      </c>
      <c r="L990" s="30">
        <f t="shared" si="304"/>
        <v>6000000</v>
      </c>
    </row>
    <row r="991">
      <c r="A991" s="3" t="s">
        <v>642</v>
      </c>
      <c r="B991" s="3" t="s">
        <v>643</v>
      </c>
      <c r="C991" s="3" t="s">
        <v>463</v>
      </c>
      <c r="D991" s="3">
        <v>50.0</v>
      </c>
      <c r="E991" s="3">
        <v>4357645.0</v>
      </c>
      <c r="F991" s="3">
        <v>6544114.0</v>
      </c>
      <c r="G991" s="30">
        <f t="shared" ref="G991:G992" si="305">E991+F991</f>
        <v>10901759</v>
      </c>
    </row>
    <row r="992">
      <c r="A992" s="3" t="s">
        <v>642</v>
      </c>
      <c r="B992" s="3" t="s">
        <v>602</v>
      </c>
      <c r="C992" s="3" t="s">
        <v>463</v>
      </c>
      <c r="D992" s="3">
        <v>50.0</v>
      </c>
      <c r="E992" s="3">
        <v>1.0193645E7</v>
      </c>
      <c r="F992" s="3">
        <v>6654956.0</v>
      </c>
      <c r="G992" s="30">
        <f t="shared" si="305"/>
        <v>16848601</v>
      </c>
    </row>
    <row r="994">
      <c r="A994" s="3" t="s">
        <v>644</v>
      </c>
      <c r="B994" s="3" t="s">
        <v>643</v>
      </c>
      <c r="C994" s="3" t="s">
        <v>463</v>
      </c>
      <c r="D994" s="3">
        <v>50.0</v>
      </c>
      <c r="E994" s="3">
        <v>4621282.0</v>
      </c>
      <c r="F994" s="3">
        <v>6551357.0</v>
      </c>
      <c r="G994" s="30">
        <f t="shared" ref="G994:G995" si="306">E994+F994</f>
        <v>11172639</v>
      </c>
    </row>
    <row r="995">
      <c r="A995" s="3" t="s">
        <v>644</v>
      </c>
      <c r="B995" s="3" t="s">
        <v>602</v>
      </c>
      <c r="C995" s="3" t="s">
        <v>463</v>
      </c>
      <c r="D995" s="3">
        <v>50.0</v>
      </c>
      <c r="E995" s="3">
        <v>8874777.0</v>
      </c>
      <c r="F995" s="3">
        <v>6557966.0</v>
      </c>
      <c r="G995" s="30">
        <f t="shared" si="306"/>
        <v>15432743</v>
      </c>
    </row>
    <row r="997">
      <c r="A997" s="3" t="s">
        <v>647</v>
      </c>
      <c r="B997" s="3" t="s">
        <v>643</v>
      </c>
      <c r="C997" s="3" t="s">
        <v>463</v>
      </c>
      <c r="D997" s="3">
        <v>50.0</v>
      </c>
      <c r="E997" s="3">
        <v>4483756.0</v>
      </c>
      <c r="F997" s="3">
        <v>6446596.0</v>
      </c>
      <c r="G997" s="30">
        <f t="shared" ref="G997:G998" si="307">E997+F997</f>
        <v>10930352</v>
      </c>
    </row>
    <row r="998">
      <c r="A998" s="3" t="s">
        <v>647</v>
      </c>
      <c r="B998" s="3" t="s">
        <v>602</v>
      </c>
      <c r="C998" s="3" t="s">
        <v>463</v>
      </c>
      <c r="D998" s="3">
        <v>50.0</v>
      </c>
      <c r="E998" s="3">
        <v>7984117.0</v>
      </c>
      <c r="F998" s="3">
        <v>6452318.0</v>
      </c>
      <c r="G998" s="30">
        <f t="shared" si="307"/>
        <v>14436435</v>
      </c>
    </row>
    <row r="1002">
      <c r="D1002" s="30" t="str">
        <f>"total=["&amp;L989&amp;", "&amp;L990&amp;", "&amp;G980&amp;", "&amp;G981&amp;", "&amp;G983&amp;", "&amp;G984&amp;", "&amp;G986&amp;", "&amp;G987&amp;"]"</f>
        <v>total=[10250000, 6000000, 10896302, 16974365, 11144894, 15319403, 10927516, 14936328]</v>
      </c>
    </row>
    <row r="1009">
      <c r="B1009" s="3" t="s">
        <v>567</v>
      </c>
      <c r="C1009" s="3" t="s">
        <v>654</v>
      </c>
    </row>
    <row r="1010">
      <c r="C1010" s="3" t="s">
        <v>589</v>
      </c>
      <c r="D1010" s="3" t="s">
        <v>636</v>
      </c>
    </row>
    <row r="1011">
      <c r="E1011" s="3" t="s">
        <v>448</v>
      </c>
      <c r="F1011" s="3" t="s">
        <v>449</v>
      </c>
      <c r="G1011" s="3" t="s">
        <v>283</v>
      </c>
      <c r="J1011" s="3">
        <v>4096.0</v>
      </c>
      <c r="K1011" s="3">
        <v>4096.0</v>
      </c>
    </row>
    <row r="1012">
      <c r="A1012" s="3" t="s">
        <v>642</v>
      </c>
      <c r="B1012" s="3" t="s">
        <v>643</v>
      </c>
      <c r="C1012" s="3" t="s">
        <v>463</v>
      </c>
      <c r="D1012" s="3">
        <v>200.0</v>
      </c>
      <c r="E1012" s="3">
        <v>1516527.0</v>
      </c>
      <c r="F1012" s="3">
        <v>821676.0</v>
      </c>
      <c r="G1012" s="30">
        <f t="shared" ref="G1012:G1013" si="308">E1012+F1012</f>
        <v>2338203</v>
      </c>
      <c r="H1012" s="30">
        <f t="shared" ref="H1012:H1013" si="309">100-ABS($M$496-G1012)/$M$496*100</f>
        <v>37.1828915</v>
      </c>
      <c r="I1012" s="30">
        <f>100-ABS($M$497-G1012)/$M$497*100</f>
        <v>55.74710369</v>
      </c>
    </row>
    <row r="1013">
      <c r="A1013" s="3" t="s">
        <v>642</v>
      </c>
      <c r="B1013" s="3" t="s">
        <v>602</v>
      </c>
      <c r="C1013" s="3" t="s">
        <v>463</v>
      </c>
      <c r="D1013" s="3">
        <v>200.0</v>
      </c>
      <c r="E1013" s="3">
        <v>1520001.0</v>
      </c>
      <c r="F1013" s="3">
        <v>826604.0</v>
      </c>
      <c r="G1013" s="30">
        <f t="shared" si="308"/>
        <v>2346605</v>
      </c>
      <c r="H1013" s="30">
        <f t="shared" si="309"/>
        <v>37.31650294</v>
      </c>
    </row>
    <row r="1015">
      <c r="A1015" s="3" t="s">
        <v>644</v>
      </c>
      <c r="B1015" s="3" t="s">
        <v>643</v>
      </c>
      <c r="C1015" s="3" t="s">
        <v>463</v>
      </c>
      <c r="D1015" s="3">
        <v>200.0</v>
      </c>
      <c r="E1015" s="3">
        <v>1697399.0</v>
      </c>
      <c r="F1015" s="3">
        <v>679613.0</v>
      </c>
      <c r="G1015" s="30">
        <f t="shared" ref="G1015:G1016" si="310">E1015+F1015</f>
        <v>2377012</v>
      </c>
      <c r="H1015" s="30">
        <f t="shared" ref="H1015:H1016" si="311">100-ABS($M$496-G1015)/$M$496*100</f>
        <v>37.80004529</v>
      </c>
      <c r="M1015" s="30">
        <f>J1018/200</f>
        <v>500000</v>
      </c>
    </row>
    <row r="1016">
      <c r="A1016" s="3" t="s">
        <v>644</v>
      </c>
      <c r="B1016" s="3" t="s">
        <v>602</v>
      </c>
      <c r="C1016" s="3" t="s">
        <v>463</v>
      </c>
      <c r="D1016" s="3">
        <v>200.0</v>
      </c>
      <c r="E1016" s="3">
        <v>1826256.0</v>
      </c>
      <c r="F1016" s="3">
        <v>703656.0</v>
      </c>
      <c r="G1016" s="30">
        <f t="shared" si="310"/>
        <v>2529912</v>
      </c>
      <c r="H1016" s="30">
        <f t="shared" si="311"/>
        <v>40.23151258</v>
      </c>
    </row>
    <row r="1017">
      <c r="J1017" s="3" t="s">
        <v>645</v>
      </c>
      <c r="K1017" s="3" t="s">
        <v>646</v>
      </c>
    </row>
    <row r="1018">
      <c r="A1018" s="3" t="s">
        <v>647</v>
      </c>
      <c r="B1018" s="3" t="s">
        <v>643</v>
      </c>
      <c r="C1018" s="3" t="s">
        <v>463</v>
      </c>
      <c r="D1018" s="3">
        <v>200.0</v>
      </c>
      <c r="E1018" s="3">
        <v>1501175.0</v>
      </c>
      <c r="F1018" s="3">
        <v>505334.0</v>
      </c>
      <c r="G1018" s="30">
        <f t="shared" ref="G1018:G1019" si="312">E1018+F1018</f>
        <v>2006509</v>
      </c>
      <c r="H1018" s="30">
        <f t="shared" ref="H1018:H1019" si="313">100-ABS($M$496-G1018)/$M$496*100</f>
        <v>31.90818182</v>
      </c>
      <c r="J1018" s="3">
        <v>1.0E8</v>
      </c>
      <c r="K1018" s="3">
        <v>4.0</v>
      </c>
    </row>
    <row r="1019">
      <c r="A1019" s="3" t="s">
        <v>647</v>
      </c>
      <c r="B1019" s="3" t="s">
        <v>602</v>
      </c>
      <c r="C1019" s="3" t="s">
        <v>463</v>
      </c>
      <c r="D1019" s="3">
        <v>200.0</v>
      </c>
      <c r="E1019" s="3">
        <v>1502057.0</v>
      </c>
      <c r="F1019" s="3">
        <v>505586.0</v>
      </c>
      <c r="G1019" s="30">
        <f t="shared" si="312"/>
        <v>2007643</v>
      </c>
      <c r="H1019" s="30">
        <f t="shared" si="313"/>
        <v>31.92621507</v>
      </c>
    </row>
    <row r="1020">
      <c r="J1020" s="3" t="s">
        <v>486</v>
      </c>
      <c r="K1020" s="3" t="s">
        <v>648</v>
      </c>
      <c r="L1020" s="3" t="s">
        <v>283</v>
      </c>
    </row>
    <row r="1021">
      <c r="I1021" s="3" t="s">
        <v>649</v>
      </c>
      <c r="J1021" s="30">
        <f>J1018*K1018/64*3*16/200</f>
        <v>1500000</v>
      </c>
      <c r="K1021" s="30">
        <f>J1018*K1018/64*16/200</f>
        <v>500000</v>
      </c>
      <c r="L1021" s="30">
        <f t="shared" ref="L1021:L1022" si="314">J1021+K1021</f>
        <v>2000000</v>
      </c>
    </row>
    <row r="1022">
      <c r="A1022" s="3" t="s">
        <v>667</v>
      </c>
      <c r="B1022" s="3" t="s">
        <v>651</v>
      </c>
      <c r="I1022" s="3" t="s">
        <v>650</v>
      </c>
      <c r="J1022" s="30">
        <f>J1018*K1018/64*16/200*2</f>
        <v>1000000</v>
      </c>
      <c r="K1022" s="30">
        <f>K1021</f>
        <v>500000</v>
      </c>
      <c r="L1022" s="30">
        <f t="shared" si="314"/>
        <v>1500000</v>
      </c>
    </row>
    <row r="1023">
      <c r="A1023" s="3" t="s">
        <v>642</v>
      </c>
      <c r="B1023" s="3" t="s">
        <v>643</v>
      </c>
      <c r="C1023" s="3" t="s">
        <v>463</v>
      </c>
      <c r="D1023" s="3">
        <v>200.0</v>
      </c>
      <c r="E1023" s="3">
        <v>1516593.0</v>
      </c>
      <c r="F1023" s="3">
        <v>818848.0</v>
      </c>
      <c r="G1023" s="30">
        <f t="shared" ref="G1023:G1024" si="315">E1023+F1023</f>
        <v>2335441</v>
      </c>
    </row>
    <row r="1024">
      <c r="A1024" s="3" t="s">
        <v>642</v>
      </c>
      <c r="B1024" s="3" t="s">
        <v>602</v>
      </c>
      <c r="C1024" s="3" t="s">
        <v>463</v>
      </c>
      <c r="D1024" s="3">
        <v>200.0</v>
      </c>
      <c r="E1024" s="3">
        <v>1518779.0</v>
      </c>
      <c r="F1024" s="3">
        <v>817026.0</v>
      </c>
      <c r="G1024" s="30">
        <f t="shared" si="315"/>
        <v>2335805</v>
      </c>
    </row>
    <row r="1026">
      <c r="A1026" s="3" t="s">
        <v>644</v>
      </c>
      <c r="B1026" s="3" t="s">
        <v>643</v>
      </c>
      <c r="C1026" s="3" t="s">
        <v>463</v>
      </c>
      <c r="D1026" s="3">
        <v>200.0</v>
      </c>
      <c r="E1026" s="3">
        <v>1759632.0</v>
      </c>
      <c r="F1026" s="3">
        <v>752570.0</v>
      </c>
      <c r="G1026" s="30">
        <f t="shared" ref="G1026:G1027" si="316">E1026+F1026</f>
        <v>2512202</v>
      </c>
    </row>
    <row r="1027">
      <c r="A1027" s="3" t="s">
        <v>644</v>
      </c>
      <c r="B1027" s="3" t="s">
        <v>602</v>
      </c>
      <c r="C1027" s="3" t="s">
        <v>463</v>
      </c>
      <c r="D1027" s="3">
        <v>200.0</v>
      </c>
      <c r="E1027" s="3">
        <v>1900763.0</v>
      </c>
      <c r="F1027" s="3">
        <v>768691.0</v>
      </c>
      <c r="G1027" s="30">
        <f t="shared" si="316"/>
        <v>2669454</v>
      </c>
    </row>
    <row r="1029">
      <c r="A1029" s="3" t="s">
        <v>647</v>
      </c>
      <c r="B1029" s="3" t="s">
        <v>643</v>
      </c>
      <c r="C1029" s="3" t="s">
        <v>463</v>
      </c>
      <c r="D1029" s="3">
        <v>200.0</v>
      </c>
      <c r="E1029" s="3">
        <v>1501835.0</v>
      </c>
      <c r="F1029" s="3">
        <v>503652.0</v>
      </c>
      <c r="G1029" s="30">
        <f t="shared" ref="G1029:G1030" si="317">E1029+F1029</f>
        <v>2005487</v>
      </c>
    </row>
    <row r="1030">
      <c r="A1030" s="3" t="s">
        <v>647</v>
      </c>
      <c r="B1030" s="3" t="s">
        <v>602</v>
      </c>
      <c r="C1030" s="3" t="s">
        <v>463</v>
      </c>
      <c r="D1030" s="3">
        <v>200.0</v>
      </c>
      <c r="E1030" s="3">
        <v>1502131.0</v>
      </c>
      <c r="F1030" s="3">
        <v>505243.0</v>
      </c>
      <c r="G1030" s="30">
        <f t="shared" si="317"/>
        <v>2007374</v>
      </c>
    </row>
    <row r="1034">
      <c r="D1034" s="30" t="str">
        <f>"total=["&amp;L1021&amp;", "&amp;L1022&amp;", "&amp;G1012&amp;", "&amp;G1013&amp;", "&amp;G1015&amp;", "&amp;G1016&amp;", "&amp;G1018&amp;", "&amp;G1019&amp;"]"</f>
        <v>total=[2000000, 1500000, 2338203, 2346605, 2377012, 2529912, 2006509, 2007643]</v>
      </c>
    </row>
    <row r="1039">
      <c r="D1039" s="3" t="s">
        <v>655</v>
      </c>
      <c r="E1039" s="3">
        <v>1.0</v>
      </c>
      <c r="F1039" s="3">
        <v>1713800.0</v>
      </c>
      <c r="G1039" s="3">
        <v>398826.0</v>
      </c>
    </row>
    <row r="1040">
      <c r="I1040" s="3">
        <v>4000000.0</v>
      </c>
      <c r="J1040" s="30">
        <f>LOG(I1040)</f>
        <v>6.602059991</v>
      </c>
      <c r="K1040" s="30">
        <f>J1040*100000</f>
        <v>660205.9991</v>
      </c>
      <c r="L1040" s="30">
        <f>K1040*3</f>
        <v>1980617.997</v>
      </c>
    </row>
    <row r="1042">
      <c r="B1042" s="3" t="s">
        <v>656</v>
      </c>
    </row>
    <row r="1043">
      <c r="C1043" s="3" t="s">
        <v>589</v>
      </c>
      <c r="D1043" s="3" t="s">
        <v>636</v>
      </c>
    </row>
    <row r="1044">
      <c r="E1044" s="3" t="s">
        <v>448</v>
      </c>
      <c r="F1044" s="3" t="s">
        <v>449</v>
      </c>
      <c r="G1044" s="3" t="s">
        <v>283</v>
      </c>
      <c r="H1044" s="30">
        <f>(H1045+H1048+H1051)/3</f>
        <v>71.40343218</v>
      </c>
      <c r="J1044" s="3">
        <v>4096.0</v>
      </c>
      <c r="K1044" s="3">
        <v>4096.0</v>
      </c>
    </row>
    <row r="1045">
      <c r="A1045" s="3" t="s">
        <v>642</v>
      </c>
      <c r="B1045" s="3" t="s">
        <v>643</v>
      </c>
      <c r="C1045" s="3" t="s">
        <v>655</v>
      </c>
      <c r="D1045" s="3">
        <v>1.0</v>
      </c>
      <c r="E1045" s="3">
        <v>426155.0</v>
      </c>
      <c r="G1045" s="30">
        <f t="shared" ref="G1045:G1046" si="318">E1045+F1045</f>
        <v>426155</v>
      </c>
      <c r="H1045" s="30">
        <f>100-ABS(G1045-L1054)/G1045*100</f>
        <v>61.88821813</v>
      </c>
      <c r="I1045" s="30">
        <f>100-ABS($M$497-G1045)/$M$497*100</f>
        <v>10.16032696</v>
      </c>
    </row>
    <row r="1046">
      <c r="A1046" s="3" t="s">
        <v>642</v>
      </c>
      <c r="B1046" s="3" t="s">
        <v>602</v>
      </c>
      <c r="C1046" s="3" t="s">
        <v>655</v>
      </c>
      <c r="D1046" s="3">
        <v>1.0</v>
      </c>
      <c r="E1046" s="3">
        <v>472839.0</v>
      </c>
      <c r="G1046" s="30">
        <f t="shared" si="318"/>
        <v>472839</v>
      </c>
      <c r="H1046" s="30">
        <f>100-ABS(G1046-L1054)/G1046*100</f>
        <v>75.52417122</v>
      </c>
    </row>
    <row r="1047">
      <c r="J1047" s="30">
        <f>(H1046+H1052)/2</f>
        <v>63.08615896</v>
      </c>
    </row>
    <row r="1048">
      <c r="A1048" s="3" t="s">
        <v>644</v>
      </c>
      <c r="B1048" s="3" t="s">
        <v>643</v>
      </c>
      <c r="C1048" s="3" t="s">
        <v>463</v>
      </c>
      <c r="D1048" s="3">
        <v>1.0</v>
      </c>
      <c r="E1048" s="3">
        <v>534214.0</v>
      </c>
      <c r="G1048" s="30">
        <f t="shared" ref="G1048:G1049" si="319">E1048+F1048</f>
        <v>534214</v>
      </c>
      <c r="H1048" s="30">
        <f>100-ABS(G1048-L1054)/G1048*100</f>
        <v>89.82500196</v>
      </c>
    </row>
    <row r="1049">
      <c r="A1049" s="3" t="s">
        <v>644</v>
      </c>
      <c r="B1049" s="3" t="s">
        <v>602</v>
      </c>
      <c r="C1049" s="3" t="s">
        <v>463</v>
      </c>
      <c r="D1049" s="3">
        <v>1.0</v>
      </c>
      <c r="E1049" s="3">
        <v>1152437.0</v>
      </c>
      <c r="G1049" s="30">
        <f t="shared" si="319"/>
        <v>1152437</v>
      </c>
      <c r="H1049" s="30">
        <f>100-ABS($M$496-G1049)/$M$496*100</f>
        <v>18.32644126</v>
      </c>
    </row>
    <row r="1050">
      <c r="J1050" s="3" t="s">
        <v>645</v>
      </c>
      <c r="K1050" s="3" t="s">
        <v>646</v>
      </c>
    </row>
    <row r="1051">
      <c r="A1051" s="3" t="s">
        <v>647</v>
      </c>
      <c r="B1051" s="3" t="s">
        <v>643</v>
      </c>
      <c r="C1051" s="3" t="s">
        <v>463</v>
      </c>
      <c r="D1051" s="3">
        <v>1.0</v>
      </c>
      <c r="E1051" s="3">
        <v>428042.0</v>
      </c>
      <c r="G1051" s="30">
        <f t="shared" ref="G1051:G1052" si="320">E1051+F1051</f>
        <v>428042</v>
      </c>
      <c r="H1051" s="30">
        <f>100-ABS(G1051-L1054)/G1051*100</f>
        <v>62.49707645</v>
      </c>
      <c r="J1051" s="3">
        <v>1.0E8</v>
      </c>
      <c r="K1051" s="3">
        <v>4.0</v>
      </c>
    </row>
    <row r="1052">
      <c r="A1052" s="3" t="s">
        <v>647</v>
      </c>
      <c r="B1052" s="3" t="s">
        <v>602</v>
      </c>
      <c r="C1052" s="3" t="s">
        <v>463</v>
      </c>
      <c r="D1052" s="3">
        <v>1.0</v>
      </c>
      <c r="E1052" s="3">
        <v>394083.0</v>
      </c>
      <c r="G1052" s="30">
        <f t="shared" si="320"/>
        <v>394083</v>
      </c>
      <c r="H1052" s="30">
        <f>100-ABS(G1052-L1054)/G1052*100</f>
        <v>50.6481467</v>
      </c>
    </row>
    <row r="1053">
      <c r="J1053" s="3" t="s">
        <v>486</v>
      </c>
      <c r="K1053" s="3" t="s">
        <v>648</v>
      </c>
      <c r="L1053" s="3" t="s">
        <v>283</v>
      </c>
    </row>
    <row r="1054">
      <c r="I1054" s="3" t="s">
        <v>649</v>
      </c>
      <c r="J1054" s="30">
        <v>588570.2640307106</v>
      </c>
      <c r="L1054" s="30">
        <f t="shared" ref="L1054:L1055" si="321">J1054+K1054</f>
        <v>588570.264</v>
      </c>
    </row>
    <row r="1055">
      <c r="A1055" s="3" t="s">
        <v>667</v>
      </c>
      <c r="B1055" s="3" t="s">
        <v>651</v>
      </c>
      <c r="I1055" s="3" t="s">
        <v>650</v>
      </c>
      <c r="J1055" s="30">
        <f>J1051*K1051/64*16/200*2</f>
        <v>1000000</v>
      </c>
      <c r="L1055" s="30">
        <f t="shared" si="321"/>
        <v>1000000</v>
      </c>
    </row>
    <row r="1056">
      <c r="A1056" s="3" t="s">
        <v>642</v>
      </c>
      <c r="B1056" s="3" t="s">
        <v>643</v>
      </c>
      <c r="C1056" s="3" t="s">
        <v>655</v>
      </c>
      <c r="D1056" s="3">
        <v>1.0</v>
      </c>
      <c r="E1056" s="3">
        <v>381648.0</v>
      </c>
      <c r="G1056" s="30">
        <f t="shared" ref="G1056:G1057" si="322">E1056+F1056</f>
        <v>381648</v>
      </c>
    </row>
    <row r="1057">
      <c r="A1057" s="3" t="s">
        <v>642</v>
      </c>
      <c r="B1057" s="3" t="s">
        <v>602</v>
      </c>
      <c r="C1057" s="3" t="s">
        <v>655</v>
      </c>
      <c r="D1057" s="3">
        <v>1.0</v>
      </c>
      <c r="E1057" s="3">
        <v>400427.0</v>
      </c>
      <c r="G1057" s="30">
        <f t="shared" si="322"/>
        <v>400427</v>
      </c>
    </row>
    <row r="1059">
      <c r="A1059" s="3" t="s">
        <v>644</v>
      </c>
      <c r="B1059" s="3" t="s">
        <v>643</v>
      </c>
      <c r="C1059" s="3" t="s">
        <v>463</v>
      </c>
      <c r="D1059" s="3">
        <v>1.0</v>
      </c>
      <c r="E1059" s="3">
        <v>410787.0</v>
      </c>
      <c r="G1059" s="30">
        <f t="shared" ref="G1059:G1060" si="323">E1059+F1059</f>
        <v>410787</v>
      </c>
    </row>
    <row r="1060">
      <c r="A1060" s="3" t="s">
        <v>644</v>
      </c>
      <c r="B1060" s="3" t="s">
        <v>602</v>
      </c>
      <c r="C1060" s="3" t="s">
        <v>463</v>
      </c>
      <c r="D1060" s="3">
        <v>1.0</v>
      </c>
      <c r="E1060" s="3">
        <v>782733.0</v>
      </c>
      <c r="G1060" s="30">
        <f t="shared" si="323"/>
        <v>782733</v>
      </c>
    </row>
    <row r="1062">
      <c r="A1062" s="3" t="s">
        <v>647</v>
      </c>
      <c r="B1062" s="3" t="s">
        <v>643</v>
      </c>
      <c r="C1062" s="3" t="s">
        <v>463</v>
      </c>
      <c r="D1062" s="3">
        <v>1.0</v>
      </c>
      <c r="E1062" s="3">
        <v>254280.0</v>
      </c>
      <c r="G1062" s="30">
        <f t="shared" ref="G1062:G1063" si="324">E1062+F1062</f>
        <v>254280</v>
      </c>
    </row>
    <row r="1063">
      <c r="A1063" s="3" t="s">
        <v>647</v>
      </c>
      <c r="B1063" s="3" t="s">
        <v>602</v>
      </c>
      <c r="C1063" s="3" t="s">
        <v>463</v>
      </c>
      <c r="D1063" s="3">
        <v>1.0</v>
      </c>
      <c r="E1063" s="3">
        <v>383627.0</v>
      </c>
      <c r="G1063" s="30">
        <f t="shared" si="324"/>
        <v>383627</v>
      </c>
    </row>
    <row r="1067">
      <c r="D1067" s="30" t="str">
        <f>"total=["&amp;L1054&amp;", "&amp;L1055&amp;", "&amp;G1045&amp;", "&amp;G1046&amp;", "&amp;G1048&amp;", "&amp;G1049&amp;", "&amp;G1051&amp;", "&amp;G1052&amp;"]"</f>
        <v>total=[588570.264030711, 1000000, 426155, 472839, 534214, 1152437, 428042, 394083]</v>
      </c>
    </row>
    <row r="1068">
      <c r="D1068" s="30" t="str">
        <f>"omp_data=["&amp;L1054&amp;", "&amp;L1055&amp;","&amp;G1056&amp;", "&amp;G1057&amp;", "&amp;G1059&amp;", "&amp;G1060&amp;", "&amp;G1062&amp;","&amp;G1063&amp;"]"</f>
        <v>omp_data=[588570.264030711, 1000000,381648, 400427, 410787, 782733, 254280,383627]</v>
      </c>
    </row>
    <row r="1069">
      <c r="F1069" s="3">
        <v>240.0</v>
      </c>
      <c r="G1069" s="30">
        <f>F1069*F1074</f>
        <v>251658240</v>
      </c>
      <c r="H1069" s="30">
        <f>E1071/G1069</f>
        <v>0.02443326314</v>
      </c>
      <c r="I1069" s="30">
        <f>E1076/G1069</f>
        <v>0.1666666667</v>
      </c>
      <c r="J1069" s="30">
        <f>H1069*I1069</f>
        <v>0.004072210524</v>
      </c>
    </row>
    <row r="1071">
      <c r="D1071" s="98">
        <v>768604.0</v>
      </c>
      <c r="E1071" s="30">
        <f>D1071*8</f>
        <v>6148832</v>
      </c>
      <c r="F1071" s="30">
        <f>E1071/F1074</f>
        <v>5.863983154</v>
      </c>
      <c r="I1071" s="30">
        <f>D1074/D1071</f>
        <v>0.7657652888</v>
      </c>
    </row>
    <row r="1072">
      <c r="F1072" s="3">
        <v>477873.0</v>
      </c>
    </row>
    <row r="1073">
      <c r="D1073" s="30">
        <f>log(D1071)</f>
        <v>5.88570264</v>
      </c>
    </row>
    <row r="1074">
      <c r="D1074" s="30">
        <f>D1073*100000</f>
        <v>588570.264</v>
      </c>
      <c r="E1074" s="30">
        <f>D1074*64</f>
        <v>37668496.9</v>
      </c>
      <c r="F1074" s="99">
        <v>1048576.0</v>
      </c>
      <c r="G1074" s="30">
        <f>E1074/F1074</f>
        <v>35.92347803</v>
      </c>
    </row>
    <row r="1075">
      <c r="D1075" s="3" t="s">
        <v>657</v>
      </c>
    </row>
    <row r="1076">
      <c r="C1076" s="3" t="s">
        <v>658</v>
      </c>
      <c r="D1076" s="3">
        <v>40.0</v>
      </c>
      <c r="E1076" s="30">
        <f t="shared" ref="E1076:E1078" si="325">D1076*$F$609</f>
        <v>41943040</v>
      </c>
    </row>
    <row r="1077">
      <c r="C1077" s="3" t="s">
        <v>659</v>
      </c>
      <c r="D1077" s="3">
        <v>14.0</v>
      </c>
      <c r="E1077" s="30">
        <f t="shared" si="325"/>
        <v>14680064</v>
      </c>
    </row>
    <row r="1078">
      <c r="C1078" s="3" t="s">
        <v>660</v>
      </c>
      <c r="D1078" s="3">
        <v>28.0</v>
      </c>
      <c r="E1078" s="30">
        <f t="shared" si="325"/>
        <v>29360128</v>
      </c>
    </row>
    <row r="1079">
      <c r="K1079" s="3">
        <v>102.0</v>
      </c>
    </row>
    <row r="1081">
      <c r="L1081" s="30">
        <f>L1084/64</f>
        <v>65536</v>
      </c>
    </row>
    <row r="1082">
      <c r="B1082" s="3" t="s">
        <v>661</v>
      </c>
    </row>
    <row r="1083">
      <c r="C1083" s="3" t="s">
        <v>589</v>
      </c>
      <c r="D1083" s="3" t="s">
        <v>636</v>
      </c>
    </row>
    <row r="1084">
      <c r="E1084" s="3" t="s">
        <v>448</v>
      </c>
      <c r="F1084" s="3" t="s">
        <v>449</v>
      </c>
      <c r="G1084" s="3" t="s">
        <v>283</v>
      </c>
      <c r="J1084" s="3">
        <v>2048.0</v>
      </c>
      <c r="K1084" s="3">
        <v>2048.0</v>
      </c>
      <c r="L1084" s="30">
        <f>J1084*K1084</f>
        <v>4194304</v>
      </c>
      <c r="M1084" s="30">
        <f>L1084/64</f>
        <v>65536</v>
      </c>
    </row>
    <row r="1085">
      <c r="A1085" s="3" t="s">
        <v>642</v>
      </c>
      <c r="B1085" s="3" t="s">
        <v>643</v>
      </c>
      <c r="C1085" s="3" t="s">
        <v>463</v>
      </c>
      <c r="D1085" s="3">
        <v>200.0</v>
      </c>
      <c r="E1085" s="3">
        <v>1516527.0</v>
      </c>
      <c r="F1085" s="3">
        <v>821676.0</v>
      </c>
      <c r="G1085" s="30">
        <f t="shared" ref="G1085:G1086" si="326">E1085+F1085</f>
        <v>2338203</v>
      </c>
      <c r="H1085" s="30">
        <f t="shared" ref="H1085:H1086" si="327">100-ABS($M$496-G1085)/$M$496*100</f>
        <v>37.1828915</v>
      </c>
      <c r="I1085" s="30">
        <f>100-ABS($M$497-G1085)/$M$497*100</f>
        <v>55.74710369</v>
      </c>
    </row>
    <row r="1086">
      <c r="A1086" s="3" t="s">
        <v>642</v>
      </c>
      <c r="B1086" s="3" t="s">
        <v>602</v>
      </c>
      <c r="C1086" s="3" t="s">
        <v>463</v>
      </c>
      <c r="D1086" s="3">
        <v>200.0</v>
      </c>
      <c r="E1086" s="3">
        <v>1520001.0</v>
      </c>
      <c r="F1086" s="3">
        <v>826604.0</v>
      </c>
      <c r="G1086" s="30">
        <f t="shared" si="326"/>
        <v>2346605</v>
      </c>
      <c r="H1086" s="30">
        <f t="shared" si="327"/>
        <v>37.31650294</v>
      </c>
    </row>
    <row r="1088">
      <c r="A1088" s="3" t="s">
        <v>644</v>
      </c>
      <c r="B1088" s="3" t="s">
        <v>643</v>
      </c>
      <c r="C1088" s="3" t="s">
        <v>463</v>
      </c>
      <c r="D1088" s="3">
        <v>200.0</v>
      </c>
      <c r="E1088" s="3">
        <v>1697399.0</v>
      </c>
      <c r="F1088" s="3">
        <v>679613.0</v>
      </c>
      <c r="G1088" s="30">
        <f t="shared" ref="G1088:G1089" si="328">E1088+F1088</f>
        <v>2377012</v>
      </c>
      <c r="H1088" s="30">
        <f t="shared" ref="H1088:H1089" si="329">100-ABS($M$496-G1088)/$M$496*100</f>
        <v>37.80004529</v>
      </c>
      <c r="M1088" s="30">
        <f>J1091/200</f>
        <v>500000</v>
      </c>
    </row>
    <row r="1089">
      <c r="A1089" s="3" t="s">
        <v>644</v>
      </c>
      <c r="B1089" s="3" t="s">
        <v>602</v>
      </c>
      <c r="C1089" s="3" t="s">
        <v>463</v>
      </c>
      <c r="D1089" s="3">
        <v>200.0</v>
      </c>
      <c r="E1089" s="3">
        <v>1826256.0</v>
      </c>
      <c r="F1089" s="3">
        <v>703656.0</v>
      </c>
      <c r="G1089" s="30">
        <f t="shared" si="328"/>
        <v>2529912</v>
      </c>
      <c r="H1089" s="30">
        <f t="shared" si="329"/>
        <v>40.23151258</v>
      </c>
    </row>
    <row r="1090">
      <c r="J1090" s="3" t="s">
        <v>645</v>
      </c>
      <c r="K1090" s="3" t="s">
        <v>646</v>
      </c>
    </row>
    <row r="1091">
      <c r="A1091" s="3" t="s">
        <v>647</v>
      </c>
      <c r="B1091" s="3" t="s">
        <v>643</v>
      </c>
      <c r="C1091" s="3" t="s">
        <v>463</v>
      </c>
      <c r="D1091" s="3">
        <v>200.0</v>
      </c>
      <c r="E1091" s="3">
        <v>1501175.0</v>
      </c>
      <c r="F1091" s="3">
        <v>505334.0</v>
      </c>
      <c r="G1091" s="30">
        <f t="shared" ref="G1091:G1092" si="330">E1091+F1091</f>
        <v>2006509</v>
      </c>
      <c r="H1091" s="30">
        <f t="shared" ref="H1091:H1092" si="331">100-ABS($M$496-G1091)/$M$496*100</f>
        <v>31.90818182</v>
      </c>
      <c r="J1091" s="3">
        <v>1.0E8</v>
      </c>
      <c r="K1091" s="3">
        <v>4.0</v>
      </c>
    </row>
    <row r="1092">
      <c r="A1092" s="3" t="s">
        <v>647</v>
      </c>
      <c r="B1092" s="3" t="s">
        <v>602</v>
      </c>
      <c r="C1092" s="3" t="s">
        <v>463</v>
      </c>
      <c r="D1092" s="3">
        <v>200.0</v>
      </c>
      <c r="E1092" s="3">
        <v>1502057.0</v>
      </c>
      <c r="F1092" s="3">
        <v>505586.0</v>
      </c>
      <c r="G1092" s="30">
        <f t="shared" si="330"/>
        <v>2007643</v>
      </c>
      <c r="H1092" s="30">
        <f t="shared" si="331"/>
        <v>31.92621507</v>
      </c>
    </row>
    <row r="1093">
      <c r="J1093" s="3" t="s">
        <v>486</v>
      </c>
      <c r="K1093" s="3" t="s">
        <v>648</v>
      </c>
      <c r="L1093" s="3" t="s">
        <v>283</v>
      </c>
    </row>
    <row r="1094">
      <c r="I1094" s="3" t="s">
        <v>649</v>
      </c>
      <c r="J1094" s="30">
        <f>J1091*K1091/64*3*16/200</f>
        <v>1500000</v>
      </c>
      <c r="K1094" s="30">
        <f>J1091*K1091/64*16/200</f>
        <v>500000</v>
      </c>
      <c r="L1094" s="30">
        <f t="shared" ref="L1094:L1095" si="332">J1094+K1094</f>
        <v>2000000</v>
      </c>
    </row>
    <row r="1095">
      <c r="A1095" s="3" t="s">
        <v>595</v>
      </c>
      <c r="B1095" s="3" t="s">
        <v>651</v>
      </c>
      <c r="I1095" s="3" t="s">
        <v>650</v>
      </c>
      <c r="J1095" s="30">
        <f>J1091*K1091/64*16/200*2</f>
        <v>1000000</v>
      </c>
      <c r="K1095" s="30">
        <f>K1094</f>
        <v>500000</v>
      </c>
      <c r="L1095" s="30">
        <f t="shared" si="332"/>
        <v>1500000</v>
      </c>
    </row>
    <row r="1096">
      <c r="A1096" s="3" t="s">
        <v>642</v>
      </c>
      <c r="B1096" s="3" t="s">
        <v>643</v>
      </c>
      <c r="C1096" s="3" t="s">
        <v>463</v>
      </c>
      <c r="D1096" s="3">
        <v>1.0</v>
      </c>
      <c r="E1096" s="3">
        <v>1.8776592E7</v>
      </c>
      <c r="F1096" s="3">
        <v>6270387.0</v>
      </c>
      <c r="G1096" s="30">
        <f t="shared" ref="G1096:G1097" si="333">E1096+F1096</f>
        <v>25046979</v>
      </c>
    </row>
    <row r="1097">
      <c r="A1097" s="3" t="s">
        <v>642</v>
      </c>
      <c r="B1097" s="3" t="s">
        <v>602</v>
      </c>
      <c r="C1097" s="3" t="s">
        <v>463</v>
      </c>
      <c r="D1097" s="3">
        <v>1.0</v>
      </c>
      <c r="E1097" s="3">
        <v>1.8779905E7</v>
      </c>
      <c r="F1097" s="3">
        <v>6253845.0</v>
      </c>
      <c r="G1097" s="30">
        <f t="shared" si="333"/>
        <v>25033750</v>
      </c>
    </row>
    <row r="1099">
      <c r="A1099" s="3" t="s">
        <v>644</v>
      </c>
      <c r="B1099" s="3" t="s">
        <v>643</v>
      </c>
      <c r="C1099" s="3" t="s">
        <v>463</v>
      </c>
      <c r="D1099" s="3">
        <v>1.0</v>
      </c>
      <c r="E1099" s="3">
        <v>1.8739767E7</v>
      </c>
      <c r="F1099" s="3">
        <v>6264934.0</v>
      </c>
      <c r="G1099" s="30">
        <f t="shared" ref="G1099:G1100" si="334">E1099+F1099</f>
        <v>25004701</v>
      </c>
    </row>
    <row r="1100">
      <c r="A1100" s="3" t="s">
        <v>644</v>
      </c>
      <c r="B1100" s="3" t="s">
        <v>602</v>
      </c>
      <c r="C1100" s="3" t="s">
        <v>463</v>
      </c>
      <c r="D1100" s="3">
        <v>1.0</v>
      </c>
      <c r="E1100" s="3">
        <v>1.8763648E7</v>
      </c>
      <c r="F1100" s="3">
        <v>6263322.0</v>
      </c>
      <c r="G1100" s="30">
        <f t="shared" si="334"/>
        <v>25026970</v>
      </c>
    </row>
    <row r="1102">
      <c r="A1102" s="3" t="s">
        <v>647</v>
      </c>
      <c r="B1102" s="3" t="s">
        <v>643</v>
      </c>
      <c r="C1102" s="3" t="s">
        <v>463</v>
      </c>
      <c r="D1102" s="3">
        <v>1.0</v>
      </c>
      <c r="E1102" s="3">
        <v>1.8409628E7</v>
      </c>
      <c r="F1102" s="3">
        <v>6199845.0</v>
      </c>
      <c r="G1102" s="30">
        <f t="shared" ref="G1102:G1103" si="335">E1102+F1102</f>
        <v>24609473</v>
      </c>
    </row>
    <row r="1103">
      <c r="A1103" s="3" t="s">
        <v>647</v>
      </c>
      <c r="B1103" s="3" t="s">
        <v>602</v>
      </c>
      <c r="C1103" s="3" t="s">
        <v>463</v>
      </c>
      <c r="D1103" s="3">
        <v>1.0</v>
      </c>
      <c r="E1103" s="3">
        <v>1.8413531E7</v>
      </c>
      <c r="F1103" s="3">
        <v>6184994.0</v>
      </c>
      <c r="G1103" s="30">
        <f t="shared" si="335"/>
        <v>24598525</v>
      </c>
    </row>
    <row r="1107">
      <c r="D1107" s="30" t="str">
        <f>"total=["&amp;L1094&amp;", "&amp;L1095&amp;", "&amp;G1085&amp;", "&amp;G1086&amp;", "&amp;G1088&amp;", "&amp;G1089&amp;", "&amp;G1091&amp;", "&amp;G1092&amp;"]"</f>
        <v>total=[2000000, 1500000, 2338203, 2346605, 2377012, 2529912, 2006509, 2007643]</v>
      </c>
    </row>
    <row r="1109">
      <c r="K1109" s="3">
        <v>16000.0</v>
      </c>
      <c r="L1109" s="30">
        <f>K1109*64</f>
        <v>1024000</v>
      </c>
      <c r="M1109" s="30">
        <f>L1109/2</f>
        <v>512000</v>
      </c>
    </row>
    <row r="1112">
      <c r="H1112" s="3">
        <v>512.0</v>
      </c>
      <c r="I1112" s="3">
        <v>512.0</v>
      </c>
      <c r="J1112" s="30">
        <f>H1112*I1112</f>
        <v>262144</v>
      </c>
      <c r="K1112" s="30">
        <f>J1112/64*4</f>
        <v>16384</v>
      </c>
    </row>
    <row r="1114">
      <c r="A1114" s="3" t="s">
        <v>668</v>
      </c>
    </row>
    <row r="1115">
      <c r="A1115" s="3" t="s">
        <v>729</v>
      </c>
    </row>
    <row r="1116">
      <c r="A1116" s="3"/>
      <c r="C1116" s="3" t="s">
        <v>641</v>
      </c>
      <c r="D1116" s="3" t="s">
        <v>557</v>
      </c>
      <c r="E1116" s="3" t="s">
        <v>597</v>
      </c>
      <c r="F1116" s="3" t="s">
        <v>90</v>
      </c>
      <c r="G1116" s="3" t="s">
        <v>669</v>
      </c>
      <c r="H1116" s="3" t="s">
        <v>670</v>
      </c>
      <c r="I1116" s="3" t="s">
        <v>730</v>
      </c>
      <c r="J1116" s="30" t="str">
        <f t="shared" ref="J1116:J1120" si="336">"gcc=["&amp;C1116&amp;", "&amp;D1116&amp;", "&amp;E1116&amp;", "&amp;F1116&amp;", "&amp;G1116&amp;", "&amp;H1116&amp;", "&amp;I1116&amp;"]"</f>
        <v>gcc=[Stream, Jacobi, Laplace, XSBench, Vecmul-50, Vecmul-200, Lulesh]</v>
      </c>
    </row>
    <row r="1117">
      <c r="A1117" s="3"/>
      <c r="B1117" s="3" t="s">
        <v>636</v>
      </c>
      <c r="C1117" s="30">
        <v>2.5338856E7</v>
      </c>
      <c r="D1117" s="30">
        <v>9441832.0</v>
      </c>
      <c r="E1117" s="30">
        <v>6860474.0</v>
      </c>
      <c r="F1117" s="30">
        <v>398155.2</v>
      </c>
      <c r="G1117" s="30">
        <v>1.0896302E7</v>
      </c>
      <c r="H1117" s="30">
        <v>2338203.0</v>
      </c>
      <c r="I1117" s="30">
        <v>9.6274396E7</v>
      </c>
      <c r="J1117" s="30" t="str">
        <f t="shared" si="336"/>
        <v>gcc=[25338856, 9441832, 6860474, 398155.2, 10896302, 2338203, 96274396]</v>
      </c>
    </row>
    <row r="1118">
      <c r="A1118" s="3" t="s">
        <v>671</v>
      </c>
      <c r="B1118" s="3" t="s">
        <v>672</v>
      </c>
      <c r="C1118" s="30">
        <v>2.5080477E7</v>
      </c>
      <c r="D1118" s="30">
        <v>9310190.0</v>
      </c>
      <c r="E1118" s="30">
        <v>6775994.0</v>
      </c>
      <c r="F1118" s="30">
        <v>464544.8</v>
      </c>
      <c r="G1118" s="30">
        <v>1.6974365E7</v>
      </c>
      <c r="H1118" s="30">
        <v>2346605.0</v>
      </c>
      <c r="I1118" s="30">
        <v>9.585896E7</v>
      </c>
      <c r="J1118" s="30" t="str">
        <f t="shared" si="336"/>
        <v>gcc=[25080477, 9310190, 6775994, 464544.8, 16974365, 2346605, 95858960]</v>
      </c>
    </row>
    <row r="1119">
      <c r="A1119" s="3"/>
      <c r="B1119" s="3" t="s">
        <v>673</v>
      </c>
      <c r="C1119" s="30">
        <v>2.5046979E7</v>
      </c>
      <c r="D1119" s="30">
        <v>9272076.0</v>
      </c>
      <c r="E1119" s="30">
        <v>6603716.0</v>
      </c>
      <c r="F1119" s="30">
        <v>665453.0</v>
      </c>
      <c r="G1119" s="30">
        <v>1.1066649E7</v>
      </c>
      <c r="H1119" s="30">
        <v>2504817.0</v>
      </c>
      <c r="I1119" s="30">
        <v>9.5651204E7</v>
      </c>
      <c r="J1119" s="30" t="str">
        <f t="shared" si="336"/>
        <v>gcc=[25046979, 9272076, 6603716, 665453, 11066649, 2504817, 95651204]</v>
      </c>
    </row>
    <row r="1120">
      <c r="A1120" s="3"/>
      <c r="B1120" s="3" t="s">
        <v>674</v>
      </c>
      <c r="C1120" s="30">
        <v>2.503375E7</v>
      </c>
      <c r="D1120" s="30">
        <v>9145806.0</v>
      </c>
      <c r="E1120" s="30">
        <v>6597481.0</v>
      </c>
      <c r="F1120" s="30">
        <v>879404.0</v>
      </c>
      <c r="G1120" s="30">
        <v>1.9813172E7</v>
      </c>
      <c r="H1120" s="30">
        <v>2529047.0</v>
      </c>
      <c r="I1120" s="30">
        <v>9.5776206E7</v>
      </c>
      <c r="J1120" s="30" t="str">
        <f t="shared" si="336"/>
        <v>gcc=[25033750, 9145806, 6597481, 879404, 19813172, 2529047, 95776206]</v>
      </c>
    </row>
    <row r="1121">
      <c r="A1121" s="3" t="s">
        <v>498</v>
      </c>
    </row>
    <row r="1122">
      <c r="A1122" s="3"/>
      <c r="C1122" s="3" t="s">
        <v>641</v>
      </c>
      <c r="D1122" s="3" t="s">
        <v>557</v>
      </c>
      <c r="E1122" s="3" t="s">
        <v>597</v>
      </c>
      <c r="F1122" s="3" t="s">
        <v>90</v>
      </c>
      <c r="G1122" s="3" t="s">
        <v>669</v>
      </c>
      <c r="H1122" s="3" t="s">
        <v>670</v>
      </c>
      <c r="I1122" s="3" t="s">
        <v>730</v>
      </c>
      <c r="J1122" s="30" t="str">
        <f t="shared" ref="J1122:J1126" si="337">"gcc=["&amp;C1122&amp;", "&amp;D1122&amp;", "&amp;E1122&amp;", "&amp;F1122&amp;", "&amp;G1122&amp;", "&amp;H1122&amp;", "&amp;I1122&amp;"]"</f>
        <v>gcc=[Stream, Jacobi, Laplace, XSBench, Vecmul-50, Vecmul-200, Lulesh]</v>
      </c>
    </row>
    <row r="1123">
      <c r="A1123" s="3"/>
      <c r="B1123" s="3" t="s">
        <v>636</v>
      </c>
      <c r="C1123" s="30">
        <v>98.66270205726731</v>
      </c>
      <c r="D1123" s="30">
        <v>88.84513090256213</v>
      </c>
      <c r="E1123" s="30">
        <v>91.66107181515446</v>
      </c>
      <c r="F1123" s="30">
        <v>94.03227686088239</v>
      </c>
      <c r="G1123" s="30">
        <v>94.14834500732451</v>
      </c>
      <c r="H1123" s="30">
        <v>85.53577255695934</v>
      </c>
      <c r="I1123" s="30">
        <v>95.88728866187849</v>
      </c>
      <c r="J1123" s="30" t="str">
        <f t="shared" si="337"/>
        <v>gcc=[98.6627020572673, 88.8451309025621, 91.6610718151545, 94.0322768608824, 94.1483450073245, 85.5357725569594, 95.8872886618785]</v>
      </c>
    </row>
    <row r="1124">
      <c r="A1124" s="3" t="s">
        <v>671</v>
      </c>
      <c r="B1124" s="3" t="s">
        <v>672</v>
      </c>
      <c r="C1124" s="30">
        <v>99.67912492254433</v>
      </c>
      <c r="D1124" s="30">
        <v>90.10136205598383</v>
      </c>
      <c r="E1124" s="30">
        <v>92.8038602159329</v>
      </c>
      <c r="F1124" s="30">
        <v>90.82353305859844</v>
      </c>
      <c r="G1124" s="30">
        <v>92.43374936264185</v>
      </c>
      <c r="H1124" s="30">
        <v>85.22951242326681</v>
      </c>
      <c r="I1124" s="30">
        <v>96.30284743335417</v>
      </c>
      <c r="J1124" s="30" t="str">
        <f t="shared" si="337"/>
        <v>gcc=[99.6791249225443, 90.1013620559838, 92.8038602159329, 90.8235330585984, 92.4337493626419, 85.2295124232668, 96.3028474333542]</v>
      </c>
    </row>
    <row r="1125">
      <c r="A1125" s="3"/>
      <c r="B1125" s="3" t="s">
        <v>673</v>
      </c>
      <c r="C1125" s="30">
        <v>99.81243646189826</v>
      </c>
      <c r="D1125" s="30">
        <v>90.47173470105292</v>
      </c>
      <c r="E1125" s="30">
        <v>95.22493093282631</v>
      </c>
      <c r="F1125" s="30">
        <v>63.402824842625996</v>
      </c>
      <c r="G1125" s="30">
        <v>92.69913593536761</v>
      </c>
      <c r="H1125" s="30">
        <v>79.84615243349114</v>
      </c>
      <c r="I1125" s="30">
        <v>96.51201881368895</v>
      </c>
      <c r="J1125" s="30" t="str">
        <f t="shared" si="337"/>
        <v>gcc=[99.8124364618983, 90.4717347010529, 95.2249309328263, 63.402824842626, 92.6991359353676, 79.8461524334911, 96.512018813689]</v>
      </c>
    </row>
    <row r="1126">
      <c r="A1126" s="3"/>
      <c r="B1126" s="3" t="s">
        <v>674</v>
      </c>
      <c r="C1126" s="30">
        <v>99.8651820042942</v>
      </c>
      <c r="D1126" s="30">
        <v>91.72081717018708</v>
      </c>
      <c r="E1126" s="30">
        <v>95.31492398386597</v>
      </c>
      <c r="F1126" s="30">
        <v>47.977493848106214</v>
      </c>
      <c r="G1126" s="30">
        <v>92.15429008540379</v>
      </c>
      <c r="H1126" s="30">
        <v>79.08117168245587</v>
      </c>
      <c r="I1126" s="30">
        <v>96.3860564700172</v>
      </c>
      <c r="J1126" s="30" t="str">
        <f t="shared" si="337"/>
        <v>gcc=[99.8651820042942, 91.7208171701871, 95.314923983866, 47.9774938481062, 92.1542900854038, 79.0811716824559, 96.3860564700172]</v>
      </c>
    </row>
    <row r="1127">
      <c r="A1127" s="3"/>
    </row>
    <row r="1128">
      <c r="A1128" s="3"/>
    </row>
    <row r="1129">
      <c r="A1129" s="3"/>
    </row>
    <row r="1130">
      <c r="A1130" s="3"/>
    </row>
    <row r="1131">
      <c r="A1131" s="3"/>
    </row>
    <row r="1132">
      <c r="A1132" s="3" t="s">
        <v>675</v>
      </c>
    </row>
    <row r="1133">
      <c r="A1133" s="3" t="s">
        <v>729</v>
      </c>
    </row>
    <row r="1134">
      <c r="A1134" s="3"/>
      <c r="C1134" s="3" t="s">
        <v>641</v>
      </c>
      <c r="D1134" s="3" t="s">
        <v>557</v>
      </c>
      <c r="E1134" s="3" t="s">
        <v>597</v>
      </c>
      <c r="F1134" s="3" t="s">
        <v>90</v>
      </c>
      <c r="G1134" s="3" t="s">
        <v>669</v>
      </c>
      <c r="H1134" s="3" t="s">
        <v>670</v>
      </c>
      <c r="I1134" s="3" t="s">
        <v>730</v>
      </c>
      <c r="J1134" s="30" t="str">
        <f>"gcc=["&amp;C1134&amp;", "&amp;D1134&amp;", "&amp;E1134&amp;", "&amp;F1134&amp;", "&amp;G1134&amp;", "&amp;H1134&amp;", "&amp;I1134&amp;"]"</f>
        <v>gcc=[Stream, Jacobi, Laplace, XSBench, Vecmul-50, Vecmul-200, Lulesh]</v>
      </c>
    </row>
    <row r="1135">
      <c r="A1135" s="3"/>
      <c r="B1135" s="3" t="s">
        <v>636</v>
      </c>
      <c r="C1135" s="89">
        <v>2.5338856E7</v>
      </c>
      <c r="D1135" s="30">
        <v>9441832.0</v>
      </c>
      <c r="E1135" s="30">
        <v>6860474.0</v>
      </c>
      <c r="F1135" s="30">
        <v>426155.0</v>
      </c>
      <c r="G1135" s="30">
        <v>1.0896302E7</v>
      </c>
      <c r="H1135" s="30">
        <v>2338203.0</v>
      </c>
      <c r="I1135" s="30">
        <v>9.6274396E7</v>
      </c>
      <c r="J1135" s="30" t="str">
        <f>"mapr=["&amp;C1135&amp;", "&amp;D1135&amp;", "&amp;E1135&amp;", "&amp;F1135&amp;", "&amp;G1135&amp;", "&amp;H1135&amp;", "&amp;I1135&amp;"]"</f>
        <v>mapr=[25338856, 9441832, 6860474, 426155, 10896302, 2338203, 96274396]</v>
      </c>
    </row>
    <row r="1136">
      <c r="A1136" s="3" t="s">
        <v>671</v>
      </c>
      <c r="B1136" s="3" t="s">
        <v>672</v>
      </c>
      <c r="C1136" s="89">
        <v>2.5080477E7</v>
      </c>
      <c r="D1136" s="30">
        <v>9310190.0</v>
      </c>
      <c r="E1136" s="30">
        <v>6775994.0</v>
      </c>
      <c r="F1136" s="30">
        <v>472839.0</v>
      </c>
      <c r="G1136" s="30">
        <v>1.6974365E7</v>
      </c>
      <c r="H1136" s="30">
        <v>2346605.0</v>
      </c>
      <c r="I1136" s="30">
        <v>9.585896E7</v>
      </c>
      <c r="J1136" s="30" t="str">
        <f>"lit=["&amp;C1136&amp;", "&amp;D1136&amp;", "&amp;E1136&amp;", "&amp;F1136&amp;", "&amp;G1136&amp;", "&amp;H1136&amp;", "&amp;I1136&amp;"]"</f>
        <v>lit=[25080477, 9310190, 6775994, 472839, 16974365, 2346605, 95858960]</v>
      </c>
    </row>
    <row r="1137">
      <c r="A1137" s="3"/>
      <c r="B1137" s="3" t="s">
        <v>676</v>
      </c>
      <c r="C1137" s="89">
        <v>2.0085987E7</v>
      </c>
      <c r="D1137" s="30">
        <v>9441018.0</v>
      </c>
      <c r="E1137" s="30">
        <v>6832444.0</v>
      </c>
      <c r="F1137" s="30">
        <v>381648.0</v>
      </c>
      <c r="G1137" s="30">
        <v>1.0901759E7</v>
      </c>
      <c r="H1137" s="30">
        <v>2335441.0</v>
      </c>
      <c r="J1137" s="30" t="str">
        <f>"mapr1=["&amp;C1137&amp;", "&amp;D1137&amp;", "&amp;E1137&amp;", "&amp;F1137&amp;", "&amp;G1137&amp;", "&amp;H1137&amp;", "&amp;I1137&amp;"]"</f>
        <v>mapr1=[20085987, 9441018, 6832444, 381648, 10901759, 2335441, ]</v>
      </c>
    </row>
    <row r="1138">
      <c r="A1138" s="3"/>
      <c r="B1138" s="3" t="s">
        <v>677</v>
      </c>
      <c r="C1138" s="89">
        <v>2.0082949E7</v>
      </c>
      <c r="D1138" s="30">
        <v>9320113.0</v>
      </c>
      <c r="E1138" s="30">
        <v>6714463.0</v>
      </c>
      <c r="F1138" s="30">
        <v>400427.0</v>
      </c>
      <c r="G1138" s="30">
        <v>1.6848601E7</v>
      </c>
      <c r="H1138" s="30">
        <v>2335805.0</v>
      </c>
      <c r="J1138" s="30" t="str">
        <f>"lit1=["&amp;C1138&amp;", "&amp;D1138&amp;", "&amp;E1138&amp;", "&amp;F1138&amp;", "&amp;G1138&amp;", "&amp;H1138&amp;", "&amp;I1138&amp;"]"</f>
        <v>lit1=[20082949, 9320113, 6714463, 400427, 16848601, 2335805, ]</v>
      </c>
    </row>
    <row r="1139">
      <c r="A1139" s="3" t="s">
        <v>498</v>
      </c>
    </row>
    <row r="1140">
      <c r="A1140" s="3"/>
      <c r="C1140" s="3" t="s">
        <v>641</v>
      </c>
      <c r="D1140" s="3" t="s">
        <v>557</v>
      </c>
      <c r="E1140" s="3" t="s">
        <v>597</v>
      </c>
      <c r="F1140" s="3" t="s">
        <v>90</v>
      </c>
      <c r="G1140" s="3" t="s">
        <v>669</v>
      </c>
      <c r="H1140" s="3" t="s">
        <v>670</v>
      </c>
      <c r="I1140" s="3" t="s">
        <v>730</v>
      </c>
      <c r="J1140" s="30" t="str">
        <f>"gcc=["&amp;C1140&amp;", "&amp;D1140&amp;", "&amp;E1140&amp;", "&amp;F1140&amp;", "&amp;G1140&amp;", "&amp;H1140&amp;", "&amp;I1140&amp;"]"</f>
        <v>gcc=[Stream, Jacobi, Laplace, XSBench, Vecmul-50, Vecmul-200, Lulesh]</v>
      </c>
    </row>
    <row r="1141">
      <c r="A1141" s="3"/>
      <c r="B1141" s="3" t="s">
        <v>636</v>
      </c>
      <c r="C1141" s="30">
        <v>98.66270205726731</v>
      </c>
      <c r="D1141" s="30">
        <v>88.84513090256213</v>
      </c>
      <c r="E1141" s="30">
        <v>91.66107181515446</v>
      </c>
      <c r="F1141" s="30">
        <v>94.03227686088239</v>
      </c>
      <c r="G1141" s="30">
        <v>94.14834500732451</v>
      </c>
      <c r="H1141" s="30">
        <v>85.53577255695934</v>
      </c>
      <c r="I1141" s="30">
        <v>95.88728866187849</v>
      </c>
      <c r="J1141" s="30" t="str">
        <f>"mapr=["&amp;C1141&amp;", "&amp;D1141&amp;", "&amp;E1141&amp;", "&amp;F1141&amp;", "&amp;G1141&amp;", "&amp;H1141&amp;", "&amp;I1141&amp;"]"</f>
        <v>mapr=[98.6627020572673, 88.8451309025621, 91.6610718151545, 94.0322768608824, 94.1483450073245, 85.5357725569594, 95.8872886618785]</v>
      </c>
    </row>
    <row r="1142">
      <c r="A1142" s="3" t="s">
        <v>671</v>
      </c>
      <c r="B1142" s="3" t="s">
        <v>672</v>
      </c>
      <c r="C1142" s="30">
        <v>99.67912492254433</v>
      </c>
      <c r="D1142" s="30">
        <v>90.10136205598383</v>
      </c>
      <c r="E1142" s="30">
        <v>92.8038602159329</v>
      </c>
      <c r="F1142" s="30">
        <v>90.82353305859844</v>
      </c>
      <c r="G1142" s="30">
        <v>92.43374936264185</v>
      </c>
      <c r="H1142" s="30">
        <v>85.22951242326681</v>
      </c>
      <c r="I1142" s="30">
        <v>96.30284743335417</v>
      </c>
      <c r="J1142" s="30" t="str">
        <f>"lit=["&amp;C1142&amp;", "&amp;D1142&amp;", "&amp;E1142&amp;", "&amp;F1142&amp;", "&amp;G1142&amp;", "&amp;H1142&amp;", "&amp;I1142&amp;"]"</f>
        <v>lit=[99.6791249225443, 90.1013620559838, 92.8038602159329, 90.8235330585984, 92.4337493626419, 85.2295124232668, 96.3028474333542]</v>
      </c>
    </row>
    <row r="1143">
      <c r="A1143" s="3"/>
      <c r="B1143" s="3" t="s">
        <v>676</v>
      </c>
      <c r="C1143" s="30">
        <v>93.34866143247031</v>
      </c>
      <c r="D1143" s="30">
        <v>88.85279108672391</v>
      </c>
      <c r="E1143" s="30">
        <v>92.0371100004625</v>
      </c>
      <c r="F1143" s="30">
        <v>89.44891627887478</v>
      </c>
      <c r="G1143" s="30">
        <v>94.10121797775938</v>
      </c>
      <c r="H1143" s="30">
        <v>85.63693109780979</v>
      </c>
      <c r="I1143" s="30">
        <v>94.75761626326646</v>
      </c>
      <c r="J1143" s="30" t="str">
        <f>"mapr1=["&amp;C1143&amp;", "&amp;D1143&amp;", "&amp;E1143&amp;", "&amp;F1143&amp;", "&amp;G1143&amp;", "&amp;H1143&amp;", "&amp;I1143&amp;"]"</f>
        <v>mapr1=[93.3486614324703, 88.8527910867239, 92.0371100004625, 89.4489162788748, 94.1012179777594, 85.6369310978098, 94.7576162632665]</v>
      </c>
    </row>
    <row r="1144">
      <c r="A1144" s="3"/>
      <c r="B1144" s="3" t="s">
        <v>677</v>
      </c>
      <c r="C1144" s="30">
        <v>93.36278252760589</v>
      </c>
      <c r="D1144" s="30">
        <v>90.0054323375693</v>
      </c>
      <c r="E1144" s="30">
        <v>93.65431010640762</v>
      </c>
      <c r="F1144" s="30">
        <v>94.63347876142218</v>
      </c>
      <c r="G1144" s="30">
        <v>91.63083629317354</v>
      </c>
      <c r="H1144" s="30">
        <v>85.62358587296457</v>
      </c>
      <c r="I1144" s="30">
        <v>95.89420523979382</v>
      </c>
      <c r="J1144" s="30" t="str">
        <f>"lit1=["&amp;C1144&amp;", "&amp;D1144&amp;", "&amp;E1144&amp;", "&amp;F1144&amp;", "&amp;G1144&amp;", "&amp;H1144&amp;", "&amp;I1144&amp;"]"</f>
        <v>lit1=[93.3627825276059, 90.0054323375693, 93.6543101064076, 94.6334787614222, 91.6308362931736, 85.6235858729646, 95.8942052397938]</v>
      </c>
    </row>
    <row r="1145">
      <c r="A1145" s="3"/>
    </row>
    <row r="1146">
      <c r="A1146" s="3"/>
    </row>
    <row r="1147">
      <c r="A1147" s="3"/>
    </row>
    <row r="1148">
      <c r="A1148" s="3" t="s">
        <v>731</v>
      </c>
    </row>
    <row r="1149">
      <c r="A1149" s="3"/>
    </row>
    <row r="1150">
      <c r="A1150" s="3"/>
      <c r="C1150" s="3" t="s">
        <v>732</v>
      </c>
      <c r="D1150" s="3" t="s">
        <v>733</v>
      </c>
      <c r="E1150" s="3" t="s">
        <v>557</v>
      </c>
      <c r="F1150" s="3" t="s">
        <v>734</v>
      </c>
      <c r="G1150" s="3" t="s">
        <v>597</v>
      </c>
      <c r="H1150" s="3" t="s">
        <v>735</v>
      </c>
      <c r="I1150" s="3" t="s">
        <v>90</v>
      </c>
      <c r="J1150" s="3" t="s">
        <v>736</v>
      </c>
      <c r="K1150" s="3" t="s">
        <v>669</v>
      </c>
      <c r="L1150" s="3" t="s">
        <v>737</v>
      </c>
      <c r="M1150" s="3" t="s">
        <v>670</v>
      </c>
      <c r="N1150" s="3" t="s">
        <v>738</v>
      </c>
      <c r="O1150" s="3" t="s">
        <v>730</v>
      </c>
      <c r="P1150" s="3" t="s">
        <v>739</v>
      </c>
    </row>
    <row r="1151">
      <c r="A1151" s="3"/>
      <c r="B1151" s="3" t="s">
        <v>531</v>
      </c>
      <c r="C1151" s="66">
        <v>99.75587347378818</v>
      </c>
      <c r="D1151" s="89">
        <v>99.8025625864864</v>
      </c>
      <c r="E1151" s="30">
        <v>94.9155196559211</v>
      </c>
      <c r="F1151" s="30">
        <v>89.40582581473254</v>
      </c>
      <c r="G1151" s="30">
        <v>96.11138663996037</v>
      </c>
      <c r="H1151" s="30">
        <v>95.71149670735129</v>
      </c>
      <c r="I1151" s="89">
        <v>98.08973081239353</v>
      </c>
      <c r="J1151" s="89">
        <v>98.76150426350819</v>
      </c>
      <c r="K1151" s="30">
        <v>92.04832275659149</v>
      </c>
      <c r="L1151" s="30">
        <v>92.56312403296656</v>
      </c>
      <c r="M1151" s="30">
        <v>99.6338952518969</v>
      </c>
      <c r="N1151" s="30">
        <v>99.4385698347132</v>
      </c>
      <c r="O1151" s="30">
        <v>96.52193022472218</v>
      </c>
      <c r="P1151" s="30">
        <v>96.40175332632329</v>
      </c>
    </row>
    <row r="1152">
      <c r="A1152" s="3"/>
      <c r="B1152" s="3" t="s">
        <v>740</v>
      </c>
      <c r="C1152" s="30">
        <v>99.33352755251417</v>
      </c>
      <c r="D1152" s="30">
        <v>98.71603943738137</v>
      </c>
      <c r="E1152" s="30">
        <v>91.33200380936164</v>
      </c>
      <c r="F1152" s="30">
        <v>91.43149124439071</v>
      </c>
      <c r="G1152" s="30">
        <v>96.95416312374391</v>
      </c>
      <c r="H1152" s="30">
        <v>96.77261194536314</v>
      </c>
      <c r="I1152" s="30">
        <v>33.48906818640518</v>
      </c>
      <c r="J1152" s="30">
        <v>37.0508250107731</v>
      </c>
      <c r="K1152" s="30">
        <v>94.26600121918251</v>
      </c>
      <c r="L1152" s="30">
        <v>87.48017329434614</v>
      </c>
      <c r="M1152" s="30">
        <v>99.78909574614053</v>
      </c>
      <c r="N1152" s="30">
        <v>99.48867793972876</v>
      </c>
      <c r="O1152" s="30">
        <v>89.68070586494429</v>
      </c>
      <c r="P1152" s="30">
        <v>75.69545778504431</v>
      </c>
    </row>
    <row r="1153">
      <c r="A1153" s="3"/>
      <c r="C1153" s="89"/>
    </row>
    <row r="1154">
      <c r="A1154" s="3"/>
      <c r="C1154" s="89"/>
    </row>
    <row r="1155">
      <c r="A1155" s="3"/>
    </row>
    <row r="1156">
      <c r="A1156" s="3"/>
      <c r="H1156" s="89"/>
    </row>
    <row r="1157">
      <c r="A1157" s="3"/>
      <c r="H1157" s="89"/>
    </row>
    <row r="1158">
      <c r="A1158" s="3" t="s">
        <v>741</v>
      </c>
    </row>
    <row r="1159">
      <c r="A1159" s="3"/>
      <c r="C1159" s="3" t="s">
        <v>742</v>
      </c>
    </row>
    <row r="1160">
      <c r="A1160" s="3"/>
      <c r="C1160" s="3" t="s">
        <v>641</v>
      </c>
      <c r="D1160" s="3" t="s">
        <v>557</v>
      </c>
      <c r="E1160" s="3" t="s">
        <v>597</v>
      </c>
      <c r="F1160" s="3" t="s">
        <v>90</v>
      </c>
      <c r="G1160" s="3" t="s">
        <v>669</v>
      </c>
      <c r="H1160" s="3" t="s">
        <v>670</v>
      </c>
      <c r="I1160" s="3" t="s">
        <v>730</v>
      </c>
      <c r="J1160" s="30" t="str">
        <f t="shared" ref="J1160:J1164" si="338">"gcc=["&amp;C1160&amp;", "&amp;D1160&amp;", "&amp;E1160&amp;", "&amp;F1160&amp;", "&amp;G1160&amp;", "&amp;H1160&amp;"]"</f>
        <v>gcc=[Stream, Jacobi, Laplace, XSBench, Vecmul-50, Vecmul-200]</v>
      </c>
    </row>
    <row r="1161">
      <c r="A1161" s="3"/>
      <c r="B1161" s="3" t="s">
        <v>636</v>
      </c>
      <c r="C1161" s="30">
        <v>2.5338856E7</v>
      </c>
      <c r="D1161" s="30">
        <v>9441832.0</v>
      </c>
      <c r="E1161" s="30">
        <v>6860474.0</v>
      </c>
      <c r="F1161" s="30">
        <v>426155.0</v>
      </c>
      <c r="G1161" s="30">
        <v>1.0896302E7</v>
      </c>
      <c r="H1161" s="30">
        <v>2338203.0</v>
      </c>
      <c r="I1161" s="30">
        <v>9.6274396E7</v>
      </c>
      <c r="J1161" s="30" t="str">
        <f t="shared" si="338"/>
        <v>gcc=[25338856, 9441832, 6860474, 426155, 10896302, 2338203]</v>
      </c>
    </row>
    <row r="1162">
      <c r="A1162" s="3" t="s">
        <v>671</v>
      </c>
      <c r="B1162" s="3" t="s">
        <v>672</v>
      </c>
      <c r="C1162" s="30">
        <v>2.5080477E7</v>
      </c>
      <c r="D1162" s="30">
        <v>9310190.0</v>
      </c>
      <c r="E1162" s="30">
        <v>6775994.0</v>
      </c>
      <c r="F1162" s="30">
        <v>472839.0</v>
      </c>
      <c r="G1162" s="30">
        <v>1.6974365E7</v>
      </c>
      <c r="H1162" s="30">
        <v>2346605.0</v>
      </c>
      <c r="I1162" s="30">
        <v>9.585896E7</v>
      </c>
      <c r="J1162" s="30" t="str">
        <f t="shared" si="338"/>
        <v>gcc=[25080477, 9310190, 6775994, 472839, 16974365, 2346605]</v>
      </c>
    </row>
    <row r="1163">
      <c r="A1163" s="3"/>
      <c r="B1163" s="3" t="s">
        <v>673</v>
      </c>
      <c r="C1163" s="30">
        <v>2.5046979E7</v>
      </c>
      <c r="D1163" s="30">
        <v>9272076.0</v>
      </c>
      <c r="E1163" s="30">
        <v>6603716.0</v>
      </c>
      <c r="F1163" s="30">
        <v>665453.0</v>
      </c>
      <c r="G1163" s="30">
        <v>1.1066649E7</v>
      </c>
      <c r="H1163" s="30">
        <v>2504817.0</v>
      </c>
      <c r="I1163" s="30">
        <v>9.5651204E7</v>
      </c>
      <c r="J1163" s="30" t="str">
        <f t="shared" si="338"/>
        <v>gcc=[25046979, 9272076, 6603716, 665453, 11066649, 2504817]</v>
      </c>
    </row>
    <row r="1164">
      <c r="A1164" s="3"/>
      <c r="B1164" s="3" t="s">
        <v>674</v>
      </c>
      <c r="C1164" s="30">
        <v>2.503375E7</v>
      </c>
      <c r="D1164" s="30">
        <v>9145806.0</v>
      </c>
      <c r="E1164" s="30">
        <v>6597481.0</v>
      </c>
      <c r="F1164" s="30">
        <v>879404.0</v>
      </c>
      <c r="G1164" s="30">
        <v>1.9813172E7</v>
      </c>
      <c r="H1164" s="30">
        <v>2529047.0</v>
      </c>
      <c r="I1164" s="30">
        <v>9.5776206E7</v>
      </c>
      <c r="J1164" s="30" t="str">
        <f t="shared" si="338"/>
        <v>gcc=[25033750, 9145806, 6597481, 879404, 19813172, 2529047]</v>
      </c>
    </row>
    <row r="1165">
      <c r="A1165" s="3"/>
    </row>
    <row r="1166">
      <c r="A1166" s="3" t="s">
        <v>741</v>
      </c>
    </row>
    <row r="1167">
      <c r="A1167" s="3" t="s">
        <v>743</v>
      </c>
    </row>
    <row r="1168">
      <c r="A1168" s="3"/>
      <c r="C1168" s="3" t="s">
        <v>641</v>
      </c>
      <c r="D1168" s="3" t="s">
        <v>557</v>
      </c>
      <c r="E1168" s="3" t="s">
        <v>597</v>
      </c>
      <c r="F1168" s="3" t="s">
        <v>90</v>
      </c>
      <c r="G1168" s="3" t="s">
        <v>669</v>
      </c>
      <c r="H1168" s="3" t="s">
        <v>670</v>
      </c>
      <c r="I1168" s="3" t="s">
        <v>730</v>
      </c>
      <c r="J1168" s="30" t="str">
        <f t="shared" ref="J1168:J1172" si="339">"gcc=["&amp;C1168&amp;", "&amp;D1168&amp;", "&amp;E1168&amp;", "&amp;F1168&amp;", "&amp;G1168&amp;", "&amp;H1168&amp;"]"</f>
        <v>gcc=[Stream, Jacobi, Laplace, XSBench, Vecmul-50, Vecmul-200]</v>
      </c>
    </row>
    <row r="1169">
      <c r="A1169" s="3"/>
      <c r="B1169" s="3" t="s">
        <v>636</v>
      </c>
      <c r="C1169" s="30">
        <v>2.5338856E7</v>
      </c>
      <c r="D1169" s="30">
        <v>9441832.0</v>
      </c>
      <c r="E1169" s="30">
        <v>6860474.0</v>
      </c>
      <c r="F1169" s="30">
        <v>426155.0</v>
      </c>
      <c r="G1169" s="30">
        <v>1.0896302E7</v>
      </c>
      <c r="H1169" s="30">
        <v>2338203.0</v>
      </c>
      <c r="I1169" s="30">
        <v>9.6274396E7</v>
      </c>
      <c r="J1169" s="30" t="str">
        <f t="shared" si="339"/>
        <v>gcc=[25338856, 9441832, 6860474, 426155, 10896302, 2338203]</v>
      </c>
    </row>
    <row r="1170">
      <c r="A1170" s="3" t="s">
        <v>671</v>
      </c>
      <c r="B1170" s="3" t="s">
        <v>672</v>
      </c>
      <c r="C1170" s="30">
        <v>2.5080477E7</v>
      </c>
      <c r="D1170" s="30">
        <v>9310190.0</v>
      </c>
      <c r="E1170" s="30">
        <v>6775994.0</v>
      </c>
      <c r="F1170" s="30">
        <v>472839.0</v>
      </c>
      <c r="G1170" s="30">
        <v>1.6974365E7</v>
      </c>
      <c r="H1170" s="30">
        <v>2346605.0</v>
      </c>
      <c r="I1170" s="30">
        <v>9.585896E7</v>
      </c>
      <c r="J1170" s="30" t="str">
        <f t="shared" si="339"/>
        <v>gcc=[25080477, 9310190, 6775994, 472839, 16974365, 2346605]</v>
      </c>
    </row>
    <row r="1171">
      <c r="A1171" s="3"/>
      <c r="B1171" s="3" t="s">
        <v>673</v>
      </c>
      <c r="C1171" s="30">
        <v>2.5046979E7</v>
      </c>
      <c r="D1171" s="30">
        <v>9272076.0</v>
      </c>
      <c r="E1171" s="30">
        <v>6603716.0</v>
      </c>
      <c r="F1171" s="30">
        <v>665453.0</v>
      </c>
      <c r="G1171" s="30">
        <v>1.1066649E7</v>
      </c>
      <c r="H1171" s="30">
        <v>2504817.0</v>
      </c>
      <c r="I1171" s="30">
        <v>9.5651204E7</v>
      </c>
      <c r="J1171" s="30" t="str">
        <f t="shared" si="339"/>
        <v>gcc=[25046979, 9272076, 6603716, 665453, 11066649, 2504817]</v>
      </c>
    </row>
    <row r="1172">
      <c r="A1172" s="3"/>
      <c r="B1172" s="3" t="s">
        <v>674</v>
      </c>
      <c r="C1172" s="30">
        <v>2.503375E7</v>
      </c>
      <c r="D1172" s="30">
        <v>9145806.0</v>
      </c>
      <c r="E1172" s="30">
        <v>6597481.0</v>
      </c>
      <c r="F1172" s="30">
        <v>879404.0</v>
      </c>
      <c r="G1172" s="30">
        <v>1.9813172E7</v>
      </c>
      <c r="H1172" s="30">
        <v>2529047.0</v>
      </c>
      <c r="I1172" s="30">
        <v>9.5776206E7</v>
      </c>
      <c r="J1172" s="30" t="str">
        <f t="shared" si="339"/>
        <v>gcc=[25033750, 9145806, 6597481, 879404, 19813172, 2529047]</v>
      </c>
    </row>
    <row r="1173">
      <c r="A1173" s="3"/>
    </row>
    <row r="1174">
      <c r="A1174" s="3"/>
    </row>
    <row r="1175">
      <c r="A1175" s="3"/>
    </row>
    <row r="1176">
      <c r="B1176" s="3" t="s">
        <v>531</v>
      </c>
      <c r="C1176" s="3" t="s">
        <v>740</v>
      </c>
    </row>
    <row r="1177">
      <c r="A1177" s="3" t="s">
        <v>732</v>
      </c>
    </row>
    <row r="1178">
      <c r="A1178" s="3" t="s">
        <v>733</v>
      </c>
    </row>
    <row r="1179">
      <c r="A1179" s="3" t="s">
        <v>557</v>
      </c>
    </row>
    <row r="1180">
      <c r="A1180" s="3" t="s">
        <v>734</v>
      </c>
    </row>
    <row r="1181">
      <c r="A1181" s="3" t="s">
        <v>597</v>
      </c>
    </row>
    <row r="1182">
      <c r="A1182" s="3" t="s">
        <v>735</v>
      </c>
    </row>
    <row r="1183">
      <c r="A1183" s="3" t="s">
        <v>90</v>
      </c>
    </row>
    <row r="1184">
      <c r="A1184" s="3" t="s">
        <v>736</v>
      </c>
    </row>
    <row r="1185">
      <c r="A1185" s="3" t="s">
        <v>669</v>
      </c>
    </row>
    <row r="1186">
      <c r="A1186" s="3" t="s">
        <v>737</v>
      </c>
    </row>
    <row r="1187">
      <c r="A1187" s="3" t="s">
        <v>670</v>
      </c>
    </row>
    <row r="1188">
      <c r="A1188" s="3" t="s">
        <v>738</v>
      </c>
    </row>
    <row r="1189">
      <c r="A1189" s="3" t="s">
        <v>730</v>
      </c>
    </row>
    <row r="1190">
      <c r="A1190" s="3" t="s">
        <v>739</v>
      </c>
    </row>
    <row r="1191">
      <c r="A1191" s="3"/>
    </row>
    <row r="1192">
      <c r="A1192" s="3"/>
    </row>
    <row r="1193">
      <c r="A1193" s="3"/>
      <c r="C1193" s="3" t="s">
        <v>641</v>
      </c>
      <c r="D1193" s="3" t="s">
        <v>557</v>
      </c>
      <c r="E1193" s="3" t="s">
        <v>597</v>
      </c>
      <c r="F1193" s="3" t="s">
        <v>90</v>
      </c>
      <c r="G1193" s="3" t="s">
        <v>669</v>
      </c>
      <c r="H1193" s="3" t="s">
        <v>670</v>
      </c>
      <c r="I1193" s="3" t="s">
        <v>730</v>
      </c>
      <c r="J1193" s="30" t="str">
        <f>"gcc=["&amp;C1193&amp;", "&amp;D1193&amp;", "&amp;E1193&amp;", "&amp;F1193&amp;", "&amp;G1193&amp;", "&amp;H1193&amp;", "&amp;I1193&amp;"]"</f>
        <v>gcc=[Stream, Jacobi, Laplace, XSBench, Vecmul-50, Vecmul-200, Lulesh]</v>
      </c>
    </row>
    <row r="1194">
      <c r="A1194" s="3"/>
      <c r="B1194" s="3" t="s">
        <v>531</v>
      </c>
      <c r="C1194" s="66">
        <v>99.75587347378818</v>
      </c>
      <c r="D1194" s="30">
        <v>94.9155196559211</v>
      </c>
      <c r="E1194" s="30">
        <v>96.11138663996037</v>
      </c>
      <c r="F1194" s="89">
        <v>98.08973081239353</v>
      </c>
      <c r="G1194" s="30">
        <v>92.04832275659149</v>
      </c>
      <c r="H1194" s="30">
        <v>99.6338952518969</v>
      </c>
      <c r="I1194" s="30">
        <v>96.52193022472218</v>
      </c>
      <c r="J1194" s="30" t="str">
        <f>"mapr=["&amp;C1194&amp;", "&amp;D1194&amp;", "&amp;E1194&amp;", "&amp;F1194&amp;", "&amp;G1194&amp;", "&amp;H1194&amp;", "&amp;I1194&amp;"]"</f>
        <v>mapr=[99.7558734737882, 94.9155196559211, 96.1113866399604, 98.0897308123935, 92.0483227565915, 99.6338952518969, 96.5219302247222]</v>
      </c>
    </row>
    <row r="1195">
      <c r="B1195" s="3" t="s">
        <v>744</v>
      </c>
      <c r="C1195" s="89">
        <v>99.8025625864864</v>
      </c>
      <c r="D1195" s="30">
        <v>89.40582581473254</v>
      </c>
      <c r="E1195" s="30">
        <v>95.71149670735129</v>
      </c>
      <c r="F1195" s="89">
        <v>98.76150426350819</v>
      </c>
      <c r="G1195" s="30">
        <v>92.56312403296656</v>
      </c>
      <c r="H1195" s="30">
        <v>99.4385698347132</v>
      </c>
      <c r="I1195" s="30">
        <v>96.40175332632329</v>
      </c>
      <c r="J1195" s="30" t="str">
        <f>"lit=["&amp;C1195&amp;", "&amp;D1195&amp;", "&amp;E1195&amp;", "&amp;F1195&amp;", "&amp;G1195&amp;", "&amp;H1195&amp;", "&amp;I1195&amp;"]"</f>
        <v>lit=[99.8025625864864, 89.4058258147325, 95.7114967073513, 98.7615042635082, 92.5631240329666, 99.4385698347132, 96.4017533263233]</v>
      </c>
    </row>
    <row r="1196">
      <c r="A1196" s="3"/>
      <c r="B1196" s="3" t="s">
        <v>740</v>
      </c>
      <c r="C1196" s="30">
        <v>99.33352755251417</v>
      </c>
      <c r="D1196" s="30">
        <v>91.33200380936164</v>
      </c>
      <c r="E1196" s="30">
        <v>96.95416312374391</v>
      </c>
      <c r="F1196" s="30">
        <v>33.48906818640518</v>
      </c>
      <c r="G1196" s="30">
        <v>94.26600121918251</v>
      </c>
      <c r="H1196" s="30">
        <v>99.78909574614053</v>
      </c>
      <c r="I1196" s="30">
        <v>89.68070586494429</v>
      </c>
      <c r="J1196" s="30" t="str">
        <f>"mapr1=["&amp;C1196&amp;", "&amp;D1196&amp;", "&amp;E1196&amp;", "&amp;F1196&amp;", "&amp;G1196&amp;", "&amp;H1196&amp;", "&amp;I1196&amp;"]"</f>
        <v>mapr1=[99.3335275525142, 91.3320038093616, 96.9541631237439, 33.4890681864052, 94.2660012191825, 99.7890957461405, 89.6807058649443]</v>
      </c>
    </row>
    <row r="1197">
      <c r="A1197" s="3"/>
      <c r="B1197" s="3" t="s">
        <v>745</v>
      </c>
      <c r="C1197" s="30">
        <v>98.71603943738137</v>
      </c>
      <c r="D1197" s="30">
        <v>91.43149124439071</v>
      </c>
      <c r="E1197" s="30">
        <v>96.77261194536314</v>
      </c>
      <c r="F1197" s="30">
        <v>37.0508250107731</v>
      </c>
      <c r="G1197" s="30">
        <v>87.48017329434614</v>
      </c>
      <c r="H1197" s="30">
        <v>99.48867793972876</v>
      </c>
      <c r="I1197" s="30">
        <v>75.69545778504431</v>
      </c>
      <c r="J1197" s="30" t="str">
        <f>"lit1=["&amp;C1197&amp;", "&amp;D1197&amp;", "&amp;E1197&amp;", "&amp;F1197&amp;", "&amp;G1197&amp;", "&amp;H1197&amp;", "&amp;I1197&amp;"]"</f>
        <v>lit1=[98.7160394373814, 91.4314912443907, 96.7726119453631, 37.0508250107731, 87.4801732943462, 99.4886779397288, 75.6954577850443]</v>
      </c>
    </row>
    <row r="1198">
      <c r="A1198" s="3"/>
    </row>
    <row r="1199">
      <c r="A1199" s="3"/>
    </row>
    <row r="1200">
      <c r="A1200" s="3"/>
    </row>
    <row r="1201">
      <c r="A1201" s="3"/>
    </row>
    <row r="1202">
      <c r="A1202" s="3"/>
    </row>
    <row r="1203">
      <c r="A1203" s="3"/>
    </row>
    <row r="1204">
      <c r="A1204" s="3"/>
    </row>
    <row r="1205">
      <c r="A1205" s="3"/>
    </row>
    <row r="1206">
      <c r="A1206" s="3"/>
    </row>
    <row r="1207">
      <c r="A1207" s="3"/>
    </row>
    <row r="1208">
      <c r="A1208" s="3"/>
    </row>
    <row r="1209">
      <c r="A1209" s="3"/>
    </row>
    <row r="1210">
      <c r="A1210" s="3"/>
    </row>
    <row r="1211">
      <c r="A1211" s="3"/>
    </row>
    <row r="1212">
      <c r="A1212" s="3"/>
    </row>
    <row r="1213">
      <c r="A1213" s="3"/>
    </row>
    <row r="1214">
      <c r="A1214" s="3"/>
    </row>
    <row r="1215">
      <c r="A1215" s="3"/>
    </row>
    <row r="1216">
      <c r="A1216" s="3"/>
    </row>
    <row r="1217">
      <c r="A1217" s="3"/>
    </row>
    <row r="1218">
      <c r="A1218" s="3"/>
    </row>
    <row r="1219">
      <c r="A1219" s="3"/>
    </row>
    <row r="1220">
      <c r="A1220" s="3"/>
    </row>
    <row r="1221">
      <c r="A1221" s="3"/>
    </row>
    <row r="1222">
      <c r="A1222" s="3"/>
    </row>
    <row r="1223">
      <c r="A1223" s="3"/>
    </row>
    <row r="1224">
      <c r="A1224" s="3"/>
    </row>
    <row r="1225">
      <c r="A1225" s="3"/>
    </row>
    <row r="1226">
      <c r="A1226" s="3"/>
    </row>
    <row r="1227">
      <c r="A1227" s="3"/>
    </row>
    <row r="1228">
      <c r="A1228" s="3"/>
    </row>
    <row r="1229">
      <c r="A1229" s="3"/>
    </row>
    <row r="1230">
      <c r="A1230" s="3"/>
    </row>
    <row r="1231">
      <c r="A1231" s="3"/>
    </row>
    <row r="1232">
      <c r="A1232" s="3"/>
    </row>
    <row r="1233">
      <c r="A1233" s="3"/>
    </row>
    <row r="1234">
      <c r="A1234" s="3"/>
    </row>
    <row r="1235">
      <c r="A1235" s="3"/>
    </row>
    <row r="1236">
      <c r="A1236" s="3"/>
    </row>
    <row r="1237">
      <c r="A1237" s="3"/>
    </row>
    <row r="1238">
      <c r="A1238" s="3"/>
    </row>
    <row r="1239">
      <c r="A1239" s="3"/>
    </row>
    <row r="1240">
      <c r="A1240" s="3"/>
    </row>
    <row r="1241">
      <c r="A1241" s="3"/>
    </row>
    <row r="1242">
      <c r="A1242" s="3"/>
    </row>
    <row r="1243">
      <c r="A1243" s="3"/>
    </row>
    <row r="1244">
      <c r="A1244" s="3"/>
    </row>
    <row r="1245">
      <c r="A1245" s="3"/>
    </row>
    <row r="1246">
      <c r="A1246" s="3"/>
    </row>
    <row r="1247">
      <c r="A1247" s="3"/>
    </row>
    <row r="1248">
      <c r="A1248" s="3"/>
    </row>
    <row r="1249">
      <c r="A1249" s="3"/>
    </row>
    <row r="1250">
      <c r="A1250" s="3"/>
    </row>
    <row r="1251">
      <c r="A1251" s="3"/>
    </row>
    <row r="1252">
      <c r="A1252" s="3"/>
    </row>
    <row r="1253">
      <c r="A1253" s="3"/>
    </row>
    <row r="1254">
      <c r="A1254" s="3"/>
    </row>
    <row r="1255">
      <c r="A1255" s="3"/>
    </row>
    <row r="1256">
      <c r="A1256" s="3"/>
    </row>
    <row r="1257">
      <c r="A1257" s="3"/>
    </row>
    <row r="1258">
      <c r="A1258" s="3"/>
    </row>
    <row r="1259">
      <c r="A1259" s="3"/>
    </row>
    <row r="1260">
      <c r="A1260" s="3"/>
    </row>
    <row r="1261">
      <c r="A1261" s="3"/>
    </row>
    <row r="1262">
      <c r="A1262" s="3"/>
    </row>
    <row r="1263">
      <c r="A1263" s="3"/>
    </row>
    <row r="1264">
      <c r="A1264" s="3"/>
    </row>
    <row r="1265">
      <c r="A1265" s="3"/>
    </row>
    <row r="1266">
      <c r="A1266" s="3"/>
    </row>
    <row r="1267">
      <c r="A1267" s="3"/>
    </row>
    <row r="1268">
      <c r="A1268" s="3"/>
    </row>
    <row r="1269">
      <c r="A1269" s="3"/>
    </row>
    <row r="1270">
      <c r="A1270" s="3"/>
    </row>
    <row r="1271">
      <c r="A1271" s="3"/>
    </row>
    <row r="1272">
      <c r="A1272" s="3"/>
    </row>
    <row r="1273">
      <c r="A1273" s="3"/>
    </row>
    <row r="1274">
      <c r="A1274" s="3"/>
    </row>
    <row r="1275">
      <c r="A1275" s="3"/>
    </row>
    <row r="1276">
      <c r="A1276" s="3"/>
    </row>
    <row r="1277">
      <c r="A1277" s="3"/>
    </row>
    <row r="1278">
      <c r="A1278" s="3"/>
    </row>
    <row r="1279">
      <c r="A1279" s="3"/>
    </row>
    <row r="1280">
      <c r="A1280" s="3"/>
    </row>
    <row r="1281">
      <c r="A1281" s="3"/>
    </row>
    <row r="1282">
      <c r="A1282" s="3"/>
    </row>
    <row r="1283">
      <c r="A1283" s="3"/>
    </row>
    <row r="1284">
      <c r="A1284" s="3"/>
    </row>
    <row r="1285">
      <c r="A1285" s="3"/>
    </row>
    <row r="1286">
      <c r="A1286" s="3"/>
    </row>
    <row r="1287">
      <c r="A1287" s="3"/>
    </row>
    <row r="1288">
      <c r="A1288" s="3"/>
    </row>
    <row r="1289">
      <c r="A1289" s="3"/>
    </row>
    <row r="1290">
      <c r="A1290" s="3"/>
    </row>
    <row r="1291">
      <c r="A1291" s="3"/>
    </row>
    <row r="1292">
      <c r="A1292" s="3"/>
    </row>
    <row r="1293">
      <c r="A1293" s="3"/>
    </row>
    <row r="1294">
      <c r="A1294" s="3"/>
    </row>
    <row r="1295">
      <c r="A1295" s="3"/>
    </row>
    <row r="1296">
      <c r="A1296" s="3"/>
    </row>
    <row r="1297">
      <c r="A1297" s="3"/>
    </row>
    <row r="1298">
      <c r="A1298" s="3"/>
    </row>
    <row r="1299">
      <c r="A1299" s="3"/>
    </row>
    <row r="1300">
      <c r="A1300" s="3"/>
    </row>
    <row r="1301">
      <c r="A1301" s="3"/>
    </row>
    <row r="1302">
      <c r="A1302" s="3"/>
    </row>
    <row r="1303">
      <c r="A1303" s="3"/>
    </row>
    <row r="1304">
      <c r="A1304" s="3"/>
    </row>
    <row r="1305">
      <c r="A1305" s="3"/>
    </row>
    <row r="1306">
      <c r="A1306" s="3"/>
    </row>
    <row r="1307">
      <c r="A1307" s="3"/>
    </row>
    <row r="1308">
      <c r="A1308" s="3"/>
    </row>
    <row r="1309">
      <c r="A1309" s="3"/>
    </row>
    <row r="1310">
      <c r="A1310" s="3"/>
    </row>
    <row r="1311">
      <c r="A1311" s="3"/>
    </row>
    <row r="1312">
      <c r="A1312" s="3"/>
    </row>
    <row r="1313">
      <c r="A1313" s="3"/>
    </row>
    <row r="1314">
      <c r="A1314" s="3"/>
    </row>
    <row r="1315">
      <c r="A1315" s="3"/>
    </row>
    <row r="1316">
      <c r="A1316" s="3"/>
    </row>
    <row r="1317">
      <c r="A1317" s="3"/>
    </row>
    <row r="1318">
      <c r="A1318" s="3"/>
    </row>
    <row r="1319">
      <c r="A1319" s="3"/>
    </row>
    <row r="1320">
      <c r="A1320" s="3"/>
    </row>
    <row r="1321">
      <c r="A1321" s="3"/>
    </row>
    <row r="1322">
      <c r="A1322" s="3"/>
    </row>
    <row r="1323">
      <c r="A1323" s="3"/>
    </row>
    <row r="1324">
      <c r="A1324" s="3"/>
    </row>
    <row r="1325">
      <c r="A1325" s="3"/>
    </row>
    <row r="1326">
      <c r="A1326" s="3"/>
    </row>
    <row r="1327">
      <c r="A1327" s="3"/>
    </row>
    <row r="1328">
      <c r="A1328" s="3"/>
    </row>
    <row r="1329">
      <c r="A1329" s="3"/>
    </row>
    <row r="1330">
      <c r="A1330" s="3"/>
    </row>
    <row r="1331">
      <c r="A1331" s="3"/>
    </row>
    <row r="1332">
      <c r="A1332" s="3"/>
    </row>
    <row r="1333">
      <c r="A1333" s="3"/>
    </row>
    <row r="1334">
      <c r="A1334" s="3"/>
    </row>
    <row r="1335">
      <c r="A1335" s="3"/>
    </row>
    <row r="1336">
      <c r="A1336" s="3"/>
    </row>
    <row r="1337">
      <c r="A1337" s="3"/>
    </row>
    <row r="1338">
      <c r="A1338" s="3"/>
    </row>
    <row r="1339">
      <c r="A1339" s="3"/>
    </row>
    <row r="1340">
      <c r="A1340" s="3"/>
    </row>
    <row r="1341">
      <c r="A1341" s="3"/>
    </row>
    <row r="1342">
      <c r="A1342" s="3"/>
    </row>
    <row r="1343">
      <c r="A1343" s="3"/>
    </row>
    <row r="1344">
      <c r="A1344" s="3"/>
    </row>
    <row r="1345">
      <c r="A1345" s="3"/>
    </row>
    <row r="1346">
      <c r="A1346" s="3"/>
    </row>
    <row r="1347">
      <c r="A1347" s="3"/>
    </row>
    <row r="1348">
      <c r="A1348" s="3"/>
    </row>
    <row r="1349">
      <c r="A1349" s="3"/>
    </row>
    <row r="1350">
      <c r="A1350" s="3"/>
    </row>
    <row r="1351">
      <c r="A1351" s="3"/>
    </row>
    <row r="1352">
      <c r="A1352" s="3"/>
    </row>
    <row r="1353">
      <c r="A1353" s="3"/>
    </row>
    <row r="1354">
      <c r="A1354" s="3"/>
    </row>
    <row r="1355">
      <c r="A1355" s="3"/>
    </row>
    <row r="1356">
      <c r="A1356" s="3"/>
    </row>
    <row r="1357">
      <c r="A1357" s="3"/>
    </row>
    <row r="1358">
      <c r="A1358" s="3"/>
    </row>
    <row r="1359">
      <c r="A1359" s="3"/>
    </row>
    <row r="1360">
      <c r="A1360" s="3"/>
    </row>
    <row r="1361">
      <c r="A1361" s="3"/>
    </row>
    <row r="1362">
      <c r="A1362" s="3"/>
    </row>
    <row r="1363">
      <c r="A1363" s="3"/>
    </row>
    <row r="1364">
      <c r="A1364" s="3"/>
    </row>
    <row r="1365">
      <c r="A1365" s="3"/>
    </row>
    <row r="1366">
      <c r="A1366" s="3"/>
    </row>
    <row r="1367">
      <c r="A1367" s="3"/>
    </row>
    <row r="1368">
      <c r="A1368" s="3"/>
    </row>
    <row r="1369">
      <c r="A1369" s="3"/>
    </row>
    <row r="1370">
      <c r="A1370" s="3"/>
    </row>
    <row r="1371">
      <c r="A1371" s="3"/>
    </row>
    <row r="1372">
      <c r="A1372" s="3"/>
    </row>
    <row r="1373">
      <c r="A1373" s="3"/>
    </row>
    <row r="1374">
      <c r="A1374" s="3"/>
    </row>
    <row r="1375">
      <c r="A1375" s="3"/>
    </row>
    <row r="1376">
      <c r="A1376" s="3"/>
    </row>
    <row r="1377">
      <c r="A1377" s="3"/>
    </row>
    <row r="1378">
      <c r="A1378" s="3"/>
    </row>
    <row r="1379">
      <c r="A1379" s="3"/>
    </row>
    <row r="1380">
      <c r="A1380" s="3"/>
    </row>
    <row r="1381">
      <c r="A1381" s="3"/>
    </row>
    <row r="1382">
      <c r="A1382" s="3"/>
    </row>
    <row r="1383">
      <c r="A1383" s="3"/>
    </row>
    <row r="1384">
      <c r="A1384" s="3"/>
    </row>
    <row r="1385">
      <c r="A1385" s="3"/>
    </row>
    <row r="1386">
      <c r="A1386" s="3"/>
    </row>
    <row r="1387">
      <c r="A1387" s="3"/>
    </row>
    <row r="1388">
      <c r="A1388" s="3"/>
    </row>
    <row r="1389">
      <c r="A1389" s="3"/>
    </row>
    <row r="1390">
      <c r="A1390" s="3"/>
    </row>
    <row r="1391">
      <c r="A1391" s="3"/>
    </row>
    <row r="1392">
      <c r="A1392" s="3"/>
    </row>
    <row r="1393">
      <c r="A1393" s="3"/>
    </row>
    <row r="1394">
      <c r="A1394" s="3"/>
    </row>
    <row r="1395">
      <c r="A1395" s="3"/>
    </row>
    <row r="1396">
      <c r="A1396" s="3"/>
    </row>
    <row r="1397">
      <c r="A1397" s="3"/>
    </row>
    <row r="1398">
      <c r="A1398" s="3"/>
    </row>
    <row r="1399">
      <c r="A1399" s="3"/>
    </row>
    <row r="1400">
      <c r="A1400" s="3"/>
    </row>
    <row r="1401">
      <c r="A1401" s="3"/>
    </row>
    <row r="1402">
      <c r="A1402" s="3"/>
    </row>
    <row r="1403">
      <c r="A1403" s="3"/>
    </row>
    <row r="1404">
      <c r="A1404" s="3"/>
    </row>
    <row r="1405">
      <c r="A1405" s="3"/>
    </row>
    <row r="1406">
      <c r="A1406" s="3"/>
    </row>
    <row r="1407">
      <c r="A1407" s="3"/>
    </row>
    <row r="1408">
      <c r="A1408" s="3"/>
    </row>
    <row r="1409">
      <c r="A1409" s="3"/>
    </row>
    <row r="1410">
      <c r="A1410" s="3"/>
    </row>
    <row r="1411">
      <c r="A1411" s="3"/>
    </row>
    <row r="1412">
      <c r="A1412" s="3"/>
    </row>
    <row r="1413">
      <c r="A1413" s="3"/>
    </row>
    <row r="1414">
      <c r="A1414" s="3"/>
    </row>
    <row r="1415">
      <c r="A1415" s="3"/>
    </row>
    <row r="1416">
      <c r="A1416" s="3"/>
    </row>
    <row r="1417">
      <c r="A1417" s="3"/>
    </row>
    <row r="1418">
      <c r="A1418" s="3"/>
    </row>
    <row r="1419">
      <c r="A1419" s="3"/>
    </row>
    <row r="1420">
      <c r="A1420" s="3"/>
    </row>
    <row r="1421">
      <c r="A1421" s="3"/>
    </row>
    <row r="1422">
      <c r="A1422" s="3"/>
    </row>
    <row r="1423">
      <c r="A1423" s="3"/>
    </row>
    <row r="1424">
      <c r="A1424" s="3"/>
    </row>
    <row r="1425">
      <c r="A1425" s="3"/>
    </row>
    <row r="1426">
      <c r="A1426" s="3"/>
    </row>
    <row r="1427">
      <c r="A1427" s="3"/>
    </row>
    <row r="1428">
      <c r="A1428" s="3"/>
    </row>
    <row r="1429">
      <c r="A1429" s="3"/>
    </row>
    <row r="1430">
      <c r="A1430" s="3"/>
    </row>
    <row r="1431">
      <c r="A1431" s="3"/>
    </row>
    <row r="1432">
      <c r="A1432" s="3"/>
    </row>
    <row r="1433">
      <c r="A1433" s="3"/>
    </row>
    <row r="1434">
      <c r="A1434" s="3"/>
    </row>
    <row r="1435">
      <c r="A1435" s="3"/>
    </row>
    <row r="1436">
      <c r="A1436" s="3"/>
    </row>
    <row r="1437">
      <c r="A1437" s="3"/>
    </row>
    <row r="1438">
      <c r="A1438" s="3"/>
    </row>
    <row r="1439">
      <c r="A1439" s="3"/>
    </row>
    <row r="1440">
      <c r="A1440" s="3"/>
    </row>
    <row r="1441">
      <c r="A1441" s="3"/>
    </row>
    <row r="1442">
      <c r="A1442" s="3"/>
    </row>
    <row r="1443">
      <c r="A1443" s="3"/>
    </row>
    <row r="1444">
      <c r="A1444" s="3"/>
    </row>
    <row r="1445">
      <c r="A1445" s="3"/>
    </row>
    <row r="1446">
      <c r="A1446" s="3"/>
    </row>
    <row r="1447">
      <c r="A1447" s="3"/>
    </row>
    <row r="1448">
      <c r="A1448" s="3"/>
    </row>
    <row r="1449">
      <c r="A1449" s="3"/>
    </row>
    <row r="1450">
      <c r="A1450" s="3"/>
    </row>
    <row r="1451">
      <c r="A1451" s="3"/>
    </row>
    <row r="1452">
      <c r="A1452" s="3"/>
    </row>
    <row r="1453">
      <c r="A1453" s="3"/>
    </row>
    <row r="1454">
      <c r="A1454" s="3"/>
    </row>
    <row r="1455">
      <c r="A1455" s="3"/>
    </row>
    <row r="1456">
      <c r="A1456" s="3"/>
    </row>
    <row r="1457">
      <c r="A1457" s="3"/>
    </row>
    <row r="1458">
      <c r="A1458" s="3"/>
    </row>
    <row r="1459">
      <c r="A1459" s="3"/>
    </row>
    <row r="1460">
      <c r="A1460" s="3"/>
    </row>
    <row r="1461">
      <c r="A1461" s="3"/>
    </row>
    <row r="1462">
      <c r="A1462" s="3"/>
    </row>
    <row r="1463">
      <c r="A1463" s="3"/>
    </row>
    <row r="1464">
      <c r="A1464" s="3"/>
    </row>
    <row r="1465">
      <c r="A1465" s="3"/>
    </row>
    <row r="1466">
      <c r="A1466" s="3"/>
    </row>
    <row r="1467">
      <c r="A1467" s="3"/>
    </row>
    <row r="1468">
      <c r="A1468" s="3"/>
    </row>
    <row r="1469">
      <c r="A1469" s="3"/>
    </row>
    <row r="1470">
      <c r="A1470" s="3"/>
    </row>
    <row r="1471">
      <c r="A1471" s="3"/>
    </row>
    <row r="1472">
      <c r="A1472" s="3"/>
    </row>
    <row r="1473">
      <c r="A1473" s="3"/>
    </row>
    <row r="1474">
      <c r="A1474" s="3"/>
    </row>
    <row r="1475">
      <c r="A1475" s="3"/>
    </row>
    <row r="1476">
      <c r="A1476" s="3"/>
    </row>
    <row r="1477">
      <c r="A1477" s="3"/>
    </row>
    <row r="1478">
      <c r="A1478" s="3"/>
    </row>
    <row r="1479">
      <c r="A1479" s="3"/>
    </row>
    <row r="1480">
      <c r="A1480" s="3"/>
    </row>
    <row r="1481">
      <c r="A1481" s="3"/>
    </row>
    <row r="1482">
      <c r="A1482" s="3"/>
    </row>
    <row r="1483">
      <c r="A1483" s="3"/>
    </row>
    <row r="1484">
      <c r="A1484" s="3"/>
    </row>
    <row r="1485">
      <c r="A1485" s="3"/>
    </row>
    <row r="1486">
      <c r="A1486" s="3"/>
    </row>
    <row r="1487">
      <c r="A1487" s="3"/>
    </row>
    <row r="1488">
      <c r="A1488" s="3"/>
    </row>
    <row r="1489">
      <c r="A1489" s="3"/>
    </row>
    <row r="1490">
      <c r="A1490" s="3"/>
    </row>
    <row r="1491">
      <c r="A1491" s="3"/>
    </row>
    <row r="1492">
      <c r="A1492" s="3"/>
    </row>
    <row r="1493">
      <c r="A1493" s="3"/>
    </row>
    <row r="1494">
      <c r="A1494" s="3"/>
    </row>
    <row r="1495">
      <c r="A1495" s="3"/>
    </row>
    <row r="1496">
      <c r="A1496" s="3"/>
    </row>
    <row r="1497">
      <c r="A1497" s="3"/>
    </row>
    <row r="1498">
      <c r="A1498" s="3"/>
    </row>
    <row r="1499">
      <c r="A1499" s="3"/>
    </row>
    <row r="1500">
      <c r="A1500" s="3"/>
    </row>
    <row r="1501">
      <c r="A1501" s="3"/>
    </row>
    <row r="1502">
      <c r="A1502" s="3"/>
    </row>
    <row r="1503">
      <c r="A1503" s="3"/>
    </row>
    <row r="1504">
      <c r="A1504" s="3"/>
    </row>
    <row r="1505">
      <c r="A1505" s="3"/>
    </row>
    <row r="1506">
      <c r="A1506" s="3"/>
    </row>
    <row r="1507">
      <c r="A1507" s="3"/>
    </row>
    <row r="1508">
      <c r="A1508" s="3"/>
    </row>
    <row r="1509">
      <c r="A1509" s="3"/>
    </row>
    <row r="1510">
      <c r="A1510" s="3"/>
    </row>
    <row r="1511">
      <c r="A1511" s="3"/>
    </row>
    <row r="1512">
      <c r="A1512" s="3"/>
    </row>
    <row r="1513">
      <c r="A1513" s="3"/>
    </row>
    <row r="1514">
      <c r="A1514" s="3"/>
    </row>
    <row r="1515">
      <c r="A1515" s="3"/>
    </row>
    <row r="1516">
      <c r="A1516" s="3"/>
    </row>
    <row r="1517">
      <c r="A1517" s="3"/>
    </row>
    <row r="1518">
      <c r="A1518" s="3"/>
    </row>
    <row r="1519">
      <c r="A1519" s="3"/>
    </row>
    <row r="1520">
      <c r="A1520" s="3"/>
    </row>
    <row r="1521">
      <c r="A1521" s="3"/>
    </row>
    <row r="1522">
      <c r="A1522" s="3"/>
    </row>
    <row r="1523">
      <c r="A1523" s="3"/>
    </row>
    <row r="1524">
      <c r="A1524" s="3"/>
    </row>
    <row r="1525">
      <c r="A1525" s="3"/>
    </row>
    <row r="1526">
      <c r="A1526" s="3"/>
    </row>
    <row r="1527">
      <c r="A1527" s="3"/>
    </row>
    <row r="1528">
      <c r="A1528" s="3"/>
    </row>
    <row r="1529">
      <c r="A1529" s="3"/>
    </row>
    <row r="1530">
      <c r="A1530" s="3"/>
    </row>
    <row r="1531">
      <c r="A1531" s="3"/>
    </row>
    <row r="1532">
      <c r="A1532" s="3"/>
    </row>
    <row r="1533">
      <c r="A1533" s="3"/>
    </row>
    <row r="1534">
      <c r="A1534" s="3"/>
    </row>
    <row r="1535">
      <c r="A1535" s="3"/>
    </row>
    <row r="1536">
      <c r="A1536" s="3"/>
    </row>
    <row r="1537">
      <c r="A1537" s="3"/>
    </row>
    <row r="1538">
      <c r="A1538" s="3"/>
    </row>
    <row r="1539">
      <c r="A1539" s="3"/>
    </row>
    <row r="1540">
      <c r="A1540" s="3"/>
    </row>
    <row r="1541">
      <c r="A1541" s="3"/>
    </row>
    <row r="1542">
      <c r="A1542" s="3"/>
    </row>
    <row r="1543">
      <c r="A1543" s="3"/>
    </row>
    <row r="1544">
      <c r="A1544" s="3"/>
    </row>
    <row r="1545">
      <c r="A1545" s="3"/>
    </row>
    <row r="1546">
      <c r="A1546" s="3"/>
    </row>
    <row r="1547">
      <c r="A1547" s="3"/>
    </row>
    <row r="1548">
      <c r="A1548" s="3"/>
    </row>
    <row r="1549">
      <c r="A1549" s="3"/>
    </row>
    <row r="1550">
      <c r="A1550" s="3"/>
    </row>
    <row r="1551">
      <c r="A1551" s="3"/>
    </row>
    <row r="1552">
      <c r="A1552" s="3"/>
    </row>
    <row r="1553">
      <c r="A1553" s="3"/>
    </row>
    <row r="1554">
      <c r="A1554" s="3"/>
    </row>
    <row r="1555">
      <c r="A1555" s="3"/>
    </row>
    <row r="1556">
      <c r="A1556" s="3"/>
    </row>
    <row r="1557">
      <c r="A1557" s="3"/>
    </row>
    <row r="1558">
      <c r="A1558" s="3"/>
    </row>
    <row r="1559">
      <c r="A1559" s="3"/>
    </row>
    <row r="1560">
      <c r="A1560" s="3"/>
    </row>
    <row r="1561">
      <c r="A1561" s="3"/>
    </row>
    <row r="1562">
      <c r="A1562" s="3"/>
    </row>
    <row r="1563">
      <c r="A1563" s="3"/>
    </row>
    <row r="1564">
      <c r="A1564" s="3"/>
    </row>
    <row r="1565">
      <c r="A1565" s="3"/>
    </row>
    <row r="1566">
      <c r="A1566" s="3"/>
    </row>
    <row r="1567">
      <c r="A1567" s="3"/>
    </row>
    <row r="1568">
      <c r="A1568" s="3"/>
    </row>
    <row r="1569">
      <c r="A1569" s="3"/>
    </row>
    <row r="1570">
      <c r="A1570" s="3"/>
    </row>
    <row r="1571">
      <c r="A1571" s="3"/>
    </row>
    <row r="1572">
      <c r="A1572" s="3"/>
    </row>
    <row r="1573">
      <c r="A1573" s="3"/>
    </row>
    <row r="1574">
      <c r="A1574" s="3"/>
    </row>
    <row r="1575">
      <c r="A1575" s="3"/>
    </row>
    <row r="1576">
      <c r="A1576" s="3"/>
    </row>
    <row r="1577">
      <c r="A1577" s="3"/>
    </row>
    <row r="1578">
      <c r="A1578" s="3"/>
    </row>
    <row r="1579">
      <c r="A1579" s="3"/>
    </row>
    <row r="1580">
      <c r="A1580" s="3"/>
    </row>
    <row r="1581">
      <c r="A1581" s="3"/>
    </row>
    <row r="1582">
      <c r="A1582" s="3"/>
    </row>
    <row r="1583">
      <c r="A1583" s="3"/>
    </row>
    <row r="1584">
      <c r="A1584" s="3"/>
    </row>
    <row r="1585">
      <c r="A1585" s="3"/>
    </row>
    <row r="1586">
      <c r="A1586" s="3"/>
    </row>
    <row r="1587">
      <c r="A1587" s="3"/>
    </row>
    <row r="1588">
      <c r="A1588" s="3"/>
    </row>
    <row r="1589">
      <c r="A1589" s="3"/>
    </row>
    <row r="1590">
      <c r="A1590" s="3"/>
    </row>
    <row r="1591">
      <c r="A1591" s="3"/>
    </row>
    <row r="1592">
      <c r="A1592" s="3"/>
    </row>
    <row r="1593">
      <c r="A1593" s="3"/>
    </row>
    <row r="1594">
      <c r="A1594" s="3"/>
    </row>
    <row r="1595">
      <c r="A1595" s="3"/>
    </row>
    <row r="1596">
      <c r="A1596" s="3"/>
    </row>
    <row r="1597">
      <c r="A1597" s="3"/>
    </row>
    <row r="1598">
      <c r="A1598" s="3"/>
    </row>
    <row r="1599">
      <c r="A1599" s="3"/>
    </row>
    <row r="1600">
      <c r="A1600" s="3"/>
    </row>
    <row r="1601">
      <c r="A1601" s="3"/>
    </row>
    <row r="1602">
      <c r="A1602" s="3"/>
    </row>
    <row r="1603">
      <c r="A1603" s="3"/>
    </row>
    <row r="1604">
      <c r="A1604" s="3"/>
    </row>
    <row r="1605">
      <c r="A1605" s="3"/>
    </row>
    <row r="1606">
      <c r="A1606" s="3"/>
    </row>
    <row r="1607">
      <c r="A1607" s="3"/>
    </row>
    <row r="1608">
      <c r="A1608" s="3"/>
    </row>
    <row r="1609">
      <c r="A1609" s="3"/>
    </row>
    <row r="1610">
      <c r="A1610" s="3"/>
    </row>
    <row r="1611">
      <c r="A1611" s="3"/>
    </row>
    <row r="1612">
      <c r="A1612" s="3"/>
    </row>
    <row r="1613">
      <c r="A1613" s="3"/>
    </row>
    <row r="1614">
      <c r="A1614" s="3"/>
    </row>
    <row r="1615">
      <c r="A1615" s="3"/>
    </row>
    <row r="1616">
      <c r="A1616" s="3"/>
    </row>
    <row r="1617">
      <c r="A1617" s="3"/>
    </row>
    <row r="1618">
      <c r="A1618" s="3"/>
    </row>
    <row r="1619">
      <c r="A1619" s="3"/>
    </row>
    <row r="1620">
      <c r="A1620" s="3"/>
    </row>
    <row r="1621">
      <c r="A1621" s="3"/>
    </row>
    <row r="1622">
      <c r="A1622" s="3"/>
    </row>
    <row r="1623">
      <c r="A1623" s="3"/>
    </row>
    <row r="1624">
      <c r="A1624" s="3"/>
    </row>
    <row r="1625">
      <c r="A1625" s="3"/>
    </row>
    <row r="1626">
      <c r="A1626" s="3"/>
    </row>
    <row r="1627">
      <c r="A1627" s="3"/>
    </row>
    <row r="1628">
      <c r="A1628" s="3"/>
    </row>
    <row r="1629">
      <c r="A1629" s="3"/>
    </row>
    <row r="1630">
      <c r="A1630" s="3"/>
    </row>
    <row r="1631">
      <c r="A1631" s="3"/>
    </row>
    <row r="1632">
      <c r="A1632" s="3"/>
    </row>
    <row r="1633">
      <c r="A1633" s="3"/>
    </row>
    <row r="1634">
      <c r="A1634" s="3"/>
    </row>
    <row r="1635">
      <c r="A1635" s="3"/>
    </row>
    <row r="1636">
      <c r="A1636" s="3"/>
    </row>
    <row r="1637">
      <c r="A1637" s="3"/>
    </row>
    <row r="1638">
      <c r="A1638" s="3"/>
    </row>
    <row r="1639">
      <c r="A1639" s="3"/>
    </row>
    <row r="1640">
      <c r="A1640" s="3"/>
    </row>
    <row r="1641">
      <c r="A1641" s="3"/>
    </row>
    <row r="1642">
      <c r="A1642" s="3"/>
    </row>
    <row r="1643">
      <c r="A1643" s="3"/>
    </row>
    <row r="1644">
      <c r="A1644" s="3"/>
    </row>
    <row r="1645">
      <c r="A1645" s="3"/>
    </row>
    <row r="1646">
      <c r="A1646" s="3"/>
    </row>
    <row r="1647">
      <c r="A1647" s="3"/>
    </row>
    <row r="1648">
      <c r="A1648" s="3"/>
    </row>
    <row r="1649">
      <c r="A1649" s="3"/>
    </row>
    <row r="1650">
      <c r="A1650" s="3"/>
    </row>
    <row r="1651">
      <c r="A1651" s="3"/>
    </row>
    <row r="1652">
      <c r="A1652" s="3"/>
    </row>
    <row r="1653">
      <c r="A1653" s="3"/>
    </row>
    <row r="1654">
      <c r="A1654" s="3"/>
    </row>
    <row r="1655">
      <c r="A1655" s="3"/>
    </row>
    <row r="1656">
      <c r="A1656" s="3"/>
    </row>
    <row r="1657">
      <c r="A1657" s="3"/>
    </row>
    <row r="1658">
      <c r="A1658" s="3"/>
    </row>
    <row r="1659">
      <c r="A1659" s="3"/>
    </row>
    <row r="1660">
      <c r="A1660" s="3"/>
    </row>
    <row r="1661">
      <c r="A1661" s="3"/>
    </row>
    <row r="1662">
      <c r="A1662" s="3"/>
    </row>
    <row r="1663">
      <c r="A1663" s="3"/>
    </row>
    <row r="1664">
      <c r="A1664" s="3"/>
    </row>
    <row r="1665">
      <c r="A1665" s="3"/>
    </row>
    <row r="1666">
      <c r="A1666" s="3"/>
    </row>
    <row r="1667">
      <c r="A1667" s="3"/>
    </row>
    <row r="1668">
      <c r="A1668" s="3"/>
    </row>
    <row r="1669">
      <c r="A1669" s="3"/>
    </row>
    <row r="1670">
      <c r="A1670" s="3"/>
    </row>
    <row r="1671">
      <c r="A1671" s="3"/>
    </row>
    <row r="1672">
      <c r="A1672" s="3"/>
    </row>
    <row r="1673">
      <c r="A1673" s="3"/>
    </row>
    <row r="1674">
      <c r="A1674" s="3"/>
    </row>
    <row r="1675">
      <c r="A1675" s="3"/>
    </row>
    <row r="1676">
      <c r="A1676" s="3"/>
    </row>
    <row r="1677">
      <c r="A1677" s="3"/>
    </row>
    <row r="1678">
      <c r="A1678" s="3"/>
    </row>
    <row r="1679">
      <c r="A1679" s="3"/>
    </row>
    <row r="1680">
      <c r="A1680" s="3"/>
    </row>
    <row r="1681">
      <c r="A1681" s="3"/>
    </row>
    <row r="1682">
      <c r="A1682" s="3"/>
    </row>
    <row r="1683">
      <c r="A1683" s="3"/>
    </row>
    <row r="1684">
      <c r="A1684" s="3"/>
    </row>
    <row r="1685">
      <c r="A1685" s="3"/>
    </row>
    <row r="1686">
      <c r="A1686" s="3"/>
    </row>
    <row r="1687">
      <c r="A1687" s="3"/>
    </row>
    <row r="1688">
      <c r="A1688" s="3"/>
    </row>
    <row r="1689">
      <c r="A1689" s="3"/>
    </row>
    <row r="1690">
      <c r="A1690" s="3"/>
    </row>
    <row r="1691">
      <c r="A1691" s="3"/>
    </row>
    <row r="1692">
      <c r="A1692" s="3"/>
    </row>
    <row r="1693">
      <c r="A1693" s="3"/>
    </row>
    <row r="1694">
      <c r="A1694" s="3"/>
    </row>
    <row r="1695">
      <c r="A1695" s="3"/>
    </row>
    <row r="1696">
      <c r="A1696" s="3"/>
    </row>
    <row r="1697">
      <c r="A1697" s="3"/>
    </row>
    <row r="1698">
      <c r="A1698" s="3"/>
    </row>
    <row r="1699">
      <c r="A1699" s="3"/>
    </row>
    <row r="1700">
      <c r="A1700" s="3"/>
    </row>
    <row r="1701">
      <c r="A1701" s="3"/>
    </row>
    <row r="1702">
      <c r="A1702" s="3"/>
    </row>
    <row r="1703">
      <c r="A1703" s="3"/>
    </row>
    <row r="1704">
      <c r="A1704" s="3"/>
    </row>
    <row r="1705">
      <c r="A1705" s="3"/>
    </row>
    <row r="1706">
      <c r="A1706" s="3"/>
    </row>
    <row r="1707">
      <c r="A1707" s="3"/>
    </row>
    <row r="1708">
      <c r="A1708" s="3"/>
    </row>
    <row r="1709">
      <c r="A1709" s="3"/>
    </row>
    <row r="1710">
      <c r="A1710" s="3"/>
    </row>
    <row r="1711">
      <c r="A1711" s="3"/>
    </row>
    <row r="1712">
      <c r="A1712" s="3"/>
    </row>
    <row r="1713">
      <c r="A1713" s="3"/>
    </row>
    <row r="1714">
      <c r="A1714" s="3"/>
    </row>
    <row r="1715">
      <c r="A1715" s="3"/>
    </row>
    <row r="1716">
      <c r="A1716" s="3"/>
    </row>
    <row r="1717">
      <c r="A1717" s="3"/>
    </row>
    <row r="1718">
      <c r="A1718" s="3"/>
    </row>
    <row r="1719">
      <c r="A1719" s="3"/>
    </row>
    <row r="1720">
      <c r="A1720" s="3"/>
    </row>
    <row r="1721">
      <c r="A1721" s="3"/>
    </row>
    <row r="1722">
      <c r="A1722" s="3"/>
    </row>
    <row r="1723">
      <c r="A1723" s="3"/>
    </row>
    <row r="1724">
      <c r="A1724" s="3"/>
    </row>
    <row r="1725">
      <c r="A1725" s="3"/>
    </row>
    <row r="1726">
      <c r="A1726" s="3"/>
    </row>
    <row r="1727">
      <c r="A1727" s="3"/>
    </row>
    <row r="1728">
      <c r="A1728" s="3"/>
    </row>
    <row r="1729">
      <c r="A1729" s="3"/>
    </row>
    <row r="1730">
      <c r="A1730" s="3"/>
    </row>
    <row r="1731">
      <c r="A1731" s="3"/>
    </row>
    <row r="1732">
      <c r="A1732" s="3"/>
    </row>
    <row r="1733">
      <c r="A1733" s="3"/>
    </row>
    <row r="1734">
      <c r="A1734" s="3"/>
    </row>
    <row r="1735">
      <c r="A1735" s="3"/>
    </row>
    <row r="1736">
      <c r="A1736" s="3"/>
    </row>
    <row r="1737">
      <c r="A1737" s="3"/>
    </row>
    <row r="1738">
      <c r="A1738" s="3"/>
    </row>
    <row r="1739">
      <c r="A1739" s="3"/>
    </row>
    <row r="1740">
      <c r="A1740" s="3"/>
    </row>
    <row r="1741">
      <c r="A1741" s="3"/>
    </row>
    <row r="1742">
      <c r="A1742" s="3"/>
    </row>
    <row r="1743">
      <c r="A1743" s="3"/>
    </row>
    <row r="1744">
      <c r="A1744" s="3"/>
    </row>
    <row r="1745">
      <c r="A1745" s="3"/>
    </row>
    <row r="1746">
      <c r="A1746" s="3"/>
    </row>
    <row r="1747">
      <c r="A1747" s="3"/>
    </row>
    <row r="1748">
      <c r="A1748" s="3"/>
    </row>
    <row r="1749">
      <c r="A1749" s="3"/>
    </row>
    <row r="1750">
      <c r="A1750" s="3"/>
    </row>
    <row r="1751">
      <c r="A1751" s="3"/>
    </row>
    <row r="1752">
      <c r="A1752" s="3"/>
    </row>
    <row r="1753">
      <c r="A1753" s="3"/>
    </row>
    <row r="1754">
      <c r="A1754" s="3"/>
    </row>
    <row r="1755">
      <c r="A1755" s="3"/>
    </row>
    <row r="1756">
      <c r="A1756" s="3"/>
    </row>
    <row r="1757">
      <c r="A1757" s="3"/>
    </row>
    <row r="1758">
      <c r="A1758" s="3"/>
    </row>
    <row r="1759">
      <c r="A1759" s="3"/>
    </row>
    <row r="1760">
      <c r="A1760" s="3"/>
    </row>
    <row r="1761">
      <c r="A1761" s="3"/>
    </row>
    <row r="1762">
      <c r="A1762" s="3"/>
    </row>
    <row r="1763">
      <c r="A1763" s="3"/>
    </row>
    <row r="1764">
      <c r="A1764" s="3"/>
    </row>
    <row r="1765">
      <c r="A1765" s="3"/>
    </row>
    <row r="1766">
      <c r="A1766" s="3"/>
    </row>
    <row r="1767">
      <c r="A1767" s="3"/>
    </row>
    <row r="1768">
      <c r="A1768" s="3"/>
    </row>
    <row r="1769">
      <c r="A1769" s="3"/>
    </row>
    <row r="1770">
      <c r="A1770" s="3"/>
    </row>
    <row r="1771">
      <c r="A1771" s="3"/>
    </row>
    <row r="1772">
      <c r="A1772" s="3"/>
    </row>
    <row r="1773">
      <c r="A1773" s="3"/>
    </row>
    <row r="1774">
      <c r="A1774" s="3"/>
    </row>
    <row r="1775">
      <c r="A1775" s="3"/>
    </row>
    <row r="1776">
      <c r="A1776" s="3"/>
    </row>
    <row r="1777">
      <c r="A1777" s="3"/>
    </row>
    <row r="1778">
      <c r="A1778" s="3"/>
    </row>
    <row r="1779">
      <c r="A1779" s="3"/>
    </row>
    <row r="1780">
      <c r="A1780" s="3"/>
    </row>
    <row r="1781">
      <c r="A1781" s="3"/>
    </row>
    <row r="1782">
      <c r="A1782" s="3"/>
    </row>
    <row r="1783">
      <c r="A1783" s="3"/>
    </row>
    <row r="1784">
      <c r="A1784" s="3"/>
    </row>
    <row r="1785">
      <c r="A1785" s="3"/>
    </row>
    <row r="1786">
      <c r="A1786" s="3"/>
    </row>
    <row r="1787">
      <c r="A1787" s="3"/>
    </row>
    <row r="1788">
      <c r="A1788" s="3"/>
    </row>
    <row r="1789">
      <c r="A1789" s="3"/>
    </row>
    <row r="1790">
      <c r="A1790" s="3"/>
    </row>
    <row r="1791">
      <c r="A1791" s="3"/>
    </row>
    <row r="1792">
      <c r="A1792" s="3"/>
    </row>
    <row r="1793">
      <c r="A1793" s="3"/>
    </row>
    <row r="1794">
      <c r="A1794" s="3"/>
    </row>
    <row r="1795">
      <c r="A1795" s="3"/>
    </row>
    <row r="1796">
      <c r="A1796" s="3"/>
    </row>
    <row r="1797">
      <c r="A1797" s="3"/>
    </row>
    <row r="1798">
      <c r="A1798" s="3"/>
    </row>
    <row r="1799">
      <c r="A1799" s="3"/>
    </row>
    <row r="1800">
      <c r="A1800" s="3"/>
    </row>
    <row r="1801">
      <c r="A1801" s="3"/>
    </row>
    <row r="1802">
      <c r="A1802" s="3"/>
    </row>
    <row r="1803">
      <c r="A1803" s="3"/>
    </row>
    <row r="1804">
      <c r="A1804" s="3"/>
    </row>
    <row r="1805">
      <c r="A1805" s="3"/>
    </row>
    <row r="1806">
      <c r="A1806" s="3"/>
    </row>
    <row r="1807">
      <c r="A1807" s="3"/>
    </row>
    <row r="1808">
      <c r="A1808" s="3"/>
    </row>
    <row r="1809">
      <c r="A1809" s="3"/>
    </row>
    <row r="1810">
      <c r="A1810" s="3"/>
    </row>
    <row r="1811">
      <c r="A1811" s="3"/>
    </row>
    <row r="1812">
      <c r="A1812" s="3"/>
    </row>
    <row r="1813">
      <c r="A1813" s="3"/>
    </row>
    <row r="1814">
      <c r="A1814" s="3"/>
    </row>
    <row r="1815">
      <c r="A1815" s="3"/>
    </row>
    <row r="1816">
      <c r="A1816" s="3"/>
    </row>
    <row r="1817">
      <c r="A1817" s="3"/>
    </row>
    <row r="1818">
      <c r="A1818" s="3"/>
    </row>
    <row r="1819">
      <c r="A1819" s="3"/>
    </row>
    <row r="1820">
      <c r="A1820" s="3"/>
    </row>
    <row r="1821">
      <c r="A1821" s="3"/>
    </row>
    <row r="1822">
      <c r="A1822" s="3"/>
    </row>
    <row r="1823">
      <c r="A1823" s="3"/>
    </row>
    <row r="1824">
      <c r="A1824" s="3"/>
    </row>
    <row r="1825">
      <c r="A1825" s="3"/>
    </row>
    <row r="1826">
      <c r="A1826" s="3"/>
    </row>
    <row r="1827">
      <c r="A1827" s="3"/>
    </row>
    <row r="1828">
      <c r="A1828" s="3"/>
    </row>
    <row r="1829">
      <c r="A1829" s="3"/>
    </row>
    <row r="1830">
      <c r="A1830" s="3"/>
    </row>
    <row r="1831">
      <c r="A1831" s="3"/>
    </row>
    <row r="1832">
      <c r="A1832" s="3"/>
    </row>
    <row r="1833">
      <c r="A1833" s="3"/>
    </row>
    <row r="1834">
      <c r="A1834" s="3"/>
    </row>
    <row r="1835">
      <c r="A1835" s="3"/>
    </row>
    <row r="1836">
      <c r="A1836" s="3"/>
    </row>
    <row r="1837">
      <c r="A1837" s="3"/>
    </row>
    <row r="1838">
      <c r="A1838" s="3"/>
    </row>
    <row r="1839">
      <c r="A1839" s="3"/>
    </row>
    <row r="1840">
      <c r="A1840" s="3"/>
    </row>
    <row r="1841">
      <c r="A1841" s="3"/>
    </row>
    <row r="1842">
      <c r="A1842" s="3"/>
    </row>
    <row r="1843">
      <c r="A1843" s="3"/>
    </row>
    <row r="1844">
      <c r="A1844" s="3"/>
    </row>
    <row r="1845">
      <c r="A1845" s="3"/>
    </row>
    <row r="1846">
      <c r="A1846" s="3"/>
    </row>
    <row r="1847">
      <c r="A1847" s="3"/>
    </row>
    <row r="1848">
      <c r="A1848" s="3"/>
    </row>
    <row r="1849">
      <c r="A1849" s="3"/>
    </row>
    <row r="1850">
      <c r="A1850" s="3"/>
    </row>
    <row r="1851">
      <c r="A1851" s="3"/>
    </row>
    <row r="1852">
      <c r="A1852" s="3"/>
    </row>
    <row r="1853">
      <c r="A1853" s="3"/>
    </row>
    <row r="1854">
      <c r="A1854" s="3"/>
    </row>
    <row r="1855">
      <c r="A1855" s="3"/>
    </row>
    <row r="1856">
      <c r="A1856" s="3"/>
    </row>
    <row r="1857">
      <c r="A1857" s="3"/>
    </row>
    <row r="1858">
      <c r="A1858" s="3"/>
    </row>
    <row r="1859">
      <c r="A1859" s="3"/>
    </row>
    <row r="1860">
      <c r="A1860" s="3"/>
    </row>
    <row r="1861">
      <c r="A1861" s="3"/>
    </row>
    <row r="1862">
      <c r="A1862" s="3"/>
    </row>
    <row r="1863">
      <c r="A1863" s="3"/>
    </row>
    <row r="1864">
      <c r="A1864" s="3"/>
    </row>
    <row r="1865">
      <c r="A1865" s="3"/>
    </row>
    <row r="1866">
      <c r="A1866" s="3"/>
    </row>
    <row r="1867">
      <c r="A1867" s="3"/>
    </row>
    <row r="1868">
      <c r="A1868" s="3"/>
    </row>
    <row r="1869">
      <c r="A1869" s="3"/>
    </row>
    <row r="1870">
      <c r="A1870" s="3"/>
    </row>
    <row r="1871">
      <c r="A1871" s="3"/>
    </row>
    <row r="1872">
      <c r="A1872" s="3"/>
    </row>
    <row r="1873">
      <c r="A1873" s="3"/>
    </row>
    <row r="1874">
      <c r="A1874" s="3"/>
    </row>
    <row r="1875">
      <c r="A1875" s="3"/>
    </row>
    <row r="1876">
      <c r="A1876" s="3"/>
    </row>
    <row r="1877">
      <c r="A1877" s="3"/>
    </row>
    <row r="1878">
      <c r="A1878" s="3"/>
    </row>
    <row r="1879">
      <c r="A1879" s="3"/>
    </row>
    <row r="1880">
      <c r="A1880" s="3"/>
    </row>
    <row r="1881">
      <c r="A1881" s="3"/>
    </row>
    <row r="1882">
      <c r="A1882" s="3"/>
    </row>
    <row r="1883">
      <c r="A1883" s="3"/>
    </row>
    <row r="1884">
      <c r="A1884" s="3"/>
    </row>
    <row r="1885">
      <c r="A1885" s="3"/>
    </row>
    <row r="1886">
      <c r="A1886" s="3"/>
    </row>
    <row r="1887">
      <c r="A1887" s="3"/>
    </row>
    <row r="1888">
      <c r="A1888" s="3"/>
    </row>
    <row r="1889">
      <c r="A1889" s="3"/>
    </row>
    <row r="1890">
      <c r="A1890" s="3"/>
    </row>
    <row r="1891">
      <c r="A1891" s="3"/>
    </row>
    <row r="1892">
      <c r="A1892" s="3"/>
    </row>
    <row r="1893">
      <c r="A1893" s="3"/>
    </row>
    <row r="1894">
      <c r="A1894" s="3"/>
    </row>
    <row r="1895">
      <c r="A1895" s="3"/>
    </row>
    <row r="1896">
      <c r="A1896" s="3"/>
    </row>
    <row r="1897">
      <c r="A1897" s="3"/>
    </row>
    <row r="1898">
      <c r="A1898" s="3"/>
    </row>
    <row r="1899">
      <c r="A1899" s="3"/>
    </row>
    <row r="1900">
      <c r="A1900" s="3"/>
    </row>
    <row r="1901">
      <c r="A1901" s="3"/>
    </row>
    <row r="1902">
      <c r="A1902" s="3"/>
    </row>
    <row r="1903">
      <c r="A1903" s="3"/>
    </row>
    <row r="1904">
      <c r="A1904" s="3"/>
    </row>
    <row r="1905">
      <c r="A1905" s="3"/>
    </row>
    <row r="1906">
      <c r="A1906" s="3"/>
    </row>
    <row r="1907">
      <c r="A1907" s="3"/>
    </row>
    <row r="1908">
      <c r="A1908" s="3"/>
    </row>
    <row r="1909">
      <c r="A1909" s="3"/>
    </row>
    <row r="1910">
      <c r="A1910" s="3"/>
    </row>
    <row r="1911">
      <c r="A1911" s="3"/>
    </row>
    <row r="1912">
      <c r="A1912" s="3"/>
    </row>
    <row r="1913">
      <c r="A1913" s="3"/>
    </row>
    <row r="1914">
      <c r="A1914" s="3"/>
    </row>
    <row r="1915">
      <c r="A1915" s="3"/>
    </row>
    <row r="1916">
      <c r="A1916" s="3"/>
    </row>
    <row r="1917">
      <c r="A1917" s="3"/>
    </row>
    <row r="1918">
      <c r="A1918" s="3"/>
    </row>
    <row r="1919">
      <c r="A1919" s="3"/>
    </row>
    <row r="1920">
      <c r="A1920" s="3"/>
    </row>
    <row r="1921">
      <c r="A1921" s="3"/>
    </row>
    <row r="1922">
      <c r="A1922" s="3"/>
    </row>
    <row r="1923">
      <c r="A1923" s="3"/>
    </row>
    <row r="1924">
      <c r="A1924" s="3"/>
    </row>
    <row r="1925">
      <c r="A1925" s="3"/>
    </row>
    <row r="1926">
      <c r="A1926" s="3"/>
    </row>
    <row r="1927">
      <c r="A1927" s="3"/>
    </row>
    <row r="1928">
      <c r="A1928" s="3"/>
    </row>
    <row r="1929">
      <c r="A1929" s="3"/>
    </row>
    <row r="1930">
      <c r="A1930" s="3"/>
    </row>
    <row r="1931">
      <c r="A1931" s="3"/>
    </row>
    <row r="1932">
      <c r="A1932" s="3"/>
    </row>
    <row r="1933">
      <c r="A1933" s="3"/>
    </row>
    <row r="1934">
      <c r="A1934" s="3"/>
    </row>
    <row r="1935">
      <c r="A1935" s="3"/>
    </row>
    <row r="1936">
      <c r="A1936" s="3"/>
    </row>
    <row r="1937">
      <c r="A1937" s="3"/>
    </row>
    <row r="1938">
      <c r="A1938" s="3"/>
    </row>
    <row r="1939">
      <c r="A1939" s="3"/>
    </row>
    <row r="1940">
      <c r="A1940" s="3"/>
    </row>
    <row r="1941">
      <c r="A1941" s="3"/>
    </row>
    <row r="1942">
      <c r="A1942" s="3"/>
    </row>
    <row r="1943">
      <c r="A1943" s="3"/>
    </row>
    <row r="1944">
      <c r="A1944" s="3"/>
    </row>
    <row r="1945">
      <c r="A1945" s="3"/>
    </row>
    <row r="1946">
      <c r="A1946" s="3"/>
    </row>
    <row r="1947">
      <c r="A1947" s="3"/>
    </row>
    <row r="1948">
      <c r="A1948" s="3"/>
    </row>
    <row r="1949">
      <c r="A1949" s="3"/>
    </row>
    <row r="1950">
      <c r="A1950" s="3"/>
    </row>
    <row r="1951">
      <c r="A1951" s="3"/>
    </row>
    <row r="1952">
      <c r="A1952" s="3"/>
    </row>
    <row r="1953">
      <c r="A1953" s="3"/>
    </row>
    <row r="1954">
      <c r="A1954" s="3"/>
    </row>
    <row r="1955">
      <c r="A1955" s="3"/>
    </row>
    <row r="1956">
      <c r="A1956" s="3"/>
    </row>
    <row r="1957">
      <c r="A1957" s="3"/>
    </row>
    <row r="1958">
      <c r="A1958" s="3"/>
    </row>
    <row r="1959">
      <c r="A1959" s="3"/>
    </row>
    <row r="1960">
      <c r="A1960" s="3"/>
    </row>
    <row r="1961">
      <c r="A1961" s="3"/>
    </row>
    <row r="1962">
      <c r="A1962" s="3"/>
    </row>
    <row r="1963">
      <c r="A1963" s="3"/>
    </row>
    <row r="1964">
      <c r="A1964" s="3"/>
    </row>
    <row r="1965">
      <c r="A1965" s="3"/>
    </row>
    <row r="1966">
      <c r="A1966" s="3"/>
    </row>
    <row r="1967">
      <c r="A1967" s="3"/>
    </row>
    <row r="1968">
      <c r="A1968" s="3"/>
    </row>
    <row r="1969">
      <c r="A1969" s="3"/>
    </row>
    <row r="1970">
      <c r="A1970" s="3"/>
    </row>
    <row r="1971">
      <c r="A1971" s="3"/>
    </row>
    <row r="1972">
      <c r="A1972" s="3"/>
    </row>
    <row r="1973">
      <c r="A1973" s="3"/>
    </row>
    <row r="1974">
      <c r="A1974" s="3"/>
    </row>
    <row r="1975">
      <c r="A1975" s="3"/>
    </row>
    <row r="1976">
      <c r="A1976" s="3"/>
    </row>
    <row r="1977">
      <c r="A1977" s="3"/>
    </row>
    <row r="1978">
      <c r="A1978" s="3"/>
    </row>
    <row r="1979">
      <c r="A1979" s="3"/>
    </row>
    <row r="1980">
      <c r="A1980" s="3"/>
    </row>
    <row r="1981">
      <c r="A1981" s="3"/>
    </row>
    <row r="1982">
      <c r="A1982" s="3"/>
    </row>
    <row r="1983">
      <c r="A1983" s="3"/>
    </row>
    <row r="1984">
      <c r="A1984" s="3"/>
    </row>
    <row r="1985">
      <c r="A1985" s="3"/>
    </row>
    <row r="1986">
      <c r="A1986" s="3"/>
    </row>
    <row r="1987">
      <c r="A1987" s="3"/>
    </row>
    <row r="1988">
      <c r="A1988" s="3"/>
    </row>
    <row r="1989">
      <c r="A1989" s="3"/>
    </row>
    <row r="1990">
      <c r="A1990" s="3"/>
    </row>
    <row r="1991">
      <c r="A1991" s="3"/>
    </row>
    <row r="1992">
      <c r="A1992" s="3"/>
    </row>
    <row r="1993">
      <c r="A1993" s="3"/>
    </row>
    <row r="1994">
      <c r="A1994" s="3"/>
    </row>
    <row r="1995">
      <c r="A1995" s="3"/>
    </row>
    <row r="1996">
      <c r="A1996" s="3"/>
    </row>
    <row r="1997">
      <c r="A1997" s="3"/>
    </row>
    <row r="1998">
      <c r="A1998" s="3"/>
    </row>
    <row r="1999">
      <c r="A1999" s="3"/>
    </row>
    <row r="2000">
      <c r="A2000" s="3"/>
    </row>
    <row r="2001">
      <c r="A2001" s="3"/>
    </row>
    <row r="2002">
      <c r="A2002" s="3"/>
    </row>
    <row r="2003">
      <c r="A2003" s="3"/>
    </row>
    <row r="2004">
      <c r="A2004" s="3"/>
    </row>
    <row r="2005">
      <c r="A2005" s="3"/>
    </row>
    <row r="2006">
      <c r="A2006" s="3"/>
    </row>
    <row r="2007">
      <c r="A2007" s="3"/>
    </row>
    <row r="2008">
      <c r="A2008" s="3"/>
    </row>
    <row r="2009">
      <c r="A2009" s="3"/>
    </row>
    <row r="2010">
      <c r="A2010" s="3"/>
    </row>
    <row r="2011">
      <c r="A2011" s="3"/>
    </row>
    <row r="2012">
      <c r="A2012" s="3"/>
    </row>
    <row r="2013">
      <c r="A2013" s="3"/>
    </row>
    <row r="2014">
      <c r="A2014" s="3"/>
    </row>
    <row r="2015">
      <c r="A2015" s="3"/>
    </row>
    <row r="2016">
      <c r="A2016" s="3"/>
    </row>
    <row r="2017">
      <c r="A2017" s="3"/>
    </row>
    <row r="2018">
      <c r="A2018" s="3"/>
    </row>
    <row r="2019">
      <c r="A2019" s="3"/>
    </row>
    <row r="2020">
      <c r="A2020" s="3"/>
    </row>
    <row r="2021">
      <c r="A2021" s="3"/>
    </row>
    <row r="2022">
      <c r="A2022" s="3"/>
    </row>
    <row r="2023">
      <c r="A2023" s="3"/>
    </row>
    <row r="2024">
      <c r="A2024" s="3"/>
    </row>
    <row r="2025">
      <c r="A2025" s="3"/>
    </row>
    <row r="2026">
      <c r="A2026" s="3"/>
    </row>
    <row r="2027">
      <c r="A2027" s="3"/>
    </row>
    <row r="2028">
      <c r="A2028" s="3"/>
    </row>
    <row r="2029">
      <c r="A2029" s="3"/>
    </row>
    <row r="2030">
      <c r="A2030" s="3"/>
    </row>
    <row r="2031">
      <c r="A2031" s="3"/>
    </row>
    <row r="2032">
      <c r="A2032" s="3"/>
    </row>
    <row r="2033">
      <c r="A2033" s="3"/>
    </row>
    <row r="2034">
      <c r="A2034" s="3"/>
    </row>
    <row r="2035">
      <c r="A2035" s="3"/>
    </row>
    <row r="2036">
      <c r="A2036" s="3"/>
    </row>
    <row r="2037">
      <c r="A2037" s="3"/>
    </row>
    <row r="2038">
      <c r="A2038" s="3"/>
    </row>
    <row r="2039">
      <c r="A2039" s="3"/>
    </row>
    <row r="2040">
      <c r="A2040" s="3"/>
    </row>
    <row r="2041">
      <c r="A2041" s="3"/>
    </row>
  </sheetData>
  <mergeCells count="19">
    <mergeCell ref="C37:D37"/>
    <mergeCell ref="E37:F37"/>
    <mergeCell ref="L37:M37"/>
    <mergeCell ref="N37:O37"/>
    <mergeCell ref="P37:Q37"/>
    <mergeCell ref="C54:D54"/>
    <mergeCell ref="E54:F54"/>
    <mergeCell ref="L619:M619"/>
    <mergeCell ref="AA619:AC619"/>
    <mergeCell ref="AD619:AF619"/>
    <mergeCell ref="AG619:AH619"/>
    <mergeCell ref="AI619:AJ619"/>
    <mergeCell ref="L54:M54"/>
    <mergeCell ref="N54:O54"/>
    <mergeCell ref="C72:D72"/>
    <mergeCell ref="E72:F72"/>
    <mergeCell ref="D619:F619"/>
    <mergeCell ref="G619:I619"/>
    <mergeCell ref="J619:K619"/>
  </mergeCells>
  <hyperlinks>
    <hyperlink r:id="rId1" ref="F9"/>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5">
      <c r="B5" s="3" t="s">
        <v>687</v>
      </c>
      <c r="E5" s="3" t="s">
        <v>655</v>
      </c>
      <c r="F5" s="3">
        <v>1.0</v>
      </c>
      <c r="G5" s="3">
        <v>1713800.0</v>
      </c>
      <c r="H5" s="3">
        <v>398826.0</v>
      </c>
    </row>
    <row r="6">
      <c r="F6" s="3">
        <v>534214.0</v>
      </c>
      <c r="J6" s="3">
        <v>4000000.0</v>
      </c>
      <c r="K6" s="30">
        <f>LOG(J6)</f>
        <v>6.602059991</v>
      </c>
      <c r="L6" s="30">
        <f>K6*100000</f>
        <v>660205.9991</v>
      </c>
      <c r="M6" s="30">
        <f>L6*3</f>
        <v>1980617.997</v>
      </c>
    </row>
    <row r="8">
      <c r="C8" s="3" t="s">
        <v>656</v>
      </c>
      <c r="I8" s="3" t="s">
        <v>679</v>
      </c>
      <c r="J8" s="3" t="s">
        <v>650</v>
      </c>
    </row>
    <row r="9">
      <c r="D9" s="3" t="s">
        <v>589</v>
      </c>
      <c r="E9" s="3" t="s">
        <v>636</v>
      </c>
      <c r="I9" s="30">
        <f t="shared" ref="I9:J9" si="1">(I11+I14+I17+I20)/4</f>
        <v>0</v>
      </c>
      <c r="J9" s="30">
        <f t="shared" si="1"/>
        <v>0</v>
      </c>
    </row>
    <row r="10">
      <c r="F10" s="3" t="s">
        <v>448</v>
      </c>
      <c r="G10" s="3" t="s">
        <v>449</v>
      </c>
      <c r="H10" s="3" t="s">
        <v>283</v>
      </c>
      <c r="I10" s="30">
        <f t="shared" ref="I10:J10" si="2">(I12+I15+I18+I21)/4</f>
        <v>0</v>
      </c>
      <c r="J10" s="30">
        <f t="shared" si="2"/>
        <v>0</v>
      </c>
      <c r="K10" s="3">
        <v>4096.0</v>
      </c>
      <c r="L10" s="3">
        <v>4096.0</v>
      </c>
    </row>
    <row r="11">
      <c r="B11" s="3" t="s">
        <v>642</v>
      </c>
      <c r="C11" s="3" t="s">
        <v>643</v>
      </c>
      <c r="D11" s="3" t="s">
        <v>655</v>
      </c>
      <c r="E11" s="3">
        <v>1.0</v>
      </c>
      <c r="F11" s="3">
        <v>426155.0</v>
      </c>
      <c r="H11" s="30">
        <f t="shared" ref="H11:H12" si="3">F11+G11</f>
        <v>426155</v>
      </c>
      <c r="I11" s="30">
        <f t="shared" ref="I11:I12" si="4">100-ABS($M$589-H11)/H11*100</f>
        <v>0</v>
      </c>
      <c r="J11" s="30">
        <f t="shared" ref="J11:J12" si="5">100-ABS($M$497-H11)/H11*100</f>
        <v>0</v>
      </c>
    </row>
    <row r="12">
      <c r="B12" s="3" t="s">
        <v>642</v>
      </c>
      <c r="C12" s="3" t="s">
        <v>602</v>
      </c>
      <c r="D12" s="3" t="s">
        <v>655</v>
      </c>
      <c r="E12" s="3">
        <v>1.0</v>
      </c>
      <c r="F12" s="3">
        <v>472839.0</v>
      </c>
      <c r="H12" s="30">
        <f t="shared" si="3"/>
        <v>472839</v>
      </c>
      <c r="I12" s="30">
        <f t="shared" si="4"/>
        <v>0</v>
      </c>
      <c r="J12" s="30">
        <f t="shared" si="5"/>
        <v>0</v>
      </c>
    </row>
    <row r="13">
      <c r="K13" s="30">
        <f>(I12+I18)/2</f>
        <v>0</v>
      </c>
    </row>
    <row r="14">
      <c r="B14" s="3" t="s">
        <v>644</v>
      </c>
      <c r="C14" s="3" t="s">
        <v>643</v>
      </c>
      <c r="D14" s="3" t="s">
        <v>463</v>
      </c>
      <c r="E14" s="3">
        <v>1.0</v>
      </c>
      <c r="F14" s="3">
        <v>534214.0</v>
      </c>
      <c r="H14" s="30">
        <f t="shared" ref="H14:H15" si="6">F14+G14</f>
        <v>534214</v>
      </c>
      <c r="I14" s="30">
        <f t="shared" ref="I14:I15" si="7">100-ABS($M$589-H14)/H14*100</f>
        <v>0</v>
      </c>
      <c r="J14" s="30">
        <f t="shared" ref="J14:J15" si="8">100-ABS($M$497-H14)/H14*100</f>
        <v>0</v>
      </c>
    </row>
    <row r="15">
      <c r="B15" s="3" t="s">
        <v>644</v>
      </c>
      <c r="C15" s="3" t="s">
        <v>602</v>
      </c>
      <c r="D15" s="3" t="s">
        <v>463</v>
      </c>
      <c r="E15" s="3">
        <v>1.0</v>
      </c>
      <c r="F15" s="3">
        <v>1152437.0</v>
      </c>
      <c r="H15" s="30">
        <f t="shared" si="6"/>
        <v>1152437</v>
      </c>
      <c r="I15" s="30">
        <f t="shared" si="7"/>
        <v>0</v>
      </c>
      <c r="J15" s="30">
        <f t="shared" si="8"/>
        <v>0</v>
      </c>
    </row>
    <row r="16">
      <c r="L16" s="3" t="s">
        <v>645</v>
      </c>
      <c r="M16" s="3" t="s">
        <v>646</v>
      </c>
    </row>
    <row r="17">
      <c r="B17" s="3" t="s">
        <v>647</v>
      </c>
      <c r="C17" s="3" t="s">
        <v>643</v>
      </c>
      <c r="D17" s="3" t="s">
        <v>463</v>
      </c>
      <c r="E17" s="3">
        <v>1.0</v>
      </c>
      <c r="F17" s="3">
        <v>446638.0</v>
      </c>
      <c r="H17" s="30">
        <f t="shared" ref="H17:H18" si="9">F17+G17</f>
        <v>446638</v>
      </c>
      <c r="I17" s="30">
        <f t="shared" ref="I17:I18" si="10">100-ABS($M$589-H17)/H17*100</f>
        <v>0</v>
      </c>
      <c r="J17" s="30">
        <f t="shared" ref="J17:J18" si="11">100-ABS($M$497-H17)/H17*100</f>
        <v>0</v>
      </c>
      <c r="L17" s="3">
        <v>1.0E8</v>
      </c>
      <c r="M17" s="3">
        <v>4.0</v>
      </c>
    </row>
    <row r="18">
      <c r="B18" s="3" t="s">
        <v>647</v>
      </c>
      <c r="C18" s="3" t="s">
        <v>602</v>
      </c>
      <c r="D18" s="3" t="s">
        <v>463</v>
      </c>
      <c r="E18" s="3">
        <v>1.0</v>
      </c>
      <c r="F18" s="3">
        <v>402749.0</v>
      </c>
      <c r="H18" s="30">
        <f t="shared" si="9"/>
        <v>402749</v>
      </c>
      <c r="I18" s="30">
        <f t="shared" si="10"/>
        <v>0</v>
      </c>
      <c r="J18" s="30">
        <f t="shared" si="11"/>
        <v>0</v>
      </c>
    </row>
    <row r="19">
      <c r="L19" s="3" t="s">
        <v>486</v>
      </c>
      <c r="M19" s="3" t="s">
        <v>648</v>
      </c>
      <c r="N19" s="3" t="s">
        <v>283</v>
      </c>
    </row>
    <row r="20">
      <c r="B20" s="3" t="s">
        <v>682</v>
      </c>
      <c r="C20" s="3" t="s">
        <v>643</v>
      </c>
      <c r="D20" s="3" t="s">
        <v>463</v>
      </c>
      <c r="E20" s="3">
        <v>1.0</v>
      </c>
      <c r="F20" s="3">
        <v>937066.0</v>
      </c>
      <c r="H20" s="30">
        <f t="shared" ref="H20:H21" si="12">F20+G20</f>
        <v>937066</v>
      </c>
      <c r="I20" s="30">
        <f t="shared" ref="I20:I21" si="13">100-ABS($M$589-H20)/H20*100</f>
        <v>0</v>
      </c>
      <c r="J20" s="30">
        <f t="shared" ref="J20:J21" si="14">100-ABS($M$497-H20)/H20*100</f>
        <v>0</v>
      </c>
      <c r="K20" s="3" t="s">
        <v>649</v>
      </c>
      <c r="L20" s="30">
        <v>588570.2640307106</v>
      </c>
      <c r="N20" s="30">
        <f t="shared" ref="N20:N21" si="15">L20+M20</f>
        <v>588570.264</v>
      </c>
    </row>
    <row r="21">
      <c r="B21" s="3" t="s">
        <v>682</v>
      </c>
      <c r="C21" s="3" t="s">
        <v>602</v>
      </c>
      <c r="D21" s="3" t="s">
        <v>463</v>
      </c>
      <c r="E21" s="3">
        <v>1.0</v>
      </c>
      <c r="F21" s="3">
        <v>1273979.0</v>
      </c>
      <c r="H21" s="30">
        <f t="shared" si="12"/>
        <v>1273979</v>
      </c>
      <c r="I21" s="30">
        <f t="shared" si="13"/>
        <v>0</v>
      </c>
      <c r="J21" s="30">
        <f t="shared" si="14"/>
        <v>0</v>
      </c>
      <c r="K21" s="3" t="s">
        <v>650</v>
      </c>
      <c r="L21" s="3">
        <v>0.0</v>
      </c>
      <c r="N21" s="30">
        <f t="shared" si="15"/>
        <v>0</v>
      </c>
    </row>
    <row r="23">
      <c r="B23" s="3" t="s">
        <v>689</v>
      </c>
      <c r="C23" s="3" t="s">
        <v>643</v>
      </c>
      <c r="D23" s="3" t="s">
        <v>463</v>
      </c>
      <c r="E23" s="3">
        <v>1.0</v>
      </c>
      <c r="F23" s="3">
        <v>575884.0</v>
      </c>
      <c r="H23" s="30">
        <f t="shared" ref="H23:H24" si="16">F23+G23</f>
        <v>575884</v>
      </c>
      <c r="I23" s="30">
        <f t="shared" ref="I23:I24" si="17">100-ABS($M$589-H23)/H23*100</f>
        <v>0</v>
      </c>
      <c r="J23" s="30">
        <f t="shared" ref="J23:J24" si="18">100-ABS($M$497-H23)/H23*100</f>
        <v>0</v>
      </c>
      <c r="L23" s="30">
        <v>588570.2640307106</v>
      </c>
    </row>
    <row r="24">
      <c r="B24" s="3" t="s">
        <v>689</v>
      </c>
      <c r="C24" s="3" t="s">
        <v>602</v>
      </c>
      <c r="D24" s="3" t="s">
        <v>463</v>
      </c>
      <c r="E24" s="3">
        <v>1.0</v>
      </c>
      <c r="F24" s="3">
        <v>1428577.0</v>
      </c>
      <c r="H24" s="30">
        <f t="shared" si="16"/>
        <v>1428577</v>
      </c>
      <c r="I24" s="30">
        <f t="shared" si="17"/>
        <v>0</v>
      </c>
      <c r="J24" s="30">
        <f t="shared" si="18"/>
        <v>0</v>
      </c>
      <c r="L24" s="30">
        <v>529713.2376276394</v>
      </c>
    </row>
    <row r="25">
      <c r="I25" s="30">
        <f>LOG(768604)</f>
        <v>5.88570264</v>
      </c>
    </row>
    <row r="26">
      <c r="E26" s="30" t="str">
        <f>"map=["&amp;I11&amp;", "&amp;I12&amp;", "&amp;I14&amp;", "&amp;I15&amp;", "&amp;I17&amp;", "&amp;I18&amp;", "&amp;I20&amp;", "&amp;I21&amp;"]"</f>
        <v>map=[0, 0, 0, 0, 0, 0, 0, 0]</v>
      </c>
    </row>
    <row r="27">
      <c r="E27" s="30" t="str">
        <f>"lit=["&amp;J11&amp;", "&amp;J12&amp;", "&amp;J14&amp;", "&amp;J15&amp;", "&amp;J17&amp;", "&amp;J18&amp;", "&amp;J20&amp;", "&amp;J21&amp;"]"</f>
        <v>lit=[0, 0, 0, 0, 0, 0, 0, 0]</v>
      </c>
    </row>
    <row r="33">
      <c r="E33" s="30" t="str">
        <f>"total=["&amp;N20&amp;", "&amp;N21&amp;", "&amp;H11&amp;", "&amp;H12&amp;", "&amp;H14&amp;", "&amp;H15&amp;", "&amp;H17&amp;", "&amp;H18&amp;"]"</f>
        <v>total=[588570.264030711, 0, 426155, 472839, 534214, 1152437, 446638, 402749]</v>
      </c>
      <c r="M33" s="3" t="s">
        <v>690</v>
      </c>
      <c r="N33" s="101">
        <v>588570.2640307107</v>
      </c>
      <c r="O33" s="30">
        <f>N33*64</f>
        <v>37668496.9</v>
      </c>
    </row>
    <row r="34">
      <c r="M34" s="3" t="s">
        <v>691</v>
      </c>
      <c r="N34" s="3">
        <v>64.0</v>
      </c>
    </row>
    <row r="35">
      <c r="G35" s="3">
        <v>240.0</v>
      </c>
      <c r="H35" s="30" t="str">
        <f>G35*F40</f>
        <v>#VALUE!</v>
      </c>
      <c r="I35" s="30" t="str">
        <f>F37/H35</f>
        <v>#VALUE!</v>
      </c>
      <c r="J35" s="30" t="str">
        <f>E42/H35</f>
        <v>#VALUE!</v>
      </c>
      <c r="K35" s="30" t="str">
        <f>I35*J35</f>
        <v>#VALUE!</v>
      </c>
      <c r="M35" s="3" t="s">
        <v>692</v>
      </c>
      <c r="N35" s="30">
        <f>30*1024*1024</f>
        <v>31457280</v>
      </c>
    </row>
    <row r="36">
      <c r="M36" s="3" t="s">
        <v>693</v>
      </c>
      <c r="N36" s="30">
        <f>N35/N34</f>
        <v>491520</v>
      </c>
    </row>
    <row r="37">
      <c r="B37" s="30">
        <f>LOG(E37)</f>
        <v>5.88570264</v>
      </c>
      <c r="C37" s="30">
        <f>B37*90000</f>
        <v>529713.2376</v>
      </c>
      <c r="E37" s="98">
        <v>768604.0</v>
      </c>
      <c r="F37" s="30">
        <f>E37*8</f>
        <v>6148832</v>
      </c>
      <c r="G37" s="30" t="str">
        <f>F37/F40</f>
        <v>#VALUE!</v>
      </c>
      <c r="J37" s="30" t="str">
        <f>#REF!/E37</f>
        <v>#REF!</v>
      </c>
    </row>
    <row r="38">
      <c r="G38" s="3">
        <v>477873.0</v>
      </c>
    </row>
    <row r="39">
      <c r="A39" s="3" t="s">
        <v>746</v>
      </c>
    </row>
    <row r="40">
      <c r="B40" s="79"/>
      <c r="C40" s="79" t="s">
        <v>671</v>
      </c>
      <c r="E40" s="79"/>
      <c r="F40" s="79" t="s">
        <v>747</v>
      </c>
      <c r="H40" s="79"/>
      <c r="I40" s="79" t="s">
        <v>748</v>
      </c>
      <c r="K40" s="79"/>
      <c r="L40" s="79" t="s">
        <v>749</v>
      </c>
      <c r="N40" s="79"/>
      <c r="O40" s="79" t="s">
        <v>750</v>
      </c>
    </row>
    <row r="41">
      <c r="B41" s="3" t="s">
        <v>751</v>
      </c>
      <c r="C41" s="3" t="s">
        <v>752</v>
      </c>
      <c r="D41" s="3" t="s">
        <v>753</v>
      </c>
      <c r="E41" s="3" t="s">
        <v>751</v>
      </c>
      <c r="F41" s="3" t="s">
        <v>752</v>
      </c>
      <c r="G41" s="3" t="s">
        <v>753</v>
      </c>
      <c r="H41" s="3" t="s">
        <v>751</v>
      </c>
      <c r="I41" s="3" t="s">
        <v>752</v>
      </c>
      <c r="J41" s="3" t="s">
        <v>753</v>
      </c>
      <c r="K41" s="3" t="s">
        <v>751</v>
      </c>
      <c r="L41" s="3" t="s">
        <v>752</v>
      </c>
      <c r="M41" s="3" t="s">
        <v>753</v>
      </c>
      <c r="N41" s="3" t="s">
        <v>751</v>
      </c>
      <c r="O41" s="3" t="s">
        <v>752</v>
      </c>
      <c r="P41" s="3" t="s">
        <v>753</v>
      </c>
    </row>
    <row r="42">
      <c r="B42" s="3">
        <v>1.0</v>
      </c>
      <c r="C42" s="3">
        <v>378128.0</v>
      </c>
      <c r="D42" s="3">
        <v>539408.0</v>
      </c>
      <c r="E42" s="3">
        <v>1.0</v>
      </c>
      <c r="F42" s="3">
        <v>292094.0</v>
      </c>
      <c r="G42" s="3">
        <v>650699.0</v>
      </c>
      <c r="H42" s="3">
        <v>1.0</v>
      </c>
      <c r="I42" s="3">
        <v>350994.0</v>
      </c>
      <c r="J42" s="3">
        <v>370768.0</v>
      </c>
      <c r="K42" s="3">
        <v>1.0</v>
      </c>
      <c r="L42" s="3">
        <v>990721.0</v>
      </c>
      <c r="M42" s="3">
        <v>1353443.0</v>
      </c>
      <c r="N42" s="3">
        <v>1.0</v>
      </c>
      <c r="O42" s="3">
        <v>691787.0</v>
      </c>
      <c r="P42" s="3">
        <v>1248433.0</v>
      </c>
    </row>
    <row r="43">
      <c r="B43" s="3">
        <v>2.0</v>
      </c>
      <c r="C43" s="3">
        <v>431367.0</v>
      </c>
      <c r="D43" s="3">
        <v>428891.0</v>
      </c>
      <c r="E43" s="3">
        <v>2.0</v>
      </c>
      <c r="F43" s="3">
        <v>300494.0</v>
      </c>
      <c r="G43" s="3">
        <v>730244.0</v>
      </c>
      <c r="H43" s="3">
        <v>2.0</v>
      </c>
      <c r="I43" s="3">
        <v>241813.0</v>
      </c>
      <c r="J43" s="3">
        <v>366526.0</v>
      </c>
      <c r="K43" s="3">
        <v>2.0</v>
      </c>
      <c r="L43" s="3">
        <v>1009780.0</v>
      </c>
      <c r="M43" s="3">
        <v>1325792.0</v>
      </c>
      <c r="N43" s="3">
        <v>2.0</v>
      </c>
      <c r="O43" s="3">
        <v>698404.0</v>
      </c>
      <c r="P43" s="3">
        <v>1267405.0</v>
      </c>
    </row>
    <row r="44">
      <c r="B44" s="3">
        <v>3.0</v>
      </c>
      <c r="C44" s="3">
        <v>379448.0</v>
      </c>
      <c r="D44" s="3">
        <v>400752.0</v>
      </c>
      <c r="E44" s="3">
        <v>3.0</v>
      </c>
      <c r="F44" s="3">
        <v>296238.0</v>
      </c>
      <c r="G44" s="3">
        <v>729173.0</v>
      </c>
      <c r="H44" s="3">
        <v>3.0</v>
      </c>
      <c r="I44" s="3">
        <v>242519.0</v>
      </c>
      <c r="J44" s="3">
        <v>273967.0</v>
      </c>
      <c r="K44" s="3">
        <v>3.0</v>
      </c>
      <c r="L44" s="3">
        <v>982637.0</v>
      </c>
      <c r="M44" s="3">
        <v>1328849.0</v>
      </c>
      <c r="N44" s="3">
        <v>3.0</v>
      </c>
      <c r="O44" s="3">
        <v>719368.0</v>
      </c>
      <c r="P44" s="3">
        <v>1262234.0</v>
      </c>
    </row>
    <row r="45">
      <c r="B45" s="3">
        <v>4.0</v>
      </c>
      <c r="C45" s="3">
        <v>379917.0</v>
      </c>
      <c r="D45" s="3">
        <v>410229.0</v>
      </c>
      <c r="E45" s="3">
        <v>4.0</v>
      </c>
      <c r="F45" s="3">
        <v>286151.0</v>
      </c>
      <c r="G45" s="3">
        <v>718062.0</v>
      </c>
      <c r="H45" s="3">
        <v>4.0</v>
      </c>
      <c r="I45" s="3">
        <v>233199.0</v>
      </c>
      <c r="J45" s="3">
        <v>298944.0</v>
      </c>
      <c r="K45" s="3">
        <v>4.0</v>
      </c>
      <c r="L45" s="3">
        <v>989275.0</v>
      </c>
      <c r="M45" s="3">
        <v>1324566.0</v>
      </c>
      <c r="N45" s="3">
        <v>4.0</v>
      </c>
      <c r="O45" s="3">
        <v>679852.0</v>
      </c>
      <c r="P45" s="3">
        <v>1243785.0</v>
      </c>
    </row>
    <row r="46">
      <c r="B46" s="3">
        <v>5.0</v>
      </c>
      <c r="C46" s="3">
        <v>421916.0</v>
      </c>
      <c r="D46" s="3">
        <v>543444.0</v>
      </c>
      <c r="E46" s="3">
        <v>5.0</v>
      </c>
      <c r="F46" s="3">
        <v>284356.0</v>
      </c>
      <c r="G46" s="3">
        <v>672607.0</v>
      </c>
      <c r="H46" s="3">
        <v>5.0</v>
      </c>
      <c r="I46" s="3">
        <v>240224.0</v>
      </c>
      <c r="J46" s="3">
        <v>309816.0</v>
      </c>
      <c r="K46" s="3">
        <v>5.0</v>
      </c>
      <c r="L46" s="3">
        <v>994565.0</v>
      </c>
      <c r="M46" s="3">
        <v>1311002.0</v>
      </c>
      <c r="N46" s="3">
        <v>5.0</v>
      </c>
      <c r="O46" s="3">
        <v>609673.0</v>
      </c>
      <c r="P46" s="3">
        <v>1241935.0</v>
      </c>
    </row>
    <row r="47">
      <c r="B47" s="3" t="s">
        <v>671</v>
      </c>
      <c r="C47" s="30">
        <f t="shared" ref="C47:D47" si="19">AVERAGE(C42:C46)</f>
        <v>398155.2</v>
      </c>
      <c r="D47" s="30">
        <f t="shared" si="19"/>
        <v>464544.8</v>
      </c>
      <c r="E47" s="3" t="s">
        <v>747</v>
      </c>
      <c r="F47" s="30">
        <f t="shared" ref="F47:G47" si="20">AVERAGE(F42:F46)</f>
        <v>291866.6</v>
      </c>
      <c r="G47" s="30">
        <f t="shared" si="20"/>
        <v>700157</v>
      </c>
      <c r="H47" s="3" t="s">
        <v>748</v>
      </c>
      <c r="I47" s="30">
        <f t="shared" ref="I47:J47" si="21">AVERAGE(I42:I46)</f>
        <v>261749.8</v>
      </c>
      <c r="J47" s="30">
        <f t="shared" si="21"/>
        <v>324004.2</v>
      </c>
      <c r="K47" s="3" t="s">
        <v>749</v>
      </c>
      <c r="L47" s="30">
        <f t="shared" ref="L47:M47" si="22">AVERAGE(L42:L46)</f>
        <v>993395.6</v>
      </c>
      <c r="M47" s="30">
        <f t="shared" si="22"/>
        <v>1328730.4</v>
      </c>
      <c r="N47" s="3" t="s">
        <v>754</v>
      </c>
      <c r="O47" s="30">
        <f t="shared" ref="O47:P47" si="23">AVERAGE(O42:O46)</f>
        <v>679816.8</v>
      </c>
      <c r="P47" s="30">
        <f t="shared" si="23"/>
        <v>1252758.4</v>
      </c>
    </row>
    <row r="49">
      <c r="A49" s="3" t="s">
        <v>755</v>
      </c>
      <c r="B49" s="79"/>
      <c r="C49" s="79" t="s">
        <v>671</v>
      </c>
      <c r="E49" s="79"/>
      <c r="F49" s="79" t="s">
        <v>747</v>
      </c>
      <c r="H49" s="79"/>
      <c r="I49" s="79" t="s">
        <v>748</v>
      </c>
      <c r="K49" s="79"/>
      <c r="L49" s="79" t="s">
        <v>749</v>
      </c>
      <c r="N49" s="79"/>
      <c r="O49" s="79" t="s">
        <v>750</v>
      </c>
    </row>
    <row r="50">
      <c r="B50" s="3" t="s">
        <v>751</v>
      </c>
      <c r="C50" s="3" t="s">
        <v>752</v>
      </c>
      <c r="D50" s="3" t="s">
        <v>753</v>
      </c>
      <c r="E50" s="3" t="s">
        <v>751</v>
      </c>
      <c r="F50" s="3" t="s">
        <v>752</v>
      </c>
      <c r="G50" s="3" t="s">
        <v>753</v>
      </c>
      <c r="H50" s="3" t="s">
        <v>751</v>
      </c>
      <c r="I50" s="3" t="s">
        <v>752</v>
      </c>
      <c r="J50" s="3" t="s">
        <v>753</v>
      </c>
      <c r="K50" s="3" t="s">
        <v>751</v>
      </c>
      <c r="L50" s="3" t="s">
        <v>752</v>
      </c>
      <c r="M50" s="3" t="s">
        <v>753</v>
      </c>
      <c r="N50" s="3" t="s">
        <v>751</v>
      </c>
      <c r="O50" s="3" t="s">
        <v>752</v>
      </c>
      <c r="P50" s="3" t="s">
        <v>753</v>
      </c>
    </row>
    <row r="51">
      <c r="B51" s="3">
        <v>1.0</v>
      </c>
      <c r="C51" s="3">
        <v>823546.0</v>
      </c>
      <c r="D51" s="3">
        <v>965189.0</v>
      </c>
      <c r="E51" s="3">
        <v>1.0</v>
      </c>
      <c r="F51" s="3">
        <v>655405.0</v>
      </c>
      <c r="G51" s="3">
        <v>1175536.0</v>
      </c>
      <c r="H51" s="3">
        <v>1.0</v>
      </c>
      <c r="I51" s="3">
        <v>616158.0</v>
      </c>
      <c r="J51" s="3">
        <v>648738.0</v>
      </c>
      <c r="K51" s="3">
        <v>1.0</v>
      </c>
      <c r="L51" s="3">
        <v>2593181.0</v>
      </c>
      <c r="M51" s="3">
        <v>3271351.0</v>
      </c>
      <c r="N51" s="3">
        <v>1.0</v>
      </c>
      <c r="O51" s="3">
        <v>1976847.0</v>
      </c>
      <c r="P51" s="3">
        <v>3196174.0</v>
      </c>
    </row>
    <row r="52">
      <c r="B52" s="3">
        <v>2.0</v>
      </c>
      <c r="C52" s="3">
        <v>882307.0</v>
      </c>
      <c r="D52" s="3">
        <v>964705.0</v>
      </c>
      <c r="E52" s="3">
        <v>2.0</v>
      </c>
      <c r="F52" s="3">
        <v>671859.0</v>
      </c>
      <c r="G52" s="3">
        <v>1216744.0</v>
      </c>
      <c r="H52" s="3">
        <v>2.0</v>
      </c>
      <c r="I52" s="3">
        <v>616092.0</v>
      </c>
      <c r="J52" s="3">
        <v>671992.0</v>
      </c>
      <c r="K52" s="3">
        <v>2.0</v>
      </c>
      <c r="L52" s="3">
        <v>2485723.0</v>
      </c>
      <c r="M52" s="3">
        <v>3265180.0</v>
      </c>
      <c r="N52" s="3">
        <v>2.0</v>
      </c>
      <c r="O52" s="3">
        <v>1952735.0</v>
      </c>
      <c r="P52" s="3">
        <v>3216659.0</v>
      </c>
    </row>
    <row r="53">
      <c r="B53" s="3">
        <v>3.0</v>
      </c>
      <c r="C53" s="3">
        <v>877379.0</v>
      </c>
      <c r="D53" s="3">
        <v>1010300.0</v>
      </c>
      <c r="E53" s="3">
        <v>3.0</v>
      </c>
      <c r="F53" s="3">
        <v>671674.0</v>
      </c>
      <c r="G53" s="3">
        <v>1178730.0</v>
      </c>
      <c r="H53" s="3">
        <v>3.0</v>
      </c>
      <c r="I53" s="3">
        <v>620325.0</v>
      </c>
      <c r="J53" s="30">
        <v>660365.0</v>
      </c>
      <c r="K53" s="3">
        <v>3.0</v>
      </c>
      <c r="L53" s="3">
        <v>2473140.0</v>
      </c>
      <c r="M53" s="3">
        <v>3267257.0</v>
      </c>
      <c r="N53" s="3">
        <v>3.0</v>
      </c>
      <c r="O53" s="3">
        <v>1922354.0</v>
      </c>
      <c r="P53" s="3">
        <v>3028190.0</v>
      </c>
    </row>
    <row r="54">
      <c r="B54" s="3">
        <v>4.0</v>
      </c>
      <c r="C54" s="3">
        <v>802674.0</v>
      </c>
      <c r="D54" s="3">
        <v>1087437.0</v>
      </c>
      <c r="E54" s="3">
        <v>4.0</v>
      </c>
      <c r="F54" s="3">
        <v>659286.0</v>
      </c>
      <c r="G54" s="3">
        <v>1189473.0</v>
      </c>
      <c r="H54" s="3">
        <v>4.0</v>
      </c>
      <c r="I54" s="3">
        <v>636646.0</v>
      </c>
      <c r="J54" s="3">
        <v>678252.0</v>
      </c>
      <c r="K54" s="3">
        <v>4.0</v>
      </c>
      <c r="L54" s="3">
        <v>2474696.0</v>
      </c>
      <c r="M54" s="3">
        <v>3246923.0</v>
      </c>
      <c r="N54" s="3">
        <v>4.0</v>
      </c>
      <c r="O54" s="3">
        <v>1933164.0</v>
      </c>
      <c r="P54" s="3">
        <v>3129160.0</v>
      </c>
    </row>
    <row r="55">
      <c r="B55" s="3">
        <v>5.0</v>
      </c>
      <c r="C55" s="3">
        <v>797428.0</v>
      </c>
      <c r="D55" s="3">
        <v>1038514.0</v>
      </c>
      <c r="E55" s="3">
        <v>5.0</v>
      </c>
      <c r="F55" s="3">
        <v>653927.0</v>
      </c>
      <c r="G55" s="3">
        <v>1176881.0</v>
      </c>
      <c r="H55" s="3">
        <v>5.0</v>
      </c>
      <c r="I55" s="3">
        <v>618183.0</v>
      </c>
      <c r="J55" s="3">
        <v>647938.0</v>
      </c>
      <c r="K55" s="3">
        <v>5.0</v>
      </c>
      <c r="L55" s="3">
        <v>2389500.0</v>
      </c>
      <c r="M55" s="3">
        <v>3206020.0</v>
      </c>
      <c r="N55" s="3">
        <v>5.0</v>
      </c>
      <c r="O55" s="3">
        <v>1916218.0</v>
      </c>
      <c r="P55" s="3">
        <v>3256277.0</v>
      </c>
    </row>
    <row r="56">
      <c r="B56" s="3" t="s">
        <v>671</v>
      </c>
      <c r="C56" s="30">
        <f t="shared" ref="C56:D56" si="24">AVERAGE(C51:C55)</f>
        <v>836666.8</v>
      </c>
      <c r="D56" s="30">
        <f t="shared" si="24"/>
        <v>1013229</v>
      </c>
      <c r="E56" s="3" t="s">
        <v>747</v>
      </c>
      <c r="F56" s="30">
        <f t="shared" ref="F56:G56" si="25">AVERAGE(F51:F55)</f>
        <v>662430.2</v>
      </c>
      <c r="G56" s="30">
        <f t="shared" si="25"/>
        <v>1187472.8</v>
      </c>
      <c r="H56" s="3" t="s">
        <v>748</v>
      </c>
      <c r="I56" s="30">
        <f t="shared" ref="I56:J56" si="26">AVERAGE(I51:I55)</f>
        <v>621480.8</v>
      </c>
      <c r="J56" s="30">
        <f t="shared" si="26"/>
        <v>661457</v>
      </c>
      <c r="K56" s="3" t="s">
        <v>749</v>
      </c>
      <c r="L56" s="30">
        <f t="shared" ref="L56:M56" si="27">AVERAGE(L51:L55)</f>
        <v>2483248</v>
      </c>
      <c r="M56" s="30">
        <f t="shared" si="27"/>
        <v>3251346.2</v>
      </c>
      <c r="N56" s="3" t="s">
        <v>749</v>
      </c>
      <c r="O56" s="30">
        <f t="shared" ref="O56:P56" si="28">AVERAGE(O51:O55)</f>
        <v>1940263.6</v>
      </c>
      <c r="P56" s="30">
        <f t="shared" si="28"/>
        <v>3165292</v>
      </c>
    </row>
    <row r="57">
      <c r="A57" s="3" t="s">
        <v>756</v>
      </c>
      <c r="B57" s="3">
        <v>792410.0</v>
      </c>
      <c r="C57" s="30">
        <f t="shared" ref="C57:P57" si="29">C51/$B$57</f>
        <v>1.03929279</v>
      </c>
      <c r="D57" s="30">
        <f t="shared" si="29"/>
        <v>1.218042428</v>
      </c>
      <c r="E57" s="30">
        <f t="shared" si="29"/>
        <v>0.000001261972969</v>
      </c>
      <c r="F57" s="30">
        <f t="shared" si="29"/>
        <v>0.8271033934</v>
      </c>
      <c r="G57" s="30">
        <f t="shared" si="29"/>
        <v>1.483494656</v>
      </c>
      <c r="H57" s="30">
        <f t="shared" si="29"/>
        <v>0.000001261972969</v>
      </c>
      <c r="I57" s="30">
        <f t="shared" si="29"/>
        <v>0.7775747403</v>
      </c>
      <c r="J57" s="30">
        <f t="shared" si="29"/>
        <v>0.8186898197</v>
      </c>
      <c r="K57" s="30">
        <f t="shared" si="29"/>
        <v>0.000001261972969</v>
      </c>
      <c r="L57" s="30">
        <f t="shared" si="29"/>
        <v>3.272524325</v>
      </c>
      <c r="M57" s="30">
        <f t="shared" si="29"/>
        <v>4.128356533</v>
      </c>
      <c r="N57" s="30">
        <f t="shared" si="29"/>
        <v>0.000001261972969</v>
      </c>
      <c r="O57" s="30">
        <f t="shared" si="29"/>
        <v>2.494727477</v>
      </c>
      <c r="P57" s="30">
        <f t="shared" si="29"/>
        <v>4.033485191</v>
      </c>
    </row>
    <row r="61">
      <c r="B61" s="3" t="s">
        <v>687</v>
      </c>
      <c r="E61" s="3" t="s">
        <v>655</v>
      </c>
      <c r="F61" s="3">
        <v>1.0</v>
      </c>
      <c r="G61" s="3">
        <v>1713800.0</v>
      </c>
      <c r="H61" s="3">
        <v>398826.0</v>
      </c>
    </row>
    <row r="62">
      <c r="F62" s="3">
        <v>534214.0</v>
      </c>
      <c r="J62" s="3">
        <v>4000000.0</v>
      </c>
      <c r="K62" s="30">
        <f>LOG(J62)</f>
        <v>6.602059991</v>
      </c>
      <c r="L62" s="30">
        <f>K62*100000</f>
        <v>660205.9991</v>
      </c>
      <c r="M62" s="30">
        <f>L62*3</f>
        <v>1980617.997</v>
      </c>
    </row>
    <row r="64">
      <c r="C64" s="3" t="s">
        <v>656</v>
      </c>
      <c r="I64" s="3" t="s">
        <v>679</v>
      </c>
      <c r="J64" s="3" t="s">
        <v>650</v>
      </c>
    </row>
    <row r="65">
      <c r="D65" s="3" t="s">
        <v>589</v>
      </c>
      <c r="E65" s="3" t="s">
        <v>636</v>
      </c>
      <c r="I65" s="30">
        <f t="shared" ref="I65:J65" si="30">(I67+I70+I73+I76)/4</f>
        <v>57.6889964</v>
      </c>
      <c r="J65" s="30">
        <f t="shared" si="30"/>
        <v>0</v>
      </c>
    </row>
    <row r="66">
      <c r="F66" s="3" t="s">
        <v>448</v>
      </c>
      <c r="G66" s="3" t="s">
        <v>449</v>
      </c>
      <c r="H66" s="3" t="s">
        <v>283</v>
      </c>
      <c r="I66" s="30">
        <f t="shared" ref="I66:J66" si="31">(I68+I71+I74+I77)/4</f>
        <v>63.15443776</v>
      </c>
      <c r="J66" s="30">
        <f t="shared" si="31"/>
        <v>0</v>
      </c>
      <c r="K66" s="3">
        <v>4096.0</v>
      </c>
      <c r="L66" s="3">
        <v>4096.0</v>
      </c>
    </row>
    <row r="67">
      <c r="B67" s="3" t="s">
        <v>642</v>
      </c>
      <c r="C67" s="3" t="s">
        <v>643</v>
      </c>
      <c r="D67" s="3" t="s">
        <v>655</v>
      </c>
      <c r="E67" s="3">
        <v>1.0</v>
      </c>
      <c r="F67" s="66">
        <v>398155.2</v>
      </c>
      <c r="H67" s="30">
        <f t="shared" ref="H67:H68" si="32">F67+G67</f>
        <v>398155.2</v>
      </c>
      <c r="I67" s="30">
        <f t="shared" ref="I67:I68" si="33">100-ABS($N$76-H67)/H67*100</f>
        <v>94.03227686</v>
      </c>
      <c r="J67" s="30">
        <f t="shared" ref="J67:J68" si="34">100-ABS($M$497-H67)/H67*100</f>
        <v>0</v>
      </c>
    </row>
    <row r="68">
      <c r="B68" s="3" t="s">
        <v>642</v>
      </c>
      <c r="C68" s="3" t="s">
        <v>602</v>
      </c>
      <c r="D68" s="3" t="s">
        <v>655</v>
      </c>
      <c r="E68" s="3">
        <v>1.0</v>
      </c>
      <c r="F68" s="30">
        <v>464544.8</v>
      </c>
      <c r="H68" s="30">
        <f t="shared" si="32"/>
        <v>464544.8</v>
      </c>
      <c r="I68" s="30">
        <f t="shared" si="33"/>
        <v>90.82353306</v>
      </c>
      <c r="J68" s="30">
        <f t="shared" si="34"/>
        <v>0</v>
      </c>
      <c r="M68" s="30">
        <v>421916.0</v>
      </c>
    </row>
    <row r="69">
      <c r="K69" s="30">
        <f>(I68+I74)/2</f>
        <v>80.30211672</v>
      </c>
    </row>
    <row r="70">
      <c r="B70" s="3" t="s">
        <v>644</v>
      </c>
      <c r="C70" s="3" t="s">
        <v>643</v>
      </c>
      <c r="D70" s="3" t="s">
        <v>463</v>
      </c>
      <c r="E70" s="3">
        <v>1.0</v>
      </c>
      <c r="F70" s="30">
        <v>291866.6</v>
      </c>
      <c r="H70" s="30">
        <f t="shared" ref="H70:H71" si="35">F70+G70</f>
        <v>291866.6</v>
      </c>
      <c r="I70" s="30">
        <f t="shared" ref="I70:I71" si="36">100-ABS($N$76-H70)/H70*100</f>
        <v>55.44217804</v>
      </c>
      <c r="J70" s="30">
        <f t="shared" ref="J70:J71" si="37">100-ABS($M$497-H70)/H70*100</f>
        <v>0</v>
      </c>
    </row>
    <row r="71">
      <c r="B71" s="3" t="s">
        <v>644</v>
      </c>
      <c r="C71" s="3" t="s">
        <v>602</v>
      </c>
      <c r="D71" s="3" t="s">
        <v>463</v>
      </c>
      <c r="E71" s="3">
        <v>1.0</v>
      </c>
      <c r="F71" s="30">
        <v>700157.0</v>
      </c>
      <c r="H71" s="30">
        <f t="shared" si="35"/>
        <v>700157</v>
      </c>
      <c r="I71" s="30">
        <f t="shared" si="36"/>
        <v>60.26019878</v>
      </c>
      <c r="J71" s="30">
        <f t="shared" si="37"/>
        <v>0</v>
      </c>
    </row>
    <row r="72">
      <c r="L72" s="3" t="s">
        <v>645</v>
      </c>
      <c r="M72" s="3" t="s">
        <v>646</v>
      </c>
      <c r="O72" s="30">
        <f>L76*K116</f>
        <v>1707034.407</v>
      </c>
    </row>
    <row r="73">
      <c r="B73" s="3" t="s">
        <v>647</v>
      </c>
      <c r="C73" s="3" t="s">
        <v>643</v>
      </c>
      <c r="D73" s="3" t="s">
        <v>463</v>
      </c>
      <c r="E73" s="3">
        <v>1.0</v>
      </c>
      <c r="F73" s="30">
        <v>261749.8</v>
      </c>
      <c r="H73" s="30">
        <f t="shared" ref="H73:H74" si="38">F73+G73</f>
        <v>261749.8</v>
      </c>
      <c r="I73" s="30">
        <f t="shared" ref="I73:I74" si="39">100-ABS($N$76-H73)/H73*100</f>
        <v>38.80942793</v>
      </c>
      <c r="J73" s="30">
        <f t="shared" ref="J73:J74" si="40">100-ABS($M$497-H73)/H73*100</f>
        <v>0</v>
      </c>
      <c r="L73" s="3">
        <v>1.0E8</v>
      </c>
      <c r="M73" s="3">
        <v>4.0</v>
      </c>
    </row>
    <row r="74">
      <c r="B74" s="3" t="s">
        <v>647</v>
      </c>
      <c r="C74" s="3" t="s">
        <v>602</v>
      </c>
      <c r="D74" s="3" t="s">
        <v>463</v>
      </c>
      <c r="E74" s="3">
        <v>1.0</v>
      </c>
      <c r="F74" s="30">
        <v>324004.2</v>
      </c>
      <c r="H74" s="30">
        <f t="shared" si="38"/>
        <v>324004.2</v>
      </c>
      <c r="I74" s="30">
        <f t="shared" si="39"/>
        <v>69.78070037</v>
      </c>
      <c r="J74" s="30">
        <f t="shared" si="40"/>
        <v>0</v>
      </c>
    </row>
    <row r="75">
      <c r="L75" s="3" t="s">
        <v>486</v>
      </c>
      <c r="M75" s="3" t="s">
        <v>648</v>
      </c>
      <c r="N75" s="3" t="s">
        <v>283</v>
      </c>
    </row>
    <row r="76">
      <c r="B76" s="3" t="s">
        <v>682</v>
      </c>
      <c r="C76" s="3" t="s">
        <v>643</v>
      </c>
      <c r="D76" s="3" t="s">
        <v>463</v>
      </c>
      <c r="E76" s="3">
        <v>1.0</v>
      </c>
      <c r="F76" s="30">
        <v>993395.6</v>
      </c>
      <c r="H76" s="30">
        <f t="shared" ref="H76:H77" si="41">F76+G76</f>
        <v>993395.6</v>
      </c>
      <c r="I76" s="30">
        <f t="shared" ref="I76:I77" si="42">100-ABS($N$76-H76)/H76*100</f>
        <v>42.47210276</v>
      </c>
      <c r="J76" s="30">
        <f t="shared" ref="J76:J77" si="43">100-ABS($M$497-H76)/H76*100</f>
        <v>0</v>
      </c>
      <c r="K76" s="3" t="s">
        <v>649</v>
      </c>
      <c r="L76" s="30">
        <v>421916.0</v>
      </c>
      <c r="N76" s="30">
        <f t="shared" ref="N76:N77" si="44">L76+M76</f>
        <v>421916</v>
      </c>
      <c r="Q76" s="30">
        <f>N76*L57</f>
        <v>1380730.373</v>
      </c>
    </row>
    <row r="77">
      <c r="B77" s="3" t="s">
        <v>682</v>
      </c>
      <c r="C77" s="3" t="s">
        <v>602</v>
      </c>
      <c r="D77" s="3" t="s">
        <v>463</v>
      </c>
      <c r="E77" s="3">
        <v>1.0</v>
      </c>
      <c r="F77" s="30">
        <v>1328730.4</v>
      </c>
      <c r="H77" s="30">
        <f t="shared" si="41"/>
        <v>1328730.4</v>
      </c>
      <c r="I77" s="30">
        <f t="shared" si="42"/>
        <v>31.75331881</v>
      </c>
      <c r="J77" s="30">
        <f t="shared" si="43"/>
        <v>0</v>
      </c>
      <c r="K77" s="3" t="s">
        <v>650</v>
      </c>
      <c r="L77" s="3">
        <v>0.0</v>
      </c>
      <c r="N77" s="30">
        <f t="shared" si="44"/>
        <v>0</v>
      </c>
      <c r="Q77" s="30">
        <f>N76*M57</f>
        <v>1741819.675</v>
      </c>
    </row>
    <row r="79">
      <c r="B79" s="3" t="s">
        <v>689</v>
      </c>
      <c r="C79" s="3" t="s">
        <v>643</v>
      </c>
      <c r="D79" s="3" t="s">
        <v>463</v>
      </c>
      <c r="E79" s="3">
        <v>1.0</v>
      </c>
      <c r="F79" s="30">
        <v>679816.8</v>
      </c>
      <c r="H79" s="30">
        <f>F79+G79</f>
        <v>679816.8</v>
      </c>
      <c r="I79" s="30">
        <f t="shared" ref="I79:I80" si="45">100-ABS($N$76-H79)/H79*100</f>
        <v>62.06319114</v>
      </c>
      <c r="J79" s="30">
        <f t="shared" ref="J79:J80" si="46">100-ABS($M$497-H79)/H79*100</f>
        <v>0</v>
      </c>
      <c r="L79" s="30">
        <v>588570.2640307106</v>
      </c>
    </row>
    <row r="80">
      <c r="B80" s="3" t="s">
        <v>689</v>
      </c>
      <c r="C80" s="3" t="s">
        <v>602</v>
      </c>
      <c r="D80" s="3" t="s">
        <v>463</v>
      </c>
      <c r="E80" s="3">
        <v>1.0</v>
      </c>
      <c r="F80" s="3">
        <v>1428577.0</v>
      </c>
      <c r="H80" s="30">
        <v>1252758.4</v>
      </c>
      <c r="I80" s="30">
        <f t="shared" si="45"/>
        <v>33.67895997</v>
      </c>
      <c r="J80" s="30">
        <f t="shared" si="46"/>
        <v>0</v>
      </c>
      <c r="L80" s="30">
        <v>529713.2376276394</v>
      </c>
      <c r="N80" s="30">
        <v>588570.2640307106</v>
      </c>
    </row>
    <row r="82">
      <c r="E82" s="30" t="str">
        <f>"map=["&amp;I67&amp;", "&amp;I68&amp;", "&amp;I70&amp;", "&amp;I71&amp;", "&amp;I73&amp;", "&amp;I74&amp;", "&amp;I76&amp;", "&amp;I77&amp;"]"</f>
        <v>map=[94.0322768608824, 90.8235330585984, 55.4421780361302, 60.260198783987, 38.8094279346154, 69.7807003736371, 42.472102755438, 31.7533188071862]</v>
      </c>
    </row>
    <row r="83">
      <c r="K83" s="98">
        <v>768604.0</v>
      </c>
      <c r="L83" s="30">
        <f>log(K83)</f>
        <v>5.88570264</v>
      </c>
      <c r="M83" s="30">
        <f>L83*100000</f>
        <v>588570.264</v>
      </c>
    </row>
    <row r="84">
      <c r="O84" s="30">
        <f>M83*N85</f>
        <v>421916</v>
      </c>
    </row>
    <row r="85">
      <c r="L85" s="3" t="s">
        <v>671</v>
      </c>
      <c r="M85" s="3">
        <v>421916.0</v>
      </c>
      <c r="N85" s="30">
        <f>M85/M83</f>
        <v>0.7168489912</v>
      </c>
    </row>
    <row r="87">
      <c r="A87" s="3" t="s">
        <v>757</v>
      </c>
    </row>
    <row r="88">
      <c r="C88" s="3" t="s">
        <v>656</v>
      </c>
      <c r="I88" s="3" t="s">
        <v>679</v>
      </c>
      <c r="J88" s="3" t="s">
        <v>650</v>
      </c>
    </row>
    <row r="89">
      <c r="D89" s="3" t="s">
        <v>589</v>
      </c>
      <c r="E89" s="3" t="s">
        <v>636</v>
      </c>
      <c r="I89" s="30">
        <f t="shared" ref="I89:I90" si="47">(I91+I94+I97)/3</f>
        <v>82.52838233</v>
      </c>
      <c r="J89" s="30">
        <f t="shared" ref="J89:J90" si="48">(J91+J94+J97+J100)/4</f>
        <v>0</v>
      </c>
    </row>
    <row r="90">
      <c r="F90" s="3" t="s">
        <v>448</v>
      </c>
      <c r="G90" s="3" t="s">
        <v>449</v>
      </c>
      <c r="H90" s="3" t="s">
        <v>283</v>
      </c>
      <c r="I90" s="30">
        <f t="shared" si="47"/>
        <v>75.04651343</v>
      </c>
      <c r="J90" s="30">
        <f t="shared" si="48"/>
        <v>0</v>
      </c>
      <c r="K90" s="3">
        <v>4096.0</v>
      </c>
      <c r="L90" s="3">
        <v>4096.0</v>
      </c>
    </row>
    <row r="91">
      <c r="B91" s="3" t="s">
        <v>642</v>
      </c>
      <c r="C91" s="3" t="s">
        <v>643</v>
      </c>
      <c r="D91" s="3" t="s">
        <v>655</v>
      </c>
      <c r="E91" s="3">
        <v>1.0</v>
      </c>
      <c r="F91" s="30">
        <v>836666.8</v>
      </c>
      <c r="H91" s="30">
        <f t="shared" ref="H91:H92" si="49">F91+G91</f>
        <v>836666.8</v>
      </c>
      <c r="I91" s="30">
        <f t="shared" ref="I91:I92" si="50">100-ABS($N$100-H91)/H91*100</f>
        <v>94.71034347</v>
      </c>
      <c r="J91" s="30">
        <f t="shared" ref="J91:J92" si="51">100-ABS($M$497-H91)/H91*100</f>
        <v>0</v>
      </c>
    </row>
    <row r="92">
      <c r="B92" s="3" t="s">
        <v>642</v>
      </c>
      <c r="C92" s="3" t="s">
        <v>602</v>
      </c>
      <c r="D92" s="3" t="s">
        <v>655</v>
      </c>
      <c r="E92" s="3">
        <v>1.0</v>
      </c>
      <c r="F92" s="30">
        <v>1013229.0</v>
      </c>
      <c r="H92" s="30">
        <f t="shared" si="49"/>
        <v>1013229</v>
      </c>
      <c r="I92" s="30">
        <f t="shared" si="50"/>
        <v>78.20640744</v>
      </c>
      <c r="J92" s="30">
        <f t="shared" si="51"/>
        <v>0</v>
      </c>
    </row>
    <row r="93">
      <c r="K93" s="30">
        <f>(I92+I98)/2</f>
        <v>79.20437432</v>
      </c>
    </row>
    <row r="94">
      <c r="B94" s="3" t="s">
        <v>644</v>
      </c>
      <c r="C94" s="3" t="s">
        <v>643</v>
      </c>
      <c r="D94" s="3" t="s">
        <v>463</v>
      </c>
      <c r="E94" s="3">
        <v>1.0</v>
      </c>
      <c r="F94" s="30">
        <v>662430.2</v>
      </c>
      <c r="H94" s="30">
        <f t="shared" ref="H94:H95" si="52">F94+G94</f>
        <v>662430.2</v>
      </c>
      <c r="I94" s="30">
        <f t="shared" ref="I94:I95" si="53">100-ABS($N$100-H94)/H94*100</f>
        <v>80.37834024</v>
      </c>
      <c r="J94" s="30">
        <f t="shared" ref="J94:J95" si="54">100-ABS($M$497-H94)/H94*100</f>
        <v>0</v>
      </c>
    </row>
    <row r="95">
      <c r="B95" s="3" t="s">
        <v>644</v>
      </c>
      <c r="C95" s="3" t="s">
        <v>602</v>
      </c>
      <c r="D95" s="3" t="s">
        <v>463</v>
      </c>
      <c r="E95" s="3">
        <v>1.0</v>
      </c>
      <c r="F95" s="30">
        <v>1187472.8</v>
      </c>
      <c r="H95" s="30">
        <f t="shared" si="52"/>
        <v>1187472.8</v>
      </c>
      <c r="I95" s="30">
        <f t="shared" si="53"/>
        <v>66.73079164</v>
      </c>
      <c r="J95" s="30">
        <f t="shared" si="54"/>
        <v>0</v>
      </c>
    </row>
    <row r="96">
      <c r="L96" s="3" t="s">
        <v>645</v>
      </c>
      <c r="M96" s="3" t="s">
        <v>646</v>
      </c>
    </row>
    <row r="97">
      <c r="B97" s="3" t="s">
        <v>647</v>
      </c>
      <c r="C97" s="3" t="s">
        <v>643</v>
      </c>
      <c r="D97" s="3" t="s">
        <v>463</v>
      </c>
      <c r="E97" s="3">
        <v>1.0</v>
      </c>
      <c r="F97" s="30">
        <v>621480.8</v>
      </c>
      <c r="H97" s="30">
        <f t="shared" ref="H97:H98" si="55">F97+G97</f>
        <v>621480.8</v>
      </c>
      <c r="I97" s="30">
        <f t="shared" ref="I97:I98" si="56">100-ABS($N$100-H97)/H97*100</f>
        <v>72.49646329</v>
      </c>
      <c r="J97" s="30">
        <f t="shared" ref="J97:J98" si="57">100-ABS($M$497-H97)/H97*100</f>
        <v>0</v>
      </c>
      <c r="L97" s="3">
        <v>1.0E8</v>
      </c>
      <c r="M97" s="3">
        <v>4.0</v>
      </c>
    </row>
    <row r="98">
      <c r="B98" s="3" t="s">
        <v>647</v>
      </c>
      <c r="C98" s="3" t="s">
        <v>602</v>
      </c>
      <c r="D98" s="3" t="s">
        <v>463</v>
      </c>
      <c r="E98" s="3">
        <v>1.0</v>
      </c>
      <c r="F98" s="30">
        <v>661457.0</v>
      </c>
      <c r="H98" s="30">
        <f t="shared" si="55"/>
        <v>661457</v>
      </c>
      <c r="I98" s="30">
        <f t="shared" si="56"/>
        <v>80.2023412</v>
      </c>
      <c r="J98" s="30">
        <f t="shared" si="57"/>
        <v>0</v>
      </c>
    </row>
    <row r="99">
      <c r="L99" s="3" t="s">
        <v>486</v>
      </c>
      <c r="M99" s="3" t="s">
        <v>648</v>
      </c>
      <c r="N99" s="3" t="s">
        <v>283</v>
      </c>
    </row>
    <row r="100">
      <c r="B100" s="3" t="s">
        <v>682</v>
      </c>
      <c r="C100" s="3" t="s">
        <v>643</v>
      </c>
      <c r="D100" s="3" t="s">
        <v>463</v>
      </c>
      <c r="E100" s="3">
        <v>1.0</v>
      </c>
      <c r="F100" s="30">
        <v>2483248.0</v>
      </c>
      <c r="H100" s="30">
        <f t="shared" ref="H100:H101" si="58">F100+G100</f>
        <v>2483248</v>
      </c>
      <c r="I100" s="30">
        <f t="shared" ref="I100:I101" si="59">100-ABS($N$100-H100)/H100*100</f>
        <v>31.91022403</v>
      </c>
      <c r="J100" s="30">
        <f t="shared" ref="J100:J101" si="60">100-ABS($M$497-H100)/H100*100</f>
        <v>0</v>
      </c>
      <c r="K100" s="3" t="s">
        <v>649</v>
      </c>
      <c r="L100" s="3">
        <v>792410.0</v>
      </c>
      <c r="N100" s="30">
        <f t="shared" ref="N100:N101" si="61">L100+M100</f>
        <v>792410</v>
      </c>
    </row>
    <row r="101">
      <c r="B101" s="3" t="s">
        <v>682</v>
      </c>
      <c r="C101" s="3" t="s">
        <v>602</v>
      </c>
      <c r="D101" s="3" t="s">
        <v>463</v>
      </c>
      <c r="E101" s="3">
        <v>1.0</v>
      </c>
      <c r="F101" s="30">
        <v>3251346.2</v>
      </c>
      <c r="H101" s="30">
        <f t="shared" si="58"/>
        <v>3251346.2</v>
      </c>
      <c r="I101" s="30">
        <f t="shared" si="59"/>
        <v>24.371751</v>
      </c>
      <c r="J101" s="30">
        <f t="shared" si="60"/>
        <v>0</v>
      </c>
      <c r="K101" s="3" t="s">
        <v>650</v>
      </c>
      <c r="L101" s="3">
        <v>0.0</v>
      </c>
      <c r="N101" s="30">
        <f t="shared" si="61"/>
        <v>0</v>
      </c>
    </row>
    <row r="103">
      <c r="B103" s="3" t="s">
        <v>689</v>
      </c>
      <c r="C103" s="3" t="s">
        <v>643</v>
      </c>
      <c r="D103" s="3" t="s">
        <v>463</v>
      </c>
      <c r="E103" s="3">
        <v>1.0</v>
      </c>
      <c r="F103" s="30">
        <v>1940263.6</v>
      </c>
      <c r="H103" s="30">
        <f>F103+G103</f>
        <v>1940263.6</v>
      </c>
      <c r="I103" s="30">
        <f t="shared" ref="I103:I104" si="62">100-ABS($N$76-H103)/H103*100</f>
        <v>21.74529275</v>
      </c>
      <c r="J103" s="30">
        <f t="shared" ref="J103:J104" si="63">100-ABS($M$497-H103)/H103*100</f>
        <v>0</v>
      </c>
      <c r="L103" s="30">
        <v>588570.2640307106</v>
      </c>
    </row>
    <row r="104">
      <c r="B104" s="3" t="s">
        <v>689</v>
      </c>
      <c r="C104" s="3" t="s">
        <v>602</v>
      </c>
      <c r="D104" s="3" t="s">
        <v>463</v>
      </c>
      <c r="E104" s="3">
        <v>1.0</v>
      </c>
      <c r="F104" s="30">
        <v>3165292.0</v>
      </c>
      <c r="H104" s="30">
        <v>1252758.4</v>
      </c>
      <c r="I104" s="30">
        <f t="shared" si="62"/>
        <v>33.67895997</v>
      </c>
      <c r="J104" s="30">
        <f t="shared" si="63"/>
        <v>0</v>
      </c>
      <c r="L104" s="30">
        <v>529713.2376276394</v>
      </c>
    </row>
    <row r="106">
      <c r="E106" s="30" t="str">
        <f>"map=["&amp;I91&amp;", "&amp;I92&amp;", "&amp;I94&amp;", "&amp;I95&amp;", "&amp;I97&amp;", "&amp;I98&amp;", "&amp;I100&amp;", "&amp;I101&amp;"]"</f>
        <v>map=[94.7103434724552, 78.2064074360288, 80.378340238715, 66.7307916442381, 72.4964632857524, 80.2023411952704, 31.9102240291747, 24.3717509996321]</v>
      </c>
    </row>
    <row r="108">
      <c r="I108" s="3">
        <v>4000000.0</v>
      </c>
      <c r="J108" s="30">
        <f>log(I108)</f>
        <v>6.602059991</v>
      </c>
      <c r="K108" s="30">
        <f>J108*100000</f>
        <v>660205.9991</v>
      </c>
    </row>
    <row r="110">
      <c r="J110" s="3" t="s">
        <v>671</v>
      </c>
      <c r="K110" s="3">
        <v>797428.0</v>
      </c>
      <c r="L110" s="30">
        <f>K110/K108</f>
        <v>1.207847249</v>
      </c>
    </row>
    <row r="113">
      <c r="A113" s="73" t="s">
        <v>671</v>
      </c>
      <c r="B113" s="30">
        <v>836666.8</v>
      </c>
      <c r="C113" s="30">
        <v>1013229.0</v>
      </c>
      <c r="D113" s="73" t="s">
        <v>747</v>
      </c>
      <c r="E113" s="30">
        <v>662430.2</v>
      </c>
      <c r="F113" s="30">
        <v>1187472.8</v>
      </c>
      <c r="G113" s="73" t="s">
        <v>748</v>
      </c>
      <c r="H113" s="30">
        <v>621480.8</v>
      </c>
      <c r="I113" s="30">
        <v>661457.0</v>
      </c>
      <c r="J113" s="73" t="s">
        <v>749</v>
      </c>
      <c r="K113" s="30">
        <v>2483248.0</v>
      </c>
      <c r="L113" s="30">
        <v>3251346.2</v>
      </c>
      <c r="M113" s="73" t="s">
        <v>749</v>
      </c>
      <c r="N113" s="30">
        <v>1940263.6</v>
      </c>
      <c r="O113" s="30">
        <v>3165292.0</v>
      </c>
    </row>
    <row r="115">
      <c r="I115" s="3" t="s">
        <v>749</v>
      </c>
      <c r="J115" s="3">
        <v>2389500.0</v>
      </c>
      <c r="K115" s="3">
        <v>3206020.0</v>
      </c>
      <c r="N115" s="30">
        <f>J116*L100</f>
        <v>2389500</v>
      </c>
    </row>
    <row r="116">
      <c r="J116" s="30">
        <f>J115/L100</f>
        <v>3.015484408</v>
      </c>
      <c r="K116" s="30">
        <f>K115/L100</f>
        <v>4.045910577</v>
      </c>
    </row>
    <row r="118">
      <c r="A118" s="2" t="s">
        <v>758</v>
      </c>
    </row>
    <row r="121">
      <c r="A121" s="3" t="s">
        <v>757</v>
      </c>
    </row>
    <row r="122">
      <c r="C122" s="3" t="s">
        <v>656</v>
      </c>
      <c r="I122" s="3" t="s">
        <v>679</v>
      </c>
      <c r="J122" s="3" t="s">
        <v>650</v>
      </c>
      <c r="M122" s="3" t="s">
        <v>756</v>
      </c>
    </row>
    <row r="123">
      <c r="D123" s="3" t="s">
        <v>589</v>
      </c>
      <c r="E123" s="3" t="s">
        <v>636</v>
      </c>
      <c r="I123" s="30">
        <f t="shared" ref="I123:J123" si="64">(I125+I128+I131+I134)/4</f>
        <v>96.65782013</v>
      </c>
      <c r="J123" s="30">
        <f t="shared" si="64"/>
        <v>0</v>
      </c>
    </row>
    <row r="124">
      <c r="F124" s="3" t="s">
        <v>448</v>
      </c>
      <c r="G124" s="3" t="s">
        <v>759</v>
      </c>
      <c r="H124" s="3" t="s">
        <v>760</v>
      </c>
      <c r="I124" s="30">
        <f t="shared" ref="I124:J124" si="65">(I126+I129+I132+I135)/4</f>
        <v>97.58787106</v>
      </c>
      <c r="J124" s="30">
        <f t="shared" si="65"/>
        <v>0</v>
      </c>
    </row>
    <row r="125">
      <c r="B125" s="3" t="s">
        <v>642</v>
      </c>
      <c r="C125" s="3" t="s">
        <v>643</v>
      </c>
      <c r="D125" s="3" t="s">
        <v>655</v>
      </c>
      <c r="E125" s="3">
        <v>1.0</v>
      </c>
      <c r="F125" s="30">
        <v>836666.8</v>
      </c>
      <c r="G125" s="3">
        <v>1.0</v>
      </c>
      <c r="H125" s="3">
        <v>792410.0</v>
      </c>
      <c r="I125" s="30">
        <f t="shared" ref="I125:I126" si="66">100-ABS(H125-F125)/F125*100</f>
        <v>94.71034347</v>
      </c>
      <c r="J125" s="30">
        <f t="shared" ref="J125:J126" si="67">100-ABS($M$497-H125)/H125*100</f>
        <v>0</v>
      </c>
    </row>
    <row r="126">
      <c r="B126" s="3" t="s">
        <v>642</v>
      </c>
      <c r="C126" s="3" t="s">
        <v>602</v>
      </c>
      <c r="D126" s="3" t="s">
        <v>655</v>
      </c>
      <c r="E126" s="3">
        <v>1.0</v>
      </c>
      <c r="F126" s="30">
        <v>1013229.0</v>
      </c>
      <c r="H126" s="3">
        <v>958816.0</v>
      </c>
      <c r="I126" s="30">
        <f t="shared" si="66"/>
        <v>94.62974313</v>
      </c>
      <c r="J126" s="30">
        <f t="shared" si="67"/>
        <v>0</v>
      </c>
    </row>
    <row r="127">
      <c r="M127" s="30">
        <f>L100*0.82</f>
        <v>649776.2</v>
      </c>
    </row>
    <row r="128">
      <c r="B128" s="3" t="s">
        <v>644</v>
      </c>
      <c r="C128" s="3" t="s">
        <v>643</v>
      </c>
      <c r="D128" s="3" t="s">
        <v>463</v>
      </c>
      <c r="E128" s="3">
        <v>1.0</v>
      </c>
      <c r="F128" s="30">
        <v>662430.2</v>
      </c>
      <c r="H128" s="3">
        <v>649776.0</v>
      </c>
      <c r="I128" s="30">
        <f t="shared" ref="I128:I129" si="68">100-ABS(H128-F128)/F128*100</f>
        <v>98.08973081</v>
      </c>
      <c r="J128" s="30">
        <f t="shared" ref="J128:J129" si="69">100-ABS($M$497-H128)/H128*100</f>
        <v>0</v>
      </c>
      <c r="M128" s="30">
        <f>L100*1.48</f>
        <v>1172766.8</v>
      </c>
    </row>
    <row r="129">
      <c r="B129" s="3" t="s">
        <v>644</v>
      </c>
      <c r="C129" s="3" t="s">
        <v>602</v>
      </c>
      <c r="D129" s="3" t="s">
        <v>463</v>
      </c>
      <c r="E129" s="3">
        <v>1.0</v>
      </c>
      <c r="F129" s="30">
        <v>1187472.8</v>
      </c>
      <c r="H129" s="3">
        <v>1172766.0</v>
      </c>
      <c r="I129" s="30">
        <f t="shared" si="68"/>
        <v>98.76150426</v>
      </c>
      <c r="J129" s="30">
        <f t="shared" si="69"/>
        <v>0</v>
      </c>
    </row>
    <row r="131">
      <c r="B131" s="3" t="s">
        <v>647</v>
      </c>
      <c r="C131" s="3" t="s">
        <v>643</v>
      </c>
      <c r="D131" s="3" t="s">
        <v>463</v>
      </c>
      <c r="E131" s="3">
        <v>1.0</v>
      </c>
      <c r="F131" s="30">
        <v>621480.8</v>
      </c>
      <c r="H131" s="3">
        <v>610155.0</v>
      </c>
      <c r="I131" s="30">
        <f t="shared" ref="I131:I132" si="70">100-ABS(H131-F131)/F131*100</f>
        <v>98.17761064</v>
      </c>
      <c r="J131" s="30">
        <f t="shared" ref="J131:J132" si="71">100-ABS($M$497-H131)/H131*100</f>
        <v>0</v>
      </c>
    </row>
    <row r="132">
      <c r="B132" s="3" t="s">
        <v>647</v>
      </c>
      <c r="C132" s="3" t="s">
        <v>602</v>
      </c>
      <c r="D132" s="3" t="s">
        <v>463</v>
      </c>
      <c r="E132" s="3">
        <v>1.0</v>
      </c>
      <c r="F132" s="30">
        <v>661457.0</v>
      </c>
      <c r="H132" s="3">
        <v>641852.0</v>
      </c>
      <c r="I132" s="30">
        <f t="shared" si="70"/>
        <v>97.03608851</v>
      </c>
      <c r="J132" s="30">
        <f t="shared" si="71"/>
        <v>0</v>
      </c>
    </row>
    <row r="133">
      <c r="M133" s="30">
        <v>836666.8</v>
      </c>
    </row>
    <row r="134">
      <c r="B134" s="3" t="s">
        <v>682</v>
      </c>
      <c r="C134" s="3" t="s">
        <v>643</v>
      </c>
      <c r="D134" s="3" t="s">
        <v>463</v>
      </c>
      <c r="E134" s="3">
        <v>1.0</v>
      </c>
      <c r="F134" s="30">
        <v>2483248.0</v>
      </c>
      <c r="H134" s="3">
        <v>2591180.0</v>
      </c>
      <c r="I134" s="30">
        <f t="shared" ref="I134:I135" si="72">100-ABS(H134-F134)/F134*100</f>
        <v>95.65359561</v>
      </c>
      <c r="J134" s="30">
        <f t="shared" ref="J134:J135" si="73">100-ABS($M$497-H134)/H134*100</f>
        <v>0</v>
      </c>
      <c r="M134" s="30">
        <v>1013229.0</v>
      </c>
    </row>
    <row r="135">
      <c r="B135" s="3" t="s">
        <v>682</v>
      </c>
      <c r="C135" s="3" t="s">
        <v>602</v>
      </c>
      <c r="D135" s="3" t="s">
        <v>463</v>
      </c>
      <c r="E135" s="3">
        <v>1.0</v>
      </c>
      <c r="F135" s="30">
        <v>3251346.2</v>
      </c>
      <c r="H135" s="3">
        <v>3248880.0</v>
      </c>
      <c r="I135" s="30">
        <f t="shared" si="72"/>
        <v>99.92414834</v>
      </c>
      <c r="J135" s="30">
        <f t="shared" si="73"/>
        <v>0</v>
      </c>
    </row>
    <row r="137">
      <c r="B137" s="3" t="s">
        <v>689</v>
      </c>
      <c r="C137" s="3" t="s">
        <v>643</v>
      </c>
      <c r="D137" s="3" t="s">
        <v>463</v>
      </c>
      <c r="E137" s="3">
        <v>1.0</v>
      </c>
      <c r="F137" s="30">
        <v>1940263.6</v>
      </c>
      <c r="H137" s="30">
        <v>649776.2</v>
      </c>
      <c r="I137" s="30">
        <f t="shared" ref="I137:I138" si="74">100-ABS(H137-F137)/F137*100</f>
        <v>33.48906819</v>
      </c>
      <c r="J137" s="30">
        <f t="shared" ref="J137:J138" si="75">100-ABS($M$497-H137)/H137*100</f>
        <v>0</v>
      </c>
      <c r="L137" s="30">
        <v>649776.2</v>
      </c>
    </row>
    <row r="138">
      <c r="B138" s="3" t="s">
        <v>689</v>
      </c>
      <c r="C138" s="3" t="s">
        <v>602</v>
      </c>
      <c r="D138" s="3" t="s">
        <v>463</v>
      </c>
      <c r="E138" s="3">
        <v>1.0</v>
      </c>
      <c r="F138" s="30">
        <v>3165292.0</v>
      </c>
      <c r="H138" s="30">
        <v>1172766.8</v>
      </c>
      <c r="I138" s="30">
        <f t="shared" si="74"/>
        <v>37.05082501</v>
      </c>
      <c r="J138" s="30">
        <f t="shared" si="75"/>
        <v>0</v>
      </c>
      <c r="L138" s="30">
        <v>1172766.8</v>
      </c>
    </row>
    <row r="140">
      <c r="E140" s="30" t="str">
        <f>"map=["&amp;I125&amp;", "&amp;I126&amp;", "&amp;I128&amp;", "&amp;I129&amp;", "&amp;I131&amp;", "&amp;I132&amp;", "&amp;I134&amp;", "&amp;I135&amp;"]"</f>
        <v>map=[94.7103434724552, 94.6297431281576, 98.0897308123935, 98.7615042635082, 98.177610635759, 97.0360885136902, 95.6535956134869, 99.9241483420006]</v>
      </c>
    </row>
    <row r="142">
      <c r="I142" s="3">
        <v>4000000.0</v>
      </c>
      <c r="J142" s="30">
        <f>log(I142)</f>
        <v>6.602059991</v>
      </c>
      <c r="K142" s="30">
        <f>J142*100000</f>
        <v>660205.9991</v>
      </c>
    </row>
    <row r="144">
      <c r="J144" s="3" t="s">
        <v>671</v>
      </c>
      <c r="K144" s="3">
        <v>797428.0</v>
      </c>
      <c r="L144" s="30">
        <f>K144/K142</f>
        <v>1.207847249</v>
      </c>
    </row>
    <row r="149">
      <c r="I149" s="3" t="s">
        <v>749</v>
      </c>
      <c r="J149" s="3">
        <v>2389500.0</v>
      </c>
      <c r="K149" s="3">
        <v>3206020.0</v>
      </c>
      <c r="N149" s="30" t="str">
        <f>J150*L134</f>
        <v>#DIV/0!</v>
      </c>
    </row>
    <row r="150">
      <c r="J150" s="30" t="str">
        <f>J149/L134</f>
        <v>#DIV/0!</v>
      </c>
      <c r="K150" s="30" t="str">
        <f>K149/L134</f>
        <v>#DIV/0!</v>
      </c>
    </row>
  </sheetData>
  <mergeCells count="10">
    <mergeCell ref="I49:J49"/>
    <mergeCell ref="L49:M49"/>
    <mergeCell ref="C40:D40"/>
    <mergeCell ref="F40:G40"/>
    <mergeCell ref="I40:J40"/>
    <mergeCell ref="L40:M40"/>
    <mergeCell ref="O40:P40"/>
    <mergeCell ref="C49:D49"/>
    <mergeCell ref="F49:G49"/>
    <mergeCell ref="O49:P4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86"/>
  </cols>
  <sheetData>
    <row r="6">
      <c r="A6" s="102" t="s">
        <v>761</v>
      </c>
      <c r="B6" s="102" t="s">
        <v>762</v>
      </c>
      <c r="C6" s="102" t="s">
        <v>763</v>
      </c>
      <c r="D6" s="102" t="s">
        <v>764</v>
      </c>
      <c r="E6" s="102" t="s">
        <v>765</v>
      </c>
      <c r="F6" s="102" t="s">
        <v>766</v>
      </c>
      <c r="G6" s="102" t="s">
        <v>767</v>
      </c>
      <c r="H6" s="3" t="s">
        <v>768</v>
      </c>
      <c r="I6" s="102" t="s">
        <v>764</v>
      </c>
    </row>
    <row r="7">
      <c r="A7" s="103">
        <v>1.0</v>
      </c>
      <c r="B7" s="104" t="s">
        <v>769</v>
      </c>
      <c r="C7" s="105">
        <v>163.0</v>
      </c>
      <c r="D7" s="105">
        <v>32.6</v>
      </c>
      <c r="E7" s="106">
        <v>3.73439988E8</v>
      </c>
      <c r="F7" s="106">
        <v>8.12886069E8</v>
      </c>
      <c r="G7" s="106">
        <v>1.0036584E7</v>
      </c>
      <c r="H7" s="3" t="s">
        <v>548</v>
      </c>
      <c r="I7" s="105">
        <v>32.6</v>
      </c>
    </row>
    <row r="8">
      <c r="A8" s="103">
        <v>2.0</v>
      </c>
      <c r="B8" s="104" t="s">
        <v>770</v>
      </c>
      <c r="C8" s="105">
        <v>140.0</v>
      </c>
      <c r="D8" s="105">
        <v>28.0</v>
      </c>
      <c r="E8" s="106">
        <v>2.68664224E8</v>
      </c>
      <c r="F8" s="106">
        <v>3.76073808E8</v>
      </c>
      <c r="G8" s="106">
        <v>9472624.0</v>
      </c>
      <c r="H8" s="3" t="s">
        <v>548</v>
      </c>
      <c r="I8" s="105">
        <v>28.0</v>
      </c>
    </row>
    <row r="9">
      <c r="A9" s="103">
        <v>3.0</v>
      </c>
      <c r="B9" s="104" t="s">
        <v>771</v>
      </c>
      <c r="C9" s="105">
        <v>49.0</v>
      </c>
      <c r="D9" s="105">
        <v>9.8</v>
      </c>
      <c r="E9" s="106">
        <v>1.8162946E8</v>
      </c>
      <c r="F9" s="106">
        <v>3.23872144E8</v>
      </c>
      <c r="G9" s="106">
        <v>3886588.0</v>
      </c>
      <c r="H9" s="3" t="s">
        <v>548</v>
      </c>
      <c r="I9" s="105">
        <v>9.8</v>
      </c>
    </row>
    <row r="10">
      <c r="A10" s="103">
        <v>4.0</v>
      </c>
      <c r="B10" s="104" t="s">
        <v>772</v>
      </c>
      <c r="C10" s="105">
        <v>31.0</v>
      </c>
      <c r="D10" s="105">
        <v>6.2</v>
      </c>
      <c r="E10" s="106">
        <v>1.25905488E8</v>
      </c>
      <c r="F10" s="106">
        <v>1.96183217E8</v>
      </c>
      <c r="G10" s="106">
        <v>2406096.0</v>
      </c>
      <c r="H10" s="3" t="s">
        <v>548</v>
      </c>
      <c r="I10" s="105">
        <v>6.2</v>
      </c>
    </row>
    <row r="11">
      <c r="A11" s="103">
        <v>5.0</v>
      </c>
      <c r="B11" s="104" t="s">
        <v>773</v>
      </c>
      <c r="C11" s="105">
        <v>24.0</v>
      </c>
      <c r="D11" s="105">
        <v>4.8</v>
      </c>
      <c r="E11" s="106">
        <v>8.118616E7</v>
      </c>
      <c r="F11" s="106">
        <v>1.11489845E8</v>
      </c>
      <c r="G11" s="106">
        <v>2568522.0</v>
      </c>
      <c r="H11" s="3" t="s">
        <v>548</v>
      </c>
      <c r="I11" s="105">
        <v>4.8</v>
      </c>
    </row>
    <row r="12">
      <c r="A12" s="103">
        <v>6.0</v>
      </c>
      <c r="B12" s="104" t="s">
        <v>774</v>
      </c>
      <c r="C12" s="105">
        <v>19.0</v>
      </c>
      <c r="D12" s="105">
        <v>3.8</v>
      </c>
      <c r="E12" s="106">
        <v>8.395702E7</v>
      </c>
      <c r="F12" s="106">
        <v>1.38730409E8</v>
      </c>
      <c r="G12" s="106">
        <v>1748976.0</v>
      </c>
      <c r="H12" s="3" t="s">
        <v>548</v>
      </c>
      <c r="I12" s="105">
        <v>3.8</v>
      </c>
    </row>
    <row r="13">
      <c r="A13" s="103">
        <v>7.0</v>
      </c>
      <c r="B13" s="104" t="s">
        <v>775</v>
      </c>
      <c r="C13" s="105">
        <v>19.0</v>
      </c>
      <c r="D13" s="105">
        <v>3.8</v>
      </c>
      <c r="E13" s="106">
        <v>1.9262174E8</v>
      </c>
      <c r="F13" s="106">
        <v>2.6750625E8</v>
      </c>
      <c r="G13" s="106">
        <v>3754688.0</v>
      </c>
      <c r="H13" s="3" t="s">
        <v>120</v>
      </c>
      <c r="I13" s="105">
        <v>3.8</v>
      </c>
    </row>
    <row r="14">
      <c r="A14" s="103">
        <v>8.0</v>
      </c>
      <c r="B14" s="104" t="s">
        <v>776</v>
      </c>
      <c r="C14" s="105">
        <v>9.0</v>
      </c>
      <c r="D14" s="105">
        <v>1.8</v>
      </c>
      <c r="E14" s="106">
        <v>9.611161E7</v>
      </c>
      <c r="F14" s="106">
        <v>1.83141296E8</v>
      </c>
      <c r="G14" s="106">
        <v>4139324.0</v>
      </c>
      <c r="H14" s="3" t="s">
        <v>548</v>
      </c>
      <c r="I14" s="105">
        <v>1.8</v>
      </c>
    </row>
    <row r="15">
      <c r="A15" s="103">
        <v>9.0</v>
      </c>
      <c r="B15" s="104" t="s">
        <v>777</v>
      </c>
      <c r="C15" s="105">
        <v>8.0</v>
      </c>
      <c r="D15" s="105">
        <v>1.6</v>
      </c>
      <c r="E15" s="106">
        <v>3.13031E8</v>
      </c>
      <c r="F15" s="106">
        <v>4.19573103E8</v>
      </c>
      <c r="G15" s="106">
        <v>5104640.0</v>
      </c>
      <c r="H15" s="3" t="s">
        <v>778</v>
      </c>
      <c r="I15" s="105">
        <v>1.6</v>
      </c>
    </row>
    <row r="16">
      <c r="A16" s="103">
        <v>10.0</v>
      </c>
      <c r="B16" s="104" t="s">
        <v>779</v>
      </c>
      <c r="C16" s="105">
        <v>8.0</v>
      </c>
      <c r="D16" s="105">
        <v>1.6</v>
      </c>
      <c r="E16" s="106">
        <v>8.4595496E7</v>
      </c>
      <c r="F16" s="106">
        <v>1.3516081E8</v>
      </c>
      <c r="G16" s="106">
        <v>5959252.0</v>
      </c>
      <c r="H16" s="3" t="s">
        <v>548</v>
      </c>
      <c r="I16" s="105">
        <v>1.6</v>
      </c>
    </row>
    <row r="17">
      <c r="A17" s="103">
        <v>11.0</v>
      </c>
      <c r="B17" s="104" t="s">
        <v>780</v>
      </c>
      <c r="C17" s="105">
        <v>5.0</v>
      </c>
      <c r="D17" s="105">
        <v>1.0</v>
      </c>
      <c r="E17" s="106">
        <v>1.07849E7</v>
      </c>
      <c r="F17" s="106">
        <v>2.922992E7</v>
      </c>
      <c r="G17" s="106">
        <v>464184.0</v>
      </c>
      <c r="H17" s="3" t="s">
        <v>548</v>
      </c>
      <c r="I17" s="105">
        <v>1.0</v>
      </c>
    </row>
    <row r="18">
      <c r="A18" s="103">
        <v>12.0</v>
      </c>
      <c r="B18" s="104" t="s">
        <v>781</v>
      </c>
      <c r="C18" s="105">
        <v>4.0</v>
      </c>
      <c r="D18" s="105">
        <v>0.8</v>
      </c>
      <c r="E18" s="106">
        <v>1.769436E7</v>
      </c>
      <c r="F18" s="106">
        <v>2.5487156E7</v>
      </c>
      <c r="G18" s="106">
        <v>345512.0</v>
      </c>
      <c r="H18" s="3" t="s">
        <v>548</v>
      </c>
      <c r="I18" s="105">
        <v>0.8</v>
      </c>
    </row>
    <row r="19">
      <c r="A19" s="103">
        <v>13.0</v>
      </c>
      <c r="B19" s="104" t="s">
        <v>782</v>
      </c>
      <c r="C19" s="105">
        <v>4.0</v>
      </c>
      <c r="D19" s="105">
        <v>0.8</v>
      </c>
      <c r="E19" s="106">
        <v>6718600.0</v>
      </c>
      <c r="F19" s="106">
        <v>1.0138928E7</v>
      </c>
      <c r="G19" s="106">
        <v>389400.0</v>
      </c>
      <c r="H19" s="3" t="s">
        <v>548</v>
      </c>
      <c r="I19" s="105">
        <v>0.8</v>
      </c>
    </row>
    <row r="20">
      <c r="A20" s="103">
        <v>14.0</v>
      </c>
      <c r="B20" s="104" t="s">
        <v>783</v>
      </c>
      <c r="C20" s="105">
        <v>4.0</v>
      </c>
      <c r="D20" s="105">
        <v>0.8</v>
      </c>
      <c r="E20" s="106">
        <v>4.672193E8</v>
      </c>
      <c r="F20" s="106">
        <v>5.66821173E8</v>
      </c>
      <c r="G20" s="106">
        <v>8054784.0</v>
      </c>
      <c r="H20" s="3" t="s">
        <v>784</v>
      </c>
      <c r="I20" s="105">
        <v>0.8</v>
      </c>
    </row>
    <row r="21">
      <c r="A21" s="103">
        <v>15.0</v>
      </c>
      <c r="B21" s="104" t="s">
        <v>785</v>
      </c>
      <c r="C21" s="105">
        <v>2.0</v>
      </c>
      <c r="D21" s="105">
        <v>0.4</v>
      </c>
      <c r="E21" s="106">
        <v>1.04883E7</v>
      </c>
      <c r="F21" s="106">
        <v>1.487064E7</v>
      </c>
      <c r="G21" s="106">
        <v>49408.0</v>
      </c>
      <c r="H21" s="3" t="s">
        <v>786</v>
      </c>
      <c r="I21" s="105">
        <v>0.4</v>
      </c>
    </row>
    <row r="22">
      <c r="A22" s="103">
        <v>16.0</v>
      </c>
      <c r="B22" s="104" t="s">
        <v>787</v>
      </c>
      <c r="C22" s="105">
        <v>2.0</v>
      </c>
      <c r="D22" s="105">
        <v>0.4</v>
      </c>
      <c r="E22" s="106">
        <v>3393510.0</v>
      </c>
      <c r="F22" s="106">
        <v>8.417024E7</v>
      </c>
      <c r="G22" s="106">
        <v>2391200.0</v>
      </c>
      <c r="H22" s="3" t="s">
        <v>548</v>
      </c>
      <c r="I22" s="105">
        <v>0.4</v>
      </c>
    </row>
    <row r="23">
      <c r="A23" s="103">
        <v>17.0</v>
      </c>
      <c r="B23" s="104" t="s">
        <v>788</v>
      </c>
      <c r="C23" s="105">
        <v>2.0</v>
      </c>
      <c r="D23" s="105">
        <v>0.4</v>
      </c>
      <c r="E23" s="106">
        <v>3407000.0</v>
      </c>
      <c r="F23" s="106">
        <v>5041152.0</v>
      </c>
      <c r="G23" s="106">
        <v>246720.0</v>
      </c>
      <c r="H23" s="3" t="s">
        <v>120</v>
      </c>
      <c r="I23" s="105">
        <v>0.4</v>
      </c>
    </row>
    <row r="24">
      <c r="A24" s="103">
        <v>18.0</v>
      </c>
      <c r="B24" s="104" t="s">
        <v>789</v>
      </c>
      <c r="C24" s="105">
        <v>1.0</v>
      </c>
      <c r="D24" s="105">
        <v>0.2</v>
      </c>
      <c r="E24" s="106">
        <v>1833000.0</v>
      </c>
      <c r="F24" s="106">
        <v>2298240.0</v>
      </c>
      <c r="G24" s="106">
        <v>143640.0</v>
      </c>
      <c r="H24" s="3" t="s">
        <v>786</v>
      </c>
      <c r="I24" s="105">
        <v>0.2</v>
      </c>
    </row>
    <row r="25">
      <c r="A25" s="103">
        <v>19.0</v>
      </c>
      <c r="B25" s="104" t="s">
        <v>790</v>
      </c>
      <c r="C25" s="105">
        <v>1.0</v>
      </c>
      <c r="D25" s="105">
        <v>0.2</v>
      </c>
      <c r="E25" s="106">
        <v>3157000.0</v>
      </c>
      <c r="F25" s="106">
        <v>3481056.0</v>
      </c>
      <c r="G25" s="106">
        <v>110160.0</v>
      </c>
      <c r="H25" s="3" t="s">
        <v>786</v>
      </c>
      <c r="I25" s="105">
        <v>0.2</v>
      </c>
    </row>
    <row r="26">
      <c r="A26" s="103">
        <v>20.0</v>
      </c>
      <c r="B26" s="104" t="s">
        <v>791</v>
      </c>
      <c r="C26" s="105">
        <v>1.0</v>
      </c>
      <c r="D26" s="105">
        <v>0.2</v>
      </c>
      <c r="E26" s="106">
        <v>1587000.0</v>
      </c>
      <c r="F26" s="106">
        <v>1931625.0</v>
      </c>
      <c r="G26" s="106">
        <v>62944.0</v>
      </c>
      <c r="H26" s="3" t="s">
        <v>778</v>
      </c>
      <c r="I26" s="105">
        <v>0.2</v>
      </c>
    </row>
    <row r="27">
      <c r="A27" s="103">
        <v>21.0</v>
      </c>
      <c r="B27" s="104" t="s">
        <v>792</v>
      </c>
      <c r="C27" s="105">
        <v>1.0</v>
      </c>
      <c r="D27" s="105">
        <v>0.2</v>
      </c>
      <c r="E27" s="106">
        <v>1431102.0</v>
      </c>
      <c r="F27" s="106">
        <v>1677722.0</v>
      </c>
      <c r="G27" s="106">
        <v>131072.0</v>
      </c>
      <c r="H27" s="3" t="s">
        <v>786</v>
      </c>
      <c r="I27" s="105">
        <v>0.2</v>
      </c>
    </row>
    <row r="28">
      <c r="A28" s="103">
        <v>22.0</v>
      </c>
      <c r="B28" s="104" t="s">
        <v>793</v>
      </c>
      <c r="C28" s="105">
        <v>1.0</v>
      </c>
      <c r="D28" s="105">
        <v>0.2</v>
      </c>
      <c r="E28" s="106">
        <v>4325000.0</v>
      </c>
      <c r="F28" s="106">
        <v>6134170.0</v>
      </c>
      <c r="G28" s="106">
        <v>163840.0</v>
      </c>
      <c r="H28" s="3" t="s">
        <v>786</v>
      </c>
      <c r="I28" s="105">
        <v>0.2</v>
      </c>
    </row>
    <row r="29">
      <c r="A29" s="103">
        <v>23.0</v>
      </c>
      <c r="B29" s="104" t="s">
        <v>794</v>
      </c>
      <c r="C29" s="105">
        <v>1.0</v>
      </c>
      <c r="D29" s="105">
        <v>0.2</v>
      </c>
      <c r="E29" s="106">
        <v>2566000.0</v>
      </c>
      <c r="F29" s="106">
        <v>4701000.0</v>
      </c>
      <c r="G29" s="106">
        <v>186368.0</v>
      </c>
      <c r="H29" s="3" t="s">
        <v>548</v>
      </c>
      <c r="I29" s="105">
        <v>0.2</v>
      </c>
    </row>
    <row r="30">
      <c r="A30" s="103">
        <v>24.0</v>
      </c>
      <c r="B30" s="104" t="s">
        <v>795</v>
      </c>
      <c r="C30" s="105">
        <v>1.0</v>
      </c>
      <c r="D30" s="105">
        <v>0.2</v>
      </c>
      <c r="E30" s="106">
        <v>9.3014594E7</v>
      </c>
      <c r="F30" s="106">
        <v>1.25435904E8</v>
      </c>
      <c r="G30" s="106">
        <v>1.06496E7</v>
      </c>
      <c r="H30" s="3" t="s">
        <v>786</v>
      </c>
      <c r="I30" s="105">
        <v>0.2</v>
      </c>
    </row>
    <row r="34"/>
    <row r="35"/>
    <row r="36"/>
    <row r="37"/>
    <row r="38"/>
    <row r="39"/>
    <row r="40"/>
    <row r="46">
      <c r="A46" s="3" t="s">
        <v>799</v>
      </c>
      <c r="B46" s="107" t="s">
        <v>800</v>
      </c>
      <c r="C46" s="107" t="s">
        <v>763</v>
      </c>
      <c r="D46" s="107" t="s">
        <v>764</v>
      </c>
      <c r="E46" s="107" t="s">
        <v>765</v>
      </c>
      <c r="F46" s="107" t="s">
        <v>766</v>
      </c>
      <c r="G46" s="107" t="s">
        <v>767</v>
      </c>
      <c r="H46" s="3" t="s">
        <v>768</v>
      </c>
    </row>
    <row r="47">
      <c r="A47" s="103">
        <v>1.0</v>
      </c>
      <c r="B47" s="108" t="s">
        <v>801</v>
      </c>
      <c r="C47" s="109">
        <v>110.0</v>
      </c>
      <c r="D47" s="109">
        <v>22.0</v>
      </c>
      <c r="E47" s="110">
        <v>6.3583497E8</v>
      </c>
      <c r="F47" s="110">
        <v>1.053763692E9</v>
      </c>
      <c r="G47" s="110">
        <v>1.216804E7</v>
      </c>
      <c r="H47" s="3" t="s">
        <v>802</v>
      </c>
    </row>
    <row r="48">
      <c r="A48" s="103">
        <v>2.0</v>
      </c>
      <c r="B48" s="108" t="s">
        <v>803</v>
      </c>
      <c r="C48" s="109">
        <v>14.0</v>
      </c>
      <c r="D48" s="109">
        <v>2.8</v>
      </c>
      <c r="E48" s="110">
        <v>6.480754E7</v>
      </c>
      <c r="F48" s="110">
        <v>1.00487954E8</v>
      </c>
      <c r="G48" s="110">
        <v>1324504.0</v>
      </c>
      <c r="H48" s="3" t="s">
        <v>802</v>
      </c>
    </row>
    <row r="49">
      <c r="A49" s="103">
        <v>3.0</v>
      </c>
      <c r="B49" s="108" t="s">
        <v>804</v>
      </c>
      <c r="C49" s="109">
        <v>8.0</v>
      </c>
      <c r="D49" s="109">
        <v>1.6</v>
      </c>
      <c r="E49" s="110">
        <v>2.226966E7</v>
      </c>
      <c r="F49" s="110">
        <v>3.8079725E7</v>
      </c>
      <c r="G49" s="110">
        <v>602878.0</v>
      </c>
      <c r="H49" s="3" t="s">
        <v>802</v>
      </c>
    </row>
    <row r="50">
      <c r="A50" s="103">
        <v>4.0</v>
      </c>
      <c r="B50" s="108" t="s">
        <v>805</v>
      </c>
      <c r="C50" s="109">
        <v>6.0</v>
      </c>
      <c r="D50" s="109">
        <v>1.2</v>
      </c>
      <c r="E50" s="110">
        <v>1.2057E8</v>
      </c>
      <c r="F50" s="110">
        <v>1.6853419E8</v>
      </c>
      <c r="G50" s="110">
        <v>1127744.0</v>
      </c>
      <c r="H50" s="3" t="s">
        <v>802</v>
      </c>
    </row>
    <row r="51">
      <c r="A51" s="103">
        <v>5.0</v>
      </c>
      <c r="B51" s="108" t="s">
        <v>776</v>
      </c>
      <c r="C51" s="109">
        <v>3.0</v>
      </c>
      <c r="D51" s="109">
        <v>0.6</v>
      </c>
      <c r="E51" s="110">
        <v>6068250.0</v>
      </c>
      <c r="F51" s="110">
        <v>8474207.0</v>
      </c>
      <c r="G51" s="110">
        <v>446232.0</v>
      </c>
      <c r="H51" s="3" t="s">
        <v>548</v>
      </c>
    </row>
    <row r="52">
      <c r="A52" s="103">
        <v>6.0</v>
      </c>
      <c r="B52" s="108" t="s">
        <v>806</v>
      </c>
      <c r="C52" s="109">
        <v>1.0</v>
      </c>
      <c r="D52" s="109">
        <v>0.2</v>
      </c>
      <c r="E52" s="110">
        <v>6.14445E7</v>
      </c>
      <c r="F52" s="110">
        <v>1.00678664E8</v>
      </c>
      <c r="G52" s="110">
        <v>4981760.0</v>
      </c>
      <c r="H52" s="3" t="s">
        <v>807</v>
      </c>
    </row>
    <row r="53">
      <c r="A53" s="103">
        <v>7.0</v>
      </c>
      <c r="B53" s="108" t="s">
        <v>808</v>
      </c>
      <c r="C53" s="109">
        <v>1.0</v>
      </c>
      <c r="D53" s="109">
        <v>0.2</v>
      </c>
      <c r="E53" s="110">
        <v>1652900.0</v>
      </c>
      <c r="F53" s="110">
        <v>3137870.0</v>
      </c>
      <c r="G53" s="110">
        <v>1664.0</v>
      </c>
      <c r="H53" s="3" t="s">
        <v>809</v>
      </c>
    </row>
    <row r="54">
      <c r="A54" s="103">
        <v>8.0</v>
      </c>
      <c r="B54" s="108" t="s">
        <v>810</v>
      </c>
      <c r="C54" s="109">
        <v>1.0</v>
      </c>
      <c r="D54" s="109">
        <v>0.2</v>
      </c>
      <c r="E54" s="110">
        <v>1661000.0</v>
      </c>
      <c r="F54" s="110">
        <v>2472960.0</v>
      </c>
      <c r="G54" s="110">
        <v>100800.0</v>
      </c>
      <c r="H54" s="3" t="s">
        <v>120</v>
      </c>
    </row>
    <row r="55">
      <c r="A55" s="103">
        <v>9.0</v>
      </c>
      <c r="B55" s="108" t="s">
        <v>811</v>
      </c>
      <c r="C55" s="109">
        <v>1.0</v>
      </c>
      <c r="D55" s="109">
        <v>0.2</v>
      </c>
      <c r="E55" s="110">
        <v>2566000.0</v>
      </c>
      <c r="F55" s="110">
        <v>4701000.0</v>
      </c>
      <c r="G55" s="110">
        <v>186368.0</v>
      </c>
      <c r="H55" s="3" t="s">
        <v>802</v>
      </c>
    </row>
    <row r="56">
      <c r="A56" s="103">
        <v>10.0</v>
      </c>
      <c r="B56" s="108" t="s">
        <v>812</v>
      </c>
      <c r="C56" s="109">
        <v>1.0</v>
      </c>
      <c r="D56" s="109">
        <v>0.2</v>
      </c>
      <c r="E56" s="110">
        <v>3126240.0</v>
      </c>
      <c r="F56" s="110">
        <v>5610481.0</v>
      </c>
      <c r="G56" s="110">
        <v>152692.0</v>
      </c>
      <c r="H56" s="3" t="s">
        <v>813</v>
      </c>
    </row>
    <row r="60"/>
    <row r="61"/>
    <row r="62">
      <c r="G62" s="3" t="s">
        <v>814</v>
      </c>
      <c r="H62" s="3">
        <v>146.0</v>
      </c>
      <c r="I62" s="3" t="s">
        <v>232</v>
      </c>
    </row>
    <row r="63">
      <c r="G63" s="3" t="s">
        <v>802</v>
      </c>
      <c r="H63" s="3">
        <v>139.0</v>
      </c>
      <c r="I63" s="30">
        <f t="shared" ref="I63:I65" si="1">H63/$H$62*100</f>
        <v>95.20547945</v>
      </c>
    </row>
    <row r="64">
      <c r="G64" s="3" t="s">
        <v>548</v>
      </c>
      <c r="H64" s="3">
        <v>3.0</v>
      </c>
      <c r="I64" s="30">
        <f t="shared" si="1"/>
        <v>2.054794521</v>
      </c>
    </row>
    <row r="65">
      <c r="G65" s="3" t="s">
        <v>120</v>
      </c>
      <c r="H65" s="3">
        <v>1.0</v>
      </c>
      <c r="I65" s="30">
        <f t="shared" si="1"/>
        <v>0.6849315068</v>
      </c>
    </row>
    <row r="66"/>
    <row r="67"/>
  </sheetData>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6.14"/>
  </cols>
  <sheetData>
    <row r="2">
      <c r="B2" s="2" t="s">
        <v>815</v>
      </c>
      <c r="C2" s="3" t="s">
        <v>816</v>
      </c>
      <c r="F2" s="3" t="s">
        <v>817</v>
      </c>
    </row>
    <row r="3">
      <c r="A3" s="3">
        <v>1.0</v>
      </c>
      <c r="B3" s="3" t="s">
        <v>818</v>
      </c>
      <c r="C3" s="3" t="s">
        <v>819</v>
      </c>
      <c r="D3" s="2" t="s">
        <v>820</v>
      </c>
    </row>
    <row r="4">
      <c r="A4" s="3">
        <v>2.0</v>
      </c>
      <c r="B4" s="3" t="s">
        <v>821</v>
      </c>
      <c r="C4" s="3" t="s">
        <v>822</v>
      </c>
      <c r="D4" s="3" t="s">
        <v>823</v>
      </c>
      <c r="F4" s="3" t="s">
        <v>824</v>
      </c>
    </row>
    <row r="5">
      <c r="A5" s="3">
        <v>3.0</v>
      </c>
      <c r="B5" s="3" t="s">
        <v>825</v>
      </c>
      <c r="C5" s="3" t="s">
        <v>826</v>
      </c>
      <c r="D5" s="3" t="s">
        <v>827</v>
      </c>
      <c r="F5" s="3" t="s">
        <v>828</v>
      </c>
    </row>
    <row r="6">
      <c r="A6" s="3">
        <v>4.0</v>
      </c>
      <c r="B6" s="3" t="s">
        <v>829</v>
      </c>
      <c r="C6" s="3" t="s">
        <v>822</v>
      </c>
      <c r="D6" s="3" t="s">
        <v>823</v>
      </c>
      <c r="F6" s="3" t="s">
        <v>830</v>
      </c>
    </row>
    <row r="7">
      <c r="A7" s="3">
        <v>5.0</v>
      </c>
      <c r="B7" s="3" t="s">
        <v>831</v>
      </c>
      <c r="C7" s="3" t="s">
        <v>822</v>
      </c>
      <c r="D7" s="3" t="s">
        <v>832</v>
      </c>
      <c r="F7" s="3" t="s">
        <v>833</v>
      </c>
    </row>
    <row r="12">
      <c r="B12" s="3" t="s">
        <v>829</v>
      </c>
    </row>
    <row r="13">
      <c r="B13" s="3" t="s">
        <v>834</v>
      </c>
      <c r="F13" s="3" t="s">
        <v>835</v>
      </c>
    </row>
    <row r="14">
      <c r="B14" s="3" t="s">
        <v>486</v>
      </c>
      <c r="C14" s="2">
        <v>2.0497688E7</v>
      </c>
      <c r="D14" s="30">
        <f t="shared" ref="D14:D15" si="1">C14*64</f>
        <v>1311852032</v>
      </c>
      <c r="E14" s="30">
        <f t="shared" ref="E14:E15" si="2">D14/8</f>
        <v>163981504</v>
      </c>
      <c r="F14" s="30">
        <f>E14/6</f>
        <v>27330250.67</v>
      </c>
    </row>
    <row r="15">
      <c r="B15" s="3" t="s">
        <v>449</v>
      </c>
      <c r="C15" s="2">
        <v>1.0270797E7</v>
      </c>
      <c r="D15" s="30">
        <f t="shared" si="1"/>
        <v>657331008</v>
      </c>
      <c r="E15" s="30">
        <f t="shared" si="2"/>
        <v>82166376</v>
      </c>
      <c r="F15" s="30">
        <f>E15/3</f>
        <v>27388792</v>
      </c>
    </row>
    <row r="17">
      <c r="B17" s="3" t="s">
        <v>836</v>
      </c>
    </row>
    <row r="19">
      <c r="B19" s="3" t="s">
        <v>836</v>
      </c>
      <c r="C19" s="3" t="s">
        <v>837</v>
      </c>
      <c r="D19" s="3" t="s">
        <v>838</v>
      </c>
      <c r="E19" s="3" t="s">
        <v>839</v>
      </c>
      <c r="F19" s="2" t="s">
        <v>840</v>
      </c>
      <c r="H19" s="3" t="s">
        <v>498</v>
      </c>
    </row>
    <row r="20">
      <c r="B20" s="3" t="s">
        <v>486</v>
      </c>
      <c r="C20" s="3">
        <v>300.0</v>
      </c>
      <c r="D20" s="3">
        <f t="shared" ref="D20:D21" si="3">C20*C20*C20</f>
        <v>27000000</v>
      </c>
      <c r="E20" s="30">
        <f t="shared" ref="E20:E21" si="4">D20*8/64</f>
        <v>3375000</v>
      </c>
      <c r="F20" s="111">
        <f>E20*6</f>
        <v>20250000</v>
      </c>
      <c r="H20" s="30">
        <f t="shared" ref="H20:H21" si="5">100-(C14-F20)/C14*100</f>
        <v>98.79162957</v>
      </c>
    </row>
    <row r="21">
      <c r="B21" s="3" t="s">
        <v>449</v>
      </c>
      <c r="C21" s="3">
        <v>300.0</v>
      </c>
      <c r="D21" s="3">
        <f t="shared" si="3"/>
        <v>27000000</v>
      </c>
      <c r="E21" s="30">
        <f t="shared" si="4"/>
        <v>3375000</v>
      </c>
      <c r="F21" s="111">
        <f>E21*3</f>
        <v>10125000</v>
      </c>
      <c r="H21" s="30">
        <f t="shared" si="5"/>
        <v>98.58047043</v>
      </c>
    </row>
    <row r="24">
      <c r="B24" s="3" t="s">
        <v>825</v>
      </c>
    </row>
    <row r="26">
      <c r="B26" s="3" t="s">
        <v>834</v>
      </c>
      <c r="F26" s="3" t="s">
        <v>835</v>
      </c>
      <c r="G26" s="3" t="s">
        <v>283</v>
      </c>
      <c r="H26" s="3" t="s">
        <v>498</v>
      </c>
    </row>
    <row r="27">
      <c r="B27" s="3" t="s">
        <v>486</v>
      </c>
      <c r="C27" s="2">
        <v>134371.0</v>
      </c>
      <c r="D27" s="30">
        <f t="shared" ref="D27:D28" si="6">C27*64</f>
        <v>8599744</v>
      </c>
      <c r="E27" s="30">
        <f t="shared" ref="E27:E28" si="7">D27/8</f>
        <v>1074968</v>
      </c>
      <c r="F27" s="30">
        <f>E27/12</f>
        <v>89580.66667</v>
      </c>
    </row>
    <row r="28">
      <c r="B28" s="3" t="s">
        <v>449</v>
      </c>
      <c r="C28" s="2">
        <v>55783.0</v>
      </c>
      <c r="D28" s="30">
        <f t="shared" si="6"/>
        <v>3570112</v>
      </c>
      <c r="E28" s="30">
        <f t="shared" si="7"/>
        <v>446264</v>
      </c>
      <c r="F28" s="30">
        <f>E28/6</f>
        <v>74377.33333</v>
      </c>
    </row>
    <row r="31">
      <c r="B31" s="3" t="s">
        <v>836</v>
      </c>
      <c r="C31" s="3" t="s">
        <v>837</v>
      </c>
      <c r="D31" s="3" t="s">
        <v>838</v>
      </c>
      <c r="E31" s="3" t="s">
        <v>839</v>
      </c>
      <c r="F31" s="2" t="s">
        <v>840</v>
      </c>
      <c r="G31" s="3" t="s">
        <v>283</v>
      </c>
      <c r="H31" s="3" t="s">
        <v>498</v>
      </c>
    </row>
    <row r="32">
      <c r="B32" s="3" t="s">
        <v>486</v>
      </c>
      <c r="C32" s="3">
        <v>300.0</v>
      </c>
      <c r="D32" s="3">
        <f t="shared" ref="D32:D33" si="8">C32*C32+2*C32+1</f>
        <v>90601</v>
      </c>
      <c r="E32" s="30">
        <f>D32*4/64</f>
        <v>5662.5625</v>
      </c>
      <c r="F32" s="111">
        <f t="shared" ref="F32:F33" si="9">E32*6</f>
        <v>33975.375</v>
      </c>
      <c r="G32" s="30">
        <f>F32*2</f>
        <v>67950.75</v>
      </c>
    </row>
    <row r="33">
      <c r="B33" s="3" t="s">
        <v>449</v>
      </c>
      <c r="C33" s="3">
        <v>300.0</v>
      </c>
      <c r="D33" s="3">
        <f t="shared" si="8"/>
        <v>90601</v>
      </c>
      <c r="E33" s="30">
        <f>D33*8/64</f>
        <v>11325.125</v>
      </c>
      <c r="F33" s="111">
        <f t="shared" si="9"/>
        <v>67950.75</v>
      </c>
      <c r="G33" s="30">
        <f>F33</f>
        <v>67950.75</v>
      </c>
    </row>
    <row r="36">
      <c r="B36" s="2" t="s">
        <v>818</v>
      </c>
      <c r="C36" s="3" t="s">
        <v>816</v>
      </c>
      <c r="F36" s="3" t="s">
        <v>817</v>
      </c>
    </row>
    <row r="37">
      <c r="A37" s="3">
        <v>1.0</v>
      </c>
      <c r="B37" s="3" t="s">
        <v>841</v>
      </c>
      <c r="C37" s="3" t="s">
        <v>842</v>
      </c>
    </row>
    <row r="38">
      <c r="A38" s="3">
        <v>2.0</v>
      </c>
      <c r="B38" s="3" t="s">
        <v>843</v>
      </c>
      <c r="C38" s="3" t="s">
        <v>844</v>
      </c>
    </row>
    <row r="39">
      <c r="B39" s="3" t="s">
        <v>845</v>
      </c>
    </row>
    <row r="40">
      <c r="B40" s="3" t="s">
        <v>843</v>
      </c>
    </row>
    <row r="41">
      <c r="A41" s="3">
        <v>1.0</v>
      </c>
      <c r="B41" s="3" t="s">
        <v>846</v>
      </c>
      <c r="C41" s="3" t="s">
        <v>847</v>
      </c>
    </row>
    <row r="42">
      <c r="A42" s="3">
        <v>2.0</v>
      </c>
      <c r="B42" s="3" t="s">
        <v>848</v>
      </c>
      <c r="C42" s="3" t="s">
        <v>849</v>
      </c>
    </row>
    <row r="43">
      <c r="A43" s="3">
        <v>3.0</v>
      </c>
      <c r="B43" s="3" t="s">
        <v>850</v>
      </c>
      <c r="C43" s="3" t="s">
        <v>851</v>
      </c>
    </row>
    <row r="44">
      <c r="I44" s="3" t="s">
        <v>852</v>
      </c>
      <c r="K44" s="3" t="s">
        <v>853</v>
      </c>
    </row>
    <row r="45">
      <c r="I45" s="3">
        <v>1.0</v>
      </c>
      <c r="J45" s="3" t="s">
        <v>854</v>
      </c>
      <c r="K45" s="3" t="s">
        <v>855</v>
      </c>
    </row>
    <row r="46">
      <c r="I46" s="3">
        <v>2.0</v>
      </c>
      <c r="J46" s="3" t="s">
        <v>856</v>
      </c>
      <c r="K46" s="3" t="s">
        <v>857</v>
      </c>
    </row>
    <row r="47">
      <c r="I47" s="3">
        <v>3.0</v>
      </c>
      <c r="J47" s="3" t="s">
        <v>858</v>
      </c>
      <c r="K47" s="3" t="s">
        <v>859</v>
      </c>
    </row>
    <row r="51">
      <c r="B51" s="3" t="s">
        <v>860</v>
      </c>
    </row>
    <row r="55">
      <c r="B55" s="3" t="s">
        <v>730</v>
      </c>
    </row>
    <row r="56">
      <c r="C56" s="3" t="s">
        <v>589</v>
      </c>
      <c r="D56" s="3" t="s">
        <v>636</v>
      </c>
      <c r="H56" s="30">
        <f t="shared" ref="H56:I56" si="10">(H58+H61+H64+H67)/4</f>
        <v>95.92129479</v>
      </c>
      <c r="I56" s="30">
        <f t="shared" si="10"/>
        <v>0</v>
      </c>
    </row>
    <row r="57">
      <c r="E57" s="3" t="s">
        <v>448</v>
      </c>
      <c r="F57" s="3" t="s">
        <v>449</v>
      </c>
      <c r="G57" s="3" t="s">
        <v>283</v>
      </c>
      <c r="H57" s="30">
        <f t="shared" ref="H57:I57" si="11">(H59+H62+H65+H68)/4</f>
        <v>94.37650573</v>
      </c>
      <c r="I57" s="30">
        <f t="shared" si="11"/>
        <v>0</v>
      </c>
    </row>
    <row r="58">
      <c r="A58" s="3" t="s">
        <v>642</v>
      </c>
      <c r="B58" s="3" t="s">
        <v>643</v>
      </c>
      <c r="C58" s="3" t="s">
        <v>463</v>
      </c>
      <c r="D58" s="3">
        <v>1.0</v>
      </c>
      <c r="E58" s="3">
        <v>6.5353985E7</v>
      </c>
      <c r="F58" s="3">
        <v>3.0920411E7</v>
      </c>
      <c r="G58" s="30">
        <f t="shared" ref="G58:G59" si="12">E58+F58</f>
        <v>96274396</v>
      </c>
      <c r="H58" s="30">
        <f t="shared" ref="H58:H59" si="13">100-ABS($L$71-G58)/G58*100</f>
        <v>95.88728866</v>
      </c>
      <c r="I58" s="30">
        <f t="shared" ref="I58:I59" si="14">100-ABS(G58-$L$529)/G58*100</f>
        <v>0</v>
      </c>
    </row>
    <row r="59">
      <c r="A59" s="3" t="s">
        <v>642</v>
      </c>
      <c r="B59" s="3" t="s">
        <v>602</v>
      </c>
      <c r="C59" s="3" t="s">
        <v>463</v>
      </c>
      <c r="D59" s="3">
        <v>1.0</v>
      </c>
      <c r="E59" s="3">
        <v>6.5119514E7</v>
      </c>
      <c r="F59" s="3">
        <v>3.0739446E7</v>
      </c>
      <c r="G59" s="30">
        <f t="shared" si="12"/>
        <v>95858960</v>
      </c>
      <c r="H59" s="30">
        <f t="shared" si="13"/>
        <v>96.30284743</v>
      </c>
      <c r="I59" s="30">
        <f t="shared" si="14"/>
        <v>0</v>
      </c>
    </row>
    <row r="61">
      <c r="A61" s="3" t="s">
        <v>644</v>
      </c>
      <c r="B61" s="3" t="s">
        <v>643</v>
      </c>
      <c r="C61" s="3" t="s">
        <v>463</v>
      </c>
      <c r="D61" s="3">
        <v>1.0</v>
      </c>
      <c r="E61" s="3">
        <v>6.4858279E7</v>
      </c>
      <c r="F61" s="3">
        <v>3.0783103E7</v>
      </c>
      <c r="G61" s="30">
        <f t="shared" ref="G61:G62" si="15">E61+F61</f>
        <v>95641382</v>
      </c>
      <c r="H61" s="30">
        <f t="shared" ref="H61:H62" si="16">100-ABS($L$71-G61)/G61*100</f>
        <v>96.52193022</v>
      </c>
      <c r="I61" s="30">
        <f t="shared" ref="I61:I62" si="17">100-ABS(G61-$L$529)/G61*100</f>
        <v>0</v>
      </c>
    </row>
    <row r="62">
      <c r="A62" s="3" t="s">
        <v>644</v>
      </c>
      <c r="B62" s="3" t="s">
        <v>602</v>
      </c>
      <c r="C62" s="3" t="s">
        <v>463</v>
      </c>
      <c r="D62" s="3">
        <v>1.0</v>
      </c>
      <c r="E62" s="3">
        <v>6.5010431E7</v>
      </c>
      <c r="F62" s="3">
        <v>3.075018E7</v>
      </c>
      <c r="G62" s="30">
        <f t="shared" si="15"/>
        <v>95760611</v>
      </c>
      <c r="H62" s="30">
        <f t="shared" si="16"/>
        <v>96.40175333</v>
      </c>
      <c r="I62" s="30">
        <f t="shared" si="17"/>
        <v>0</v>
      </c>
    </row>
    <row r="64">
      <c r="A64" s="3" t="s">
        <v>647</v>
      </c>
      <c r="B64" s="3" t="s">
        <v>643</v>
      </c>
      <c r="C64" s="3" t="s">
        <v>463</v>
      </c>
      <c r="D64" s="3">
        <v>1.0</v>
      </c>
      <c r="E64" s="3">
        <v>6.5294153E7</v>
      </c>
      <c r="F64" s="3">
        <v>3.0623491E7</v>
      </c>
      <c r="G64" s="30">
        <f t="shared" ref="G64:G65" si="18">E64+F64</f>
        <v>95917644</v>
      </c>
      <c r="H64" s="30">
        <f t="shared" ref="H64:H65" si="19">100-ABS($L$71-G64)/G64*100</f>
        <v>96.24392776</v>
      </c>
      <c r="I64" s="30">
        <f t="shared" ref="I64:I65" si="20">100-ABS(G64-$L$529)/G64*100</f>
        <v>0</v>
      </c>
    </row>
    <row r="65">
      <c r="A65" s="3" t="s">
        <v>647</v>
      </c>
      <c r="B65" s="3" t="s">
        <v>602</v>
      </c>
      <c r="C65" s="3" t="s">
        <v>463</v>
      </c>
      <c r="D65" s="3">
        <v>1.0</v>
      </c>
      <c r="E65" s="3">
        <v>6.5716889E7</v>
      </c>
      <c r="F65" s="3">
        <v>3.0698933E7</v>
      </c>
      <c r="G65" s="30">
        <f t="shared" si="18"/>
        <v>96415822</v>
      </c>
      <c r="H65" s="30">
        <f t="shared" si="19"/>
        <v>95.74663793</v>
      </c>
      <c r="I65" s="30">
        <f t="shared" si="20"/>
        <v>0</v>
      </c>
    </row>
    <row r="66">
      <c r="J66" s="3"/>
      <c r="K66" s="3"/>
      <c r="L66" s="3"/>
    </row>
    <row r="67">
      <c r="A67" s="3" t="s">
        <v>682</v>
      </c>
      <c r="B67" s="3" t="s">
        <v>643</v>
      </c>
      <c r="C67" s="3" t="s">
        <v>463</v>
      </c>
      <c r="D67" s="3">
        <v>1.0</v>
      </c>
      <c r="E67" s="3">
        <v>6.6060631E7</v>
      </c>
      <c r="F67" s="3">
        <v>3.1080202E7</v>
      </c>
      <c r="G67" s="30">
        <f t="shared" ref="G67:G68" si="21">E67+F67</f>
        <v>97140833</v>
      </c>
      <c r="H67" s="30">
        <f t="shared" ref="H67:H68" si="22">100-ABS($L$71-G67)/G67*100</f>
        <v>95.03203251</v>
      </c>
      <c r="I67" s="30">
        <f t="shared" ref="I67:I68" si="23">100-ABS(G67-$L$529)/G67*100</f>
        <v>0</v>
      </c>
      <c r="J67" s="3"/>
      <c r="K67" s="3"/>
      <c r="L67" s="3"/>
    </row>
    <row r="68">
      <c r="A68" s="3" t="s">
        <v>682</v>
      </c>
      <c r="B68" s="3" t="s">
        <v>602</v>
      </c>
      <c r="C68" s="3" t="s">
        <v>463</v>
      </c>
      <c r="D68" s="3">
        <v>1.0</v>
      </c>
      <c r="E68" s="3">
        <v>7.2700941E7</v>
      </c>
      <c r="F68" s="3">
        <v>3.0959866E7</v>
      </c>
      <c r="G68" s="30">
        <f t="shared" si="21"/>
        <v>103660807</v>
      </c>
      <c r="H68" s="30">
        <f t="shared" si="22"/>
        <v>89.05478423</v>
      </c>
      <c r="I68" s="30">
        <f t="shared" si="23"/>
        <v>0</v>
      </c>
      <c r="J68" s="3"/>
      <c r="K68" s="3"/>
      <c r="L68" s="3"/>
    </row>
    <row r="69">
      <c r="J69" s="3"/>
      <c r="K69" s="3"/>
      <c r="L69" s="3"/>
    </row>
    <row r="70">
      <c r="A70" s="3" t="s">
        <v>689</v>
      </c>
      <c r="B70" s="3" t="s">
        <v>643</v>
      </c>
      <c r="C70" s="3" t="s">
        <v>463</v>
      </c>
      <c r="D70" s="3">
        <v>1.0</v>
      </c>
      <c r="E70" s="3">
        <v>6.9177153E7</v>
      </c>
      <c r="F70" s="3">
        <v>3.3760159E7</v>
      </c>
      <c r="G70" s="30">
        <f t="shared" ref="G70:G71" si="24">E70+F70</f>
        <v>102937312</v>
      </c>
      <c r="H70" s="30">
        <f t="shared" ref="H70:H71" si="25">100-ABS($L$71-G70)/G70*100</f>
        <v>89.68070586</v>
      </c>
      <c r="J70" s="3" t="s">
        <v>486</v>
      </c>
      <c r="K70" s="3" t="s">
        <v>648</v>
      </c>
      <c r="L70" s="3" t="s">
        <v>283</v>
      </c>
    </row>
    <row r="71">
      <c r="A71" s="3" t="s">
        <v>689</v>
      </c>
      <c r="B71" s="3" t="s">
        <v>602</v>
      </c>
      <c r="C71" s="3" t="s">
        <v>463</v>
      </c>
      <c r="D71" s="3">
        <v>1.0</v>
      </c>
      <c r="E71" s="3">
        <v>8.3347852E7</v>
      </c>
      <c r="F71" s="3">
        <v>3.8607825E7</v>
      </c>
      <c r="G71" s="30">
        <f t="shared" si="24"/>
        <v>121955677</v>
      </c>
      <c r="H71" s="30">
        <f t="shared" si="25"/>
        <v>75.69545779</v>
      </c>
      <c r="I71" s="3" t="s">
        <v>861</v>
      </c>
      <c r="K71" s="3">
        <v>9.2314908E7</v>
      </c>
      <c r="L71" s="30">
        <f t="shared" ref="L71:L72" si="26">J71+K71</f>
        <v>92314908</v>
      </c>
    </row>
    <row r="72">
      <c r="I72" s="3" t="s">
        <v>650</v>
      </c>
      <c r="J72" s="30">
        <f>$J$525*$K$525/64*2 *16/50</f>
        <v>0</v>
      </c>
      <c r="K72" s="30">
        <f>J72/2</f>
        <v>0</v>
      </c>
      <c r="L72" s="30">
        <f t="shared" si="26"/>
        <v>0</v>
      </c>
    </row>
    <row r="73">
      <c r="D73" s="30" t="str">
        <f>"map=["&amp;H58&amp;", "&amp;H59&amp;", "&amp;H61&amp;", "&amp;H62&amp;", "&amp;H64&amp;", "&amp;H65&amp;", "&amp;H67&amp;", "&amp;H68&amp;"]"</f>
        <v>map=[95.8872886618785, 96.3028474333542, 96.5219302247222, 96.4017533263233, 96.2439277595267, 95.7466379325169, 95.0320325130422, 89.0547842252473]</v>
      </c>
    </row>
    <row r="74">
      <c r="D74" s="30" t="str">
        <f>"lit=["&amp;I58&amp;", "&amp;I59&amp;", "&amp;I61&amp;", "&amp;I62&amp;", "&amp;I64&amp;", "&amp;I65&amp;", "&amp;I67&amp;", "&amp;I68&amp;"]"</f>
        <v>lit=[0, 0, 0, 0, 0, 0, 0, 0]</v>
      </c>
    </row>
    <row r="84">
      <c r="D84" s="30" t="str">
        <f>"total=["&amp;L71&amp;", "&amp;L72&amp;", "&amp;G58&amp;", "&amp;G59&amp;", "&amp;G61&amp;", "&amp;G62&amp;", "&amp;G64&amp;", "&amp;G65&amp;"]"</f>
        <v>total=[92314908, 0, 96274396, 95858960, 95641382, 95760611, 95917644, 96415822]</v>
      </c>
    </row>
    <row r="87">
      <c r="A87" s="3" t="s">
        <v>730</v>
      </c>
      <c r="B87" s="3" t="s">
        <v>862</v>
      </c>
    </row>
    <row r="88">
      <c r="C88" s="3" t="s">
        <v>589</v>
      </c>
      <c r="D88" s="3" t="s">
        <v>636</v>
      </c>
    </row>
    <row r="89">
      <c r="E89" s="3" t="s">
        <v>448</v>
      </c>
      <c r="F89" s="3" t="s">
        <v>449</v>
      </c>
      <c r="G89" s="3" t="s">
        <v>283</v>
      </c>
    </row>
    <row r="90">
      <c r="A90" s="3" t="s">
        <v>642</v>
      </c>
      <c r="B90" s="3" t="s">
        <v>643</v>
      </c>
      <c r="C90" s="3" t="s">
        <v>463</v>
      </c>
      <c r="D90" s="3">
        <v>1.0</v>
      </c>
      <c r="E90" s="3">
        <v>6.4995906E7</v>
      </c>
      <c r="F90" s="3">
        <v>3.0655298E7</v>
      </c>
      <c r="G90" s="30">
        <f t="shared" ref="G90:G91" si="27">E90+F90</f>
        <v>95651204</v>
      </c>
      <c r="H90" s="30">
        <f t="shared" ref="H90:H91" si="28">100-ABS($L$71-G90)/G90*100</f>
        <v>96.51201881</v>
      </c>
    </row>
    <row r="91">
      <c r="A91" s="3" t="s">
        <v>642</v>
      </c>
      <c r="B91" s="3" t="s">
        <v>602</v>
      </c>
      <c r="C91" s="3" t="s">
        <v>463</v>
      </c>
      <c r="D91" s="3">
        <v>1.0</v>
      </c>
      <c r="E91" s="3">
        <v>6.5098369E7</v>
      </c>
      <c r="F91" s="3">
        <v>3.0677837E7</v>
      </c>
      <c r="G91" s="30">
        <f t="shared" si="27"/>
        <v>95776206</v>
      </c>
      <c r="H91" s="30">
        <f t="shared" si="28"/>
        <v>96.38605647</v>
      </c>
    </row>
    <row r="94">
      <c r="A94" s="3" t="s">
        <v>730</v>
      </c>
      <c r="B94" s="3" t="s">
        <v>667</v>
      </c>
    </row>
    <row r="95">
      <c r="C95" s="3" t="s">
        <v>589</v>
      </c>
      <c r="D95" s="3" t="s">
        <v>863</v>
      </c>
    </row>
    <row r="96">
      <c r="E96" s="3" t="s">
        <v>448</v>
      </c>
      <c r="F96" s="3" t="s">
        <v>449</v>
      </c>
      <c r="G96" s="3" t="s">
        <v>283</v>
      </c>
    </row>
    <row r="97">
      <c r="A97" s="3" t="s">
        <v>642</v>
      </c>
      <c r="B97" s="3" t="s">
        <v>643</v>
      </c>
      <c r="C97" s="3" t="s">
        <v>463</v>
      </c>
      <c r="D97" s="3">
        <v>1.0</v>
      </c>
      <c r="E97" s="3">
        <v>6.6032741E7</v>
      </c>
      <c r="F97" s="3">
        <v>3.138941E7</v>
      </c>
      <c r="G97" s="30">
        <f t="shared" ref="G97:G98" si="29">E97+F97</f>
        <v>97422151</v>
      </c>
      <c r="H97" s="30">
        <f t="shared" ref="H97:H98" si="30">100-ABS($L$71-G97)/G97*100</f>
        <v>94.75761626</v>
      </c>
    </row>
    <row r="98">
      <c r="A98" s="3" t="s">
        <v>642</v>
      </c>
      <c r="B98" s="3" t="s">
        <v>602</v>
      </c>
      <c r="C98" s="3" t="s">
        <v>463</v>
      </c>
      <c r="D98" s="3">
        <v>1.0</v>
      </c>
      <c r="E98" s="3">
        <v>6.5387509E7</v>
      </c>
      <c r="F98" s="3">
        <v>3.0879943E7</v>
      </c>
      <c r="G98" s="30">
        <f t="shared" si="29"/>
        <v>96267452</v>
      </c>
      <c r="H98" s="30">
        <f t="shared" si="30"/>
        <v>95.89420524</v>
      </c>
    </row>
    <row r="101">
      <c r="A101" s="3" t="s">
        <v>730</v>
      </c>
      <c r="B101" s="3" t="s">
        <v>862</v>
      </c>
      <c r="C101" s="3" t="s">
        <v>864</v>
      </c>
    </row>
    <row r="102">
      <c r="C102" s="3" t="s">
        <v>589</v>
      </c>
      <c r="D102" s="3" t="s">
        <v>636</v>
      </c>
    </row>
    <row r="103">
      <c r="E103" s="3" t="s">
        <v>448</v>
      </c>
      <c r="F103" s="3" t="s">
        <v>449</v>
      </c>
      <c r="G103" s="3" t="s">
        <v>283</v>
      </c>
    </row>
    <row r="104">
      <c r="A104" s="3" t="s">
        <v>642</v>
      </c>
      <c r="B104" s="3" t="s">
        <v>643</v>
      </c>
      <c r="C104" s="3" t="s">
        <v>463</v>
      </c>
      <c r="D104" s="3">
        <v>1.0</v>
      </c>
      <c r="E104" s="3">
        <v>6.6944545E7</v>
      </c>
      <c r="F104" s="3">
        <v>6.6122747E7</v>
      </c>
      <c r="G104" s="30">
        <f t="shared" ref="G104:G105" si="31">E104+F104</f>
        <v>133067292</v>
      </c>
      <c r="H104" s="30">
        <f t="shared" ref="H104:H105" si="32">100-ABS($L$71-G104)/G104*100</f>
        <v>69.37460484</v>
      </c>
    </row>
    <row r="105">
      <c r="A105" s="3" t="s">
        <v>642</v>
      </c>
      <c r="B105" s="3" t="s">
        <v>602</v>
      </c>
      <c r="C105" s="3" t="s">
        <v>463</v>
      </c>
      <c r="D105" s="3">
        <v>1.0</v>
      </c>
      <c r="E105" s="3">
        <v>6.6999915E7</v>
      </c>
      <c r="F105" s="3">
        <v>6.4509225E7</v>
      </c>
      <c r="G105" s="30">
        <f t="shared" si="31"/>
        <v>131509140</v>
      </c>
      <c r="H105" s="30">
        <f t="shared" si="32"/>
        <v>70.19657189</v>
      </c>
    </row>
    <row r="108">
      <c r="A108" s="3" t="s">
        <v>730</v>
      </c>
      <c r="B108" s="3" t="s">
        <v>862</v>
      </c>
      <c r="C108" s="3" t="s">
        <v>865</v>
      </c>
    </row>
    <row r="109">
      <c r="C109" s="3" t="s">
        <v>589</v>
      </c>
      <c r="D109" s="3" t="s">
        <v>636</v>
      </c>
    </row>
    <row r="110">
      <c r="E110" s="3" t="s">
        <v>448</v>
      </c>
      <c r="F110" s="3" t="s">
        <v>449</v>
      </c>
      <c r="G110" s="3" t="s">
        <v>283</v>
      </c>
    </row>
    <row r="111">
      <c r="A111" s="3" t="s">
        <v>642</v>
      </c>
      <c r="B111" s="3" t="s">
        <v>643</v>
      </c>
      <c r="C111" s="3" t="s">
        <v>463</v>
      </c>
      <c r="D111" s="3">
        <v>1.0</v>
      </c>
      <c r="E111" s="3">
        <v>6.7181146E7</v>
      </c>
      <c r="F111" s="3">
        <v>6.5461625E7</v>
      </c>
      <c r="G111" s="30">
        <f t="shared" ref="G111:G112" si="33">E111+F111</f>
        <v>132642771</v>
      </c>
      <c r="H111" s="30">
        <f t="shared" ref="H111:H112" si="34">100-ABS($L$71-G111)/G111*100</f>
        <v>69.59663712</v>
      </c>
    </row>
    <row r="112">
      <c r="A112" s="3" t="s">
        <v>642</v>
      </c>
      <c r="B112" s="3" t="s">
        <v>602</v>
      </c>
      <c r="C112" s="3" t="s">
        <v>463</v>
      </c>
      <c r="D112" s="3">
        <v>1.0</v>
      </c>
      <c r="E112" s="3">
        <v>6.7440573E7</v>
      </c>
      <c r="F112" s="3">
        <v>6.414015E7</v>
      </c>
      <c r="G112" s="30">
        <f t="shared" si="33"/>
        <v>131580723</v>
      </c>
      <c r="H112" s="30">
        <f t="shared" si="34"/>
        <v>70.15838331</v>
      </c>
    </row>
    <row r="115">
      <c r="C115" s="3" t="s">
        <v>866</v>
      </c>
      <c r="D115" s="112" t="s">
        <v>867</v>
      </c>
      <c r="E115" s="112" t="s">
        <v>868</v>
      </c>
      <c r="F115" s="112" t="s">
        <v>869</v>
      </c>
      <c r="G115" s="112" t="s">
        <v>870</v>
      </c>
      <c r="H115" s="112" t="s">
        <v>871</v>
      </c>
      <c r="I115" s="112" t="s">
        <v>872</v>
      </c>
      <c r="J115" s="112" t="s">
        <v>873</v>
      </c>
      <c r="K115" s="112" t="s">
        <v>874</v>
      </c>
      <c r="L115" s="112" t="s">
        <v>875</v>
      </c>
      <c r="M115" s="112" t="s">
        <v>876</v>
      </c>
      <c r="N115" s="112" t="s">
        <v>877</v>
      </c>
      <c r="O115" s="112" t="s">
        <v>878</v>
      </c>
      <c r="P115" s="112" t="s">
        <v>879</v>
      </c>
    </row>
    <row r="116">
      <c r="C116" s="3" t="s">
        <v>880</v>
      </c>
      <c r="D116" s="3">
        <v>1.9005683E7</v>
      </c>
      <c r="E116" s="3">
        <v>1.8970043E7</v>
      </c>
      <c r="F116" s="3">
        <v>1.8940397E7</v>
      </c>
      <c r="G116" s="3">
        <v>1.8938589E7</v>
      </c>
      <c r="H116" s="3">
        <v>9468337.0</v>
      </c>
      <c r="I116" s="3">
        <v>4724431.0</v>
      </c>
      <c r="J116" s="3">
        <v>2363247.0</v>
      </c>
      <c r="K116" s="3">
        <v>1182735.0</v>
      </c>
      <c r="L116" s="3">
        <v>594024.0</v>
      </c>
      <c r="M116" s="3">
        <v>296881.0</v>
      </c>
      <c r="N116" s="3">
        <v>149252.0</v>
      </c>
      <c r="O116" s="3">
        <v>75072.0</v>
      </c>
      <c r="P116" s="3" t="s">
        <v>881</v>
      </c>
    </row>
    <row r="117">
      <c r="C117" s="3" t="s">
        <v>882</v>
      </c>
      <c r="D117" s="3">
        <v>1.8813995E7</v>
      </c>
      <c r="E117" s="3">
        <v>1.8800278E7</v>
      </c>
      <c r="F117" s="3">
        <v>1.880363E7</v>
      </c>
      <c r="G117" s="3">
        <v>1.8803353E7</v>
      </c>
      <c r="H117" s="3">
        <v>1.8590975E7</v>
      </c>
      <c r="I117" s="3">
        <v>1.4190254E7</v>
      </c>
      <c r="J117" s="3">
        <v>2364840.0</v>
      </c>
      <c r="K117" s="3">
        <v>1183868.0</v>
      </c>
      <c r="L117" s="3">
        <v>594090.0</v>
      </c>
      <c r="M117" s="3">
        <v>297740.0</v>
      </c>
      <c r="N117" s="3">
        <v>149395.0</v>
      </c>
      <c r="O117" s="3">
        <v>75338.0</v>
      </c>
      <c r="P117" s="3" t="s">
        <v>883</v>
      </c>
    </row>
    <row r="118">
      <c r="C118" s="3" t="s">
        <v>884</v>
      </c>
      <c r="D118" s="3">
        <v>1.8750993E7</v>
      </c>
      <c r="E118" s="3">
        <v>1.8760631E7</v>
      </c>
      <c r="F118" s="3">
        <v>1.8766661E7</v>
      </c>
      <c r="G118" s="3">
        <v>1.8763123E7</v>
      </c>
      <c r="H118" s="3">
        <v>1.6630885E7</v>
      </c>
      <c r="I118" s="3">
        <v>1.1066714E7</v>
      </c>
      <c r="J118" s="3">
        <v>2930101.0</v>
      </c>
      <c r="K118" s="3">
        <v>1172688.0</v>
      </c>
      <c r="L118" s="3">
        <v>590092.0</v>
      </c>
      <c r="M118" s="3">
        <v>292798.0</v>
      </c>
      <c r="N118" s="3">
        <v>147153.0</v>
      </c>
      <c r="O118" s="3">
        <v>74118.0</v>
      </c>
      <c r="P118" s="3" t="s">
        <v>885</v>
      </c>
    </row>
    <row r="119">
      <c r="C119" s="3" t="s">
        <v>886</v>
      </c>
      <c r="D119" s="3">
        <v>1.8772132E7</v>
      </c>
      <c r="E119" s="3">
        <v>1.8764571E7</v>
      </c>
      <c r="F119" s="3">
        <v>1.8759543E7</v>
      </c>
      <c r="G119" s="3">
        <v>1.8764915E7</v>
      </c>
      <c r="H119" s="3">
        <v>1.6576687E7</v>
      </c>
      <c r="I119" s="3">
        <v>1.1395672E7</v>
      </c>
      <c r="J119" s="3">
        <v>2952856.0</v>
      </c>
      <c r="K119" s="3">
        <v>1175004.0</v>
      </c>
      <c r="L119" s="3">
        <v>588251.0</v>
      </c>
      <c r="M119" s="3">
        <v>295965.0</v>
      </c>
      <c r="N119" s="3">
        <v>148305.0</v>
      </c>
      <c r="O119" s="3">
        <v>74884.0</v>
      </c>
      <c r="P119" s="3" t="s">
        <v>887</v>
      </c>
    </row>
    <row r="120">
      <c r="H120" s="30">
        <f t="shared" ref="H120:I120" si="35">(H117-H118)/H117</f>
        <v>0.1054323402</v>
      </c>
      <c r="I120" s="30">
        <f t="shared" si="35"/>
        <v>0.2201186815</v>
      </c>
    </row>
  </sheetData>
  <drawing r:id="rId1"/>
</worksheet>
</file>