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Y BOOK\Downloads\Carnatic music Rhythm classification\"/>
    </mc:Choice>
  </mc:AlternateContent>
  <xr:revisionPtr revIDLastSave="0" documentId="13_ncr:1_{BC16BE76-190B-4FB8-8CED-76511125AE5C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Carnatic" sheetId="1" r:id="rId1"/>
    <sheet name="Carnatic_working" sheetId="2" r:id="rId2"/>
    <sheet name="Hindustani" sheetId="3" r:id="rId3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" i="1" l="1"/>
  <c r="G158" i="3" l="1"/>
  <c r="G157" i="3"/>
  <c r="F156" i="3"/>
  <c r="G156" i="3" s="1"/>
  <c r="G155" i="3"/>
  <c r="G154" i="3"/>
  <c r="G153" i="3"/>
  <c r="G152" i="3"/>
  <c r="G151" i="3"/>
  <c r="G150" i="3"/>
  <c r="G149" i="3"/>
  <c r="G148" i="3"/>
  <c r="G147" i="3"/>
  <c r="G146" i="3"/>
  <c r="F145" i="3"/>
  <c r="G145" i="3" s="1"/>
  <c r="G144" i="3"/>
  <c r="G143" i="3"/>
  <c r="G142" i="3"/>
  <c r="F141" i="3"/>
  <c r="G141" i="3" s="1"/>
  <c r="F140" i="3"/>
  <c r="G140" i="3" s="1"/>
  <c r="G139" i="3"/>
  <c r="G138" i="3"/>
  <c r="F137" i="3"/>
  <c r="G137" i="3" s="1"/>
  <c r="G136" i="3"/>
  <c r="G135" i="3"/>
  <c r="G134" i="3"/>
  <c r="G133" i="3"/>
  <c r="G132" i="3"/>
  <c r="F131" i="3"/>
  <c r="G131" i="3" s="1"/>
  <c r="G130" i="3"/>
  <c r="G129" i="3"/>
  <c r="G128" i="3"/>
  <c r="F127" i="3"/>
  <c r="G127" i="3" s="1"/>
  <c r="F126" i="3"/>
  <c r="G126" i="3" s="1"/>
  <c r="G125" i="3"/>
  <c r="G124" i="3"/>
  <c r="F123" i="3"/>
  <c r="G123" i="3" s="1"/>
  <c r="G122" i="3"/>
  <c r="G121" i="3"/>
  <c r="G120" i="3"/>
  <c r="G119" i="3"/>
  <c r="F119" i="3"/>
  <c r="G118" i="3"/>
  <c r="F117" i="3"/>
  <c r="G117" i="3" s="1"/>
  <c r="G116" i="3"/>
  <c r="G115" i="3"/>
  <c r="F114" i="3"/>
  <c r="G114" i="3" s="1"/>
  <c r="G113" i="3"/>
  <c r="G112" i="3"/>
  <c r="F111" i="3"/>
  <c r="G111" i="3" s="1"/>
  <c r="G110" i="3"/>
  <c r="G109" i="3"/>
  <c r="F108" i="3"/>
  <c r="G108" i="3" s="1"/>
  <c r="G107" i="3"/>
  <c r="G106" i="3"/>
  <c r="G105" i="3"/>
  <c r="G104" i="3"/>
  <c r="G103" i="3"/>
  <c r="G102" i="3"/>
  <c r="F102" i="3"/>
  <c r="G101" i="3"/>
  <c r="G100" i="3"/>
  <c r="F99" i="3"/>
  <c r="G99" i="3" s="1"/>
  <c r="G98" i="3"/>
  <c r="F97" i="3"/>
  <c r="G97" i="3" s="1"/>
  <c r="G96" i="3"/>
  <c r="G95" i="3"/>
  <c r="G94" i="3"/>
  <c r="G93" i="3"/>
  <c r="G92" i="3"/>
  <c r="G91" i="3"/>
  <c r="G90" i="3"/>
  <c r="G89" i="3"/>
  <c r="F88" i="3"/>
  <c r="G88" i="3" s="1"/>
  <c r="G87" i="3"/>
  <c r="G86" i="3"/>
  <c r="G85" i="3"/>
  <c r="G84" i="3"/>
  <c r="G83" i="3"/>
  <c r="G82" i="3"/>
  <c r="F82" i="3"/>
  <c r="G81" i="3"/>
  <c r="G80" i="3"/>
  <c r="G79" i="3"/>
  <c r="F78" i="3"/>
  <c r="G78" i="3" s="1"/>
  <c r="G77" i="3"/>
  <c r="G76" i="3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G67" i="3"/>
  <c r="G66" i="3"/>
  <c r="F65" i="3"/>
  <c r="G65" i="3" s="1"/>
  <c r="G64" i="3"/>
  <c r="G63" i="3"/>
  <c r="F62" i="3"/>
  <c r="G62" i="3" s="1"/>
  <c r="F61" i="3"/>
  <c r="G61" i="3" s="1"/>
  <c r="G60" i="3"/>
  <c r="G59" i="3"/>
  <c r="F58" i="3"/>
  <c r="G58" i="3" s="1"/>
  <c r="F57" i="3"/>
  <c r="G57" i="3" s="1"/>
  <c r="G56" i="3"/>
  <c r="F55" i="3"/>
  <c r="G55" i="3" s="1"/>
  <c r="F54" i="3"/>
  <c r="G54" i="3" s="1"/>
  <c r="G53" i="3"/>
  <c r="F53" i="3"/>
  <c r="G52" i="3"/>
  <c r="F52" i="3"/>
  <c r="F51" i="3"/>
  <c r="G51" i="3" s="1"/>
  <c r="F50" i="3"/>
  <c r="G50" i="3" s="1"/>
  <c r="G49" i="3"/>
  <c r="G48" i="3"/>
  <c r="G47" i="3"/>
  <c r="G46" i="3"/>
  <c r="G45" i="3"/>
  <c r="G44" i="3"/>
  <c r="G43" i="3"/>
  <c r="F42" i="3"/>
  <c r="G42" i="3" s="1"/>
  <c r="G41" i="3"/>
  <c r="F40" i="3"/>
  <c r="G40" i="3" s="1"/>
  <c r="F39" i="3"/>
  <c r="G39" i="3" s="1"/>
  <c r="G38" i="3"/>
  <c r="G37" i="3"/>
  <c r="G36" i="3"/>
  <c r="F36" i="3"/>
  <c r="F35" i="3"/>
  <c r="G35" i="3" s="1"/>
  <c r="G34" i="3"/>
  <c r="G33" i="3"/>
  <c r="G32" i="3"/>
  <c r="F31" i="3"/>
  <c r="G31" i="3" s="1"/>
  <c r="F30" i="3"/>
  <c r="G30" i="3" s="1"/>
  <c r="G29" i="3"/>
  <c r="G28" i="3"/>
  <c r="G27" i="3"/>
  <c r="G26" i="3"/>
  <c r="G25" i="3"/>
  <c r="G24" i="3"/>
  <c r="F24" i="3"/>
  <c r="G23" i="3"/>
  <c r="F23" i="3"/>
  <c r="F22" i="3"/>
  <c r="G22" i="3" s="1"/>
  <c r="F21" i="3"/>
  <c r="G21" i="3" s="1"/>
  <c r="G20" i="3"/>
  <c r="F20" i="3"/>
  <c r="G19" i="3"/>
  <c r="F19" i="3"/>
  <c r="F18" i="3"/>
  <c r="G18" i="3" s="1"/>
  <c r="G17" i="3"/>
  <c r="F16" i="3"/>
  <c r="G16" i="3" s="1"/>
  <c r="F15" i="3"/>
  <c r="G15" i="3" s="1"/>
  <c r="F14" i="3"/>
  <c r="G14" i="3" s="1"/>
  <c r="G13" i="3"/>
  <c r="F12" i="3"/>
  <c r="G12" i="3" s="1"/>
  <c r="G11" i="3"/>
  <c r="F11" i="3"/>
  <c r="F10" i="3"/>
  <c r="G10" i="3" s="1"/>
  <c r="G9" i="3"/>
  <c r="G8" i="3"/>
  <c r="G7" i="3"/>
  <c r="F7" i="3"/>
  <c r="G6" i="3"/>
  <c r="F6" i="3"/>
  <c r="F5" i="3"/>
  <c r="G5" i="3" s="1"/>
  <c r="G4" i="3"/>
  <c r="G3" i="3"/>
  <c r="G2" i="3"/>
  <c r="N177" i="2"/>
  <c r="M177" i="2"/>
  <c r="O177" i="2" s="1"/>
  <c r="P177" i="2" s="1"/>
  <c r="F177" i="2"/>
  <c r="N176" i="2"/>
  <c r="F176" i="2"/>
  <c r="M176" i="2" s="1"/>
  <c r="O176" i="2" s="1"/>
  <c r="P176" i="2" s="1"/>
  <c r="N175" i="2"/>
  <c r="F175" i="2"/>
  <c r="M175" i="2" s="1"/>
  <c r="O175" i="2" s="1"/>
  <c r="P175" i="2" s="1"/>
  <c r="E175" i="2"/>
  <c r="N174" i="2"/>
  <c r="F174" i="2"/>
  <c r="M174" i="2" s="1"/>
  <c r="O174" i="2" s="1"/>
  <c r="P174" i="2" s="1"/>
  <c r="E174" i="2"/>
  <c r="N173" i="2"/>
  <c r="F173" i="2"/>
  <c r="M173" i="2" s="1"/>
  <c r="O173" i="2" s="1"/>
  <c r="P173" i="2" s="1"/>
  <c r="N172" i="2"/>
  <c r="F172" i="2"/>
  <c r="M172" i="2" s="1"/>
  <c r="O172" i="2" s="1"/>
  <c r="P172" i="2" s="1"/>
  <c r="N171" i="2"/>
  <c r="F171" i="2"/>
  <c r="M171" i="2" s="1"/>
  <c r="N170" i="2"/>
  <c r="F170" i="2"/>
  <c r="M170" i="2" s="1"/>
  <c r="O170" i="2" s="1"/>
  <c r="P170" i="2" s="1"/>
  <c r="N169" i="2"/>
  <c r="F169" i="2"/>
  <c r="M169" i="2" s="1"/>
  <c r="N168" i="2"/>
  <c r="F168" i="2"/>
  <c r="M168" i="2" s="1"/>
  <c r="O168" i="2" s="1"/>
  <c r="P168" i="2" s="1"/>
  <c r="N167" i="2"/>
  <c r="F167" i="2"/>
  <c r="M167" i="2" s="1"/>
  <c r="N166" i="2"/>
  <c r="F166" i="2"/>
  <c r="M166" i="2" s="1"/>
  <c r="O166" i="2" s="1"/>
  <c r="P166" i="2" s="1"/>
  <c r="N165" i="2"/>
  <c r="F165" i="2"/>
  <c r="E165" i="2"/>
  <c r="N164" i="2"/>
  <c r="F164" i="2"/>
  <c r="M164" i="2" s="1"/>
  <c r="N163" i="2"/>
  <c r="F163" i="2"/>
  <c r="M163" i="2" s="1"/>
  <c r="O163" i="2" s="1"/>
  <c r="P163" i="2" s="1"/>
  <c r="N162" i="2"/>
  <c r="F162" i="2"/>
  <c r="M162" i="2" s="1"/>
  <c r="O161" i="2"/>
  <c r="P161" i="2" s="1"/>
  <c r="N161" i="2"/>
  <c r="M161" i="2"/>
  <c r="F161" i="2"/>
  <c r="N160" i="2"/>
  <c r="F160" i="2"/>
  <c r="M160" i="2" s="1"/>
  <c r="E160" i="2"/>
  <c r="N159" i="2"/>
  <c r="F159" i="2"/>
  <c r="M159" i="2" s="1"/>
  <c r="N158" i="2"/>
  <c r="M158" i="2"/>
  <c r="O158" i="2" s="1"/>
  <c r="P158" i="2" s="1"/>
  <c r="F158" i="2"/>
  <c r="E158" i="2"/>
  <c r="N157" i="2"/>
  <c r="F157" i="2"/>
  <c r="M157" i="2" s="1"/>
  <c r="O157" i="2" s="1"/>
  <c r="P157" i="2" s="1"/>
  <c r="N156" i="2"/>
  <c r="F156" i="2"/>
  <c r="M156" i="2" s="1"/>
  <c r="N155" i="2"/>
  <c r="F155" i="2"/>
  <c r="M155" i="2" s="1"/>
  <c r="O155" i="2" s="1"/>
  <c r="P155" i="2" s="1"/>
  <c r="E155" i="2"/>
  <c r="N154" i="2"/>
  <c r="F154" i="2"/>
  <c r="E154" i="2"/>
  <c r="N153" i="2"/>
  <c r="F153" i="2"/>
  <c r="M153" i="2" s="1"/>
  <c r="O153" i="2" s="1"/>
  <c r="P153" i="2" s="1"/>
  <c r="N152" i="2"/>
  <c r="F152" i="2"/>
  <c r="M152" i="2" s="1"/>
  <c r="O151" i="2"/>
  <c r="P151" i="2" s="1"/>
  <c r="N151" i="2"/>
  <c r="M151" i="2"/>
  <c r="F151" i="2"/>
  <c r="N150" i="2"/>
  <c r="F150" i="2"/>
  <c r="M150" i="2" s="1"/>
  <c r="E150" i="2"/>
  <c r="N149" i="2"/>
  <c r="F149" i="2"/>
  <c r="M149" i="2" s="1"/>
  <c r="E149" i="2"/>
  <c r="N148" i="2"/>
  <c r="F148" i="2"/>
  <c r="M148" i="2" s="1"/>
  <c r="N147" i="2"/>
  <c r="M147" i="2"/>
  <c r="O147" i="2" s="1"/>
  <c r="P147" i="2" s="1"/>
  <c r="F147" i="2"/>
  <c r="N146" i="2"/>
  <c r="F146" i="2"/>
  <c r="M146" i="2" s="1"/>
  <c r="O146" i="2" s="1"/>
  <c r="P146" i="2" s="1"/>
  <c r="N145" i="2"/>
  <c r="M145" i="2"/>
  <c r="O145" i="2" s="1"/>
  <c r="P145" i="2" s="1"/>
  <c r="F145" i="2"/>
  <c r="N144" i="2"/>
  <c r="F144" i="2"/>
  <c r="M144" i="2" s="1"/>
  <c r="O144" i="2" s="1"/>
  <c r="P144" i="2" s="1"/>
  <c r="E144" i="2"/>
  <c r="N143" i="2"/>
  <c r="F143" i="2"/>
  <c r="M143" i="2" s="1"/>
  <c r="O143" i="2" s="1"/>
  <c r="P143" i="2" s="1"/>
  <c r="N142" i="2"/>
  <c r="F142" i="2"/>
  <c r="E142" i="2"/>
  <c r="M142" i="2" s="1"/>
  <c r="O142" i="2" s="1"/>
  <c r="P142" i="2" s="1"/>
  <c r="N141" i="2"/>
  <c r="F141" i="2"/>
  <c r="M141" i="2" s="1"/>
  <c r="O141" i="2" s="1"/>
  <c r="P141" i="2" s="1"/>
  <c r="E141" i="2"/>
  <c r="N140" i="2"/>
  <c r="M140" i="2"/>
  <c r="O140" i="2" s="1"/>
  <c r="P140" i="2" s="1"/>
  <c r="F140" i="2"/>
  <c r="N139" i="2"/>
  <c r="F139" i="2"/>
  <c r="M139" i="2" s="1"/>
  <c r="O139" i="2" s="1"/>
  <c r="P139" i="2" s="1"/>
  <c r="E139" i="2"/>
  <c r="N138" i="2"/>
  <c r="F138" i="2"/>
  <c r="M138" i="2" s="1"/>
  <c r="O138" i="2" s="1"/>
  <c r="P138" i="2" s="1"/>
  <c r="E138" i="2"/>
  <c r="N137" i="2"/>
  <c r="F137" i="2"/>
  <c r="M137" i="2" s="1"/>
  <c r="N136" i="2"/>
  <c r="M136" i="2"/>
  <c r="O136" i="2" s="1"/>
  <c r="P136" i="2" s="1"/>
  <c r="F136" i="2"/>
  <c r="E136" i="2"/>
  <c r="N135" i="2"/>
  <c r="F135" i="2"/>
  <c r="M135" i="2" s="1"/>
  <c r="O135" i="2" s="1"/>
  <c r="P135" i="2" s="1"/>
  <c r="E135" i="2"/>
  <c r="N134" i="2"/>
  <c r="F134" i="2"/>
  <c r="M134" i="2" s="1"/>
  <c r="O134" i="2" s="1"/>
  <c r="P134" i="2" s="1"/>
  <c r="N133" i="2"/>
  <c r="F133" i="2"/>
  <c r="M133" i="2" s="1"/>
  <c r="N132" i="2"/>
  <c r="F132" i="2"/>
  <c r="M132" i="2" s="1"/>
  <c r="O132" i="2" s="1"/>
  <c r="P132" i="2" s="1"/>
  <c r="N131" i="2"/>
  <c r="F131" i="2"/>
  <c r="E131" i="2"/>
  <c r="N130" i="2"/>
  <c r="F130" i="2"/>
  <c r="M130" i="2" s="1"/>
  <c r="N129" i="2"/>
  <c r="F129" i="2"/>
  <c r="M129" i="2" s="1"/>
  <c r="O129" i="2" s="1"/>
  <c r="P129" i="2" s="1"/>
  <c r="E129" i="2"/>
  <c r="N128" i="2"/>
  <c r="F128" i="2"/>
  <c r="M128" i="2" s="1"/>
  <c r="O128" i="2" s="1"/>
  <c r="P128" i="2" s="1"/>
  <c r="E128" i="2"/>
  <c r="N127" i="2"/>
  <c r="F127" i="2"/>
  <c r="M127" i="2" s="1"/>
  <c r="O127" i="2" s="1"/>
  <c r="P127" i="2" s="1"/>
  <c r="N126" i="2"/>
  <c r="F126" i="2"/>
  <c r="M126" i="2" s="1"/>
  <c r="N125" i="2"/>
  <c r="F125" i="2"/>
  <c r="M125" i="2" s="1"/>
  <c r="O125" i="2" s="1"/>
  <c r="P125" i="2" s="1"/>
  <c r="N124" i="2"/>
  <c r="F124" i="2"/>
  <c r="M124" i="2" s="1"/>
  <c r="N123" i="2"/>
  <c r="F123" i="2"/>
  <c r="M123" i="2" s="1"/>
  <c r="O123" i="2" s="1"/>
  <c r="P123" i="2" s="1"/>
  <c r="N122" i="2"/>
  <c r="F122" i="2"/>
  <c r="E122" i="2"/>
  <c r="N121" i="2"/>
  <c r="F121" i="2"/>
  <c r="M121" i="2" s="1"/>
  <c r="O121" i="2" s="1"/>
  <c r="P121" i="2" s="1"/>
  <c r="N120" i="2"/>
  <c r="F120" i="2"/>
  <c r="E120" i="2"/>
  <c r="M120" i="2" s="1"/>
  <c r="N119" i="2"/>
  <c r="F119" i="2"/>
  <c r="M119" i="2" s="1"/>
  <c r="O119" i="2" s="1"/>
  <c r="P119" i="2" s="1"/>
  <c r="E119" i="2"/>
  <c r="N118" i="2"/>
  <c r="M118" i="2"/>
  <c r="O118" i="2" s="1"/>
  <c r="P118" i="2" s="1"/>
  <c r="F118" i="2"/>
  <c r="N117" i="2"/>
  <c r="F117" i="2"/>
  <c r="M117" i="2" s="1"/>
  <c r="E117" i="2"/>
  <c r="N116" i="2"/>
  <c r="F116" i="2"/>
  <c r="E116" i="2"/>
  <c r="N115" i="2"/>
  <c r="F115" i="2"/>
  <c r="E115" i="2"/>
  <c r="N114" i="2"/>
  <c r="F114" i="2"/>
  <c r="E114" i="2"/>
  <c r="N113" i="2"/>
  <c r="F113" i="2"/>
  <c r="M113" i="2" s="1"/>
  <c r="N112" i="2"/>
  <c r="F112" i="2"/>
  <c r="M112" i="2" s="1"/>
  <c r="O112" i="2" s="1"/>
  <c r="P112" i="2" s="1"/>
  <c r="N111" i="2"/>
  <c r="F111" i="2"/>
  <c r="E111" i="2"/>
  <c r="N110" i="2"/>
  <c r="F110" i="2"/>
  <c r="E110" i="2"/>
  <c r="N109" i="2"/>
  <c r="F109" i="2"/>
  <c r="M109" i="2" s="1"/>
  <c r="O109" i="2" s="1"/>
  <c r="P109" i="2" s="1"/>
  <c r="N108" i="2"/>
  <c r="M108" i="2"/>
  <c r="O108" i="2" s="1"/>
  <c r="P108" i="2" s="1"/>
  <c r="F108" i="2"/>
  <c r="E108" i="2"/>
  <c r="O107" i="2"/>
  <c r="P107" i="2" s="1"/>
  <c r="N107" i="2"/>
  <c r="F107" i="2"/>
  <c r="E107" i="2"/>
  <c r="M107" i="2" s="1"/>
  <c r="N106" i="2"/>
  <c r="F106" i="2"/>
  <c r="E106" i="2"/>
  <c r="M106" i="2" s="1"/>
  <c r="O106" i="2" s="1"/>
  <c r="P106" i="2" s="1"/>
  <c r="N105" i="2"/>
  <c r="F105" i="2"/>
  <c r="M105" i="2" s="1"/>
  <c r="O105" i="2" s="1"/>
  <c r="P105" i="2" s="1"/>
  <c r="N104" i="2"/>
  <c r="F104" i="2"/>
  <c r="M104" i="2" s="1"/>
  <c r="O104" i="2" s="1"/>
  <c r="P104" i="2" s="1"/>
  <c r="E104" i="2"/>
  <c r="N103" i="2"/>
  <c r="O103" i="2" s="1"/>
  <c r="P103" i="2" s="1"/>
  <c r="F103" i="2"/>
  <c r="M103" i="2" s="1"/>
  <c r="N102" i="2"/>
  <c r="O102" i="2" s="1"/>
  <c r="P102" i="2" s="1"/>
  <c r="F102" i="2"/>
  <c r="M102" i="2" s="1"/>
  <c r="N101" i="2"/>
  <c r="F101" i="2"/>
  <c r="M101" i="2" s="1"/>
  <c r="N100" i="2"/>
  <c r="F100" i="2"/>
  <c r="E100" i="2"/>
  <c r="N99" i="2"/>
  <c r="M99" i="2"/>
  <c r="O99" i="2" s="1"/>
  <c r="P99" i="2" s="1"/>
  <c r="F99" i="2"/>
  <c r="E99" i="2"/>
  <c r="N98" i="2"/>
  <c r="M98" i="2"/>
  <c r="O98" i="2" s="1"/>
  <c r="P98" i="2" s="1"/>
  <c r="F98" i="2"/>
  <c r="N97" i="2"/>
  <c r="F97" i="2"/>
  <c r="E97" i="2"/>
  <c r="N96" i="2"/>
  <c r="F96" i="2"/>
  <c r="M96" i="2" s="1"/>
  <c r="N95" i="2"/>
  <c r="F95" i="2"/>
  <c r="E95" i="2"/>
  <c r="N94" i="2"/>
  <c r="M94" i="2"/>
  <c r="O94" i="2" s="1"/>
  <c r="P94" i="2" s="1"/>
  <c r="F94" i="2"/>
  <c r="N93" i="2"/>
  <c r="F93" i="2"/>
  <c r="M93" i="2" s="1"/>
  <c r="N92" i="2"/>
  <c r="F92" i="2"/>
  <c r="M92" i="2" s="1"/>
  <c r="O92" i="2" s="1"/>
  <c r="P92" i="2" s="1"/>
  <c r="N91" i="2"/>
  <c r="O91" i="2" s="1"/>
  <c r="P91" i="2" s="1"/>
  <c r="F91" i="2"/>
  <c r="M91" i="2" s="1"/>
  <c r="N90" i="2"/>
  <c r="F90" i="2"/>
  <c r="M90" i="2" s="1"/>
  <c r="O90" i="2" s="1"/>
  <c r="P90" i="2" s="1"/>
  <c r="N89" i="2"/>
  <c r="F89" i="2"/>
  <c r="M89" i="2" s="1"/>
  <c r="N88" i="2"/>
  <c r="F88" i="2"/>
  <c r="E88" i="2"/>
  <c r="N87" i="2"/>
  <c r="F87" i="2"/>
  <c r="M87" i="2" s="1"/>
  <c r="O87" i="2" s="1"/>
  <c r="P87" i="2" s="1"/>
  <c r="N86" i="2"/>
  <c r="F86" i="2"/>
  <c r="M86" i="2" s="1"/>
  <c r="O86" i="2" s="1"/>
  <c r="P86" i="2" s="1"/>
  <c r="N85" i="2"/>
  <c r="F85" i="2"/>
  <c r="M85" i="2" s="1"/>
  <c r="O85" i="2" s="1"/>
  <c r="P85" i="2" s="1"/>
  <c r="N84" i="2"/>
  <c r="F84" i="2"/>
  <c r="E84" i="2"/>
  <c r="N83" i="2"/>
  <c r="F83" i="2"/>
  <c r="M83" i="2" s="1"/>
  <c r="O83" i="2" s="1"/>
  <c r="P83" i="2" s="1"/>
  <c r="E83" i="2"/>
  <c r="O82" i="2"/>
  <c r="P82" i="2" s="1"/>
  <c r="N82" i="2"/>
  <c r="F82" i="2"/>
  <c r="M82" i="2" s="1"/>
  <c r="N81" i="2"/>
  <c r="F81" i="2"/>
  <c r="E81" i="2"/>
  <c r="N80" i="2"/>
  <c r="M80" i="2"/>
  <c r="O80" i="2" s="1"/>
  <c r="P80" i="2" s="1"/>
  <c r="F80" i="2"/>
  <c r="E80" i="2"/>
  <c r="N79" i="2"/>
  <c r="F79" i="2"/>
  <c r="M79" i="2" s="1"/>
  <c r="O79" i="2" s="1"/>
  <c r="P79" i="2" s="1"/>
  <c r="N78" i="2"/>
  <c r="M78" i="2"/>
  <c r="F78" i="2"/>
  <c r="E78" i="2"/>
  <c r="P77" i="2"/>
  <c r="N77" i="2"/>
  <c r="F77" i="2"/>
  <c r="M77" i="2" s="1"/>
  <c r="O77" i="2" s="1"/>
  <c r="P76" i="2"/>
  <c r="N76" i="2"/>
  <c r="M76" i="2"/>
  <c r="O76" i="2" s="1"/>
  <c r="F76" i="2"/>
  <c r="N75" i="2"/>
  <c r="M75" i="2"/>
  <c r="O75" i="2" s="1"/>
  <c r="P75" i="2" s="1"/>
  <c r="F75" i="2"/>
  <c r="E75" i="2"/>
  <c r="N74" i="2"/>
  <c r="F74" i="2"/>
  <c r="E74" i="2"/>
  <c r="N73" i="2"/>
  <c r="F73" i="2"/>
  <c r="M73" i="2" s="1"/>
  <c r="E73" i="2"/>
  <c r="N72" i="2"/>
  <c r="F72" i="2"/>
  <c r="E72" i="2"/>
  <c r="N71" i="2"/>
  <c r="F71" i="2"/>
  <c r="M71" i="2" s="1"/>
  <c r="O71" i="2" s="1"/>
  <c r="P71" i="2" s="1"/>
  <c r="E71" i="2"/>
  <c r="N70" i="2"/>
  <c r="F70" i="2"/>
  <c r="M70" i="2" s="1"/>
  <c r="O70" i="2" s="1"/>
  <c r="P70" i="2" s="1"/>
  <c r="N69" i="2"/>
  <c r="M69" i="2"/>
  <c r="F69" i="2"/>
  <c r="N68" i="2"/>
  <c r="F68" i="2"/>
  <c r="M68" i="2" s="1"/>
  <c r="O68" i="2" s="1"/>
  <c r="P68" i="2" s="1"/>
  <c r="N67" i="2"/>
  <c r="F67" i="2"/>
  <c r="M67" i="2" s="1"/>
  <c r="O67" i="2" s="1"/>
  <c r="P67" i="2" s="1"/>
  <c r="E67" i="2"/>
  <c r="N66" i="2"/>
  <c r="F66" i="2"/>
  <c r="M66" i="2" s="1"/>
  <c r="O66" i="2" s="1"/>
  <c r="P66" i="2" s="1"/>
  <c r="N65" i="2"/>
  <c r="F65" i="2"/>
  <c r="M65" i="2" s="1"/>
  <c r="N64" i="2"/>
  <c r="F64" i="2"/>
  <c r="M64" i="2" s="1"/>
  <c r="E64" i="2"/>
  <c r="N63" i="2"/>
  <c r="F63" i="2"/>
  <c r="E63" i="2"/>
  <c r="M63" i="2" s="1"/>
  <c r="N62" i="2"/>
  <c r="F62" i="2"/>
  <c r="E62" i="2"/>
  <c r="N61" i="2"/>
  <c r="F61" i="2"/>
  <c r="M61" i="2" s="1"/>
  <c r="N60" i="2"/>
  <c r="F60" i="2"/>
  <c r="M60" i="2" s="1"/>
  <c r="O60" i="2" s="1"/>
  <c r="P60" i="2" s="1"/>
  <c r="N59" i="2"/>
  <c r="M59" i="2"/>
  <c r="O59" i="2" s="1"/>
  <c r="P59" i="2" s="1"/>
  <c r="F59" i="2"/>
  <c r="N58" i="2"/>
  <c r="M58" i="2"/>
  <c r="O58" i="2" s="1"/>
  <c r="P58" i="2" s="1"/>
  <c r="F58" i="2"/>
  <c r="N57" i="2"/>
  <c r="F57" i="2"/>
  <c r="M57" i="2" s="1"/>
  <c r="O57" i="2" s="1"/>
  <c r="P57" i="2" s="1"/>
  <c r="N56" i="2"/>
  <c r="F56" i="2"/>
  <c r="E56" i="2"/>
  <c r="N55" i="2"/>
  <c r="F55" i="2"/>
  <c r="M55" i="2" s="1"/>
  <c r="O55" i="2" s="1"/>
  <c r="P55" i="2" s="1"/>
  <c r="N54" i="2"/>
  <c r="F54" i="2"/>
  <c r="E54" i="2"/>
  <c r="N53" i="2"/>
  <c r="F53" i="2"/>
  <c r="M53" i="2" s="1"/>
  <c r="O53" i="2" s="1"/>
  <c r="P53" i="2" s="1"/>
  <c r="N52" i="2"/>
  <c r="F52" i="2"/>
  <c r="M52" i="2" s="1"/>
  <c r="N51" i="2"/>
  <c r="M51" i="2"/>
  <c r="O51" i="2" s="1"/>
  <c r="P51" i="2" s="1"/>
  <c r="F51" i="2"/>
  <c r="N50" i="2"/>
  <c r="F50" i="2"/>
  <c r="M50" i="2" s="1"/>
  <c r="N49" i="2"/>
  <c r="F49" i="2"/>
  <c r="M49" i="2" s="1"/>
  <c r="O49" i="2" s="1"/>
  <c r="P49" i="2" s="1"/>
  <c r="N48" i="2"/>
  <c r="M48" i="2"/>
  <c r="N47" i="2"/>
  <c r="F47" i="2"/>
  <c r="M47" i="2" s="1"/>
  <c r="O47" i="2" s="1"/>
  <c r="P47" i="2" s="1"/>
  <c r="N46" i="2"/>
  <c r="M46" i="2"/>
  <c r="O46" i="2" s="1"/>
  <c r="P46" i="2" s="1"/>
  <c r="F46" i="2"/>
  <c r="N45" i="2"/>
  <c r="F45" i="2"/>
  <c r="M45" i="2" s="1"/>
  <c r="E45" i="2"/>
  <c r="N44" i="2"/>
  <c r="F44" i="2"/>
  <c r="M44" i="2" s="1"/>
  <c r="O44" i="2" s="1"/>
  <c r="P44" i="2" s="1"/>
  <c r="O43" i="2"/>
  <c r="P43" i="2" s="1"/>
  <c r="N43" i="2"/>
  <c r="M43" i="2"/>
  <c r="F43" i="2"/>
  <c r="N42" i="2"/>
  <c r="F42" i="2"/>
  <c r="M42" i="2" s="1"/>
  <c r="O42" i="2" s="1"/>
  <c r="P42" i="2" s="1"/>
  <c r="E42" i="2"/>
  <c r="N41" i="2"/>
  <c r="M41" i="2"/>
  <c r="O41" i="2" s="1"/>
  <c r="P41" i="2" s="1"/>
  <c r="F41" i="2"/>
  <c r="E41" i="2"/>
  <c r="N40" i="2"/>
  <c r="F40" i="2"/>
  <c r="M40" i="2" s="1"/>
  <c r="O40" i="2" s="1"/>
  <c r="P40" i="2" s="1"/>
  <c r="N39" i="2"/>
  <c r="F39" i="2"/>
  <c r="M39" i="2" s="1"/>
  <c r="O39" i="2" s="1"/>
  <c r="P39" i="2" s="1"/>
  <c r="N38" i="2"/>
  <c r="M38" i="2"/>
  <c r="O38" i="2" s="1"/>
  <c r="P38" i="2" s="1"/>
  <c r="F38" i="2"/>
  <c r="E38" i="2"/>
  <c r="N37" i="2"/>
  <c r="F37" i="2"/>
  <c r="E37" i="2"/>
  <c r="N36" i="2"/>
  <c r="M36" i="2"/>
  <c r="F36" i="2"/>
  <c r="N35" i="2"/>
  <c r="F35" i="2"/>
  <c r="E35" i="2"/>
  <c r="N34" i="2"/>
  <c r="F34" i="2"/>
  <c r="M34" i="2" s="1"/>
  <c r="O34" i="2" s="1"/>
  <c r="P34" i="2" s="1"/>
  <c r="N33" i="2"/>
  <c r="F33" i="2"/>
  <c r="M33" i="2" s="1"/>
  <c r="O33" i="2" s="1"/>
  <c r="P33" i="2" s="1"/>
  <c r="N32" i="2"/>
  <c r="F32" i="2"/>
  <c r="M32" i="2" s="1"/>
  <c r="O32" i="2" s="1"/>
  <c r="P32" i="2" s="1"/>
  <c r="E32" i="2"/>
  <c r="N31" i="2"/>
  <c r="F31" i="2"/>
  <c r="M31" i="2" s="1"/>
  <c r="O31" i="2" s="1"/>
  <c r="P31" i="2" s="1"/>
  <c r="N30" i="2"/>
  <c r="F30" i="2"/>
  <c r="M30" i="2" s="1"/>
  <c r="N29" i="2"/>
  <c r="F29" i="2"/>
  <c r="M29" i="2" s="1"/>
  <c r="N28" i="2"/>
  <c r="F28" i="2"/>
  <c r="M28" i="2" s="1"/>
  <c r="O28" i="2" s="1"/>
  <c r="P28" i="2" s="1"/>
  <c r="N27" i="2"/>
  <c r="F27" i="2"/>
  <c r="M27" i="2" s="1"/>
  <c r="O27" i="2" s="1"/>
  <c r="P27" i="2" s="1"/>
  <c r="N26" i="2"/>
  <c r="M26" i="2"/>
  <c r="N25" i="2"/>
  <c r="F25" i="2"/>
  <c r="M25" i="2" s="1"/>
  <c r="N24" i="2"/>
  <c r="F24" i="2"/>
  <c r="M24" i="2" s="1"/>
  <c r="E24" i="2"/>
  <c r="N23" i="2"/>
  <c r="F23" i="2"/>
  <c r="M23" i="2" s="1"/>
  <c r="N22" i="2"/>
  <c r="F22" i="2"/>
  <c r="M22" i="2" s="1"/>
  <c r="N21" i="2"/>
  <c r="F21" i="2"/>
  <c r="M21" i="2" s="1"/>
  <c r="N20" i="2"/>
  <c r="M20" i="2"/>
  <c r="O20" i="2" s="1"/>
  <c r="P20" i="2" s="1"/>
  <c r="F20" i="2"/>
  <c r="E20" i="2"/>
  <c r="N19" i="2"/>
  <c r="F19" i="2"/>
  <c r="M19" i="2" s="1"/>
  <c r="N18" i="2"/>
  <c r="F18" i="2"/>
  <c r="M18" i="2" s="1"/>
  <c r="N17" i="2"/>
  <c r="M17" i="2"/>
  <c r="O17" i="2" s="1"/>
  <c r="P17" i="2" s="1"/>
  <c r="F17" i="2"/>
  <c r="N16" i="2"/>
  <c r="M16" i="2"/>
  <c r="F16" i="2"/>
  <c r="N15" i="2"/>
  <c r="F15" i="2"/>
  <c r="M15" i="2" s="1"/>
  <c r="N14" i="2"/>
  <c r="F14" i="2"/>
  <c r="M14" i="2" s="1"/>
  <c r="O14" i="2" s="1"/>
  <c r="P14" i="2" s="1"/>
  <c r="N13" i="2"/>
  <c r="F13" i="2"/>
  <c r="M13" i="2" s="1"/>
  <c r="O13" i="2" s="1"/>
  <c r="P13" i="2" s="1"/>
  <c r="N12" i="2"/>
  <c r="F12" i="2"/>
  <c r="E12" i="2"/>
  <c r="N11" i="2"/>
  <c r="F11" i="2"/>
  <c r="M11" i="2" s="1"/>
  <c r="O11" i="2" s="1"/>
  <c r="P11" i="2" s="1"/>
  <c r="E11" i="2"/>
  <c r="N10" i="2"/>
  <c r="M10" i="2"/>
  <c r="F10" i="2"/>
  <c r="N9" i="2"/>
  <c r="F9" i="2"/>
  <c r="M9" i="2" s="1"/>
  <c r="N8" i="2"/>
  <c r="F8" i="2"/>
  <c r="M8" i="2" s="1"/>
  <c r="O8" i="2" s="1"/>
  <c r="P8" i="2" s="1"/>
  <c r="N7" i="2"/>
  <c r="F7" i="2"/>
  <c r="M7" i="2" s="1"/>
  <c r="O7" i="2" s="1"/>
  <c r="P7" i="2" s="1"/>
  <c r="E7" i="2"/>
  <c r="N6" i="2"/>
  <c r="F6" i="2"/>
  <c r="M6" i="2" s="1"/>
  <c r="N5" i="2"/>
  <c r="F5" i="2"/>
  <c r="M5" i="2" s="1"/>
  <c r="O5" i="2" s="1"/>
  <c r="P5" i="2" s="1"/>
  <c r="N4" i="2"/>
  <c r="F4" i="2"/>
  <c r="M4" i="2" s="1"/>
  <c r="O4" i="2" s="1"/>
  <c r="P4" i="2" s="1"/>
  <c r="N3" i="2"/>
  <c r="M3" i="2"/>
  <c r="F3" i="2"/>
  <c r="N2" i="2"/>
  <c r="F2" i="2"/>
  <c r="M2" i="2" s="1"/>
  <c r="J177" i="1"/>
  <c r="K177" i="1" s="1"/>
  <c r="L177" i="1" s="1"/>
  <c r="J176" i="1"/>
  <c r="K176" i="1" s="1"/>
  <c r="L176" i="1" s="1"/>
  <c r="J175" i="1"/>
  <c r="I175" i="1"/>
  <c r="J174" i="1"/>
  <c r="I174" i="1"/>
  <c r="J173" i="1"/>
  <c r="K173" i="1" s="1"/>
  <c r="L173" i="1" s="1"/>
  <c r="J172" i="1"/>
  <c r="K172" i="1" s="1"/>
  <c r="L172" i="1" s="1"/>
  <c r="J171" i="1"/>
  <c r="K171" i="1" s="1"/>
  <c r="L171" i="1" s="1"/>
  <c r="J170" i="1"/>
  <c r="K170" i="1" s="1"/>
  <c r="L170" i="1" s="1"/>
  <c r="J169" i="1"/>
  <c r="K169" i="1" s="1"/>
  <c r="L169" i="1" s="1"/>
  <c r="J168" i="1"/>
  <c r="K168" i="1" s="1"/>
  <c r="L168" i="1" s="1"/>
  <c r="J167" i="1"/>
  <c r="K167" i="1" s="1"/>
  <c r="L167" i="1" s="1"/>
  <c r="J166" i="1"/>
  <c r="K166" i="1" s="1"/>
  <c r="L166" i="1" s="1"/>
  <c r="J165" i="1"/>
  <c r="I165" i="1"/>
  <c r="J164" i="1"/>
  <c r="K164" i="1" s="1"/>
  <c r="L164" i="1" s="1"/>
  <c r="J163" i="1"/>
  <c r="K163" i="1" s="1"/>
  <c r="L163" i="1" s="1"/>
  <c r="J162" i="1"/>
  <c r="K162" i="1" s="1"/>
  <c r="L162" i="1" s="1"/>
  <c r="J161" i="1"/>
  <c r="K161" i="1" s="1"/>
  <c r="L161" i="1" s="1"/>
  <c r="J160" i="1"/>
  <c r="I160" i="1"/>
  <c r="J159" i="1"/>
  <c r="K159" i="1" s="1"/>
  <c r="L159" i="1" s="1"/>
  <c r="J158" i="1"/>
  <c r="I158" i="1"/>
  <c r="J157" i="1"/>
  <c r="K157" i="1" s="1"/>
  <c r="L157" i="1" s="1"/>
  <c r="J156" i="1"/>
  <c r="K156" i="1" s="1"/>
  <c r="L156" i="1" s="1"/>
  <c r="J155" i="1"/>
  <c r="I155" i="1"/>
  <c r="J154" i="1"/>
  <c r="I154" i="1"/>
  <c r="J153" i="1"/>
  <c r="K153" i="1" s="1"/>
  <c r="L153" i="1" s="1"/>
  <c r="J152" i="1"/>
  <c r="K152" i="1" s="1"/>
  <c r="L152" i="1" s="1"/>
  <c r="J151" i="1"/>
  <c r="K151" i="1" s="1"/>
  <c r="L151" i="1" s="1"/>
  <c r="J150" i="1"/>
  <c r="I150" i="1"/>
  <c r="J149" i="1"/>
  <c r="I149" i="1"/>
  <c r="J148" i="1"/>
  <c r="K148" i="1" s="1"/>
  <c r="L148" i="1" s="1"/>
  <c r="J147" i="1"/>
  <c r="K147" i="1" s="1"/>
  <c r="L147" i="1" s="1"/>
  <c r="J146" i="1"/>
  <c r="K146" i="1" s="1"/>
  <c r="L146" i="1" s="1"/>
  <c r="J145" i="1"/>
  <c r="K145" i="1" s="1"/>
  <c r="L145" i="1" s="1"/>
  <c r="J144" i="1"/>
  <c r="I144" i="1"/>
  <c r="J143" i="1"/>
  <c r="K143" i="1" s="1"/>
  <c r="L143" i="1" s="1"/>
  <c r="J142" i="1"/>
  <c r="I142" i="1"/>
  <c r="J141" i="1"/>
  <c r="I141" i="1"/>
  <c r="J140" i="1"/>
  <c r="K140" i="1" s="1"/>
  <c r="L140" i="1" s="1"/>
  <c r="J139" i="1"/>
  <c r="I139" i="1"/>
  <c r="J138" i="1"/>
  <c r="I138" i="1"/>
  <c r="J137" i="1"/>
  <c r="K137" i="1" s="1"/>
  <c r="L137" i="1" s="1"/>
  <c r="J136" i="1"/>
  <c r="I136" i="1"/>
  <c r="J135" i="1"/>
  <c r="I135" i="1"/>
  <c r="J134" i="1"/>
  <c r="K134" i="1" s="1"/>
  <c r="L134" i="1" s="1"/>
  <c r="J133" i="1"/>
  <c r="K133" i="1" s="1"/>
  <c r="L133" i="1" s="1"/>
  <c r="J132" i="1"/>
  <c r="K132" i="1" s="1"/>
  <c r="L132" i="1" s="1"/>
  <c r="J131" i="1"/>
  <c r="I131" i="1"/>
  <c r="J130" i="1"/>
  <c r="K130" i="1" s="1"/>
  <c r="L130" i="1" s="1"/>
  <c r="J129" i="1"/>
  <c r="I129" i="1"/>
  <c r="J128" i="1"/>
  <c r="I128" i="1"/>
  <c r="J127" i="1"/>
  <c r="K127" i="1" s="1"/>
  <c r="L127" i="1" s="1"/>
  <c r="J126" i="1"/>
  <c r="K126" i="1" s="1"/>
  <c r="L126" i="1" s="1"/>
  <c r="J125" i="1"/>
  <c r="K125" i="1" s="1"/>
  <c r="L125" i="1" s="1"/>
  <c r="J124" i="1"/>
  <c r="K124" i="1" s="1"/>
  <c r="L124" i="1" s="1"/>
  <c r="J123" i="1"/>
  <c r="K123" i="1" s="1"/>
  <c r="L123" i="1" s="1"/>
  <c r="J122" i="1"/>
  <c r="I122" i="1"/>
  <c r="J121" i="1"/>
  <c r="K121" i="1" s="1"/>
  <c r="L121" i="1" s="1"/>
  <c r="J120" i="1"/>
  <c r="I120" i="1"/>
  <c r="J119" i="1"/>
  <c r="I119" i="1"/>
  <c r="J118" i="1"/>
  <c r="K118" i="1" s="1"/>
  <c r="L118" i="1" s="1"/>
  <c r="J117" i="1"/>
  <c r="I117" i="1"/>
  <c r="J116" i="1"/>
  <c r="I116" i="1"/>
  <c r="J115" i="1"/>
  <c r="I115" i="1"/>
  <c r="J114" i="1"/>
  <c r="I114" i="1"/>
  <c r="J113" i="1"/>
  <c r="K113" i="1" s="1"/>
  <c r="L113" i="1" s="1"/>
  <c r="J112" i="1"/>
  <c r="K112" i="1" s="1"/>
  <c r="L112" i="1" s="1"/>
  <c r="J111" i="1"/>
  <c r="I111" i="1"/>
  <c r="J110" i="1"/>
  <c r="I110" i="1"/>
  <c r="J109" i="1"/>
  <c r="K109" i="1" s="1"/>
  <c r="L109" i="1" s="1"/>
  <c r="J108" i="1"/>
  <c r="I108" i="1"/>
  <c r="J107" i="1"/>
  <c r="I107" i="1"/>
  <c r="J106" i="1"/>
  <c r="I106" i="1"/>
  <c r="J105" i="1"/>
  <c r="K105" i="1" s="1"/>
  <c r="L105" i="1" s="1"/>
  <c r="J104" i="1"/>
  <c r="I104" i="1"/>
  <c r="J103" i="1"/>
  <c r="K103" i="1" s="1"/>
  <c r="L103" i="1" s="1"/>
  <c r="J102" i="1"/>
  <c r="K102" i="1" s="1"/>
  <c r="L102" i="1" s="1"/>
  <c r="J101" i="1"/>
  <c r="K101" i="1" s="1"/>
  <c r="L101" i="1" s="1"/>
  <c r="J100" i="1"/>
  <c r="I100" i="1"/>
  <c r="J99" i="1"/>
  <c r="I99" i="1"/>
  <c r="J98" i="1"/>
  <c r="K98" i="1" s="1"/>
  <c r="L98" i="1" s="1"/>
  <c r="J97" i="1"/>
  <c r="I97" i="1"/>
  <c r="J96" i="1"/>
  <c r="K96" i="1" s="1"/>
  <c r="L96" i="1" s="1"/>
  <c r="J95" i="1"/>
  <c r="I95" i="1"/>
  <c r="J94" i="1"/>
  <c r="K94" i="1" s="1"/>
  <c r="L94" i="1" s="1"/>
  <c r="J93" i="1"/>
  <c r="K93" i="1" s="1"/>
  <c r="L93" i="1" s="1"/>
  <c r="J92" i="1"/>
  <c r="K92" i="1" s="1"/>
  <c r="L92" i="1" s="1"/>
  <c r="J91" i="1"/>
  <c r="K91" i="1" s="1"/>
  <c r="L91" i="1" s="1"/>
  <c r="J90" i="1"/>
  <c r="K90" i="1" s="1"/>
  <c r="L90" i="1" s="1"/>
  <c r="J89" i="1"/>
  <c r="K89" i="1" s="1"/>
  <c r="L89" i="1" s="1"/>
  <c r="J88" i="1"/>
  <c r="I88" i="1"/>
  <c r="J87" i="1"/>
  <c r="K87" i="1" s="1"/>
  <c r="L87" i="1" s="1"/>
  <c r="J86" i="1"/>
  <c r="K86" i="1" s="1"/>
  <c r="L86" i="1" s="1"/>
  <c r="J85" i="1"/>
  <c r="K85" i="1" s="1"/>
  <c r="L85" i="1" s="1"/>
  <c r="J84" i="1"/>
  <c r="I84" i="1"/>
  <c r="J83" i="1"/>
  <c r="I83" i="1"/>
  <c r="J82" i="1"/>
  <c r="K82" i="1" s="1"/>
  <c r="L82" i="1" s="1"/>
  <c r="J81" i="1"/>
  <c r="I81" i="1"/>
  <c r="J80" i="1"/>
  <c r="I80" i="1"/>
  <c r="J79" i="1"/>
  <c r="K79" i="1" s="1"/>
  <c r="L79" i="1" s="1"/>
  <c r="J78" i="1"/>
  <c r="I78" i="1"/>
  <c r="J77" i="1"/>
  <c r="K77" i="1" s="1"/>
  <c r="L77" i="1" s="1"/>
  <c r="J76" i="1"/>
  <c r="K76" i="1" s="1"/>
  <c r="L76" i="1" s="1"/>
  <c r="J75" i="1"/>
  <c r="I75" i="1"/>
  <c r="J74" i="1"/>
  <c r="I74" i="1"/>
  <c r="J73" i="1"/>
  <c r="I73" i="1"/>
  <c r="J72" i="1"/>
  <c r="I72" i="1"/>
  <c r="J71" i="1"/>
  <c r="I71" i="1"/>
  <c r="J70" i="1"/>
  <c r="K70" i="1" s="1"/>
  <c r="L70" i="1" s="1"/>
  <c r="J69" i="1"/>
  <c r="K69" i="1" s="1"/>
  <c r="L69" i="1" s="1"/>
  <c r="J68" i="1"/>
  <c r="K68" i="1" s="1"/>
  <c r="L68" i="1" s="1"/>
  <c r="J67" i="1"/>
  <c r="I67" i="1"/>
  <c r="J66" i="1"/>
  <c r="K66" i="1" s="1"/>
  <c r="L66" i="1" s="1"/>
  <c r="J65" i="1"/>
  <c r="K65" i="1" s="1"/>
  <c r="L65" i="1" s="1"/>
  <c r="J64" i="1"/>
  <c r="I64" i="1"/>
  <c r="J63" i="1"/>
  <c r="I63" i="1"/>
  <c r="J62" i="1"/>
  <c r="I62" i="1"/>
  <c r="J61" i="1"/>
  <c r="K61" i="1" s="1"/>
  <c r="L61" i="1" s="1"/>
  <c r="J60" i="1"/>
  <c r="K60" i="1" s="1"/>
  <c r="L60" i="1" s="1"/>
  <c r="J59" i="1"/>
  <c r="K59" i="1" s="1"/>
  <c r="L59" i="1" s="1"/>
  <c r="J58" i="1"/>
  <c r="K58" i="1" s="1"/>
  <c r="L58" i="1" s="1"/>
  <c r="J57" i="1"/>
  <c r="K57" i="1" s="1"/>
  <c r="L57" i="1" s="1"/>
  <c r="J56" i="1"/>
  <c r="I56" i="1"/>
  <c r="J55" i="1"/>
  <c r="K55" i="1" s="1"/>
  <c r="L55" i="1" s="1"/>
  <c r="J54" i="1"/>
  <c r="I54" i="1"/>
  <c r="J53" i="1"/>
  <c r="K53" i="1" s="1"/>
  <c r="L53" i="1" s="1"/>
  <c r="J52" i="1"/>
  <c r="K52" i="1" s="1"/>
  <c r="L52" i="1" s="1"/>
  <c r="J51" i="1"/>
  <c r="K51" i="1" s="1"/>
  <c r="L51" i="1" s="1"/>
  <c r="J50" i="1"/>
  <c r="K50" i="1" s="1"/>
  <c r="L50" i="1" s="1"/>
  <c r="J49" i="1"/>
  <c r="K49" i="1" s="1"/>
  <c r="L49" i="1" s="1"/>
  <c r="K48" i="1"/>
  <c r="L48" i="1" s="1"/>
  <c r="J47" i="1"/>
  <c r="K47" i="1" s="1"/>
  <c r="L47" i="1" s="1"/>
  <c r="J46" i="1"/>
  <c r="K46" i="1" s="1"/>
  <c r="L46" i="1" s="1"/>
  <c r="J45" i="1"/>
  <c r="I45" i="1"/>
  <c r="J44" i="1"/>
  <c r="K44" i="1" s="1"/>
  <c r="L44" i="1" s="1"/>
  <c r="J43" i="1"/>
  <c r="K43" i="1" s="1"/>
  <c r="L43" i="1" s="1"/>
  <c r="J42" i="1"/>
  <c r="I42" i="1"/>
  <c r="J41" i="1"/>
  <c r="I41" i="1"/>
  <c r="J40" i="1"/>
  <c r="K40" i="1" s="1"/>
  <c r="L40" i="1" s="1"/>
  <c r="J39" i="1"/>
  <c r="K39" i="1" s="1"/>
  <c r="L39" i="1" s="1"/>
  <c r="J38" i="1"/>
  <c r="I38" i="1"/>
  <c r="J37" i="1"/>
  <c r="I37" i="1"/>
  <c r="J36" i="1"/>
  <c r="K36" i="1" s="1"/>
  <c r="L36" i="1" s="1"/>
  <c r="J35" i="1"/>
  <c r="I35" i="1"/>
  <c r="J34" i="1"/>
  <c r="K34" i="1" s="1"/>
  <c r="L34" i="1" s="1"/>
  <c r="J33" i="1"/>
  <c r="K33" i="1" s="1"/>
  <c r="L33" i="1" s="1"/>
  <c r="J32" i="1"/>
  <c r="I32" i="1"/>
  <c r="J31" i="1"/>
  <c r="K31" i="1" s="1"/>
  <c r="L31" i="1" s="1"/>
  <c r="J30" i="1"/>
  <c r="K30" i="1" s="1"/>
  <c r="L30" i="1" s="1"/>
  <c r="J29" i="1"/>
  <c r="K29" i="1" s="1"/>
  <c r="L29" i="1" s="1"/>
  <c r="J28" i="1"/>
  <c r="K28" i="1" s="1"/>
  <c r="L28" i="1" s="1"/>
  <c r="J27" i="1"/>
  <c r="K27" i="1" s="1"/>
  <c r="L27" i="1" s="1"/>
  <c r="K26" i="1"/>
  <c r="L26" i="1" s="1"/>
  <c r="J25" i="1"/>
  <c r="K25" i="1" s="1"/>
  <c r="L25" i="1" s="1"/>
  <c r="J24" i="1"/>
  <c r="I24" i="1"/>
  <c r="J23" i="1"/>
  <c r="K23" i="1" s="1"/>
  <c r="L23" i="1" s="1"/>
  <c r="J22" i="1"/>
  <c r="K22" i="1" s="1"/>
  <c r="L22" i="1" s="1"/>
  <c r="J21" i="1"/>
  <c r="K21" i="1" s="1"/>
  <c r="L21" i="1" s="1"/>
  <c r="J20" i="1"/>
  <c r="I20" i="1"/>
  <c r="J19" i="1"/>
  <c r="K19" i="1" s="1"/>
  <c r="L19" i="1" s="1"/>
  <c r="J18" i="1"/>
  <c r="K18" i="1" s="1"/>
  <c r="L18" i="1" s="1"/>
  <c r="J17" i="1"/>
  <c r="K17" i="1" s="1"/>
  <c r="L17" i="1" s="1"/>
  <c r="J16" i="1"/>
  <c r="K16" i="1" s="1"/>
  <c r="L16" i="1" s="1"/>
  <c r="J15" i="1"/>
  <c r="K15" i="1" s="1"/>
  <c r="L15" i="1" s="1"/>
  <c r="J14" i="1"/>
  <c r="K14" i="1" s="1"/>
  <c r="L14" i="1" s="1"/>
  <c r="J13" i="1"/>
  <c r="K13" i="1" s="1"/>
  <c r="L13" i="1" s="1"/>
  <c r="J12" i="1"/>
  <c r="I12" i="1"/>
  <c r="J11" i="1"/>
  <c r="I11" i="1"/>
  <c r="J10" i="1"/>
  <c r="K10" i="1" s="1"/>
  <c r="L10" i="1" s="1"/>
  <c r="J9" i="1"/>
  <c r="K9" i="1" s="1"/>
  <c r="L9" i="1" s="1"/>
  <c r="J8" i="1"/>
  <c r="K8" i="1" s="1"/>
  <c r="L8" i="1" s="1"/>
  <c r="J7" i="1"/>
  <c r="I7" i="1"/>
  <c r="J6" i="1"/>
  <c r="K6" i="1" s="1"/>
  <c r="L6" i="1" s="1"/>
  <c r="J5" i="1"/>
  <c r="K5" i="1" s="1"/>
  <c r="L5" i="1" s="1"/>
  <c r="J4" i="1"/>
  <c r="K4" i="1" s="1"/>
  <c r="L4" i="1" s="1"/>
  <c r="J3" i="1"/>
  <c r="K3" i="1" s="1"/>
  <c r="L3" i="1" s="1"/>
  <c r="K2" i="1"/>
  <c r="L2" i="1" s="1"/>
  <c r="K45" i="1" l="1"/>
  <c r="L45" i="1" s="1"/>
  <c r="K95" i="1"/>
  <c r="L95" i="1" s="1"/>
  <c r="K100" i="1"/>
  <c r="L100" i="1" s="1"/>
  <c r="K111" i="1"/>
  <c r="L111" i="1" s="1"/>
  <c r="K107" i="1"/>
  <c r="L107" i="1" s="1"/>
  <c r="K42" i="1"/>
  <c r="L42" i="1" s="1"/>
  <c r="K81" i="1"/>
  <c r="L81" i="1" s="1"/>
  <c r="K72" i="1"/>
  <c r="L72" i="1" s="1"/>
  <c r="K141" i="1"/>
  <c r="L141" i="1" s="1"/>
  <c r="K154" i="1"/>
  <c r="L154" i="1" s="1"/>
  <c r="K155" i="1"/>
  <c r="L155" i="1" s="1"/>
  <c r="K7" i="1"/>
  <c r="L7" i="1" s="1"/>
  <c r="K80" i="1"/>
  <c r="L80" i="1" s="1"/>
  <c r="K108" i="1"/>
  <c r="L108" i="1" s="1"/>
  <c r="K174" i="1"/>
  <c r="L174" i="1" s="1"/>
  <c r="K175" i="1"/>
  <c r="L175" i="1" s="1"/>
  <c r="K73" i="1"/>
  <c r="L73" i="1" s="1"/>
  <c r="K88" i="1"/>
  <c r="L88" i="1" s="1"/>
  <c r="K99" i="1"/>
  <c r="L99" i="1" s="1"/>
  <c r="K119" i="1"/>
  <c r="L119" i="1" s="1"/>
  <c r="K37" i="1"/>
  <c r="L37" i="1" s="1"/>
  <c r="K41" i="1"/>
  <c r="L41" i="1" s="1"/>
  <c r="K74" i="1"/>
  <c r="L74" i="1" s="1"/>
  <c r="K149" i="1"/>
  <c r="L149" i="1" s="1"/>
  <c r="K62" i="1"/>
  <c r="L62" i="1" s="1"/>
  <c r="K97" i="1"/>
  <c r="L97" i="1" s="1"/>
  <c r="K120" i="1"/>
  <c r="L120" i="1" s="1"/>
  <c r="K150" i="1"/>
  <c r="L150" i="1" s="1"/>
  <c r="K20" i="1"/>
  <c r="L20" i="1" s="1"/>
  <c r="K106" i="1"/>
  <c r="L106" i="1" s="1"/>
  <c r="K63" i="1"/>
  <c r="L63" i="1" s="1"/>
  <c r="K78" i="1"/>
  <c r="L78" i="1" s="1"/>
  <c r="K117" i="1"/>
  <c r="L117" i="1" s="1"/>
  <c r="K38" i="1"/>
  <c r="L38" i="1" s="1"/>
  <c r="K64" i="1"/>
  <c r="L64" i="1" s="1"/>
  <c r="K114" i="1"/>
  <c r="L114" i="1" s="1"/>
  <c r="K142" i="1"/>
  <c r="L142" i="1" s="1"/>
  <c r="K71" i="1"/>
  <c r="L71" i="1" s="1"/>
  <c r="K75" i="1"/>
  <c r="L75" i="1" s="1"/>
  <c r="K110" i="1"/>
  <c r="L110" i="1" s="1"/>
  <c r="K165" i="1"/>
  <c r="L165" i="1" s="1"/>
  <c r="K35" i="1"/>
  <c r="L35" i="1" s="1"/>
  <c r="K139" i="1"/>
  <c r="L139" i="1" s="1"/>
  <c r="K84" i="1"/>
  <c r="L84" i="1" s="1"/>
  <c r="K104" i="1"/>
  <c r="L104" i="1" s="1"/>
  <c r="K115" i="1"/>
  <c r="L115" i="1" s="1"/>
  <c r="K122" i="1"/>
  <c r="L122" i="1" s="1"/>
  <c r="K131" i="1"/>
  <c r="L131" i="1" s="1"/>
  <c r="K135" i="1"/>
  <c r="L135" i="1" s="1"/>
  <c r="K158" i="1"/>
  <c r="L158" i="1" s="1"/>
  <c r="O3" i="2"/>
  <c r="P3" i="2" s="1"/>
  <c r="O19" i="2"/>
  <c r="P19" i="2" s="1"/>
  <c r="O22" i="2"/>
  <c r="P22" i="2" s="1"/>
  <c r="O25" i="2"/>
  <c r="P25" i="2" s="1"/>
  <c r="M62" i="2"/>
  <c r="O62" i="2" s="1"/>
  <c r="P62" i="2" s="1"/>
  <c r="O65" i="2"/>
  <c r="P65" i="2" s="1"/>
  <c r="O69" i="2"/>
  <c r="P69" i="2" s="1"/>
  <c r="M74" i="2"/>
  <c r="M111" i="2"/>
  <c r="O111" i="2" s="1"/>
  <c r="P111" i="2" s="1"/>
  <c r="M114" i="2"/>
  <c r="O114" i="2" s="1"/>
  <c r="P114" i="2" s="1"/>
  <c r="M122" i="2"/>
  <c r="O122" i="2" s="1"/>
  <c r="P122" i="2" s="1"/>
  <c r="M154" i="2"/>
  <c r="O154" i="2" s="1"/>
  <c r="P154" i="2" s="1"/>
  <c r="O164" i="2"/>
  <c r="P164" i="2" s="1"/>
  <c r="O74" i="2"/>
  <c r="P74" i="2" s="1"/>
  <c r="O10" i="2"/>
  <c r="P10" i="2" s="1"/>
  <c r="O16" i="2"/>
  <c r="P16" i="2" s="1"/>
  <c r="M37" i="2"/>
  <c r="O37" i="2" s="1"/>
  <c r="P37" i="2" s="1"/>
  <c r="O63" i="2"/>
  <c r="P63" i="2" s="1"/>
  <c r="M81" i="2"/>
  <c r="O81" i="2" s="1"/>
  <c r="P81" i="2" s="1"/>
  <c r="O120" i="2"/>
  <c r="P120" i="2" s="1"/>
  <c r="K32" i="1"/>
  <c r="L32" i="1" s="1"/>
  <c r="K116" i="1"/>
  <c r="L116" i="1" s="1"/>
  <c r="K136" i="1"/>
  <c r="L136" i="1" s="1"/>
  <c r="K11" i="1"/>
  <c r="L11" i="1" s="1"/>
  <c r="K56" i="1"/>
  <c r="L56" i="1" s="1"/>
  <c r="K144" i="1"/>
  <c r="L144" i="1" s="1"/>
  <c r="K160" i="1"/>
  <c r="L160" i="1" s="1"/>
  <c r="O29" i="2"/>
  <c r="P29" i="2" s="1"/>
  <c r="M35" i="2"/>
  <c r="O35" i="2" s="1"/>
  <c r="P35" i="2" s="1"/>
  <c r="O50" i="2"/>
  <c r="P50" i="2" s="1"/>
  <c r="M95" i="2"/>
  <c r="O95" i="2" s="1"/>
  <c r="P95" i="2" s="1"/>
  <c r="M100" i="2"/>
  <c r="O100" i="2" s="1"/>
  <c r="P100" i="2" s="1"/>
  <c r="M115" i="2"/>
  <c r="O115" i="2" s="1"/>
  <c r="P115" i="2" s="1"/>
  <c r="M131" i="2"/>
  <c r="M165" i="2"/>
  <c r="O165" i="2" s="1"/>
  <c r="P165" i="2" s="1"/>
  <c r="O23" i="2"/>
  <c r="P23" i="2" s="1"/>
  <c r="K12" i="1"/>
  <c r="L12" i="1" s="1"/>
  <c r="K83" i="1"/>
  <c r="L83" i="1" s="1"/>
  <c r="K138" i="1"/>
  <c r="L138" i="1" s="1"/>
  <c r="M56" i="2"/>
  <c r="O56" i="2" s="1"/>
  <c r="P56" i="2" s="1"/>
  <c r="M84" i="2"/>
  <c r="O84" i="2" s="1"/>
  <c r="P84" i="2" s="1"/>
  <c r="O6" i="2"/>
  <c r="P6" i="2" s="1"/>
  <c r="O9" i="2"/>
  <c r="P9" i="2" s="1"/>
  <c r="M12" i="2"/>
  <c r="O12" i="2" s="1"/>
  <c r="P12" i="2" s="1"/>
  <c r="O15" i="2"/>
  <c r="P15" i="2" s="1"/>
  <c r="O18" i="2"/>
  <c r="P18" i="2" s="1"/>
  <c r="O21" i="2"/>
  <c r="P21" i="2" s="1"/>
  <c r="O24" i="2"/>
  <c r="P24" i="2" s="1"/>
  <c r="O45" i="2"/>
  <c r="P45" i="2" s="1"/>
  <c r="M54" i="2"/>
  <c r="O54" i="2" s="1"/>
  <c r="P54" i="2" s="1"/>
  <c r="O61" i="2"/>
  <c r="P61" i="2" s="1"/>
  <c r="O64" i="2"/>
  <c r="P64" i="2" s="1"/>
  <c r="M88" i="2"/>
  <c r="O88" i="2" s="1"/>
  <c r="P88" i="2" s="1"/>
  <c r="O96" i="2"/>
  <c r="P96" i="2" s="1"/>
  <c r="O101" i="2"/>
  <c r="P101" i="2" s="1"/>
  <c r="M116" i="2"/>
  <c r="O2" i="2"/>
  <c r="K128" i="1"/>
  <c r="L128" i="1" s="1"/>
  <c r="K24" i="1"/>
  <c r="L24" i="1" s="1"/>
  <c r="K54" i="1"/>
  <c r="L54" i="1" s="1"/>
  <c r="K67" i="1"/>
  <c r="L67" i="1" s="1"/>
  <c r="K129" i="1"/>
  <c r="L129" i="1" s="1"/>
  <c r="N178" i="2"/>
  <c r="O30" i="2"/>
  <c r="P30" i="2" s="1"/>
  <c r="O36" i="2"/>
  <c r="P36" i="2" s="1"/>
  <c r="O48" i="2"/>
  <c r="P48" i="2" s="1"/>
  <c r="O93" i="2"/>
  <c r="P93" i="2" s="1"/>
  <c r="O116" i="2"/>
  <c r="P116" i="2" s="1"/>
  <c r="O124" i="2"/>
  <c r="P124" i="2" s="1"/>
  <c r="O130" i="2"/>
  <c r="P130" i="2" s="1"/>
  <c r="O167" i="2"/>
  <c r="P167" i="2" s="1"/>
  <c r="O26" i="2"/>
  <c r="P26" i="2" s="1"/>
  <c r="O52" i="2"/>
  <c r="P52" i="2" s="1"/>
  <c r="M72" i="2"/>
  <c r="O72" i="2" s="1"/>
  <c r="P72" i="2" s="1"/>
  <c r="M110" i="2"/>
  <c r="O110" i="2" s="1"/>
  <c r="P110" i="2" s="1"/>
  <c r="O113" i="2"/>
  <c r="P113" i="2" s="1"/>
  <c r="O117" i="2"/>
  <c r="P117" i="2" s="1"/>
  <c r="O131" i="2"/>
  <c r="P131" i="2" s="1"/>
  <c r="O137" i="2"/>
  <c r="P137" i="2" s="1"/>
  <c r="M97" i="2"/>
  <c r="O97" i="2" s="1"/>
  <c r="P97" i="2" s="1"/>
  <c r="O152" i="2"/>
  <c r="P152" i="2" s="1"/>
  <c r="O162" i="2"/>
  <c r="P162" i="2" s="1"/>
  <c r="O171" i="2"/>
  <c r="P171" i="2" s="1"/>
  <c r="O73" i="2"/>
  <c r="P73" i="2" s="1"/>
  <c r="O78" i="2"/>
  <c r="P78" i="2" s="1"/>
  <c r="O89" i="2"/>
  <c r="P89" i="2" s="1"/>
  <c r="O126" i="2"/>
  <c r="P126" i="2" s="1"/>
  <c r="O133" i="2"/>
  <c r="P133" i="2" s="1"/>
  <c r="O148" i="2"/>
  <c r="P148" i="2" s="1"/>
  <c r="O149" i="2"/>
  <c r="P149" i="2" s="1"/>
  <c r="O150" i="2"/>
  <c r="P150" i="2" s="1"/>
  <c r="O156" i="2"/>
  <c r="P156" i="2" s="1"/>
  <c r="O159" i="2"/>
  <c r="P159" i="2" s="1"/>
  <c r="O160" i="2"/>
  <c r="P160" i="2" s="1"/>
  <c r="O169" i="2"/>
  <c r="P169" i="2" s="1"/>
  <c r="O178" i="2" l="1"/>
  <c r="P2" i="2"/>
  <c r="P178" i="2" s="1"/>
  <c r="M178" i="2"/>
</calcChain>
</file>

<file path=xl/sharedStrings.xml><?xml version="1.0" encoding="utf-8"?>
<sst xmlns="http://schemas.openxmlformats.org/spreadsheetml/2006/main" count="3399" uniqueCount="1426">
  <si>
    <t>UID</t>
  </si>
  <si>
    <t>MBID of the recording</t>
  </si>
  <si>
    <t>Name</t>
  </si>
  <si>
    <t>Artist</t>
  </si>
  <si>
    <t>Release+Volume</t>
  </si>
  <si>
    <t>Lead Instrument Code</t>
  </si>
  <si>
    <t>Taala</t>
  </si>
  <si>
    <t>Raaga</t>
  </si>
  <si>
    <t>Excerpt Start Time (s)</t>
  </si>
  <si>
    <t>Excerpt End Time (s)</t>
  </si>
  <si>
    <t>Length of the excerpt (s)</t>
  </si>
  <si>
    <t>Length of the excerpt (min)</t>
  </si>
  <si>
    <t>Number of annotated beats</t>
  </si>
  <si>
    <t>Number of samas</t>
  </si>
  <si>
    <t>6fb02d72-120f-415a-bf46-cd455a61165c</t>
  </si>
  <si>
    <t>05_Thunga_Theera_Virajam</t>
  </si>
  <si>
    <t>Abhishek Raghuram</t>
  </si>
  <si>
    <t>Gems Of Carnatic Music - Live In Concert 2006</t>
  </si>
  <si>
    <t>V</t>
  </si>
  <si>
    <t>adi</t>
  </si>
  <si>
    <t>salaga bhairavi</t>
  </si>
  <si>
    <t>3ba1767b-f6c3-43dc-856f-1df72863650f</t>
  </si>
  <si>
    <t>1_Salamelae_-_Varnam</t>
  </si>
  <si>
    <t>Alathur Brothers</t>
  </si>
  <si>
    <t>nattakurinji</t>
  </si>
  <si>
    <t>5769ea2f-aed4-4169-9a20-bae4cb733b8e</t>
  </si>
  <si>
    <t>1-04_Shri_Visvanatham</t>
  </si>
  <si>
    <t>Amritha Murali</t>
  </si>
  <si>
    <t>December Season 2010/CD 1</t>
  </si>
  <si>
    <t>chaturdasha ragamalika</t>
  </si>
  <si>
    <t>40ecccaf-46d9-42a3-a709-e5202a1e22ec</t>
  </si>
  <si>
    <t>1_Vathapi</t>
  </si>
  <si>
    <t>Aneesh Vidyashankar</t>
  </si>
  <si>
    <t>Pure Expressions</t>
  </si>
  <si>
    <t>L</t>
  </si>
  <si>
    <t>hamsadhwani</t>
  </si>
  <si>
    <t>de94ed93-7399-47e3-aa8e-d77b49d94bd3</t>
  </si>
  <si>
    <t>2_Jagadanandakaraka</t>
  </si>
  <si>
    <t>nattai</t>
  </si>
  <si>
    <t>62107f21-e1b0-4cd2-bfcd-765ae205b7f8</t>
  </si>
  <si>
    <t>7_Jagadoddharana</t>
  </si>
  <si>
    <t>kapi</t>
  </si>
  <si>
    <t>f0a31bd3-983f-4fbe-b715-2ef0ea577158</t>
  </si>
  <si>
    <t>2-01_Anandamruta_Karshini</t>
  </si>
  <si>
    <t>Aruna Sairam</t>
  </si>
  <si>
    <t>Madrasil Margazhi 2005/CD 2</t>
  </si>
  <si>
    <t>amritavarshini</t>
  </si>
  <si>
    <t>c6758c9e-fd4e-4d55-a250-5283fff6741f</t>
  </si>
  <si>
    <t>9_Tillana</t>
  </si>
  <si>
    <t>Bombay Jayashri</t>
  </si>
  <si>
    <t>Classical Vocal</t>
  </si>
  <si>
    <t>desh</t>
  </si>
  <si>
    <t>7a97a224-559e-415f-8c52-ae0c44edf39d</t>
  </si>
  <si>
    <t>1_Varnam_-_Chalamela</t>
  </si>
  <si>
    <t>Chittibabu</t>
  </si>
  <si>
    <t>Rendezvous with Legends CD 1</t>
  </si>
  <si>
    <t>N</t>
  </si>
  <si>
    <t>natakurinji</t>
  </si>
  <si>
    <t>15694f58-98c5-4228-bcb9-128247417dc1</t>
  </si>
  <si>
    <t>3_Swara_Raga</t>
  </si>
  <si>
    <t>sankarabharanam</t>
  </si>
  <si>
    <t>4085ebbd-5b6f-4b99-bf1d-666ff45ecdaf</t>
  </si>
  <si>
    <t>3_Bantureethi</t>
  </si>
  <si>
    <t>Rendezvous with Legends CD 2</t>
  </si>
  <si>
    <t>hamsanandham</t>
  </si>
  <si>
    <t>e935b811-e08e-4512-911b-a720ffde5a3c</t>
  </si>
  <si>
    <t>2-02_Sharade_Veena_Vadana</t>
  </si>
  <si>
    <t>D. K. Jayaraman</t>
  </si>
  <si>
    <t>Paddhatti - D K Jayaraman - Live In Concert 1990/CD 2</t>
  </si>
  <si>
    <t>devagandhari</t>
  </si>
  <si>
    <t>4d3bcfe3-892b-43a8-a2ef-1f78a37cf277</t>
  </si>
  <si>
    <t>1113_Thillana</t>
  </si>
  <si>
    <t>E. Gayathri</t>
  </si>
  <si>
    <t>Sound Of Veena</t>
  </si>
  <si>
    <t>sivaranjani</t>
  </si>
  <si>
    <t>bd40e6c5-5cc5-4cbc-bc6d-5e0df14575ab</t>
  </si>
  <si>
    <t>1313_Bhagyadalakshmi</t>
  </si>
  <si>
    <t>madhyamavathi</t>
  </si>
  <si>
    <t>52f204cb-1d76-4405-a28a-add970f7f46c</t>
  </si>
  <si>
    <t>613_Watanala</t>
  </si>
  <si>
    <t>lalitha</t>
  </si>
  <si>
    <t>d2c5f8b2-550d-40de-a06e-67df57203bc9</t>
  </si>
  <si>
    <t>713_Kapali</t>
  </si>
  <si>
    <t>mohanam</t>
  </si>
  <si>
    <t>cc741a15-f5bf-4e08-a3a6-73a0c8238f18</t>
  </si>
  <si>
    <t>813_Radhamukhakamalam</t>
  </si>
  <si>
    <t>bf051611-1d47-4006-bba2-e84de063a08b</t>
  </si>
  <si>
    <t>03_Marukelara_O_Raghava</t>
  </si>
  <si>
    <t>G. N. Balasubramaniam</t>
  </si>
  <si>
    <t>Carnatic Vocal (1910 - 1965)</t>
  </si>
  <si>
    <t>jayanthasri</t>
  </si>
  <si>
    <t>b432b862-c0ec-44ef-a176-231396fd6e7a</t>
  </si>
  <si>
    <t>04_Brochevarevarura</t>
  </si>
  <si>
    <t>kamas</t>
  </si>
  <si>
    <t>ef32c6b2-87ce-4e61-9bbe-d6c46b56372c</t>
  </si>
  <si>
    <t>1-01_Ninnukkori</t>
  </si>
  <si>
    <t>Sangeethamrutham/CD 1</t>
  </si>
  <si>
    <t>e27d0605-1426-45a4-b34f-a9520742cf53</t>
  </si>
  <si>
    <t>2_Maa_Pala</t>
  </si>
  <si>
    <t>Ganesh - Kumaresh</t>
  </si>
  <si>
    <t>Live Concert</t>
  </si>
  <si>
    <t>asaveri</t>
  </si>
  <si>
    <t>6f2504c0-3b3a-4169-a586-7e139a1ee7ef</t>
  </si>
  <si>
    <t>5_Govardhana</t>
  </si>
  <si>
    <t>Hyderabad Brothers</t>
  </si>
  <si>
    <t>Sobhillu Sapthaswara &amp; other krithis</t>
  </si>
  <si>
    <t>darbari kanada</t>
  </si>
  <si>
    <t>ad1dd589-a6d7-4f2a-bfd6-356e29c5eb66</t>
  </si>
  <si>
    <t>6_Thaye_Yesoda</t>
  </si>
  <si>
    <t>Jayalakshmi Sekhar</t>
  </si>
  <si>
    <t>Oothukkadu Kritis</t>
  </si>
  <si>
    <t>thodi</t>
  </si>
  <si>
    <t>5a9f6d70-00b2-43e7-ac1e-61bb06bc5c3b</t>
  </si>
  <si>
    <t>3_Raghuvamsa</t>
  </si>
  <si>
    <t>Kadri Gopalnath</t>
  </si>
  <si>
    <t>Chidanandam</t>
  </si>
  <si>
    <t>S</t>
  </si>
  <si>
    <t>kadanakuthuhulam</t>
  </si>
  <si>
    <t>d2644d0e-dd99-4174-9447-dd67db2554a7</t>
  </si>
  <si>
    <t>8_Kurai_Ondrum</t>
  </si>
  <si>
    <t>ragamalika</t>
  </si>
  <si>
    <t>2400a42f-6ba9-4a5d-a968-d0454314a7d7</t>
  </si>
  <si>
    <t>L. Subramaniam</t>
  </si>
  <si>
    <t>Tala Vadya</t>
  </si>
  <si>
    <t>M</t>
  </si>
  <si>
    <t>-NA-</t>
  </si>
  <si>
    <t>3e1cae5c-5dd0-4d64-9e41-f5beef59cf05</t>
  </si>
  <si>
    <t>1-01_Varnam</t>
  </si>
  <si>
    <t>Lalgudi G. Jayaraman</t>
  </si>
  <si>
    <t>Nada Sagaram/CD 1</t>
  </si>
  <si>
    <t>shree</t>
  </si>
  <si>
    <t>4aff200c-1415-4b41-9ecb-6b3fff9074c1</t>
  </si>
  <si>
    <t>1_Varnam</t>
  </si>
  <si>
    <t>Violin</t>
  </si>
  <si>
    <t>nalinakanthi</t>
  </si>
  <si>
    <t>4bab0121-65ef-4de3-8547-09f34ac1336a</t>
  </si>
  <si>
    <t>6_Brovabharama</t>
  </si>
  <si>
    <t>bahudari</t>
  </si>
  <si>
    <t>f6681a27-9982-43e1-b92f-91f784b756f4</t>
  </si>
  <si>
    <t>09_Manasa_Sancharare</t>
  </si>
  <si>
    <t>M. S. Gopalakrishnan</t>
  </si>
  <si>
    <t>Live in Sydney</t>
  </si>
  <si>
    <t>shyama</t>
  </si>
  <si>
    <t>1f97eafa-aa10-48d1-8739-3f5aed90a650</t>
  </si>
  <si>
    <t>7_Samaja_Vara_Gamana</t>
  </si>
  <si>
    <t>Violin Melody</t>
  </si>
  <si>
    <t>hindolam</t>
  </si>
  <si>
    <t>15cd462a-08c2-4341-aa2e-061711712fcb</t>
  </si>
  <si>
    <t>2-01_Gajavadana</t>
  </si>
  <si>
    <t>M.S. Subbulakshmi</t>
  </si>
  <si>
    <t>Paddhatti - M S Subbulakshmi - Live In Concert 1956/Vol. II</t>
  </si>
  <si>
    <t>shree ranjani</t>
  </si>
  <si>
    <t>64fe32fd-efa6-42e3-85b9-d7588cfa7375</t>
  </si>
  <si>
    <t>2_Kanchadalaaya_Daakshi</t>
  </si>
  <si>
    <t>N. Ramani</t>
  </si>
  <si>
    <t>Flute</t>
  </si>
  <si>
    <t>F</t>
  </si>
  <si>
    <t>kamala manohari</t>
  </si>
  <si>
    <t>6a58af7a-8fbd-452f-bee2-44f1e64c7e60</t>
  </si>
  <si>
    <t>3_Maamavthu_Shree</t>
  </si>
  <si>
    <t>f964a0f2-ef5a-4f44-99cf-c1415bbbfb46</t>
  </si>
  <si>
    <t>4_Kannathandri_Naapai</t>
  </si>
  <si>
    <t>devamanohari</t>
  </si>
  <si>
    <t>f8fbe77c-5708-43e2-acdd-098ac99551c0</t>
  </si>
  <si>
    <t>6_Nijadasa</t>
  </si>
  <si>
    <t>kalyani</t>
  </si>
  <si>
    <t>776c9034-a445-4bc7-892a-82cbfb5ff2f1</t>
  </si>
  <si>
    <t>8_Chandrasekara</t>
  </si>
  <si>
    <t>sindhu bhairavi</t>
  </si>
  <si>
    <t>db041c75-a415-44af-976e-3d16e0ebab46</t>
  </si>
  <si>
    <t>1-02_Sree_Ganapathini</t>
  </si>
  <si>
    <t>Nithyasree Mahadevan</t>
  </si>
  <si>
    <t>Memorable Concerts From Rfa's September Season 2009/CD 1</t>
  </si>
  <si>
    <t>sourashtram</t>
  </si>
  <si>
    <t>b66568ca-28cf-4589-80cb-ed2e03bffbfe</t>
  </si>
  <si>
    <t>2_Swaraavali</t>
  </si>
  <si>
    <t>P. Unnikrishnan</t>
  </si>
  <si>
    <t>Sangeeta Lahari</t>
  </si>
  <si>
    <t>todi</t>
  </si>
  <si>
    <t>cd7cc258-11cc-4c77-a045-0c89f320bbb0</t>
  </si>
  <si>
    <t>4_Mohanakrishnana</t>
  </si>
  <si>
    <t>631873f5-6bf6-4ce8-973b-8eea59b87a02</t>
  </si>
  <si>
    <t>7_Jaawali_Praana_naathan</t>
  </si>
  <si>
    <t>abhogi</t>
  </si>
  <si>
    <t>2a20e9c7-aa92-42c1-a6fb-db535c9830fc</t>
  </si>
  <si>
    <t>02_Narayanathe_Namonamo</t>
  </si>
  <si>
    <t>Shashank</t>
  </si>
  <si>
    <t>Moksha</t>
  </si>
  <si>
    <t>behag</t>
  </si>
  <si>
    <t>b8be0d4a-4d99-43a1-bfaa-3214c178fe2a</t>
  </si>
  <si>
    <t>1_Jalajakshi_Varnam</t>
  </si>
  <si>
    <t>Sikkil Mala Chandrasekhar</t>
  </si>
  <si>
    <t>Resonance Flute Concert</t>
  </si>
  <si>
    <t>b02b69e1-1a15-4085-ae2e-c1d85a5b81f5</t>
  </si>
  <si>
    <t>2_Ganapathiye</t>
  </si>
  <si>
    <t>karaharapriya</t>
  </si>
  <si>
    <t>c45f94a1-eaa2-4196-bb44-85590f0b4ae6</t>
  </si>
  <si>
    <t>T. Brinda</t>
  </si>
  <si>
    <t>All Time Favourites - Vol 1</t>
  </si>
  <si>
    <t>vasanta</t>
  </si>
  <si>
    <t>d8cfb76c-b08c-41e4-9aca-1de2375e26f1</t>
  </si>
  <si>
    <t>1-01_Teliyaleru_Rama</t>
  </si>
  <si>
    <t>T. M. Krishna</t>
  </si>
  <si>
    <t>December Season 2008/CD 1</t>
  </si>
  <si>
    <t>dhenuka</t>
  </si>
  <si>
    <t>e31eab59-1efd-42eb-9485-248cf3682ae7</t>
  </si>
  <si>
    <t>2-04_Mangalam</t>
  </si>
  <si>
    <t>Madrasil Margazhi 2006/CD 2</t>
  </si>
  <si>
    <t>a899e45e-b7ba-40d3-be00-fe4f35351f09</t>
  </si>
  <si>
    <t>02_Karumugil_Vannam_-Badrinath</t>
  </si>
  <si>
    <t>Vaishnava Ksetra</t>
  </si>
  <si>
    <t>33f3a6c1-fa4e-44e3-a712-d1737ec08957</t>
  </si>
  <si>
    <t>2_Akhilandeswari</t>
  </si>
  <si>
    <t>T. N. Krishnan</t>
  </si>
  <si>
    <t>Carnatic Instrumental - Violin</t>
  </si>
  <si>
    <t>dwijavanthi</t>
  </si>
  <si>
    <t>6b9b4796-4285-4dde-b9ce-396f9138ee19</t>
  </si>
  <si>
    <t>7_Thillana_(Live)_Carnatic_Violi</t>
  </si>
  <si>
    <t>fe63aa10-bfa0-4dc6-9845-e57811c2feaa</t>
  </si>
  <si>
    <t>3_Sankari_Neeve</t>
  </si>
  <si>
    <t>rupakam</t>
  </si>
  <si>
    <t>begada</t>
  </si>
  <si>
    <t>872e7917-6f4e-4ca3-a4a6-fbb7229b8021</t>
  </si>
  <si>
    <t>1-06_Maara_Vairi_ramani</t>
  </si>
  <si>
    <t>Madrasil Margazhi 2006/CD 1</t>
  </si>
  <si>
    <t>nasikabhushani</t>
  </si>
  <si>
    <t>88d8196a-123a-4306-9856-4ce3faca14fc</t>
  </si>
  <si>
    <t>6_Sagasuga_Mrudanga</t>
  </si>
  <si>
    <t>sriranjani</t>
  </si>
  <si>
    <t>dd885969-c9d8-4888-88d3-ad8960149346</t>
  </si>
  <si>
    <t>2_Ninnuvina</t>
  </si>
  <si>
    <t>navarasa kannada</t>
  </si>
  <si>
    <t>3c91e959-5292-4b7a-a5c7-36bb77684169</t>
  </si>
  <si>
    <t>5_Nadaloludai</t>
  </si>
  <si>
    <t>kalyana vasantham</t>
  </si>
  <si>
    <t>38ebd057-ce02-448c-83e4-0cb7938e8288</t>
  </si>
  <si>
    <t>48_Sendhil_Aandavan</t>
  </si>
  <si>
    <t>D. K. Jayaraman - Vocal</t>
  </si>
  <si>
    <t>8a9d6704-00f8-4864-8beb-d3f72d0012bf</t>
  </si>
  <si>
    <t>1-01_Nee_Bhakthi</t>
  </si>
  <si>
    <t>Gangadheeswaram/CD 1</t>
  </si>
  <si>
    <t>jayamanohari</t>
  </si>
  <si>
    <t>aacd01bf-c55b-4e29-8400-010a44bdce9a</t>
  </si>
  <si>
    <t>1-02_Sri_Kanchi_Nayike</t>
  </si>
  <si>
    <t>eca1fdd2-0c51-4344-ac00-d7868233a5f2</t>
  </si>
  <si>
    <t>2-04_Enadu_Ullame</t>
  </si>
  <si>
    <t>senchurutti</t>
  </si>
  <si>
    <t>cb5c57d4-0a80-4ad2-ab33-354b81557a84</t>
  </si>
  <si>
    <t>113_Pahi_Pahi</t>
  </si>
  <si>
    <t>hamsashwani</t>
  </si>
  <si>
    <t>e78556e6-b112-4624-850b-7cbaf688faf2</t>
  </si>
  <si>
    <t>313_Kaya_Roshanesham</t>
  </si>
  <si>
    <t>abheri</t>
  </si>
  <si>
    <t>15334b78-24d1-4070-a2ac-35767e959871</t>
  </si>
  <si>
    <t>3-01_Sudhamayee</t>
  </si>
  <si>
    <t>Sangeethamrutham/CD 3</t>
  </si>
  <si>
    <t>6de4f1c8-a32c-4ee0-9220-9108dcfdf67f</t>
  </si>
  <si>
    <t>3_Kamakshi</t>
  </si>
  <si>
    <t>simhendra madhyamam</t>
  </si>
  <si>
    <t>a432ceec-0c04-485b-bef1-75e222068201</t>
  </si>
  <si>
    <t>07_Thillana</t>
  </si>
  <si>
    <t>K. V. Narayanaswami</t>
  </si>
  <si>
    <t>Master Piece - Live Concert at Sri Krishna Gana Sabha 1984 Vol. III</t>
  </si>
  <si>
    <t>poorvi kalyani</t>
  </si>
  <si>
    <t>d42249e4-8889-4b34-a963-c99a674ddcf0</t>
  </si>
  <si>
    <t>2_Sabapathy</t>
  </si>
  <si>
    <t>a0194582-020b-465b-b61e-c9fc03a8e09a</t>
  </si>
  <si>
    <t>1-03_Shankarineeve</t>
  </si>
  <si>
    <t>9f26389e-a656-487c-9064-c4db160508f8</t>
  </si>
  <si>
    <t>05_So_Billu</t>
  </si>
  <si>
    <t>jaganmohini</t>
  </si>
  <si>
    <t>09ff223f-788a-40ed-b135-13c7b07aefe5</t>
  </si>
  <si>
    <t>1_Vallabha_Nayakasya</t>
  </si>
  <si>
    <t>fce494df-b99a-4a9e-88e3-381dbe009d95</t>
  </si>
  <si>
    <t>6_Lavanya_Rama</t>
  </si>
  <si>
    <t>poorna shadjam</t>
  </si>
  <si>
    <t>49039ca4-4ece-426a-a358-70a61d8f25f2</t>
  </si>
  <si>
    <t>1-03_Narada_Muni</t>
  </si>
  <si>
    <t>M.L. Vasanthakumari</t>
  </si>
  <si>
    <t>Maestro in Concert/CD 1</t>
  </si>
  <si>
    <t>pantuvarali</t>
  </si>
  <si>
    <t>1d99a413-bc0a-430d-9587-410932113eaf</t>
  </si>
  <si>
    <t>2-01_Sri_Subrahmanyaya</t>
  </si>
  <si>
    <t>Maestro in Concert/CD 2</t>
  </si>
  <si>
    <t>kambhoji</t>
  </si>
  <si>
    <t>88166f7e-a85d-4c7a-91ec-2f16831b7e79</t>
  </si>
  <si>
    <t>01_Maya_Tita_Swaroopini</t>
  </si>
  <si>
    <t>M D Ramanathan</t>
  </si>
  <si>
    <t>mayamalavagowla</t>
  </si>
  <si>
    <t>e6eeb05b-ce52-4938-acc4-11fe59ed86f6</t>
  </si>
  <si>
    <t>1-04_Nadaloludai</t>
  </si>
  <si>
    <t>kalyanavasantam</t>
  </si>
  <si>
    <t>c29f2085-b51f-4ec6-a977-879538a29549</t>
  </si>
  <si>
    <t>1-04_Angarakam</t>
  </si>
  <si>
    <t>Prasanna Venkataraman</t>
  </si>
  <si>
    <t>December Season 2009/CD 1</t>
  </si>
  <si>
    <t>surutti</t>
  </si>
  <si>
    <t>322d7791-af5b-4ea8-bf0a-dd5cc3e7ec5d</t>
  </si>
  <si>
    <t>17_Melukodayaanidhi</t>
  </si>
  <si>
    <t>S. Ramanathan</t>
  </si>
  <si>
    <t>Tyagaraja's Utsava Sampradaya Kritis</t>
  </si>
  <si>
    <t>saurashtram</t>
  </si>
  <si>
    <t>3bc2e9ff-698c-4c76-8a21-1c8de447b0ce</t>
  </si>
  <si>
    <t>7_Shobaane</t>
  </si>
  <si>
    <t>41a138f7-59a4-4ef9-ae37-5b9fd097269c</t>
  </si>
  <si>
    <t>2_Santhana_Gopalakrishnam</t>
  </si>
  <si>
    <t>Sanjay Subrahmanyan</t>
  </si>
  <si>
    <t>Compositions Of Muthuswami Dikshitar</t>
  </si>
  <si>
    <t>khamas</t>
  </si>
  <si>
    <t>5226b897-06fc-4032-9766-66e5b19e74fb</t>
  </si>
  <si>
    <t>1-02_Re_Re_Manasa_Bhajare</t>
  </si>
  <si>
    <t>December Season 2010 - Concert 1/CD 1</t>
  </si>
  <si>
    <t>nata</t>
  </si>
  <si>
    <t>560fe16b-6585-4eb5-94f4-92fffb7a481d</t>
  </si>
  <si>
    <t>6-02_Raagaratna_malikache</t>
  </si>
  <si>
    <t>December Season 2010 - Concert 3/CD 1</t>
  </si>
  <si>
    <t>reethigowla</t>
  </si>
  <si>
    <t>e2548ebd-d52d-4343-b78d-fa32e337362d</t>
  </si>
  <si>
    <t>9-04_Venugana_Loluni</t>
  </si>
  <si>
    <t>December Season 2010 - Concert 4/CD 1</t>
  </si>
  <si>
    <t>kedaragowla</t>
  </si>
  <si>
    <t>fd70ce77-10b4-4a6b-980d-3a1a4c464e68</t>
  </si>
  <si>
    <t>12-03_Angarakam_Ashramya</t>
  </si>
  <si>
    <t>December Season 2010 - Concert 5/CD 1</t>
  </si>
  <si>
    <t>surati</t>
  </si>
  <si>
    <t>18c72392-b1c2-4ba5-a908-0c3251886e20</t>
  </si>
  <si>
    <t>14-01_Velum_Mayilume</t>
  </si>
  <si>
    <t>December Season 2010 - Concert 5/CD 3</t>
  </si>
  <si>
    <t>sucharitra</t>
  </si>
  <si>
    <t>5c046343-cde4-4487-9450-ab1bf3b1ce53</t>
  </si>
  <si>
    <t>2_Korinavara</t>
  </si>
  <si>
    <t>Live Waves from Melbourne</t>
  </si>
  <si>
    <t>ramapriya</t>
  </si>
  <si>
    <t>0a057b84-ba2f-4112-b774-6689f25da3cc</t>
  </si>
  <si>
    <t>3-3_Vanitaro(Javali)</t>
  </si>
  <si>
    <t>Semmangudi R. Srinivas Iyer</t>
  </si>
  <si>
    <t>Rajamargam/CD 3</t>
  </si>
  <si>
    <t>anandabhairavi</t>
  </si>
  <si>
    <t>53c5f188-cd46-46fc-a59d-32e05a6ae985</t>
  </si>
  <si>
    <t>Vocal</t>
  </si>
  <si>
    <t>50a1bca8-bc3d-4e20-b2a5-db94bdd29aad</t>
  </si>
  <si>
    <t>3_Sobhillu_Sapthaswara</t>
  </si>
  <si>
    <t>7c12e1e5-f5c9-4269-ba0c-4d36a5c71ca3</t>
  </si>
  <si>
    <t>3_Upacharamu_Jese</t>
  </si>
  <si>
    <t>Sowmya</t>
  </si>
  <si>
    <t>Bharat Sangeet Utsav</t>
  </si>
  <si>
    <t>bhairavi</t>
  </si>
  <si>
    <t>a2b822ce-4594-4f3f-85b6-c41c5269c593</t>
  </si>
  <si>
    <t>4_Sambho_Mahadeva</t>
  </si>
  <si>
    <t>Carnatic Vocal</t>
  </si>
  <si>
    <t>524e22c9-aaf6-40e5-91ac-315b28349b6d</t>
  </si>
  <si>
    <t>6_Vagala</t>
  </si>
  <si>
    <t>1fccaf30-1821-4342-8ab1-a1c5caa89e90</t>
  </si>
  <si>
    <t>3_Neepaadamegathi</t>
  </si>
  <si>
    <t>Sudha Ragunathan</t>
  </si>
  <si>
    <t>91517732-ab95-4b42-8bef-93c065cd7018</t>
  </si>
  <si>
    <t>4_Maathangisri</t>
  </si>
  <si>
    <t>rama manohari</t>
  </si>
  <si>
    <t>0edbc0b8-fbe9-4b24-9865-2d90d278af34</t>
  </si>
  <si>
    <t>7_Pazhani</t>
  </si>
  <si>
    <t>kaapi</t>
  </si>
  <si>
    <t>2c9752fc-6843-48d0-90e5-f7645c192868</t>
  </si>
  <si>
    <t>2-03_Laliyugalave</t>
  </si>
  <si>
    <t>Sumithra Vasudev</t>
  </si>
  <si>
    <t>December Season 2010/CD 2</t>
  </si>
  <si>
    <t>neelambari</t>
  </si>
  <si>
    <t>c57c6d77-cefd-42e2-9842-f55bb4bc2ca8</t>
  </si>
  <si>
    <t>2_Ninnenera</t>
  </si>
  <si>
    <t>ff4d2d32-d293-41d9-b5db-1efd53bc952e</t>
  </si>
  <si>
    <t>1-05_Garuda_Gamana</t>
  </si>
  <si>
    <t>nagasvarali</t>
  </si>
  <si>
    <t>903f0b2d-faf9-4c0a-9235-66ce9085ecf8</t>
  </si>
  <si>
    <t>5_Dhurmarga_Chara(Ranjani)_-_T.N</t>
  </si>
  <si>
    <t>ranjani</t>
  </si>
  <si>
    <t>30321cf0-c89d-4fac-9e9c-da24bb498af0</t>
  </si>
  <si>
    <t>1-04_Himadrisute_Pahimam</t>
  </si>
  <si>
    <t>T. V. Sankaranarayanan</t>
  </si>
  <si>
    <t>December Season 2000/CD 1</t>
  </si>
  <si>
    <t>4db4512e-76c6-4fed-ae8d-fe9db39bda20</t>
  </si>
  <si>
    <t>1-01_Gam_Ganapathe</t>
  </si>
  <si>
    <t>Vijay Siva</t>
  </si>
  <si>
    <t>hamsadhvani</t>
  </si>
  <si>
    <t>569b8358-b318-409f-a8e8-1da724f01809</t>
  </si>
  <si>
    <t>2-01_Enta_ninne</t>
  </si>
  <si>
    <t>mukhari</t>
  </si>
  <si>
    <t>2a8bb9e0-f048-4c12-9e75-407b0c828995</t>
  </si>
  <si>
    <t>2-05_Madar_Pirai</t>
  </si>
  <si>
    <t>navroj</t>
  </si>
  <si>
    <t>d1d587b9-7bdc-4bbf-a55b-22c8a0da7e12</t>
  </si>
  <si>
    <t>8_Krishna_Nee_Begane</t>
  </si>
  <si>
    <t>mishraChapu</t>
  </si>
  <si>
    <t>yeman kalyani</t>
  </si>
  <si>
    <t>48fd5c6f-5e4a-4035-b04e-ba792f5d0b50</t>
  </si>
  <si>
    <t>2-02_Deva_Shri</t>
  </si>
  <si>
    <t>Pravrddha Sri Lalgudi Pancharatna Kritis/CD 2</t>
  </si>
  <si>
    <t>madhyamavati</t>
  </si>
  <si>
    <t>b788cb93-770b-4dcb-bca3-1ebaa3ecf38a</t>
  </si>
  <si>
    <t>kharaharapriya</t>
  </si>
  <si>
    <t>93453f59-c459-4602-b75b-aa87aeb2914f</t>
  </si>
  <si>
    <t>2-04_Viruttam_-_Drishou_Bhavaan_&amp;_Taruni_Nyan_&amp;_Mangalam</t>
  </si>
  <si>
    <t>30362cff-a59e-4e28-918a-b0c917f10878</t>
  </si>
  <si>
    <t>1-04_Ninnuvina</t>
  </si>
  <si>
    <t>Ariyakudi Ramanuja Iyengar</t>
  </si>
  <si>
    <t>Live at Mullakkal Temple, Alleppey /CD 1</t>
  </si>
  <si>
    <t>purvi kalyani</t>
  </si>
  <si>
    <t>3baa722d-480e-4ae7-8559-a88dce41e1d4</t>
  </si>
  <si>
    <t>1-04_Kamalamba</t>
  </si>
  <si>
    <t>Madrasil Margazhi 2005/CD 1</t>
  </si>
  <si>
    <t>d590b043-cf97-4488-bf24-f09db3acda08</t>
  </si>
  <si>
    <t>03_Thirukathuvam</t>
  </si>
  <si>
    <t>d17fc49c-5c9a-4dd2-9e1e-334078473e63</t>
  </si>
  <si>
    <t>4_Muruga_Muruga</t>
  </si>
  <si>
    <t>saveri</t>
  </si>
  <si>
    <t>357fc51a-8a88-40c6-8649-36e9e5f9e9e9</t>
  </si>
  <si>
    <t>1-03_Sri_Matrubhutam</t>
  </si>
  <si>
    <t>kannada</t>
  </si>
  <si>
    <t>b1ae7ad0-66dc-4207-b06d-fd402bee7323</t>
  </si>
  <si>
    <t>2-02_Venugana</t>
  </si>
  <si>
    <t>Gangadheeswaram/CD 2</t>
  </si>
  <si>
    <t>3dec9738-d123-4d75-b278-58c8250832b3</t>
  </si>
  <si>
    <t>04_Visalakshi</t>
  </si>
  <si>
    <t>D. K. Pattammal</t>
  </si>
  <si>
    <t>Paddhatti - Sangeeta Kalanidhi D K Pattammal - Live in Concert 1977 Vol. I</t>
  </si>
  <si>
    <t>4a6812e7-86d5-41a0-a780-4b8a5cd3a6fa</t>
  </si>
  <si>
    <t>413_Kamakshi</t>
  </si>
  <si>
    <t>varali</t>
  </si>
  <si>
    <t>ace42e6f-549b-4ab0-b7ee-c94e5f36da1a</t>
  </si>
  <si>
    <t>2_Brovavamma</t>
  </si>
  <si>
    <t>A Centennial Retrospective</t>
  </si>
  <si>
    <t>manji</t>
  </si>
  <si>
    <t>3e1b5364-75e3-4726-ad21-57051426ef1e</t>
  </si>
  <si>
    <t>2-01_Nidhi_chala_sukhama</t>
  </si>
  <si>
    <t>Sangeethamrutham/CD 2</t>
  </si>
  <si>
    <t>72f1c5a9-91a1-4b62-976f-7af979f8c763</t>
  </si>
  <si>
    <t>Collectors Choice</t>
  </si>
  <si>
    <t>f8a59e96-d548-4ac1-bed6-9cee22fcf23a</t>
  </si>
  <si>
    <t>4_Evarura</t>
  </si>
  <si>
    <t>5eb580e8-faea-4082-88c8-e9e3b73779ec</t>
  </si>
  <si>
    <t>7_Pullum_Silampina_(Thiruppavai)</t>
  </si>
  <si>
    <t>d030123a-ab65-40ea-85a6-36b98da459f7</t>
  </si>
  <si>
    <t>2-01_Ninne_Nammiti</t>
  </si>
  <si>
    <t>K. V. Narayanaswami &amp; N Ramani</t>
  </si>
  <si>
    <t>Paddhatti - K V Narayanaswamy &amp; Dr N Ramani - Live in Concert at Cleveland, Ohio 1983/Vol. II</t>
  </si>
  <si>
    <t>simhendramadhyamam</t>
  </si>
  <si>
    <t>9838a0b5-29f0-49bf-b79b-d499d90fdc0e</t>
  </si>
  <si>
    <t>2-02_Muruga_Muruga</t>
  </si>
  <si>
    <t>3a481433-3451-47f5-8868-6fe79b823127</t>
  </si>
  <si>
    <t>1-02_Sri_Mahaganapathi</t>
  </si>
  <si>
    <t>gowla</t>
  </si>
  <si>
    <t>cbbd3fa4-8713-4013-9c7b-d899c19afb09</t>
  </si>
  <si>
    <t>1-06_Ite_Bhagyamu</t>
  </si>
  <si>
    <t>fddca7fd-c9c2-4419-a158-e2d95887cb64</t>
  </si>
  <si>
    <t>04_Ramabhirama</t>
  </si>
  <si>
    <t>darbar</t>
  </si>
  <si>
    <t>974b7eb2-40ad-4878-8c52-2d3701aa1598</t>
  </si>
  <si>
    <t>1-05_Janani_Ninuvina</t>
  </si>
  <si>
    <t>6d4c060a-3567-4edf-a8cd-8a0e9a867d79</t>
  </si>
  <si>
    <t>1-04_Sharanam_Sharanam</t>
  </si>
  <si>
    <t>Paddhatti - M S Subbulakshmi - Live In Concert 1956/Vol. I</t>
  </si>
  <si>
    <t>718840e9-8715-4f59-ae47-f52d1691dab1</t>
  </si>
  <si>
    <t>04_Smara_Janaka_Subhacharitha</t>
  </si>
  <si>
    <t>a8fa188e-4be8-4499-bce1-a9ab37df74ff</t>
  </si>
  <si>
    <t>3_Vandheham_Sharadham</t>
  </si>
  <si>
    <t>Maharajapuram Santhanam</t>
  </si>
  <si>
    <t>Bhajans - Swami Dayananda Saraswathi</t>
  </si>
  <si>
    <t>yamankalyan</t>
  </si>
  <si>
    <t>cd1ea663-74da-4e03-9699-a6e61dda9f05</t>
  </si>
  <si>
    <t>4_Emijesithe</t>
  </si>
  <si>
    <t>Nedanuri Krishnamurthy</t>
  </si>
  <si>
    <t>Maestro's Choice</t>
  </si>
  <si>
    <t>85832a2f-f4e1-453d-b3a5-f129c86fde9c</t>
  </si>
  <si>
    <t>2-01_Innamum</t>
  </si>
  <si>
    <t>Madrasil Margazhi 2007 - The Music Academy Concerts/CD 2</t>
  </si>
  <si>
    <t>keeravani</t>
  </si>
  <si>
    <t>37720d91-a434-4630-b448-874b90f6089e</t>
  </si>
  <si>
    <t>3_Sree_Ganesha</t>
  </si>
  <si>
    <t>aafe3338-0c73-4c3f-9b22-4ced612bf931</t>
  </si>
  <si>
    <t>1_Janani_Pahi</t>
  </si>
  <si>
    <t>R. K. Srikantan</t>
  </si>
  <si>
    <t>Vintage Melodies CD 2</t>
  </si>
  <si>
    <t>shuddha saveri</t>
  </si>
  <si>
    <t>7297b84b-c8d4-492d-a498-9e99e738dafb</t>
  </si>
  <si>
    <t>2_Pannaga_Shayana</t>
  </si>
  <si>
    <t>pharas</t>
  </si>
  <si>
    <t>98b8d96f-9700-49f7-b30d-984ccf9294fd</t>
  </si>
  <si>
    <t>04_Endraikku_Sivakrupai</t>
  </si>
  <si>
    <t>Ranjani-Gayatri</t>
  </si>
  <si>
    <t>Gems Of Carnatic Music - Live In Concert 2004</t>
  </si>
  <si>
    <t>028528cc-9b4f-44b7-afb2-5c778a24adcb</t>
  </si>
  <si>
    <t>9_Laali</t>
  </si>
  <si>
    <t>sahana</t>
  </si>
  <si>
    <t>e921c369-019b-4349-b18a-4fd878271fb1</t>
  </si>
  <si>
    <t>2_Janani_Ninnuvina</t>
  </si>
  <si>
    <t>ritigowla</t>
  </si>
  <si>
    <t>507c8fee-0844-4602-82d9-2cb131d06c84</t>
  </si>
  <si>
    <t>1_Nidhichala</t>
  </si>
  <si>
    <t>1c3d8526-6692-46f5-a00a-92dddbead9ff</t>
  </si>
  <si>
    <t>2_Yarukkahilum</t>
  </si>
  <si>
    <t>7cd313af-89ea-480e-92a1-e25789a9d076</t>
  </si>
  <si>
    <t>03_Ni_Cittamu</t>
  </si>
  <si>
    <t>Tasmai Sri Gurave Namaha</t>
  </si>
  <si>
    <t>dhanyasi</t>
  </si>
  <si>
    <t>2f9db2e1-0273-4b06-850b-66af589b9791</t>
  </si>
  <si>
    <t>05_Ninnusevinchina_-_Yadulakamboji_-</t>
  </si>
  <si>
    <t>yadukula kambhoji</t>
  </si>
  <si>
    <t>987d76a1-6349-4004-9898-7f2ac65aeaaf</t>
  </si>
  <si>
    <t>05_Brova_Vamma_-_Manji_-_Misra_Chapu</t>
  </si>
  <si>
    <t>All Time Favourites - Vol 3</t>
  </si>
  <si>
    <t>288ce104-4a50-4822-99d4-94a602353382</t>
  </si>
  <si>
    <t>03_Nee_Chittamu_-_Dhanyasi_-_Misra_C</t>
  </si>
  <si>
    <t>All Time Favourites - Vol 4</t>
  </si>
  <si>
    <t>8b217b4a-85bc-47eb-9ff5-c5ed1b087810</t>
  </si>
  <si>
    <t>05_Manasusvadeena_-_Shankarabharanam</t>
  </si>
  <si>
    <t>dheerasankarabharanam</t>
  </si>
  <si>
    <t>49b39a9e-757f-4c8b-88e1-836f7a608277</t>
  </si>
  <si>
    <t>3_Sri_Mathrubhootham</t>
  </si>
  <si>
    <t>766235e1-3c93-4181-bb7d-31623f3bfd2d</t>
  </si>
  <si>
    <t>1-04_Anandesvarena</t>
  </si>
  <si>
    <t>507cb9b4-36c9-449a-a7e5-31d6b26ca1ff</t>
  </si>
  <si>
    <t>2-02_Navasiddhi_Petralum</t>
  </si>
  <si>
    <t>bec3b237-0a03-4011-9d8b-394415b0a6b2</t>
  </si>
  <si>
    <t>08_Aiyan_Azhagan_-_Azhagarkoil</t>
  </si>
  <si>
    <t>f2946bb4-e863-422c-9555-47842cfb0dd7</t>
  </si>
  <si>
    <t>T. N. Seshagopalan</t>
  </si>
  <si>
    <t>The Masterpiece Collection</t>
  </si>
  <si>
    <t>20400fc0-0374-4187-9c21-a34ccf491f9d</t>
  </si>
  <si>
    <t>1-05_Saranam_Ayyappa</t>
  </si>
  <si>
    <t>33d896d2-1a7b-4e5f-9508-c3fb5d228c94</t>
  </si>
  <si>
    <t>1-03_Mamava_Karunaya</t>
  </si>
  <si>
    <t>Tanjore S. Kalyanaraman</t>
  </si>
  <si>
    <t>Live Concert 1974/CD 1</t>
  </si>
  <si>
    <t>shanmukhapriya</t>
  </si>
  <si>
    <t>693cf96d-d806-47a7-bb7b-6163a6584e9f</t>
  </si>
  <si>
    <t>2-02_Hecharikaga</t>
  </si>
  <si>
    <t>Live at Mullakkal Temple, Alleppey /CD 2</t>
  </si>
  <si>
    <t>khandaChapu</t>
  </si>
  <si>
    <t>yadukula kamboji</t>
  </si>
  <si>
    <t>34f12b1d-bb35-48bc-a6c4-ffc4b52f140d</t>
  </si>
  <si>
    <t>2-02_Muruganin_marupeyar</t>
  </si>
  <si>
    <t>December Season 2009/CD 2</t>
  </si>
  <si>
    <t>412e0f61-f22d-47f9-81c2-ebb17be7a339</t>
  </si>
  <si>
    <t>02_Marivere_Dikkevvaru</t>
  </si>
  <si>
    <t>lathangi</t>
  </si>
  <si>
    <t>c81aa59b-bcc7-4199-a27a-0ded0764c8f3</t>
  </si>
  <si>
    <t>1-01_Pavanatmajagaccha</t>
  </si>
  <si>
    <t>9bc3bca7-3360-4e6a-9c60-d38bfc2da752</t>
  </si>
  <si>
    <t>04_Nathupai</t>
  </si>
  <si>
    <t>8b90c893-ff35-440e-80ea-d8ea7efbdff1</t>
  </si>
  <si>
    <t>8_Kommala_Koila</t>
  </si>
  <si>
    <t>maund</t>
  </si>
  <si>
    <t>89841023-9a2a-4f6c-8cb6-f2d446e813af</t>
  </si>
  <si>
    <t>513_Amba_Mahavani</t>
  </si>
  <si>
    <t>saraswati manohari</t>
  </si>
  <si>
    <t>4c754755-b34a-4eac-930d-27e4aef4bd10</t>
  </si>
  <si>
    <t>1-02_Jaya_Jaya</t>
  </si>
  <si>
    <t>Ragamrutham Live at Mysore - 1957/CD 1</t>
  </si>
  <si>
    <t>9709590d-cc8c-4da6-84e6-a044756a3b76</t>
  </si>
  <si>
    <t>5_Om_Namonarayana</t>
  </si>
  <si>
    <t>kamaranjani</t>
  </si>
  <si>
    <t>de98f22d-7f58-49c4-946d-ba7e8e4aa69c</t>
  </si>
  <si>
    <t>07_Bhogindra_Shayinam</t>
  </si>
  <si>
    <t>kuntalavarali</t>
  </si>
  <si>
    <t>fa499e6d-caa1-4ed4-b553-bfe640129e19</t>
  </si>
  <si>
    <t>4_Marivere</t>
  </si>
  <si>
    <t>2b492949-7b59-4e23-8695-0d6819d29485</t>
  </si>
  <si>
    <t>1-04_Jaya_Jaya</t>
  </si>
  <si>
    <t>b821486b-b734-4c8e-b876-ccb6519d121f</t>
  </si>
  <si>
    <t>3_Yemaiyyarama</t>
  </si>
  <si>
    <t>0959d3ab-99a9-4203-928c-8ac5e35b4d84</t>
  </si>
  <si>
    <t>1-03_Paripalinchu</t>
  </si>
  <si>
    <t>Madrasil Margazhi 2007 - The Music Academy Concerts/CD 1</t>
  </si>
  <si>
    <t>5c9a2570-96d7-47c9-8370-4f3162e8f899</t>
  </si>
  <si>
    <t>2-05_Sivanar_Manam</t>
  </si>
  <si>
    <t>86283bae-c08d-412a-982b-23498e144758</t>
  </si>
  <si>
    <t>3-03_Virutham_Kandar_Anubuthi_followed_by_Muruganin_Marupeyar</t>
  </si>
  <si>
    <t>Memorable Concerts From Rfa's September Season 2009/CD 3</t>
  </si>
  <si>
    <t>829ee0c7-e7c8-4e3b-abe3-2df5f3f7da7d</t>
  </si>
  <si>
    <t>10_Laali</t>
  </si>
  <si>
    <t>kedaragaula</t>
  </si>
  <si>
    <t>10f540e5-1774-428a-85f0-d7de2d8a7780</t>
  </si>
  <si>
    <t>11_Laali</t>
  </si>
  <si>
    <t>45ac02f9-e046-495d-86c7-deac430ca977</t>
  </si>
  <si>
    <t>13_Pavvalimpu</t>
  </si>
  <si>
    <t>nilambari</t>
  </si>
  <si>
    <t>049d9e8f-a34c-4da7-aa7d-617584c5c461</t>
  </si>
  <si>
    <t>16_Melokovayya</t>
  </si>
  <si>
    <t>bowli</t>
  </si>
  <si>
    <t>0298c72e-5e3c-46d2-abf6-d0559c8b80b7</t>
  </si>
  <si>
    <t>18_Mangalam</t>
  </si>
  <si>
    <t>ghanta</t>
  </si>
  <si>
    <t>5423fdaf-e914-49e2-ac8b-b52003b374a6</t>
  </si>
  <si>
    <t>2_Hechirakaga_Rara</t>
  </si>
  <si>
    <t>yadukulakambhoji</t>
  </si>
  <si>
    <t>c82417ab-6976-4115-b607-025c4665e5b8</t>
  </si>
  <si>
    <t>3_Gauri_Kalyana-Kurinji</t>
  </si>
  <si>
    <t>kurinji</t>
  </si>
  <si>
    <t>5d1e6f5e-a588-461a-afc4-4d42a68e0adb</t>
  </si>
  <si>
    <t>10-01_Vaa_Velava</t>
  </si>
  <si>
    <t>December Season 2010 - Concert 4/CD 2</t>
  </si>
  <si>
    <t>tanarupi</t>
  </si>
  <si>
    <t>aa97b27e-4fd3-4130-865d-77a16ac59246</t>
  </si>
  <si>
    <t>4_Amma_Ravamma</t>
  </si>
  <si>
    <t>bbee764d-7406-47ce-821a-a82030b89eca</t>
  </si>
  <si>
    <t>2_Anupama_Gunambudhi</t>
  </si>
  <si>
    <t>atana</t>
  </si>
  <si>
    <t>c5e32bf4-2cb1-47fc-a3fd-c855e0e2cd40</t>
  </si>
  <si>
    <t>1-05_Paridanamiccite</t>
  </si>
  <si>
    <t>bilahari</t>
  </si>
  <si>
    <t>cc3405b1-cca6-40e3-bdf7-34ba49af6872</t>
  </si>
  <si>
    <t>1-02_Purandara_Dasa</t>
  </si>
  <si>
    <t>Path to the mp3</t>
  </si>
  <si>
    <t>MBID</t>
  </si>
  <si>
    <t>Min_Start</t>
  </si>
  <si>
    <t>Max_End</t>
  </si>
  <si>
    <t>Raga</t>
  </si>
  <si>
    <t>Marker - Annotation Flag</t>
  </si>
  <si>
    <t>Eduppu if any</t>
  </si>
  <si>
    <t>Notes 1 - Annotation</t>
  </si>
  <si>
    <t>Notes 2</t>
  </si>
  <si>
    <t>Notes 3</t>
  </si>
  <si>
    <t>Length of Track</t>
  </si>
  <si>
    <t>Count or No</t>
  </si>
  <si>
    <t>Total Done (second)</t>
  </si>
  <si>
    <t>Total in minutes</t>
  </si>
  <si>
    <t>KaLai</t>
  </si>
  <si>
    <t>Checked and Verified Flag</t>
  </si>
  <si>
    <t>Verification - Comments</t>
  </si>
  <si>
    <t>Vignesh Verified</t>
  </si>
  <si>
    <t>Final corpus updated ?</t>
  </si>
  <si>
    <t>Abhishek_Raghuram/Gems_Of_Carnatic_Music_-_Live_In_Concert_2006/05_Thunga_Theera_Virajam.mp3</t>
  </si>
  <si>
    <t>x</t>
  </si>
  <si>
    <t>Done, 2 letter eduppu</t>
  </si>
  <si>
    <t>Alathur_Brothers/Alathur_Brothers/1_Salamelae_-_Varnam.mp3</t>
  </si>
  <si>
    <t>Done, check</t>
  </si>
  <si>
    <t>1,2</t>
  </si>
  <si>
    <t>Amritha_Murali/December_Season_2010/CD_1/1-04_Shri_Visvanatham.mp3</t>
  </si>
  <si>
    <t xml:space="preserve">Partly done, very long, problem at 7.00 </t>
  </si>
  <si>
    <t>Aneesh_Vidyashankar/Pure_Expressions/1_Vathapi.mp3</t>
  </si>
  <si>
    <t>Redo from Korvai, 7.06: 128 = 12 4 4 4 4 4 12 3 3 3 3 3 12 2 2 2 2 2 15, 15, 15 + 12 4 4 4 4 12 3 3 3 3 12 2 2 2 2 18, 18, 18 +  12 4 4 4 12 3 3 3 12 2 2 2 21, 21, 21</t>
  </si>
  <si>
    <t>Aneesh_Vidyashankar/Pure_Expressions/2_Jagadanandakaraka.mp3</t>
  </si>
  <si>
    <t>Aneesh_Vidyashankar/Pure_Expressions/7_Jagadoddharana.mp3</t>
  </si>
  <si>
    <t>Fully done</t>
  </si>
  <si>
    <t>Aruna_Sairam/Madrasil_Margazhi_2005/CD_2/2-01_Anandamruta_Karshini.mp3</t>
  </si>
  <si>
    <t>Done, ambiguity around 50th avartana</t>
  </si>
  <si>
    <t>Bombay_Jayashri/Classical_Vocal/9_Tillana.mp3</t>
  </si>
  <si>
    <t>Done, full</t>
  </si>
  <si>
    <t>Chittibabu/Rendezvous_with_Legends_CD_1/1_Varnam_-_Chalamela.mp3</t>
  </si>
  <si>
    <t>Fully done, Tempo change at 1.30</t>
  </si>
  <si>
    <t>Chittibabu/Rendezvous_with_Legends_CD_1/3_Swara_Raga.mp3</t>
  </si>
  <si>
    <t>Fully Done</t>
  </si>
  <si>
    <t>Chittibabu/Rendezvous_with_Legends_CD_2/3_Bantureethi.mp3</t>
  </si>
  <si>
    <t>Done, 6 letter eduppu, long alapana</t>
  </si>
  <si>
    <t>D._K._Jayaraman/Paddhatti_-_D_K_Jayaraman_-_Live_In_Concert_1990/CD_2/2-02_Sharade_Veena_Vadana.mp3</t>
  </si>
  <si>
    <t>Done, full, slow tempo</t>
  </si>
  <si>
    <t>E._Gayathri/Sound_Of_Veena/1113_Thillana.mp3</t>
  </si>
  <si>
    <t>Done fully</t>
  </si>
  <si>
    <t>E._Gayathri/Sound_Of_Veena/1313_Bhagyadalakshmi.mp3</t>
  </si>
  <si>
    <t>Done, fully</t>
  </si>
  <si>
    <t>E._Gayathri/Sound_Of_Veena/613_Watanala.mp3</t>
  </si>
  <si>
    <t>E._Gayathri/Sound_Of_Veena/713_Kapali.mp3</t>
  </si>
  <si>
    <t>E._Gayathri/Sound_Of_Veena/813_Radhamukhakamalam.mp3</t>
  </si>
  <si>
    <t>G._N._Balasubramaniam/Carnatic_Vocal_(1910_-_1965)/03_Marukelara_O_Raghava.mp3</t>
  </si>
  <si>
    <t>G._N._Balasubramaniam/Carnatic_Vocal_(1910_-_1965)/04_Brochevarevarura.mp3</t>
  </si>
  <si>
    <t>Done till tani, tani starts at 16:48; Adjustment at av 80</t>
  </si>
  <si>
    <t>Adjustment - 6.20, 12.10</t>
  </si>
  <si>
    <t>G._N._Balasubramaniam/Sangeethamrutham/CD_1/1-01_Ninnukkori.mp3</t>
  </si>
  <si>
    <t>Ganesh_-_Kumaresh/Live_Concert/2_Maa_Pala.mp3</t>
  </si>
  <si>
    <t>Hyderabad_Brothers/Sobhillu_Sapthaswara_&amp;_other_krithis/5_Govardhana.mp3</t>
  </si>
  <si>
    <t>Adjustment at 49</t>
  </si>
  <si>
    <t>Jayalakshmi_Sekhar/Oothukkadu_Kritis/6_Thaye_Yesoda.mp3</t>
  </si>
  <si>
    <t>2 ?</t>
  </si>
  <si>
    <t>Done partially, tani present with 2 letter eduppu, off in tani</t>
  </si>
  <si>
    <t>Kadri_Gopalnath/Chidanandam/3_Raghuvamsa.mp3</t>
  </si>
  <si>
    <t>6 letter edupu, not fully done</t>
  </si>
  <si>
    <t>Kadri_Gopalnath/Chidanandam/8_Kurai_Ondrum.mp3</t>
  </si>
  <si>
    <t>Done, but check</t>
  </si>
  <si>
    <t>L._Subramaniam/Tala_Vadya/2_Adi_Talam.mp3</t>
  </si>
  <si>
    <t>...</t>
  </si>
  <si>
    <t>Almost full done, some parts left, please check for correctness</t>
  </si>
  <si>
    <t>Lalgudi_G._Jayaraman/Nada_Sagaram/CD_1/1-01_Varnam.mp3</t>
  </si>
  <si>
    <t>Done, some problems in the middle and end</t>
  </si>
  <si>
    <t>Lalgudi_G._Jayaraman/Violin/1_Varnam.mp3</t>
  </si>
  <si>
    <t>Full done</t>
  </si>
  <si>
    <t>Lalgudi_G._Jayaraman/Violin/6_Brovabharama.mp3</t>
  </si>
  <si>
    <t>6 letter edupu, full done</t>
  </si>
  <si>
    <t>M._S._Gopalakrishnan/Live_in_Sydney/09_Manasa_Sancharare.mp3</t>
  </si>
  <si>
    <t>M._S._Gopalakrishnan/Violin_Melody/7_Samaja_Vara_Gamana.mp3</t>
  </si>
  <si>
    <t>Done fully, tani at the end, half avartanam missing</t>
  </si>
  <si>
    <t>M.S._Subbulakshmi/Paddhatti_-_M_S_Subbulakshmi_-_Live_In_Concert_1956/Vol._II/2-01_Gajavadana.mp3</t>
  </si>
  <si>
    <t>Done, full, eduppu 2 letter</t>
  </si>
  <si>
    <t>N._Ramani/Flute/2_Kanchadalaaya_Daakshi.mp3</t>
  </si>
  <si>
    <t>Done fully, Mridangam low volume</t>
  </si>
  <si>
    <t>N._Ramani/Flute/3_Maamavthu_Shree.mp3</t>
  </si>
  <si>
    <t>Fully done, long alapana</t>
  </si>
  <si>
    <t>N._Ramani/Flute/4_Kannathandri_Naapai.mp3</t>
  </si>
  <si>
    <t>Done fully, problem at av 32</t>
  </si>
  <si>
    <t>Adjustment at 2.39</t>
  </si>
  <si>
    <t>N._Ramani/Flute/6_Nijadasa.mp3</t>
  </si>
  <si>
    <t>Done, partially, tani starts at the end</t>
  </si>
  <si>
    <t>N._Ramani/Flute/8_Chandrasekara.mp3</t>
  </si>
  <si>
    <t>Full done, 6 letter eduppu, the song stops at half avartana, wow!</t>
  </si>
  <si>
    <t>Problem at 1.31, skipped half avartanam. Previous start time 129 seconds, now it is 129+91</t>
  </si>
  <si>
    <t>Nithyasree_Mahadevan/Memorable_Concerts_From_Rfa's_September_Season_2009/CD_1/1-02_Sree_Ganapathini.mp3</t>
  </si>
  <si>
    <t>Done, full, 6 letter eduppu</t>
  </si>
  <si>
    <t>Adjustment at 2.10, 4.04</t>
  </si>
  <si>
    <t>P._Unnikrishnan/Sangeeta_Lahari/2_Swaraavali.mp3</t>
  </si>
  <si>
    <t>1 ?</t>
  </si>
  <si>
    <t>P._Unnikrishnan/Sangeeta_Lahari/4_Mohanakrishnana.mp3</t>
  </si>
  <si>
    <t>Done fully, changes to next kriti</t>
  </si>
  <si>
    <t>P._Unnikrishnan/Sangeeta_Lahari/7_Jaawali_Praana_naathan.mp3</t>
  </si>
  <si>
    <t>Shashank/Moksha/02_Narayanathe_Namonamo.mp3</t>
  </si>
  <si>
    <t>Done fully, very short piece</t>
  </si>
  <si>
    <t>Sikkil_Mala_Chandrasekhar/Resonance_Flute_Concert/1_Jalajakshi_Varnam.mp3</t>
  </si>
  <si>
    <t>Done full, tempo change at 1.52</t>
  </si>
  <si>
    <t>Sikkil_Mala_Chandrasekhar/Resonance_Flute_Concert/2_Ganapathiye.mp3</t>
  </si>
  <si>
    <t>Done partially, 95 avartanams</t>
  </si>
  <si>
    <t>T._Brinda/All_Time_Favourites_-_Vol_1/02_Sri_Kamakshi_-_Vasantha_-_Adi_-_S.mp3</t>
  </si>
  <si>
    <t>T._M._Krishna/December_Season_2008/CD_1/1-01_Teliyaleru_Rama.mp3</t>
  </si>
  <si>
    <t>T._M._Krishna/Madrasil_Margazhi_2006/CD_2/2-04_Mangalam.mp3</t>
  </si>
  <si>
    <t>T._M._Krishna/Vaishnava_Ksetra/02_Karumugil_Vannam_-Badrinath.mp3</t>
  </si>
  <si>
    <t>Done, eduppu ??</t>
  </si>
  <si>
    <t>T._N._Krishnan/Carnatic_Instrumental_-_Violin/2_Akhilandeswari.mp3</t>
  </si>
  <si>
    <t>Well done</t>
  </si>
  <si>
    <t>T._N._Krishnan/Carnatic_Instrumental_-_Violin/7_Thillana_(Live)_Carnatic_Violi.mp3</t>
  </si>
  <si>
    <t>No label was found, done fully</t>
  </si>
  <si>
    <t>Super fast!</t>
  </si>
  <si>
    <t>Bombay_Jayashri/Classical_Vocal/3_Sankari_Neeve.mp3</t>
  </si>
  <si>
    <t>Done, 200 avartanams, sama</t>
  </si>
  <si>
    <t>Bombay_Jayashri/Madrasil_Margazhi_2006/CD_1/1-06_Maara_Vairi_ramani.mp3</t>
  </si>
  <si>
    <t>Half done, audio clips</t>
  </si>
  <si>
    <t>Chittibabu/Rendezvous_with_Legends_CD_1/6_Sagasuga_Mrudanga.mp3</t>
  </si>
  <si>
    <t>Some parts done, check later parts, not very well done</t>
  </si>
  <si>
    <t>Chittibabu/Rendezvous_with_Legends_CD_2/2_Ninnuvina.mp3</t>
  </si>
  <si>
    <t>Super fast, half done, check, one mistake at av 90</t>
  </si>
  <si>
    <t>Chittibabu/Rendezvous_with_Legends_CD_2/5_Nadaloludai.mp3</t>
  </si>
  <si>
    <t>Done, almost fully</t>
  </si>
  <si>
    <t>D._K._Jayaraman/D._K._Jayaraman_-_Vocal/48_Sendhil_Aandavan.mp3</t>
  </si>
  <si>
    <t>Full done, OK</t>
  </si>
  <si>
    <t>D._K._Jayaraman/Gangadheeswaram/CD_1/1-01_Nee_Bhakthi.mp3</t>
  </si>
  <si>
    <t>D._K._Jayaraman/Gangadheeswaram/CD_1/1-02_Sri_Kanchi_Nayike.mp3</t>
  </si>
  <si>
    <t>D._K._Jayaraman/Paddhatti_-_D_K_Jayaraman_-_Live_In_Concert_1990/CD_2/2-04_Enadu_Ullame.mp3</t>
  </si>
  <si>
    <t>E._Gayathri/Sound_Of_Veena/113_Pahi_Pahi.mp3</t>
  </si>
  <si>
    <t>E._Gayathri/Sound_Of_Veena/313_Kaya_Roshanesham.mp3</t>
  </si>
  <si>
    <t>G._N._Balasubramaniam/Sangeethamrutham/CD_3/3-01_Sudhamayee.mp3</t>
  </si>
  <si>
    <t>Done, full, old recording</t>
  </si>
  <si>
    <t>Ganesh_-_Kumaresh/Live_Concert/3_Kamakshi.mp3</t>
  </si>
  <si>
    <t>Partially done, super fast, difficult</t>
  </si>
  <si>
    <t>K._V._Narayanaswami/Master_Piece_-_Live_Concert_at_Sri_Krishna_Gana_Sabha_1984_Vol._III/07_Thillana.mp3</t>
  </si>
  <si>
    <t>Done full, has mangalam at the end</t>
  </si>
  <si>
    <t>Kadri_Gopalnath/Chidanandam/2_Sabapathy.mp3</t>
  </si>
  <si>
    <t>Lalgudi_G._Jayaraman/Nada_Sagaram/CD_1/1-03_Shankarineeve.mp3</t>
  </si>
  <si>
    <t>Full done, might be off towards the end. Beginning is fine</t>
  </si>
  <si>
    <t>M._S._Gopalakrishnan/Live_in_Sydney/05_So_Billu.mp3</t>
  </si>
  <si>
    <t>Almost done, wrong towards the end, check</t>
  </si>
  <si>
    <t>Speeds up towards the end</t>
  </si>
  <si>
    <t>M._S._Gopalakrishnan/Violin_Melody/1_Vallabha_Nayakasya.mp3</t>
  </si>
  <si>
    <t>M._S._Gopalakrishnan/Violin_Melody/6_Lavanya_Rama.mp3</t>
  </si>
  <si>
    <t>M.L._Vasanthakumari/Maestro_in_Concert/CD_1/1-03_Narada_Muni.mp3</t>
  </si>
  <si>
    <t>very low violin levels</t>
  </si>
  <si>
    <t>M.L._Vasanthakumari/Maestro_in_Concert/CD_2/2-01_Sri_Subrahmanyaya.mp3</t>
  </si>
  <si>
    <t xml:space="preserve">Reverb </t>
  </si>
  <si>
    <t>Weird echo, very low violin levels</t>
  </si>
  <si>
    <t>M_D_Ramanathan/Classical_Vocal/01_Maya_Tita_Swaroopini.mp3</t>
  </si>
  <si>
    <t>Old recording</t>
  </si>
  <si>
    <t>Nithyasree_Mahadevan/Memorable_Concerts_From_Rfa's_September_Season_2009/CD_1/1-04_Nadaloludai.mp3</t>
  </si>
  <si>
    <t>Prasanna_Venkataraman/December_Season_2009/CD_1/1-04_Angarakam.mp3</t>
  </si>
  <si>
    <t>S._Ramanathan/Tyagaraja's_Utsava_Sampradaya_Kritis/17_Melukodayaanidhi.mp3</t>
  </si>
  <si>
    <t>S._Ramanathan/Tyagaraja's_Utsava_Sampradaya_Kritis/7_Shobaane.mp3</t>
  </si>
  <si>
    <t>Sanjay_Subrahmanyan/Compositions_Of_Muthuswami_Dikshitar/2_Santhana_Gopalakrishnam.mp3</t>
  </si>
  <si>
    <t>Sanjay_Subrahmanyan/December_Season_2010_-_Concert_1/CD_1/1-02_Re_Re_Manasa_Bhajare.mp3</t>
  </si>
  <si>
    <t>Sanjay_Subrahmanyan/December_Season_2010_-_Concert_3/CD_1/6-02_Raagaratna_malikache.mp3</t>
  </si>
  <si>
    <t>Done, half</t>
  </si>
  <si>
    <t>Sanjay_Subrahmanyan/December_Season_2010_-_Concert_4/CD_1/9-04_Venugana_Loluni.mp3</t>
  </si>
  <si>
    <t>Done, 2 letter eduppu, 200 avartanas</t>
  </si>
  <si>
    <t>Sanjay_Subrahmanyan/December_Season_2010_-_Concert_5/CD_1/12-03_Angarakam_Ashramya.mp3</t>
  </si>
  <si>
    <t>Done, partly 200 avartanas, 2 letter eduppu</t>
  </si>
  <si>
    <t>Sanjay_Subrahmanyan/December_Season_2010_-_Concert_5/CD_3/14-01_Velum_Mayilume.mp3</t>
  </si>
  <si>
    <t>Done full, 2 letter eduppu</t>
  </si>
  <si>
    <t>Sanjay_Subrahmanyan/Live_Waves_from_Melbourne/2_Korinavara.mp3</t>
  </si>
  <si>
    <t xml:space="preserve">Half done, </t>
  </si>
  <si>
    <t>Semmangudi_R._Srinivas_Iyer/Rajamargam/CD_3/3-3_Vanitaro(Javali).mp3</t>
  </si>
  <si>
    <t>Semmangudi_R._Srinivas_Iyer/Vocal/1_Vallabha_Nayakasya.mp3</t>
  </si>
  <si>
    <t>Done,partially, problem in neraval</t>
  </si>
  <si>
    <t>Adjustment at 1.41</t>
  </si>
  <si>
    <t>Sikkil_Mala_Chandrasekhar/Resonance_Flute_Concert/3_Sobhillu_Sapthaswara.mp3</t>
  </si>
  <si>
    <t>Done, some mistakes towards the end, tishra ekam</t>
  </si>
  <si>
    <t>Sowmya/Bharat_Sangeet_Utsav/3_Upacharamu_Jese.mp3</t>
  </si>
  <si>
    <t>Done, partially, neraval</t>
  </si>
  <si>
    <t>Sowmya/Carnatic_Vocal/4_Sambho_Mahadeva.mp3</t>
  </si>
  <si>
    <t>Done, partially, problem in neraval</t>
  </si>
  <si>
    <t>Sowmya/Carnatic_Vocal/6_Vagala.mp3</t>
  </si>
  <si>
    <t>Sudha_Ragunathan/Carnatic_Vocal/3_Neepaadamegathi.mp3</t>
  </si>
  <si>
    <t>Sudha_Ragunathan/Carnatic_Vocal/4_Maathangisri.mp3</t>
  </si>
  <si>
    <t>Done, partly, till neraval</t>
  </si>
  <si>
    <t>Sudha_Ragunathan/Carnatic_Vocal/7_Pazhani.mp3</t>
  </si>
  <si>
    <t>Sumithra_Vasudev/December_Season_2010/CD_2/2-03_Laliyugalave.mp3</t>
  </si>
  <si>
    <t>Mangalam at the end</t>
  </si>
  <si>
    <t>T._M._Krishna/Carnatic_Vocal/2_Ninnenera.mp3</t>
  </si>
  <si>
    <t>Half done, 2 letter eduppu, 3 beat rupaka</t>
  </si>
  <si>
    <t>T._M._Krishna/Madrasil_Margazhi_2006/CD_1/1-05_Garuda_Gamana.mp3</t>
  </si>
  <si>
    <t>Done full</t>
  </si>
  <si>
    <t>T._N._Krishnan/Carnatic_Instrumental_-_Violin/5_Dhurmarga_Chara(Ranjani)_-_T.N.mp3</t>
  </si>
  <si>
    <t>Adjustment at 1.04</t>
  </si>
  <si>
    <t>T._V._Sankaranarayanan/December_Season_2000/CD_1/1-04_Himadrisute_Pahimam.mp3</t>
  </si>
  <si>
    <t>Half done, 4 letter eduppu, 3 beat rupakam</t>
  </si>
  <si>
    <t>Vijay_Siva/Madrasil_Margazhi_2006/CD_1/1-01_Gam_Ganapathe.mp3</t>
  </si>
  <si>
    <t>Done, with some parts in the middle missing, the charanam is selected here</t>
  </si>
  <si>
    <t>Vijay_Siva/Madrasil_Margazhi_2006/CD_2/2-01_Enta_ninne.mp3</t>
  </si>
  <si>
    <t>Done, partly 228 avartanas</t>
  </si>
  <si>
    <t>Vijay_Siva/Madrasil_Margazhi_2006/CD_2/2-05_Madar_Pirai.mp3</t>
  </si>
  <si>
    <t>song goes off sometimes, tishra ekam</t>
  </si>
  <si>
    <t>Aneesh_Vidyashankar/Pure_Expressions/8_Krishna_Nee_Begane.mp3</t>
  </si>
  <si>
    <t>Done, full, 4/14 letter eduppu</t>
  </si>
  <si>
    <t>Abhishek_Raghuram/Pravrddha_Sri_Lalgudi_Pancharatna_Kritis/CD_2/2-02_Deva_Shri.mp3</t>
  </si>
  <si>
    <t>Done partially, 234 avartanams</t>
  </si>
  <si>
    <t>Could be 4+3 mishra chapu</t>
  </si>
  <si>
    <t>Little adjustment at 6.47</t>
  </si>
  <si>
    <t>Amritha_Murali/December_Season_2010/CD_2/2-02_Pakkala_Nilabadi.mp3</t>
  </si>
  <si>
    <t>Done partially, 200 avartanams</t>
  </si>
  <si>
    <t>Amritha_Murali/December_Season_2010/CD_2/2-04_Viruttam_-_Drishou_Bhavaan_&amp;_Taruni_Nyan_&amp;_Mangalam.mp3</t>
  </si>
  <si>
    <t>Has mangalam at the end</t>
  </si>
  <si>
    <t>Ariyakudi_Ramanuja_Iyengar/Live_at_Mullakkal_Temple,_Alleppey_/CD_1/1-04_Ninnuvina.mp3</t>
  </si>
  <si>
    <t>Done, problem at 10:00. Ateeta with 4/14 eduppu</t>
  </si>
  <si>
    <t>Aruna_Sairam/Madrasil_Margazhi_2005/CD_1/1-04_Kamalamba.mp3</t>
  </si>
  <si>
    <t>Aruna_Sairam/Madrasil_Margazhi_2006/CD_1/03_Thirukathuvam.mp3</t>
  </si>
  <si>
    <t>Kriti starts after 10 seconds</t>
  </si>
  <si>
    <t>Bombay_Jayashri/Classical_Vocal/4_Muruga_Muruga.mp3</t>
  </si>
  <si>
    <t>Bombay_Jayashri/Madrasil_Margazhi_2006/CD_1/1-03_Sri_Matrubhutam.mp3</t>
  </si>
  <si>
    <t>Almost done, clipped waveform</t>
  </si>
  <si>
    <t>Mega Adjustment at 3.36</t>
  </si>
  <si>
    <t>D._K._Jayaraman/Gangadheeswaram/CD_2/2-02_Venugana.mp3</t>
  </si>
  <si>
    <t>D._K._Pattammal/Paddhatti_-_Sangeeta_Kalanidhi_D_K_Pattammal_-_Live_in_Concert_1977_Vol._I/04_Visalakshi.mp3</t>
  </si>
  <si>
    <t>Adjustment at 6.57</t>
  </si>
  <si>
    <t>E._Gayathri/Sound_Of_Veena/413_Kamakshi.mp3</t>
  </si>
  <si>
    <t>Done , very good song</t>
  </si>
  <si>
    <t>G._N._Balasubramaniam/A_Centennial_Retrospective/2_Brovavamma.mp3</t>
  </si>
  <si>
    <t>2?</t>
  </si>
  <si>
    <t>Adjustment at 4.08</t>
  </si>
  <si>
    <t>G._N._Balasubramaniam/Sangeethamrutham/CD_2/2-01_Nidhi_chala_sukhama.mp3</t>
  </si>
  <si>
    <t>Done almost, left in the end, very long</t>
  </si>
  <si>
    <t>Noise</t>
  </si>
  <si>
    <t>K._V._Narayanaswami/Collectors_Choice/3_Pakkala_Nilapadi.mp3</t>
  </si>
  <si>
    <t>Done, partially, 4/14 eduppu</t>
  </si>
  <si>
    <t>K._V._Narayanaswami/Collectors_Choice/4_Evarura.mp3</t>
  </si>
  <si>
    <t>K._V._Narayanaswami/Collectors_Choice/7_Pullum_Silampina_(Thiruppavai).mp3</t>
  </si>
  <si>
    <t>Adjustment at 1.59; expressive</t>
  </si>
  <si>
    <t>K._V._Narayanaswami_&amp;_N_Ramani/Paddhatti_-_K_V_Narayanaswamy_&amp;_Dr_N_Ramani_-_Live_in_Concert_at_Cleveland,_Ohio_1983/Vol._II/2-01_Ninne_Nammiti.mp3</t>
  </si>
  <si>
    <t>Done partially, 180 avartanams, done</t>
  </si>
  <si>
    <t>Expressive</t>
  </si>
  <si>
    <t>K._V._Narayanaswami_&amp;_N_Ramani/Paddhatti_-_K_V_Narayanaswamy_&amp;_Dr_N_Ramani_-_Live_in_Concert_at_Cleveland,_Ohio_1983/Vol._II/2-02_Muruga_Muruga.mp3</t>
  </si>
  <si>
    <t>Done partially</t>
  </si>
  <si>
    <t xml:space="preserve">Coughing at the beginnning </t>
  </si>
  <si>
    <t>Lalgudi_G._Jayaraman/Nada_Sagaram/CD_1/1-02_Sri_Mahaganapathi.mp3</t>
  </si>
  <si>
    <t>Done full, slight problem between 2:45 and 3:00</t>
  </si>
  <si>
    <t>Lalgudi_G._Jayaraman/Nada_Sagaram/CD_1/1-06_Ite_Bhagyamu.mp3</t>
  </si>
  <si>
    <t>Done full, check, difficult after 200 avartanas</t>
  </si>
  <si>
    <t>M._S._Gopalakrishnan/Live_in_Sydney/04_Ramabhirama.mp3</t>
  </si>
  <si>
    <t>Done, fully, 4/14 eduppu</t>
  </si>
  <si>
    <t>M.L._Vasanthakumari/Maestro_in_Concert/CD_1/1-05_Janani_Ninuvina.mp3</t>
  </si>
  <si>
    <t>M.S._Subbulakshmi/Paddhatti_-_M_S_Subbulakshmi_-_Live_In_Concert_1956/Vol._I/1-04_Sharanam_Sharanam.mp3</t>
  </si>
  <si>
    <t>M_D_Ramanathan/Classical_Vocal/04_Smara_Janaka_Subhacharitha.mp3</t>
  </si>
  <si>
    <t>Done fully, very short, very fast composition</t>
  </si>
  <si>
    <t>Maharajapuram_Santhanam/Bhajans_-_Swami_Dayananda_Saraswathi/3_Vandheham_Sharadham.mp3</t>
  </si>
  <si>
    <t>Nedanuri_Krishnamurthy/Maestro's_Choice/4_Emijesithe.mp3</t>
  </si>
  <si>
    <t>Partially done, Wrong towards the e nd</t>
  </si>
  <si>
    <t>P._Unnikrishnan/Madrasil_Margazhi_2007_-_The_Music_Academy_Concerts/CD_2/2-01_Innamum.mp3</t>
  </si>
  <si>
    <t>P._Unnikrishnan/Sangeeta_Lahari/3_Sree_Ganesha.mp3</t>
  </si>
  <si>
    <t>Done, fully; Well Done</t>
  </si>
  <si>
    <t>R._K._Srikantan/Vintage_Melodies_CD_2/1_Janani_Pahi.mp3</t>
  </si>
  <si>
    <t>Done, partially</t>
  </si>
  <si>
    <t>Poor quality</t>
  </si>
  <si>
    <t>Adjustment at 6.19</t>
  </si>
  <si>
    <t>R._K._Srikantan/Vintage_Melodies_CD_2/2_Pannaga_Shayana.mp3</t>
  </si>
  <si>
    <t>Done fully, Problem at 66th Avartanam (2.30 min)</t>
  </si>
  <si>
    <t>Ranjani-Gayatri/Gems_Of_Carnatic_Music_-_Live_In_Concert_2004/04_Endraikku_Sivakrupai.mp3</t>
  </si>
  <si>
    <t>S._Ramanathan/Tyagaraja's_Utsava_Sampradaya_Kritis/9_Laali.mp3</t>
  </si>
  <si>
    <t>Semmangudi_R._Srinivas_Iyer/Vocal/2_Janani_Ninnuvina.mp3</t>
  </si>
  <si>
    <t>Old recording, has taala beats on lap clearly</t>
  </si>
  <si>
    <t>Sowmya/Bharat_Sangeet_Utsav/1_Nidhichala.mp3</t>
  </si>
  <si>
    <t>Done, partially 150 avrtanams, 2/14 eduppu</t>
  </si>
  <si>
    <t>Sowmya/Bharat_Sangeet_Utsav/2_Yarukkahilum.mp3</t>
  </si>
  <si>
    <t>Done, fully, Mridangam playin too good with lot of karvais</t>
  </si>
  <si>
    <t>Sumithra_Vasudev/Tasmai_Sri_Gurave_Namaha/03_Ni_Cittamu.mp3</t>
  </si>
  <si>
    <t>T._Brinda/All_Time_Favourites_-_Vol_1/05_Ninnusevinchina_-_Yadulakamboji_-.mp3</t>
  </si>
  <si>
    <t>T._Brinda/All_Time_Favourites_-_Vol_3/05_Brova_Vamma_-_Manji_-_Misra_Chapu.mp3</t>
  </si>
  <si>
    <t>Done, fully, small errors possible</t>
  </si>
  <si>
    <t>T._Brinda/All_Time_Favourites_-_Vol_4/03_Nee_Chittamu_-_Dhanyasi_-_Misra_C.mp3</t>
  </si>
  <si>
    <t>T._Brinda/All_Time_Favourites_-_Vol_4/05_Manasusvadeena_-_Shankarabharanam.mp3</t>
  </si>
  <si>
    <t>T._M._Krishna/Carnatic_Vocal/3_Sri_Mathrubhootham.mp3</t>
  </si>
  <si>
    <t>T._M._Krishna/Madrasil_Margazhi_2006/CD_1/1-04_Anandesvarena.mp3</t>
  </si>
  <si>
    <t>T._M._Krishna/Madrasil_Margazhi_2006/CD_2/2-02_Navasiddhi_Petralum.mp3</t>
  </si>
  <si>
    <t>T._M._Krishna/Vaishnava_Ksetra/08_Aiyan_Azhagan_-_Azhagarkoil.mp3</t>
  </si>
  <si>
    <t>T._N._Seshagopalan/The_Masterpiece_Collection/06_Ashtapadi_-_Natha_Hare.mp3</t>
  </si>
  <si>
    <t>T._V._Sankaranarayanan/December_Season_2000/CD_1/1-05_Saranam_Ayyappa.mp3</t>
  </si>
  <si>
    <t>Tanjore_S._Kalyanaraman/Live_Concert_1974/CD_1/1-03_Mamava_Karunaya.mp3</t>
  </si>
  <si>
    <t>Complex kalpanaswaram for the last two minutes</t>
  </si>
  <si>
    <t>Ariyakudi_Ramanuja_Iyengar/Live_at_Mullakkal_Temple,_Alleppey_/CD_2/2-02_Hecharikaga.mp3</t>
  </si>
  <si>
    <t>Adjustment at 7.20</t>
  </si>
  <si>
    <t>Abhishek_Raghuram/December_Season_2009/CD_2/2-02_Muruganin_marupeyar.mp3</t>
  </si>
  <si>
    <t>Adjustment at 4.03</t>
  </si>
  <si>
    <t>Abhishek_Raghuram/Gems_Of_Carnatic_Music_-_Live_In_Concert_2006/02_Marivere_Dikkevvaru.mp3</t>
  </si>
  <si>
    <t>Done partially, very difficult</t>
  </si>
  <si>
    <t>Adjustment at 2.25</t>
  </si>
  <si>
    <t>Amritha_Murali/December_Season_2010/CD_1/1-01_Pavanatmajagaccha.mp3</t>
  </si>
  <si>
    <t>Aruna_Sairam/Madrasil_Margazhi_2006/CD_1/04_Nathupai.mp3</t>
  </si>
  <si>
    <t>Partly done, difficult</t>
  </si>
  <si>
    <t>Chittibabu/Rendezvous_with_Legends_CD_2/8_Kommala_Koila.mp3</t>
  </si>
  <si>
    <t>0 ?</t>
  </si>
  <si>
    <t>Done partly, difficult, CHECK EDUPPU</t>
  </si>
  <si>
    <t>Wonderful, makes a koel sound on veena!</t>
  </si>
  <si>
    <t>E._Gayathri/Sound_Of_Veena/513_Amba_Mahavani.mp3</t>
  </si>
  <si>
    <t>G._N._Balasubramaniam/Ragamrutham_Live_at_Mysore_-_1957/CD_1/1-02_Jaya_Jaya.mp3</t>
  </si>
  <si>
    <t>Done partly, difficult, fast, poor quality</t>
  </si>
  <si>
    <t>Kadri_Gopalnath/Chidanandam/5_Om_Namonarayana.mp3</t>
  </si>
  <si>
    <t>Fully done, changes from Khanda Chapu to Khanda nade at 6:05</t>
  </si>
  <si>
    <t>M._S._Gopalakrishnan/Live_in_Sydney/07_Bhogindra_Shayinam.mp3</t>
  </si>
  <si>
    <t>2/10 eduppu</t>
  </si>
  <si>
    <t>Mistake and heavy adjustment at 1.40</t>
  </si>
  <si>
    <t>M._S._Gopalakrishnan/Violin_Melody/4_Marivere.mp3</t>
  </si>
  <si>
    <t>Tishra in the middle</t>
  </si>
  <si>
    <t>M.L._Vasanthakumari/Maestro_in_Concert/CD_1/1-04_Jaya_Jaya.mp3</t>
  </si>
  <si>
    <t>Nedanuri_Krishnamurthy/Maestro's_Choice/3_Yemaiyyarama.mp3</t>
  </si>
  <si>
    <t>Fully Done, 2/10 eduppu</t>
  </si>
  <si>
    <t>P._Unnikrishnan/Madrasil_Margazhi_2007_-_The_Music_Academy_Concerts/CD_1/1-03_Paripalinchu.mp3</t>
  </si>
  <si>
    <t>Has Morsing</t>
  </si>
  <si>
    <t>Prasanna_Venkataraman/December_Season_2009/CD_2/2-05_Sivanar_Manam.mp3</t>
  </si>
  <si>
    <t>Done fully 2/10 eduppu; Contains Pavamana Mangalam at the end</t>
  </si>
  <si>
    <t>Ranjani-Gayatri/Memorable_Concerts_From_Rfa's_September_Season_2009/CD_3/3-03_Virutham_Kandar_Anubuthi_followed_by_Muruganin_Marupeyar.mp3</t>
  </si>
  <si>
    <t>Background hiss, too much</t>
  </si>
  <si>
    <t>S._Ramanathan/Tyagaraja's_Utsava_Sampradaya_Kritis/10_Laali.mp3</t>
  </si>
  <si>
    <t>Done Fully, 2/10 eduppu</t>
  </si>
  <si>
    <t>poor Quality</t>
  </si>
  <si>
    <t>S._Ramanathan/Tyagaraja's_Utsava_Sampradaya_Kritis/11_Laali.mp3</t>
  </si>
  <si>
    <t>Done fully, rather khanda nade, fast khanda chapu</t>
  </si>
  <si>
    <t>S._Ramanathan/Tyagaraja's_Utsava_Sampradaya_Kritis/13_Pavvalimpu.mp3</t>
  </si>
  <si>
    <t>S._Ramanathan/Tyagaraja's_Utsava_Sampradaya_Kritis/16_Melokovayya.mp3</t>
  </si>
  <si>
    <t>S._Ramanathan/Tyagaraja's_Utsava_Sampradaya_Kritis/18_Mangalam.mp3</t>
  </si>
  <si>
    <t>S._Ramanathan/Tyagaraja's_Utsava_Sampradaya_Kritis/2_Hechirakaga_Rara.mp3</t>
  </si>
  <si>
    <t>S._Ramanathan/Tyagaraja's_Utsava_Sampradaya_Kritis/3_Gauri_Kalyana-Kurinji.mp3</t>
  </si>
  <si>
    <t>Sanjay_Subrahmanyan/December_Season_2010_-_Concert_4/CD_2/10-01_Vaa_Velava.mp3</t>
  </si>
  <si>
    <t>Done Fully</t>
  </si>
  <si>
    <t>Sikkil_Mala_Chandrasekhar/Resonance_Flute_Concert/4_Amma_Ravamma.mp3</t>
  </si>
  <si>
    <t>Done partly, 235 avartanas</t>
  </si>
  <si>
    <t>Sowmya/Bharat_Sangeet_Utsav/2_Anupama_Gunambudhi.mp3</t>
  </si>
  <si>
    <t>Done partially, Mridangam sometimes out of sync</t>
  </si>
  <si>
    <t>Sumithra_Vasudev/December_Season_2010/CD_1/1-05_Paridanamiccite.mp3</t>
  </si>
  <si>
    <t>T._V._Sankaranarayanan/December_Season_2000/CD_1/1-02_Purandara_Dasa.mp3</t>
  </si>
  <si>
    <t>Taala label</t>
  </si>
  <si>
    <t>Start time in s</t>
  </si>
  <si>
    <t>End time in s</t>
  </si>
  <si>
    <t>Raga label</t>
  </si>
  <si>
    <t>Rhythm annotation flag</t>
  </si>
  <si>
    <t>Laya</t>
  </si>
  <si>
    <t>Vocal/Instrumental</t>
  </si>
  <si>
    <t>Other Info</t>
  </si>
  <si>
    <t>Buddhadev_Das_Gupta/Raga_Jaijaivanti,_Raga_Kedar,_Raga_Gorakh_Kalyan/1_03_Raga_Jaijaivanti_Fast_Gat_in_Tintala.mp3</t>
  </si>
  <si>
    <t>aabd58b6-62af-42e3-8e84-d246a22a5998</t>
  </si>
  <si>
    <t>1_03_Raga_Jaijaivanti_Fast_Gat_in_Tintala</t>
  </si>
  <si>
    <t>Teentaal</t>
  </si>
  <si>
    <t>Jaijaivanti</t>
  </si>
  <si>
    <t>Dhrut</t>
  </si>
  <si>
    <t>I</t>
  </si>
  <si>
    <t>Sarod</t>
  </si>
  <si>
    <t>Buddhadev_Das_Gupta/Raga_Jaijaivanti,_Raga_Kedar,_Raga_Gorakh_Kalyan/1_06_Raga_Kedar_Fast_Gat_in_Tintala.mp3</t>
  </si>
  <si>
    <t>90b8c966-331f-47f6-855d-a414f7eec280</t>
  </si>
  <si>
    <t>1_06_Raga_Kedar_Fast_Gat_in_Tintala</t>
  </si>
  <si>
    <t>Kedar</t>
  </si>
  <si>
    <t>Buddhadev_Das_Gupta/Raga_Jaijaivanti,_Raga_Kedar,_Raga_Gorakh_Kalyan/1_08_Raga_Gorakh_Kalyan_Fast_Gat_in_Tintala.mp3</t>
  </si>
  <si>
    <t>f9c605ee-cf98-4bea-8545-1c45e8d5cef0</t>
  </si>
  <si>
    <t>1_08_Raga_Gorakh_Kalyan_Fast_Gat_in_Tintala</t>
  </si>
  <si>
    <t>Gorakh_Kalyan</t>
  </si>
  <si>
    <t>Sabri_Khan/Immortal_Series__Sarangi_Maestro/1_04_Raga_Marubihag.mp3</t>
  </si>
  <si>
    <t>54d6c0a9-d94c-46ff-bc84-6c88d6219466</t>
  </si>
  <si>
    <t>1_04_Raga_Marubihag</t>
  </si>
  <si>
    <t>Marubihag</t>
  </si>
  <si>
    <t>Sarangi</t>
  </si>
  <si>
    <t>Ajoy_Chakraborty/Ragamala/1_02_Sur_Sur_Se_Sadh_Le_Rasika_Sabada_Salone_Laya_Tala_Surana.mp3</t>
  </si>
  <si>
    <t>2e399218-6978-47ef-ad3f-c7eca6dad81b</t>
  </si>
  <si>
    <t>1_02_Sur_Sur_Se_Sadh_Le_Rasika_Sabada_Salone_Laya_Tala_Surana</t>
  </si>
  <si>
    <t>Bairagi</t>
  </si>
  <si>
    <t>Ajoy_Chakraborty/The_Genius_Of_Pt__Ajoy_Chakraborty/1_02_Raga___Bilaskhani_Todi.mp3</t>
  </si>
  <si>
    <t>d7510269-b26c-4735-a491-245f3c732a58</t>
  </si>
  <si>
    <t>1_02_Raga___Bilaskhani_Todi</t>
  </si>
  <si>
    <t>Bilaskhani Todi</t>
  </si>
  <si>
    <t>Pandit_Dinkar_Kaikini/A_Charming_Musical_Bouquet_By_Pandit_Dinkar_Kaikini/1_05_Shyam_Sundar_Nachat.mp3</t>
  </si>
  <si>
    <t>37dc3309-874b-443a-a773-7ea069e74cb1</t>
  </si>
  <si>
    <t>…</t>
  </si>
  <si>
    <t>Girija_Devi/The_Genius_of_Girija_Devi/2_02_Raga_Yaman.mp3</t>
  </si>
  <si>
    <t>2dbac2ae-9e9c-40b7-949d-7bca00c1633d</t>
  </si>
  <si>
    <t>Yaman</t>
  </si>
  <si>
    <t>Hirabai_Barodekar/The_Great_Heritage__Hirabai_Barodekar/3_02_Raga_-_Yaman.mp3</t>
  </si>
  <si>
    <t>72b3199c-c49d-4f50-b959-e1bf6abab98e</t>
  </si>
  <si>
    <t>Jasraj/Legends__Sangeet_Martand_Pandit_Jasraj_(Vol__1)/1_01_Raga_-_Nat_Bhairav.mp3</t>
  </si>
  <si>
    <t>a5feb87c-1f14-4f14-9bfc-cbe63b3d5e21</t>
  </si>
  <si>
    <t>Nat Bhairav</t>
  </si>
  <si>
    <t>Jasraj/Legends__Sangeet_Martand_Pandit_Jasraj_(Vol__2)/1_01_Raga_-_Shudh_Sarang.mp3</t>
  </si>
  <si>
    <t>3ce253e3-20a1-4148-b6c7-420a9784c242</t>
  </si>
  <si>
    <t>Shudh Sarang</t>
  </si>
  <si>
    <t>Jasraj/Legends__Sangeet_Martand_Pandit_Jasraj_(Vol__2)/1_02_Raga_-_Miyan_Ki_Sarang.mp3</t>
  </si>
  <si>
    <t>8bb959cb-3905-4dac-a1dd-87e25e25dc09</t>
  </si>
  <si>
    <t>Miyan Ki Sarang</t>
  </si>
  <si>
    <t>Jasraj/Legends__Sangeet_Martand_Pandit_Jasraj_(Vol__2)/1_04_Raga_-_Madhuvanti.mp3</t>
  </si>
  <si>
    <t>e05c9807-4b3a-4532-b6cf-aa560ee07dad</t>
  </si>
  <si>
    <t>Madhuvanti</t>
  </si>
  <si>
    <t>Kishori_Amonkar/Malhar_Malika/1_02_Raga__Adana_Malhar.mp3</t>
  </si>
  <si>
    <t>f8b4c217-d716-425c-b2cf-bb2d4e307028</t>
  </si>
  <si>
    <t>Adana Malhar</t>
  </si>
  <si>
    <t>Looks like ektaal to me</t>
  </si>
  <si>
    <t>Kumar_Gandharv/The_Genius_Of_Pt__Kumar_Gandharv/1_03_Raga_Patmanjiri.mp3</t>
  </si>
  <si>
    <t>491a6aa4-b6b3-4b17-9ceb-e4d2095b6631</t>
  </si>
  <si>
    <t>Patmanjiri</t>
  </si>
  <si>
    <t>Kumar_Gandharv/The_Genius_Of_Pt__Kumar_Gandharv/1_04_Raga__Bahar.mp3</t>
  </si>
  <si>
    <t>f6a16b24-92fb-473a-8b25-8a6517a99401</t>
  </si>
  <si>
    <t>Bahar</t>
  </si>
  <si>
    <t>Voice Changed ??</t>
  </si>
  <si>
    <t>Nayan_Ghosh/Sanskriti/1_02_Rag_Jhinjhoti_-_Vilambit__Drut_Teental.mp3</t>
  </si>
  <si>
    <t>c0a6972e-0466-4519-83e5-63b82e591d6b</t>
  </si>
  <si>
    <t>Jhinjhoti</t>
  </si>
  <si>
    <t>Sitar</t>
  </si>
  <si>
    <t>Sultan_Khan_And_Zakir_Hussain/Sur_Taal/1_03_Raga_Hemant.mp3</t>
  </si>
  <si>
    <t>0440d9dd-3c28-4609-99d4-bb0031b610ef</t>
  </si>
  <si>
    <t>Hemant</t>
  </si>
  <si>
    <t>Rashid_Khan/Classical_Wonders_of_India_-_Ustad_Rashid_Khan/1_01_Raga_Kausi_Kanhara.mp3</t>
  </si>
  <si>
    <t>39e58915-e08b-4cb6-9cb2-3ba21be73b1c</t>
  </si>
  <si>
    <t>Kausi Kanhara</t>
  </si>
  <si>
    <t>Rashid_Khan/Classical_Wonders_of_India_-_Ustad_Rashid_Khan/1_02_Kausi_Dhwani.mp3</t>
  </si>
  <si>
    <t>1bf06456-202c-46c8-a715-fa9e5e4aec53</t>
  </si>
  <si>
    <t>Kausi Dhwani</t>
  </si>
  <si>
    <t>Ulhas_Kashalkar/Khayalnuma/1_01_Malkauns.mp3</t>
  </si>
  <si>
    <t>56e1cd58-0a1d-4a41-9c9a-12b99985514e</t>
  </si>
  <si>
    <t>Malkauns</t>
  </si>
  <si>
    <t>Tarana</t>
  </si>
  <si>
    <t>Ulhas_Kashalkar/Khayalnuma/1_02_Basant_Bahar.mp3</t>
  </si>
  <si>
    <t>5c89beb8-a496-4ccb-8039-2260f141f7bb</t>
  </si>
  <si>
    <t>Basant Bahar</t>
  </si>
  <si>
    <t>Ulhas_Kashalkar/Mellow_Moods/1_01_Raga_Lalit_(Shuddha_Dhaivat).mp3</t>
  </si>
  <si>
    <t>51fe3552-b72f-400b-939b-19683f6680c8</t>
  </si>
  <si>
    <t>Lalit (Shuddha Dhaivat)</t>
  </si>
  <si>
    <t>Omkarnath_Thakur/The_Great_Heritage__Pt__Omkarnath_Thakur/3_02_Raga_Desi_Todi__Kadam_Ki_Chhaiya.mp3</t>
  </si>
  <si>
    <t>0017b1e4-f8d2-49b1-baa7-9c97fd02733e</t>
  </si>
  <si>
    <t>Desi Todi</t>
  </si>
  <si>
    <t>Has Violin Saath</t>
  </si>
  <si>
    <t>Jasraj/Legends__Sangeet_Martand_Pandit_Jasraj_(Vol__3)/1_02_Raga__Dhanashri_Khayal.mp3</t>
  </si>
  <si>
    <t>8a8e2539-d866-4ce2-92c7-f8320693d07b</t>
  </si>
  <si>
    <t>Dhanashri</t>
  </si>
  <si>
    <t>Jasraj/Legends__Sangeet_Martand_Pandit_Jasraj_(Vol__5)/1_02_Raga_-_Nagad_-_Dhwani_Kanhra.mp3</t>
  </si>
  <si>
    <t>6f721e2f-7b39-4b0a-8fbb-0138eb9d79ef</t>
  </si>
  <si>
    <t>Nagad</t>
  </si>
  <si>
    <t>Slow Dhrut since taken at the beginning</t>
  </si>
  <si>
    <t>Kishori_Amonkar/Live_in_Concert__New_Delhi_1992/1_02_Bhopali_-_drut_teentaal_-_Tarana.mp3</t>
  </si>
  <si>
    <t>157f546c-90c8-4b3b-a72c-42fa5b0dd820</t>
  </si>
  <si>
    <t>Bhopali</t>
  </si>
  <si>
    <t>Tarana, tempo change</t>
  </si>
  <si>
    <t>Kishori_Amonkar/The_Malhars__Gaud_Malhar/1_03_Raga__Gaud_Malhar__Drut_Teental.mp3</t>
  </si>
  <si>
    <t>28dd1d68-ee23-47f4-8776-33cc18adc44a</t>
  </si>
  <si>
    <t>Gaud Malhar</t>
  </si>
  <si>
    <t>Abdul_Latif_Khan/Master_Pieces/1_01_Raga_Miyan_Ki_Malhar.mp3</t>
  </si>
  <si>
    <t>c8733633-6630-4795-9b54-be574853b647</t>
  </si>
  <si>
    <t>Miyan Ki Malhar</t>
  </si>
  <si>
    <t>Abdul_Latif_Khan/Master_Pieces/1_02_Raga_Lalit.mp3</t>
  </si>
  <si>
    <t>cce5404c-de97-4277-9524-a43312337de6</t>
  </si>
  <si>
    <t>Lalit</t>
  </si>
  <si>
    <t>Hariprasad_Chaurasia/In_Concert/1_02_Raga__Vachaspati.mp3</t>
  </si>
  <si>
    <t>af6e95d7-a65a-4c70-9087-40620212b1bc</t>
  </si>
  <si>
    <t>1_02_Raga__Vachaspati</t>
  </si>
  <si>
    <t>Vachaspati</t>
  </si>
  <si>
    <t>Madhya</t>
  </si>
  <si>
    <t>Baluji_Shrivastav/The_Art_of_the_Indian_Dilruba/1_03_Raga_Shyam_Kalyan.mp3</t>
  </si>
  <si>
    <t>c1818aaf-9991-4d1e-86b0-65f2d21930da</t>
  </si>
  <si>
    <t>1_03_Raga_Shyam_Kalyan</t>
  </si>
  <si>
    <t>Shyam Kalyan</t>
  </si>
  <si>
    <t>Dilruba</t>
  </si>
  <si>
    <t>Sultan_Khan_And_Zakir_Hussain/Sur_Taal/1_04_Raga_Basant.mp3</t>
  </si>
  <si>
    <t>891f1df3-3569-4a84-a95d-36bad82f2f4f</t>
  </si>
  <si>
    <t>1_04_Raga_Basant</t>
  </si>
  <si>
    <t>Basant</t>
  </si>
  <si>
    <t>Niladri_Kumar/Dharohar/1_01_Raga_BilaskhaniTodi_Alaap_Jor.mp3</t>
  </si>
  <si>
    <t>27bb2f64-4641-4657-82db-3cc5c9fc9086</t>
  </si>
  <si>
    <t>Bilaskhani todi</t>
  </si>
  <si>
    <t>Pandit_Dinkar_Kaikini/A_Charming_Musical_Bouquet_By_Pandit_Dinkar_Kaikini/1_04_Mori_Tori_Preet.mp3</t>
  </si>
  <si>
    <t>eae60e68-7163-4712-88d4-f8fcccb5ad3e</t>
  </si>
  <si>
    <t>Rajan_&amp;_Sajan_Mishra/Sangeet_Sartaj/2_03_Raga_Jaijaiwanti.mp3</t>
  </si>
  <si>
    <t>9c017a70-3bd2-438b-8ada-e9ab82e40089</t>
  </si>
  <si>
    <t>Jaijaiwanti</t>
  </si>
  <si>
    <t>Jasraj/Legends__Sangeet_Martand_Pandit_Jasraj_(Vol__1)/1_04_Karat_Shringar_Maiya_Man_Bhavat.mp3</t>
  </si>
  <si>
    <t>7ed38940-f5e5-46cb-897d-ed408ddf8c85</t>
  </si>
  <si>
    <t>Jasraj/Legends__Sangeet_Martand_Pandit_Jasraj_(Vol__4)/1_01_Raga_Shuddha_Nat.mp3</t>
  </si>
  <si>
    <t>3633d1c0-cee7-4f0a-90c0-197f7179c548</t>
  </si>
  <si>
    <t>Shuddha Nat</t>
  </si>
  <si>
    <t>Mukul_Shivaputra_Bhanumatey/Hindustani_Vocal/1_01_Raga_Bageshri.mp3</t>
  </si>
  <si>
    <t>c12784d9-c5d7-4883-adae-8140551480c4</t>
  </si>
  <si>
    <t>Bageshri</t>
  </si>
  <si>
    <t>Shrinivas_Joshi/Swarakruti/1_06_Raga_Shankara.mp3</t>
  </si>
  <si>
    <t>bc4be632-4cf6-4816-b60e-ff73ac3f4420</t>
  </si>
  <si>
    <t>Shankara</t>
  </si>
  <si>
    <t>Ulhas_Kashalkar/Mellow_Moods/1_02_Raga_-_Darbari_Kanada.mp3</t>
  </si>
  <si>
    <t>91bbdaa0-551d-454b-97f3-67c89c72f8d5</t>
  </si>
  <si>
    <t>Darbari Kanada</t>
  </si>
  <si>
    <t>Ajoy_Chakraborty/The_Genius_Of_Pt__Ajoy_Chakraborty/3_01_Raga___Jaunpuri.mp3</t>
  </si>
  <si>
    <t>43d3cb6f-ac06-4cf7-8676-4b334e9f4606</t>
  </si>
  <si>
    <t>Jaunpuri</t>
  </si>
  <si>
    <t>Kumar_Gandharva/Raga_Bhairav_Ke_Prakaar/1_02_Rag_Bhavmat_Bhairav_(Teental).mp3</t>
  </si>
  <si>
    <t>35d79f11-0fe5-43ff-97ed-626e2433117f</t>
  </si>
  <si>
    <t>Bhavmat Bhairav</t>
  </si>
  <si>
    <t>Kumar_Gandharva/Raga_Bhairav_Ke_Prakaar/1_05_Rag_Gunakari_(Teental).mp3</t>
  </si>
  <si>
    <t>194d852d-5c1e-475d-8370-a5915d422d2a</t>
  </si>
  <si>
    <t>Gunakari</t>
  </si>
  <si>
    <t>Jasraj/Legends__Sangeet_Martand_Pandit_Jasraj_(Vol__5)/1_06_Raga_-_Adana.mp3</t>
  </si>
  <si>
    <t>32285efe-118d-419c-ae79-aa63c13b5f4a</t>
  </si>
  <si>
    <t>Adana</t>
  </si>
  <si>
    <t>Taken at the beginning</t>
  </si>
  <si>
    <t>Kaushiki_Chakrabarty/Pure/1_03_Kahe_maan_karo_sakhiri_ab.mp3</t>
  </si>
  <si>
    <t>ff70a092-0893-4836-a2a2-7ea654d171c9</t>
  </si>
  <si>
    <t>Buddhadev_Das_Gupta/Raga_Jaijaivanti,_Raga_Kedar,_Raga_Gorakh_Kalyan/1_02_Raga_Jaijaivanti_Slow_Gat_in_Tintala.mp3</t>
  </si>
  <si>
    <t>fcdeaebd-5b1a-4dfe-9dcc-103928226ba2</t>
  </si>
  <si>
    <t>1_02_Raga_Jaijaivanti_Slow_Gat_in_Tintala</t>
  </si>
  <si>
    <t>Vilambit</t>
  </si>
  <si>
    <t>Kumar_Gandharva/Raga_Bhairav_Ke_Prakaar/1_03_Rag_Ahir_Bhairav_(Teental).mp3</t>
  </si>
  <si>
    <t>9a6fc3fb-6434-4216-91a6-b4c16406482b</t>
  </si>
  <si>
    <t>Ahir Bhairav</t>
  </si>
  <si>
    <t>Rajan_&amp;_Sajan_Mishra/Sangeet_Sartaj/1_02_Raga_Pooriya.mp3</t>
  </si>
  <si>
    <t>05d50386-d558-4d57-a000-ecf57a24fc55</t>
  </si>
  <si>
    <t>Pooriya</t>
  </si>
  <si>
    <t>Kishori_Amonkar/Live_in_Concert__Nehru_Center_Bombay/1_03_Raga__Binna_Shadja_-_Vilambit_Teentaal.mp3</t>
  </si>
  <si>
    <t>e080c79b-865a-4a79-a562-3458c28a7df2</t>
  </si>
  <si>
    <t>Binna Shadja</t>
  </si>
  <si>
    <t>Kishori_Amonkar/Malhar_Malika/1_01_Raga__Gaud_Malhar.mp3</t>
  </si>
  <si>
    <t>5e9d1ce8-9dcf-4c3c-a58a-7bc8734791d0</t>
  </si>
  <si>
    <t>Kishori_Amonkar/Malhar_Malika_(Vol__3)/1_02_Raga__Anand_Malhar.mp3</t>
  </si>
  <si>
    <t>f1913ba7-d928-49b2-906e-3fe1452ea7ee</t>
  </si>
  <si>
    <t>Anand Malhar</t>
  </si>
  <si>
    <t>Kishori_Amonkar/The_Malhars__Gaud_Malhar/1_01_Raga__Gaud_Malhar__Vilambit_Teental.mp3</t>
  </si>
  <si>
    <t>50a45482-2a3e-44a8-beea-1320f529fa00</t>
  </si>
  <si>
    <t>Kishori_Amonkar/The_Malhars__Gaud_Malhar/1_02_Raga__Gaud_Malhar__Vilambit_Teental.mp3</t>
  </si>
  <si>
    <t>0efd0dde-018c-4c30-972b-9dc14c6f09b5</t>
  </si>
  <si>
    <t>Sultan_Khan_And_Zakir_Hussain/Sur_Taal/1_02_Raga_Maand.mp3</t>
  </si>
  <si>
    <t>c79351be-ad99-4991-bc44-a2c0261d5900</t>
  </si>
  <si>
    <t>Maand</t>
  </si>
  <si>
    <t>Ram_Narayan/Pt__Ram_Narayan_(Sarangee_Wadan)/1_01_Raga-Bhatiya_(Vilambit_Rachana_-_Teentaal___Drut_Rachana_-_Teentaal).mp3</t>
  </si>
  <si>
    <t>4dfe9b42-c17e-4fe4-b0d0-acf7644d15b9</t>
  </si>
  <si>
    <t>Bhatiya</t>
  </si>
  <si>
    <t>Sabri_Khan/Immortal_Series__Sarangi_Maestro/1_05_Raga_Pancham.mp3</t>
  </si>
  <si>
    <t>0b29d7fc-9499-4e4f-87a1-869ec8da7ab0</t>
  </si>
  <si>
    <t>Pancham</t>
  </si>
  <si>
    <t>Jasraj/Legends__Sangeet_Martand_Pandit_Jasraj_(Vol__3)/1_03_Raga__Gauri_(Bhairav_That).mp3</t>
  </si>
  <si>
    <t>1c8fbf18-e876-41af-a859-95bde9b60310</t>
  </si>
  <si>
    <t>Gauri</t>
  </si>
  <si>
    <t>Jitendra_Abhishekhi/Swar_Siddhi/1_02_Raga_Kafi.mp3</t>
  </si>
  <si>
    <t>b91d4bfb-5f68-4e95-ab16-6e61bfec417d</t>
  </si>
  <si>
    <t>Kafi</t>
  </si>
  <si>
    <t>Kishori_Amonkar/Live_in_Concert__Nehru_Center_Bombay/1_01_Raga__Bhoop_Vilambit_Teentaal.mp3</t>
  </si>
  <si>
    <t>a3479fbe-fea4-4db7-9c1f-8b4ca613e5f0</t>
  </si>
  <si>
    <t>Bhoop</t>
  </si>
  <si>
    <t>Kishori_Amonkar/Live_in_Concert__New_Delhi_1992/1_01_Bhopali_-_vilambit_teentaal_-_Pratham_Sur_Saadhe.mp3</t>
  </si>
  <si>
    <t>809196fd-2e16-435e-9d18-6c6132da0797</t>
  </si>
  <si>
    <t>Kumar_Gandharv/The_Genius_Of_Pt__Kumar_Gandharv/2_02_Raga_Beehad_Bhairav.mp3</t>
  </si>
  <si>
    <t>be5b6c25-076d-458a-90e4-bf85b859905c</t>
  </si>
  <si>
    <t>Beehad Bhairav</t>
  </si>
  <si>
    <t>Shivkumar_Sharma,_Rahul_Sharma_&amp;_Zakir_Hussain/Santoor_Virasat/1_02_Raga_Hansadhwani_Drut_Ek_Tal.mp3</t>
  </si>
  <si>
    <t>3978bba4-6c42-46b1-a9ab-0b35c224ffe5</t>
  </si>
  <si>
    <t>Ektaal</t>
  </si>
  <si>
    <t>Hansdhwani</t>
  </si>
  <si>
    <t>Baluji_Shrivastav/The_Art_of_the_Indian_Dilruba/1_04_Raga_Sampurna_Malkauns.mp3</t>
  </si>
  <si>
    <t>84f6377d-242c-41fb-a1f3-3e00274b92f1</t>
  </si>
  <si>
    <t>Sampurna Malkauns</t>
  </si>
  <si>
    <t>Sabri_Khan/Immortal_Series__Sarangi_Maestro/1_01_Raga_Gaud_Sarang.mp3</t>
  </si>
  <si>
    <t>735a30e3-39a3-4579-9f50-681fdc5a0535</t>
  </si>
  <si>
    <t>1_01_Raga_Gaud_Sarang</t>
  </si>
  <si>
    <t>Gaud Sarang</t>
  </si>
  <si>
    <t>Sanjeev_Abhyankar/Khayal/1_03_Raga_Ramdasi_Malhar.mp3</t>
  </si>
  <si>
    <t>35bd5102-d3bc-48da-a384-00848130aa72</t>
  </si>
  <si>
    <t>Ramdasi Malhar</t>
  </si>
  <si>
    <t>Sanjeev_Abhyankar/Soaring_Heights/1_02_Raga__Gujari_Todi.mp3</t>
  </si>
  <si>
    <t>e8eee364-ca1d-4efc-8083-374c3ff853c7</t>
  </si>
  <si>
    <t>Gujari Todi</t>
  </si>
  <si>
    <t>Jasraj/Legends__Sangeet_Martand_Pandit_Jasraj_(Vol__5)/1_05_Raga_-_Darbari.mp3</t>
  </si>
  <si>
    <t>6e4dea78-ec22-479a-9e3c-c253a6deba7c</t>
  </si>
  <si>
    <t>Darbari</t>
  </si>
  <si>
    <t>Jayateerth_Mevundi/Raag_Darbari__Rendition_of_Late_Evening_Raga/1_01_Raag_Darbari.mp3</t>
  </si>
  <si>
    <t>7ee9570e-7f04-4f1c-819a-ec044318e15c</t>
  </si>
  <si>
    <t>Jitendra_Abhishekhi/Swar_Siddhi/1_01_Raga_Amrit_Varshini.mp3</t>
  </si>
  <si>
    <t>a9364f94-7e9f-4d8a-9ffd-db5bf358c187</t>
  </si>
  <si>
    <t>Amrit Varshini</t>
  </si>
  <si>
    <t>Kumar_Gandharv/The_Genius_Of_Pt__Kumar_Gandharv/1_02_Raga_Gandhi_Malhar.mp3</t>
  </si>
  <si>
    <t>075952a9-aa79-4e5e-94e5-920bb3c4cd68</t>
  </si>
  <si>
    <t>Gandhi Malhar</t>
  </si>
  <si>
    <t>Kumar_Gandharv/The_Genius_Of_Pt__Kumar_Gandharv/2_01_Raga_Bhavamat_Bhairav.mp3</t>
  </si>
  <si>
    <t>f5b82628-7f4c-48fa-9c4b-199f1727d492</t>
  </si>
  <si>
    <t>Bhavamat Bhairav</t>
  </si>
  <si>
    <t>Mukul_Shivaputra_Bhanumatey/Hindustani_Vocal/1_02_Raga_Bihagda.mp3</t>
  </si>
  <si>
    <t>22aeb946-5f00-4cda-9606-cbaab477813a</t>
  </si>
  <si>
    <t>Bihagda</t>
  </si>
  <si>
    <t>Rashid_Khan/The_Genius_Of_Ustad_Rashid_Khan/1_02_Raga_-_Malkauns.mp3</t>
  </si>
  <si>
    <t>f5d3cea0-50ad-461f-9aa2-20f2434ae1e8</t>
  </si>
  <si>
    <t>Shrinivas_Joshi/Swarakruti/1_10_Raga_Bageshri.mp3</t>
  </si>
  <si>
    <t>2fb235c2-25a0-4f1c-b0ce-25367eaa4028</t>
  </si>
  <si>
    <t>Pandit_Dinkar_Kaikini/A_Charming_Musical_Bouquet_By_Pandit_Dinkar_Kaikini/1_02_Matware_Aaj_Hun.mp3</t>
  </si>
  <si>
    <t>49d1020d-4f8b-45ec-abf0-f4bc07758f36</t>
  </si>
  <si>
    <t>C_R_Vyas/Vocal_Recital/1_02_Raga-_Malav.mp3</t>
  </si>
  <si>
    <t>8c8aac6b-e8d7-4748-b79d-aeea047131fe</t>
  </si>
  <si>
    <t>Malav</t>
  </si>
  <si>
    <t>Kaushiki_Desikan/Kaushiki/1_02_Tarapa_Tarapa_-_Drut_Ektaal.mp3</t>
  </si>
  <si>
    <t>932be692-9ff8-4fe1-8546-b92b2d3db696</t>
  </si>
  <si>
    <t>Maru Bihag</t>
  </si>
  <si>
    <t>Sultan_Khan_And_Zakir_Hussain/Sur_Taal/1_05_Raga_Des.mp3</t>
  </si>
  <si>
    <t>5235d552-4fa7-4b7c-971b-059e2ae2edce</t>
  </si>
  <si>
    <t>1_05_Raga_Des</t>
  </si>
  <si>
    <t>Des</t>
  </si>
  <si>
    <t>Shrinivas_Joshi/Swarakruti/1_04_Raga_Marwa.mp3</t>
  </si>
  <si>
    <t>6504d224-d5e7-4353-841f-47adfcda0bd3</t>
  </si>
  <si>
    <t>Marwa</t>
  </si>
  <si>
    <t>Shubha_Mudgal/Divas__Once_Upon_a_Time/1_02_Madhuvanti.mp3</t>
  </si>
  <si>
    <t>b2456c14-8db5-4d11-bf23-ec360b33d242</t>
  </si>
  <si>
    <t>Rajan_&amp;_Sajan_Mishra/Sangeet_Sartaj/2_02_Raga_Durga.mp3</t>
  </si>
  <si>
    <t>e4c855f9-a2df-4ba9-b06f-34b714d7aa31</t>
  </si>
  <si>
    <t>Durga</t>
  </si>
  <si>
    <t>Suhasini_Koratkar/Streets_Of_Bhendi_Bazar/1_01_Raga_Marwa.mp3</t>
  </si>
  <si>
    <t>f4c79456-b33a-4942-8a20-627489570830</t>
  </si>
  <si>
    <t>Bhimsen_Joshi/Shraddhanjali/1_04_Raga_Pooriya.mp3</t>
  </si>
  <si>
    <t>b89ad07e-cc96-429e-8197-fb86e06d7ad9</t>
  </si>
  <si>
    <t>Bhimsen_Joshi/Shraddhanjali/3_02_Raga_Miyan_Ki_Todi.mp3</t>
  </si>
  <si>
    <t>ad5409bc-fa5d-48ca-adf1-c753c2f53717</t>
  </si>
  <si>
    <t>Miyan Ki Todi</t>
  </si>
  <si>
    <t>Bhimsen_Joshi/Swar_Shikhar/1_01_Raag_Marubihag.mp3</t>
  </si>
  <si>
    <t>fe91ccb2-499a-4d99-be22-3fdde04ee9aa</t>
  </si>
  <si>
    <t>Pandit_Jasraj/A_Day_With_Pandit_Jasraj/1_02_Raga_Madhuvanti.mp3</t>
  </si>
  <si>
    <t>211c010f-7ae5-4ca6-a909-f10afed265c5</t>
  </si>
  <si>
    <t>Pandit_Jasraj/A_Day_With_Pandit_Jasraj/1_01_Raga_Ahir_Bhairav.mp3</t>
  </si>
  <si>
    <t>cbcba04b-023b-40e0-a5e8-04260ad3efdd</t>
  </si>
  <si>
    <t>Rajan_&amp;_Sajan_Mishra/Classical_Wonders_of_India/1_01_Raga_Gaud_Malhar.mp3</t>
  </si>
  <si>
    <t>acf065cc-7a66-4f9d-9eb9-3a86b35fa447</t>
  </si>
  <si>
    <t>Baluji_Shrivastav/The_Art_of_the_Indian_Dilruba/1_01_Raga_Ahiri_Todi.mp3</t>
  </si>
  <si>
    <t>90c3b772-189c-411e-aea5-a7c6ee9748a7</t>
  </si>
  <si>
    <t>Ahiri Todi</t>
  </si>
  <si>
    <t>Sabri_Khan/Immortal_Series__Sarangi_Maestro/1_02_Raga_Multani.mp3</t>
  </si>
  <si>
    <t>e4dfffeb-169e-4495-921e-7fdcee4e1dd7</t>
  </si>
  <si>
    <t>1_02_Raga_Multani</t>
  </si>
  <si>
    <t>Multani</t>
  </si>
  <si>
    <t>Sabri_Khan/Immortal_Series__Sarangi_Maestro/1_03_Raga_Puria_Kalyan.mp3</t>
  </si>
  <si>
    <t>dc83db56-5d6a-47b1-acbd-292565441216</t>
  </si>
  <si>
    <t>1_03_Raga_Puria_Kalyan</t>
  </si>
  <si>
    <t>Puria Kalyan</t>
  </si>
  <si>
    <t>Ajoy_Chakraborty/Ragamala/1_01_Mere_Maname_Baso_Ram_Abhiram_Puran_Ho_Sab_Kaam.mp3</t>
  </si>
  <si>
    <t>950c9b6a-53e6-43e2-9339-82ba49ade152</t>
  </si>
  <si>
    <t>Bhimsen_Joshi/Shraddhanjali/1_01_Raga_Komal_Rishabh_Asavari_Todi.mp3</t>
  </si>
  <si>
    <t>5c0fec0a-094e-471b-aa83-1f8e6ee3d274</t>
  </si>
  <si>
    <t>Komal Rishabh Asavari Todi</t>
  </si>
  <si>
    <t>Bhimsen_Joshi/Shraddhanjali/3_01_Raga_Lalat.mp3</t>
  </si>
  <si>
    <t>d88f2c34-6f93-48b2-9910-e4a8a35aedbb</t>
  </si>
  <si>
    <t>Lalat</t>
  </si>
  <si>
    <t>Rajan_&amp;_Sajan_Mishra/Sangeet_Sartaj/1_01_Raga_Lalit.mp3</t>
  </si>
  <si>
    <t>d44c1914-b3ee-4948-af86-d07fde13c1b4</t>
  </si>
  <si>
    <t>Rajan_&amp;_Sajan_Mishra/Sangeet_Sartaj/2_01_Raga_Multani.mp3</t>
  </si>
  <si>
    <t>1e869eb8-9604-458d-8dbe-05980a4b6214</t>
  </si>
  <si>
    <t>Sanjeev_Abhyankar/Khayal/1_02_Raga_Megh_Malhar.mp3</t>
  </si>
  <si>
    <t>2e6749b2-1770-4468-9db0-6e983190bf9d</t>
  </si>
  <si>
    <t>Megh Malhar</t>
  </si>
  <si>
    <t>Sanjeev_Abhyankar/Khayal/1_01_Raga_Maru_Bihag.mp3</t>
  </si>
  <si>
    <t>7199a72c-c660-40dc-8cb9-bc941ae4e8a2</t>
  </si>
  <si>
    <t>Sanjeev_Abhyankar/Soaring_Heights/1_01_Raga__Lalat.mp3</t>
  </si>
  <si>
    <t>c0333b05-4593-4618-b00c-9c363c0e4b09</t>
  </si>
  <si>
    <t>Girija_Devi/The_Genius_of_Girija_Devi/2_01_Raga_Desi_Todi.mp3</t>
  </si>
  <si>
    <t>139694bf-63a0-4bc1-a978-5e67e0642088</t>
  </si>
  <si>
    <t>Has Harmonium</t>
  </si>
  <si>
    <t>Girija_Devi/The_Genius_of_Girija_Devi/2_03_Raga_Abhogi_Kanada.mp3</t>
  </si>
  <si>
    <t>409903ce-cfe7-41fd-b42b-3b7790c0e917</t>
  </si>
  <si>
    <t>Abhogi Kanada</t>
  </si>
  <si>
    <t>Hirabai_Barodekar/The_Great_Heritage__Hirabai_Barodekar/3_03_Raga_-_Chandrakauns.mp3</t>
  </si>
  <si>
    <t>b610548c-cb21-45aa-8aaf-a1dc7cce8130</t>
  </si>
  <si>
    <t>Chandrakauns</t>
  </si>
  <si>
    <t>Hirabai_Barodekar/The_Great_Heritage__Hirabai_Barodekar/3_04_Raga_-_Basant_Bahar.mp3</t>
  </si>
  <si>
    <t>649012d6-4ba1-4b2c-b9d9-227b6324d3d3</t>
  </si>
  <si>
    <t>Jagdish_Prasad/Shraddhanjali__Jagdish_Prasad/2_01_Raga_Vachaspati.mp3</t>
  </si>
  <si>
    <t>754db442-b766-4eec-b430-ed9dfe8010b9</t>
  </si>
  <si>
    <t>Hirabai_Barodekar/The_Great_Heritage__Hirabai_Barodekar/3_01_Raga_-_Ramkali.mp3</t>
  </si>
  <si>
    <t>c1801ead-c76f-4b8a-8191-00333dbcefc0</t>
  </si>
  <si>
    <t>Ramkali</t>
  </si>
  <si>
    <t>Jasraj/Legends__Sangeet_Martand_Pandit_Jasraj_(Vol__1)/1_02_Raga_-_Ahir_Bhairav.mp3</t>
  </si>
  <si>
    <t>53402748-f637-46a0-817d-ac711a9005ff</t>
  </si>
  <si>
    <t>Jasraj/Legends__Sangeet_Martand_Pandit_Jasraj_(Vol__1)/1_03_Raga_-_Bilaskhani_Todi.mp3</t>
  </si>
  <si>
    <t>e23eb921-de6e-452b-bc2f-7fbd0772c4fd</t>
  </si>
  <si>
    <t>Jasraj/Legends__Sangeet_Martand_Pandit_Jasraj_(Vol__2)/1_03_Raga_-_Bhimpalasi.mp3</t>
  </si>
  <si>
    <t>32b33201-d238-4008-a806-608650b06850</t>
  </si>
  <si>
    <t>Bhimpalasi</t>
  </si>
  <si>
    <t>Jasraj/Legends__Sangeet_Martand_Pandit_Jasraj_(Vol__3)/1_04_Raga__Gorakh_Kalyan.mp3</t>
  </si>
  <si>
    <t>83d141bc-cf9e-4ec6-8892-edf444c33601</t>
  </si>
  <si>
    <t>Gorakh Kalyan</t>
  </si>
  <si>
    <t>Jasraj/Legends__Sangeet_Martand_Pandit_Jasraj_(Vol__4)/1_02_Raga_Kedar.mp3</t>
  </si>
  <si>
    <t>9a133da0-33a1-42c9-a0f1-d2619e4a8782</t>
  </si>
  <si>
    <t>Rashid_Khan/The_Genius_Of_Ustad_Rashid_Khan/1_01_Raga_-_Ahir_Bhairav.mp3</t>
  </si>
  <si>
    <t>def59da7-8d7b-4047-b16c-eeee65482e87</t>
  </si>
  <si>
    <t>Shubha_Mudgal/Divas__Once_Upon_a_Time/1_01_Hameer.mp3</t>
  </si>
  <si>
    <t>7b8c396b-bd96-449c-899c-1db06fead2e0</t>
  </si>
  <si>
    <t>Hameer</t>
  </si>
  <si>
    <t>N__Rajam/Master_Pieces/1_01_Raga_Deshi.mp3</t>
  </si>
  <si>
    <t>b289bef6-c95c-4b69-b2bf-839bb2bb1a45</t>
  </si>
  <si>
    <t>Deshi</t>
  </si>
  <si>
    <t>Omkarnath_Thakur/The_Great_Heritage__Pt__Omkarnath_Thakur/3_01_Raga_Desi_Todi__Maare_Dere_Aao.mp3</t>
  </si>
  <si>
    <t>77c41129-142a-4df0-b54e-5870120bc7da</t>
  </si>
  <si>
    <t>Bade_Ghulam_Ali_Khan/The_Great_Heritage__Ustad_Bade_Ghulam_Ali_Khan/2_01_Raga_Shuddha_Sarang.mp3</t>
  </si>
  <si>
    <t>ab50e3e6-e6cb-4faa-a5ad-f0a94de30f86</t>
  </si>
  <si>
    <t>Shuddha Sarang</t>
  </si>
  <si>
    <t>Basavraj_Rajaguru/The_Genius_Of_Basavraj_Rajguru/1_03_Raga_Shuddh_Sarang.mp3</t>
  </si>
  <si>
    <t>43688da7-80e9-4814-b486-b01534a6ed44</t>
  </si>
  <si>
    <t>Shuddh Sarang</t>
  </si>
  <si>
    <t>Old</t>
  </si>
  <si>
    <t>Jasraj/Classical_Wonders_of_India/1_01_Raga_Miyan_Ki_Malhar.mp3</t>
  </si>
  <si>
    <t>dcd3f7ef-a962-4664-8cbb-3902ad43d935</t>
  </si>
  <si>
    <t>Rashid_Khan/The_Genius_Of_Ustad_Rashid_Khan/3_01_Raga_Saraswati_-_Khayal_Vilambit_Ek_Taal_-__More_Man_Bhaaye__-_Khayal_Drut_Teen_Taal_-__Tum_Bina_Suna_Sab_Sansar_.mp3</t>
  </si>
  <si>
    <t>a1dfcda1-65e3-46cf-b1a3-692c675f68bd</t>
  </si>
  <si>
    <t>Saraswati</t>
  </si>
  <si>
    <t>Rashid_Khan/The_Genius_Of_Ustad_Rashid_Khan/3_02_Raga_Darbari_Kanada_-_Vilambit_Khayal_In_Ek_Iaal_-_Drut_Khayal_In_Teen_Taal.mp3</t>
  </si>
  <si>
    <t>01df0bee-b090-4b1d-bbdc-84e1c436635b</t>
  </si>
  <si>
    <t>Ajoy_Chakraborty/The_Genius_Of_Pt__Ajoy_Chakraborty/2_02_Raga____Kalavati.mp3</t>
  </si>
  <si>
    <t>88427a4b-e66e-4464-b422-f17dc460b1f3</t>
  </si>
  <si>
    <t>Kalavati</t>
  </si>
  <si>
    <t>Kaushiki_Chakrabarty/Pure/1_02_Shyam_bhaee_Ghanashyam_nai_aye_more_dware.mp3</t>
  </si>
  <si>
    <t>68ecc764-b0da-4919-affe-8a50d558cbbf</t>
  </si>
  <si>
    <t>Jasraj/Classical_Wonders_of_India/1_02_Raga_Maru_Bihag.mp3</t>
  </si>
  <si>
    <t>56ad0c6b-6e9d-40e5-a917-96ec46c95e1c</t>
  </si>
  <si>
    <t>Ajoy_Chakraborty/The_Genius_Of_Pt__Ajoy_Chakraborty/1_03_Raga___Bageshree.mp3</t>
  </si>
  <si>
    <t>186b62f6-3073-4817-a075-439cad73305c</t>
  </si>
  <si>
    <t>Jhaptaal</t>
  </si>
  <si>
    <t>Jasraj/Legends__Sangeet_Martand_Pandit_Jasraj_(Vol__4)/1_03_Raga_Nat_Narayan.mp3</t>
  </si>
  <si>
    <t>4eee6e01-64ee-42ab-990a-e07e0c28f554</t>
  </si>
  <si>
    <t>Nat Narayan</t>
  </si>
  <si>
    <t>Ajoy_Chakraborty/The_Genius_Of_Pt__Ajoy_Chakraborty/2_01_Raga___Yaman.mp3</t>
  </si>
  <si>
    <t>e59642ca-72bc-466b-bf4b-d82bfbc7b4af</t>
  </si>
  <si>
    <t>Ajoy_Chakraborty/The_Genius_Of_Pt__Ajoy_Chakraborty/2_03_Raga___Adana.mp3</t>
  </si>
  <si>
    <t>0da4c72a-4901-4d21-be5d-bf36647f0f8f</t>
  </si>
  <si>
    <t>Jasraj/Legends__Sangeet_Martand_Pandit_Jasraj_(Vol__4)/1_04_Chitavan_Roke_Hoon_Na_Rahi.mp3</t>
  </si>
  <si>
    <t>36a52cbd-920a-4bac-b0c5-a2e973058d6c</t>
  </si>
  <si>
    <t>Check This once</t>
  </si>
  <si>
    <t>Shrinivas_Joshi/Swarakruti/2_02_Raga_Darbari_Kanada.mp3</t>
  </si>
  <si>
    <t>f2de1165-9130-41f1-9b4c-ff967fe45f90</t>
  </si>
  <si>
    <t>Jasraj/Legends__Sangeet_Martand_Pandit_Jasraj_(Vol__3)/1_01_Raga__Pooriya.mp3</t>
  </si>
  <si>
    <t>8d63143d-83fa-4f36-9a91-9203e17c6956</t>
  </si>
  <si>
    <t>Baluji_Shrivastav/The_Art_of_the_Indian_Dilruba/1_02_Raga_Dhani.mp3</t>
  </si>
  <si>
    <t>7b3bb9da-61c4-4589-bef3-c10209a3c1f1</t>
  </si>
  <si>
    <t>Dhani</t>
  </si>
  <si>
    <t>Bhimsen_Joshi/Shraddhanjali/2_03_Raga_Kalashree.mp3</t>
  </si>
  <si>
    <t>a8b0d70f-4f08-40cd-b0c5-05926f0ba462</t>
  </si>
  <si>
    <t>Kalashree</t>
  </si>
  <si>
    <t>Kumar_Gandharva/Raga_Bhairav_Ke_Prakaar/1_01_Rag_Bhairav_(Jhaptal).mp3</t>
  </si>
  <si>
    <t>3abaaa52-4c95-4e8b-beda-37bc3d01f763</t>
  </si>
  <si>
    <t>Bhairav</t>
  </si>
  <si>
    <t>Repeat</t>
  </si>
  <si>
    <t>Ajoy_Chakraborty/Ragamala/1_03_Bhavani_Dayani_Maha_Vakyavani.mp3</t>
  </si>
  <si>
    <t>842df58e-b16f-4853-8201-dee522f45483</t>
  </si>
  <si>
    <t>Bhimsen_Joshi/Shraddhanjali/2_01_Raga_Brindavani_Sarang.mp3</t>
  </si>
  <si>
    <t>93168ebf-beb1-42b5-b67b-429f870ec6b2</t>
  </si>
  <si>
    <t>Brindavan Sarang</t>
  </si>
  <si>
    <t>Basavraj_Rajaguru/The_Genius_Of_Basavraj_Rajguru/3_03_Raga_Basant.mp3</t>
  </si>
  <si>
    <t>4519091e-9eaa-4f03-911e-348727ee3c90</t>
  </si>
  <si>
    <t>Bhimsen_Joshi/Shraddhanjali/3_03_Raga_Puriya_Dhanashri.mp3</t>
  </si>
  <si>
    <t>62d572bc-f693-4378-b22c-03879b78ff0a</t>
  </si>
  <si>
    <t>Puriya Dhanashri</t>
  </si>
  <si>
    <t>Jagdish_Prasad/Shraddhanjali__Jagdish_Prasad/1_01_Raga_Bhageshri.mp3</t>
  </si>
  <si>
    <t>6cb0fc24-76bf-48a8-8a45-8552b70127ea</t>
  </si>
  <si>
    <t>Rupak</t>
  </si>
  <si>
    <t>Hariprasad_Chaurasia/In_Concert/1_01_Raga__Miyan_ki_Malhar.mp3</t>
  </si>
  <si>
    <t>6c2067f9-82df-4141-8c99-bacecf60b37f</t>
  </si>
  <si>
    <t>Miyan ki Malhar</t>
  </si>
  <si>
    <t>Basavraj_Rajaguru/The_Genius_Of_Basavraj_Rajguru/1_01_Raga_Bhupali_Todi.mp3</t>
  </si>
  <si>
    <t>bc008a28-0474-4cf6-999f-c73490a99e54</t>
  </si>
  <si>
    <t>Bhupali Todi</t>
  </si>
  <si>
    <t>Basavraj_Rajaguru/The_Genius_Of_Basavraj_Rajguru/1_02_Raga_Bilashkani_Todi.mp3</t>
  </si>
  <si>
    <t>182dd9f9-d3b7-4ebc-9d18-9e0544c6e8cc</t>
  </si>
  <si>
    <t>Bilashkani Todi</t>
  </si>
  <si>
    <t>Basavraj_Rajaguru/The_Genius_Of_Basavraj_Rajguru/3_01_Raga_Patdeep.mp3</t>
  </si>
  <si>
    <t>a0111c0b-8627-4634-bec0-12c392e089d3</t>
  </si>
  <si>
    <t>Patdeep</t>
  </si>
  <si>
    <t>Mallikarjun_Mansur/First_Time_on_CD/1_01_Raga___Bahaduri_Todi.mp3</t>
  </si>
  <si>
    <t>96221f5b-9a88-4b1f-8825-87f4050e3573</t>
  </si>
  <si>
    <t>Bahaduri Todi</t>
  </si>
  <si>
    <t>Shrinivas_Joshi/Swarakruti/1_08_Raga_Basant_Mukhari.mp3</t>
  </si>
  <si>
    <t>daff4e13-8b14-4ce5-8c32-129cc52f2f5d</t>
  </si>
  <si>
    <t>Basant Mukhari</t>
  </si>
  <si>
    <t>Shruti_Sadolikar/Khayal/1_02_Raga_-_Tilak_Kamod.mp3</t>
  </si>
  <si>
    <t>7a746d63-7025-44b4-87d6-c7440e5fb9a2</t>
  </si>
  <si>
    <t>Tilak Kamod</t>
  </si>
  <si>
    <t>V/I</t>
  </si>
  <si>
    <t>Has Sarangi accompaniment</t>
  </si>
  <si>
    <t>N__Rajam/Master_Pieces/1_03_Bhajan_-_Surdasji.mp3</t>
  </si>
  <si>
    <t>26059af3-5785-424f-929e-fd150ea101eb</t>
  </si>
  <si>
    <t>Violin Bhajan</t>
  </si>
  <si>
    <t>N__Rajam/Master_Pieces/1_02_Raga_Gunakri.mp3</t>
  </si>
  <si>
    <t>dd41fd02-28b3-4ede-8e45-43155d399aea</t>
  </si>
  <si>
    <t>Gunakri</t>
  </si>
  <si>
    <t>Sultan_Khan_And_Zakir_Hussain/Sur_Taal/1_01_Raga_Naat_Bhairav.mp3</t>
  </si>
  <si>
    <t>e09bbc4c-ce66-424f-b5c0-bc32c9d01281</t>
  </si>
  <si>
    <t>1_01_Raga_Naat_Bhairav</t>
  </si>
  <si>
    <t>Naat Bhairav</t>
  </si>
  <si>
    <t>Ajoy_Chakraborty/The_Genius_Of_Pt__Ajoy_Chakraborty/1_01_Raga___Ahir_Lalit.mp3</t>
  </si>
  <si>
    <t>2a77cc28-88f7-415f-a099-d5efdbe7004b</t>
  </si>
  <si>
    <t>1_01_Raga___Ahir_Lalit</t>
  </si>
  <si>
    <t>Ahir lalit</t>
  </si>
  <si>
    <t>Veena_Sahasrabuddhe/Khayal/1_01_Raga_Marubihag.mp3</t>
  </si>
  <si>
    <t>22e45ddb-9b88-406e-996a-2136730d72d4</t>
  </si>
  <si>
    <t>Niladri_Kumar/Dharohar/1_02_Raga_Mishra_Pilu_Bandish_Rupak_Tala.mp3</t>
  </si>
  <si>
    <t>f46dc7a1-d679-4b6c-b769-0f1a7b429126</t>
  </si>
  <si>
    <t>Mishra Pilu</t>
  </si>
  <si>
    <t>Aarti_Anklikar_Tikekar/Ragamala/1_02_Madhukaunse_Raga.mp3</t>
  </si>
  <si>
    <t>7084ac88-542c-4e84-8eda-dc9735201d18</t>
  </si>
  <si>
    <t>Madhukaunse</t>
  </si>
  <si>
    <t>Bade_Ghulam_Ali_Khan/The_Great_Heritage__Ustad_Bade_Ghulam_Ali_Khan/1_02_Raga_Kaushi_Dhwani.mp3</t>
  </si>
  <si>
    <t>fd286c71-6b95-45ec-b90b-739be342b941</t>
  </si>
  <si>
    <t>Kaushi Dhwani</t>
  </si>
  <si>
    <t>Kishori_Amonkar/Malhar_Malika_(Vol__3)/1_01_Raga__Meera_Malhar.mp3</t>
  </si>
  <si>
    <t>40e1b574-0e76-43ad-8907-90aaeaab273f</t>
  </si>
  <si>
    <t>Meera Malhar</t>
  </si>
  <si>
    <t>Kishori_Amonkar/The_Malhars_-_Nat_Malhar/1_01_Barkha_Rut_Aai.mp3</t>
  </si>
  <si>
    <t>c3f62aea-02ab-4c4e-a96d-b56579fcff2e</t>
  </si>
  <si>
    <t>Nat malhar</t>
  </si>
  <si>
    <t>Kishori_Amonkar/The_Malhars_-_Nat_Malhar/1_02_Barkha_Rut_Aai.mp3</t>
  </si>
  <si>
    <t>61c6ce90-8cfa-4b21-bb72-2adcf7e54636</t>
  </si>
  <si>
    <t>May be same as the one before</t>
  </si>
  <si>
    <t>2_0_Talam</t>
  </si>
  <si>
    <t>02_Sri_Kamakshi_-_Vasantha_-_0_-_S</t>
  </si>
  <si>
    <t>2-02_Pakkala_Nilab0</t>
  </si>
  <si>
    <t>3_Pakkala_Nilap0</t>
  </si>
  <si>
    <t>06_Ashtap0_-_Natha_Hare</t>
  </si>
  <si>
    <t>AbhishekRaghuram</t>
  </si>
  <si>
    <t>AlathurBrothers</t>
  </si>
  <si>
    <t>AmrithaMurali</t>
  </si>
  <si>
    <t>AneeshVidyashankar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</si>
</sst>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name val="Cambria"/>
      <charset val="1"/>
    </font>
    <font>
      <sz val="10"/>
      <color rgb="FF000000"/>
      <name val="Cambri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2" fillId="0" borderId="2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11" fontId="2" fillId="0" borderId="0" xfId="0" applyNumberFormat="1" applyFont="1" applyAlignment="1"/>
    <xf numFmtId="0" fontId="2" fillId="2" borderId="0" xfId="0" applyFont="1" applyFill="1" applyAlignment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7"/>
  <sheetViews>
    <sheetView tabSelected="1" zoomScaleNormal="100" workbookViewId="0">
      <pane xSplit="4" ySplit="1" topLeftCell="E163" activePane="bottomRight" state="frozen"/>
      <selection pane="topRight" activeCell="E1" sqref="E1"/>
      <selection pane="bottomLeft" activeCell="A2" sqref="A2"/>
      <selection pane="bottomRight" activeCell="D177" sqref="D177"/>
    </sheetView>
  </sheetViews>
  <sheetFormatPr defaultRowHeight="13.2" x14ac:dyDescent="0.25"/>
  <cols>
    <col min="1" max="1" width="23.109375" customWidth="1"/>
    <col min="2" max="2" width="45" customWidth="1"/>
    <col min="3" max="3" width="36.44140625" customWidth="1"/>
    <col min="4" max="4" width="25.88671875" customWidth="1"/>
    <col min="5" max="5" width="38.6640625" customWidth="1"/>
    <col min="6" max="6" width="26.21875" customWidth="1"/>
    <col min="7" max="7" width="19.5546875" customWidth="1"/>
    <col min="8" max="8" width="19.88671875" customWidth="1"/>
    <col min="9" max="9" width="20.44140625" customWidth="1"/>
    <col min="10" max="10" width="17.44140625" customWidth="1"/>
    <col min="11" max="11" width="24.6640625" customWidth="1"/>
    <col min="12" max="12" width="24" customWidth="1"/>
    <col min="13" max="13" width="22.88671875" customWidth="1"/>
    <col min="14" max="14" width="17.5546875" customWidth="1"/>
    <col min="15" max="15" width="18.44140625" customWidth="1"/>
    <col min="16" max="22" width="17.33203125" customWidth="1"/>
    <col min="23" max="1025" width="14.44140625" customWidth="1"/>
  </cols>
  <sheetData>
    <row r="1" spans="1:22" ht="27.6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1"/>
      <c r="Q1" s="2"/>
      <c r="R1" s="1"/>
      <c r="S1" s="1"/>
      <c r="T1" s="1"/>
      <c r="U1" s="1"/>
      <c r="V1" s="1"/>
    </row>
    <row r="2" spans="1:22" ht="13.8" x14ac:dyDescent="0.25">
      <c r="A2" s="3">
        <v>10001</v>
      </c>
      <c r="B2" s="3" t="s">
        <v>14</v>
      </c>
      <c r="C2" s="2" t="s">
        <v>15</v>
      </c>
      <c r="D2" s="3" t="s">
        <v>1422</v>
      </c>
      <c r="E2" s="2" t="s">
        <v>17</v>
      </c>
      <c r="F2" s="1" t="s">
        <v>18</v>
      </c>
      <c r="G2" s="3">
        <v>0</v>
      </c>
      <c r="H2" s="3" t="s">
        <v>20</v>
      </c>
      <c r="I2" s="3">
        <v>26</v>
      </c>
      <c r="J2" s="3">
        <f>2*60+55</f>
        <v>175</v>
      </c>
      <c r="K2">
        <f t="shared" ref="K2:K33" si="0">J2-I2</f>
        <v>149</v>
      </c>
      <c r="L2">
        <f t="shared" ref="L2:L33" si="1">ROUND(K2/60,2)</f>
        <v>2.48</v>
      </c>
      <c r="M2" s="1">
        <v>193</v>
      </c>
      <c r="N2" s="1">
        <v>25</v>
      </c>
      <c r="O2" s="2"/>
      <c r="P2" s="3"/>
    </row>
    <row r="3" spans="1:22" ht="13.8" x14ac:dyDescent="0.25">
      <c r="A3" s="3">
        <v>10002</v>
      </c>
      <c r="B3" s="3" t="s">
        <v>21</v>
      </c>
      <c r="C3" s="2" t="s">
        <v>22</v>
      </c>
      <c r="D3" s="3" t="s">
        <v>1423</v>
      </c>
      <c r="E3" s="2" t="s">
        <v>23</v>
      </c>
      <c r="F3" s="1" t="s">
        <v>18</v>
      </c>
      <c r="G3" s="3">
        <v>0</v>
      </c>
      <c r="H3" s="3" t="s">
        <v>24</v>
      </c>
      <c r="I3" s="3">
        <v>16</v>
      </c>
      <c r="J3" s="3">
        <f>240+13</f>
        <v>253</v>
      </c>
      <c r="K3">
        <f t="shared" si="0"/>
        <v>237</v>
      </c>
      <c r="L3">
        <f t="shared" si="1"/>
        <v>3.95</v>
      </c>
      <c r="M3" s="1">
        <v>368</v>
      </c>
      <c r="N3" s="1">
        <v>46</v>
      </c>
      <c r="O3" s="2"/>
      <c r="P3" s="3"/>
      <c r="Q3" s="2"/>
    </row>
    <row r="4" spans="1:22" ht="13.8" x14ac:dyDescent="0.25">
      <c r="A4" s="3">
        <v>10003</v>
      </c>
      <c r="B4" s="3" t="s">
        <v>25</v>
      </c>
      <c r="C4" s="2" t="s">
        <v>26</v>
      </c>
      <c r="D4" s="3" t="s">
        <v>1424</v>
      </c>
      <c r="E4" s="2" t="s">
        <v>28</v>
      </c>
      <c r="F4" s="1" t="s">
        <v>18</v>
      </c>
      <c r="G4" s="3">
        <v>0</v>
      </c>
      <c r="H4" s="3" t="s">
        <v>29</v>
      </c>
      <c r="I4" s="3">
        <v>54</v>
      </c>
      <c r="J4" s="3">
        <f>6*60+46</f>
        <v>406</v>
      </c>
      <c r="K4">
        <f t="shared" si="0"/>
        <v>352</v>
      </c>
      <c r="L4">
        <f t="shared" si="1"/>
        <v>5.87</v>
      </c>
      <c r="M4" s="1">
        <v>481</v>
      </c>
      <c r="N4" s="1">
        <v>61</v>
      </c>
      <c r="O4" s="2"/>
      <c r="P4" s="3"/>
      <c r="Q4" s="2"/>
    </row>
    <row r="5" spans="1:22" ht="13.8" x14ac:dyDescent="0.25">
      <c r="A5" s="3">
        <v>10004</v>
      </c>
      <c r="B5" s="3" t="s">
        <v>30</v>
      </c>
      <c r="C5" s="2" t="s">
        <v>31</v>
      </c>
      <c r="D5" s="3" t="s">
        <v>1425</v>
      </c>
      <c r="E5" s="2" t="s">
        <v>33</v>
      </c>
      <c r="F5" s="1" t="s">
        <v>34</v>
      </c>
      <c r="G5" s="3">
        <v>0</v>
      </c>
      <c r="H5" s="3" t="s">
        <v>35</v>
      </c>
      <c r="I5" s="3">
        <v>43</v>
      </c>
      <c r="J5" s="3">
        <f>9*60+13</f>
        <v>553</v>
      </c>
      <c r="K5">
        <f t="shared" si="0"/>
        <v>510</v>
      </c>
      <c r="L5">
        <f t="shared" si="1"/>
        <v>8.5</v>
      </c>
      <c r="M5" s="1">
        <v>825</v>
      </c>
      <c r="N5" s="1">
        <v>104</v>
      </c>
      <c r="O5" s="2"/>
      <c r="P5" s="3"/>
      <c r="Q5" s="2"/>
    </row>
    <row r="6" spans="1:22" ht="13.8" x14ac:dyDescent="0.25">
      <c r="A6" s="3">
        <v>10005</v>
      </c>
      <c r="B6" s="3" t="s">
        <v>36</v>
      </c>
      <c r="C6" s="2" t="s">
        <v>37</v>
      </c>
      <c r="D6" s="3" t="s">
        <v>32</v>
      </c>
      <c r="E6" s="2" t="s">
        <v>33</v>
      </c>
      <c r="F6" s="1" t="s">
        <v>34</v>
      </c>
      <c r="G6" s="3">
        <v>0</v>
      </c>
      <c r="H6" s="3" t="s">
        <v>38</v>
      </c>
      <c r="I6" s="3">
        <v>3</v>
      </c>
      <c r="J6" s="3">
        <f>8*60+37</f>
        <v>517</v>
      </c>
      <c r="K6">
        <f t="shared" si="0"/>
        <v>514</v>
      </c>
      <c r="L6">
        <f t="shared" si="1"/>
        <v>8.57</v>
      </c>
      <c r="M6" s="1">
        <v>705</v>
      </c>
      <c r="N6" s="1">
        <v>89</v>
      </c>
      <c r="O6" s="2"/>
      <c r="P6" s="3"/>
      <c r="Q6" s="2"/>
    </row>
    <row r="7" spans="1:22" ht="13.8" x14ac:dyDescent="0.25">
      <c r="A7" s="3">
        <v>10006</v>
      </c>
      <c r="B7" s="3" t="s">
        <v>39</v>
      </c>
      <c r="C7" s="2" t="s">
        <v>40</v>
      </c>
      <c r="D7" s="3" t="s">
        <v>32</v>
      </c>
      <c r="E7" s="2" t="s">
        <v>33</v>
      </c>
      <c r="F7" s="1" t="s">
        <v>34</v>
      </c>
      <c r="G7" s="3">
        <v>0</v>
      </c>
      <c r="H7" s="3" t="s">
        <v>41</v>
      </c>
      <c r="I7" s="3">
        <f>6*60+53</f>
        <v>413</v>
      </c>
      <c r="J7" s="3">
        <f>10*60+29</f>
        <v>629</v>
      </c>
      <c r="K7">
        <f t="shared" si="0"/>
        <v>216</v>
      </c>
      <c r="L7">
        <f t="shared" si="1"/>
        <v>3.6</v>
      </c>
      <c r="M7" s="1">
        <v>305</v>
      </c>
      <c r="N7" s="1">
        <v>39</v>
      </c>
      <c r="O7" s="2"/>
      <c r="P7" s="3"/>
      <c r="Q7" s="2"/>
    </row>
    <row r="8" spans="1:22" ht="13.8" x14ac:dyDescent="0.25">
      <c r="A8" s="3">
        <v>10007</v>
      </c>
      <c r="B8" s="3" t="s">
        <v>42</v>
      </c>
      <c r="C8" s="2" t="s">
        <v>43</v>
      </c>
      <c r="D8" s="3" t="s">
        <v>44</v>
      </c>
      <c r="E8" s="2" t="s">
        <v>45</v>
      </c>
      <c r="F8" s="1" t="s">
        <v>18</v>
      </c>
      <c r="G8" s="3">
        <v>0</v>
      </c>
      <c r="H8" s="3" t="s">
        <v>46</v>
      </c>
      <c r="I8" s="3">
        <v>10</v>
      </c>
      <c r="J8" s="3">
        <f>7*60+13</f>
        <v>433</v>
      </c>
      <c r="K8">
        <f t="shared" si="0"/>
        <v>423</v>
      </c>
      <c r="L8">
        <f t="shared" si="1"/>
        <v>7.05</v>
      </c>
      <c r="M8" s="1">
        <v>681</v>
      </c>
      <c r="N8" s="1">
        <v>86</v>
      </c>
      <c r="O8" s="2"/>
      <c r="P8" s="3"/>
      <c r="Q8" s="2"/>
    </row>
    <row r="9" spans="1:22" ht="13.8" x14ac:dyDescent="0.25">
      <c r="A9" s="3">
        <v>10008</v>
      </c>
      <c r="B9" s="3" t="s">
        <v>47</v>
      </c>
      <c r="C9" s="2" t="s">
        <v>48</v>
      </c>
      <c r="D9" s="3" t="s">
        <v>49</v>
      </c>
      <c r="E9" s="2" t="s">
        <v>50</v>
      </c>
      <c r="F9" s="1" t="s">
        <v>18</v>
      </c>
      <c r="G9" s="3">
        <v>0</v>
      </c>
      <c r="H9" s="3" t="s">
        <v>51</v>
      </c>
      <c r="I9" s="3">
        <v>71</v>
      </c>
      <c r="J9" s="3">
        <f>6*60+6</f>
        <v>366</v>
      </c>
      <c r="K9">
        <f t="shared" si="0"/>
        <v>295</v>
      </c>
      <c r="L9">
        <f t="shared" si="1"/>
        <v>4.92</v>
      </c>
      <c r="M9" s="1">
        <v>520</v>
      </c>
      <c r="N9" s="1">
        <v>65</v>
      </c>
      <c r="O9" s="2"/>
      <c r="P9" s="3"/>
      <c r="Q9" s="2"/>
    </row>
    <row r="10" spans="1:22" ht="13.8" x14ac:dyDescent="0.25">
      <c r="A10" s="3">
        <v>10009</v>
      </c>
      <c r="B10" s="3" t="s">
        <v>52</v>
      </c>
      <c r="C10" s="2" t="s">
        <v>53</v>
      </c>
      <c r="D10" s="3" t="s">
        <v>54</v>
      </c>
      <c r="E10" s="2" t="s">
        <v>55</v>
      </c>
      <c r="F10" s="1" t="s">
        <v>56</v>
      </c>
      <c r="G10" s="3">
        <v>0</v>
      </c>
      <c r="H10" s="3" t="s">
        <v>57</v>
      </c>
      <c r="I10" s="3">
        <v>24</v>
      </c>
      <c r="J10" s="3">
        <f>3*60+17</f>
        <v>197</v>
      </c>
      <c r="K10">
        <f t="shared" si="0"/>
        <v>173</v>
      </c>
      <c r="L10">
        <f t="shared" si="1"/>
        <v>2.88</v>
      </c>
      <c r="M10" s="1">
        <v>241</v>
      </c>
      <c r="N10" s="1">
        <v>31</v>
      </c>
      <c r="O10" s="2"/>
    </row>
    <row r="11" spans="1:22" ht="13.8" x14ac:dyDescent="0.25">
      <c r="A11" s="3">
        <v>10010</v>
      </c>
      <c r="B11" s="3" t="s">
        <v>58</v>
      </c>
      <c r="C11" s="2" t="s">
        <v>59</v>
      </c>
      <c r="D11" s="3" t="s">
        <v>54</v>
      </c>
      <c r="E11" s="2" t="s">
        <v>55</v>
      </c>
      <c r="F11" s="1" t="s">
        <v>56</v>
      </c>
      <c r="G11" s="3">
        <v>0</v>
      </c>
      <c r="H11" s="3" t="s">
        <v>60</v>
      </c>
      <c r="I11" s="3">
        <f>4*60+51</f>
        <v>291</v>
      </c>
      <c r="J11" s="3">
        <f>13*60+45</f>
        <v>825</v>
      </c>
      <c r="K11">
        <f t="shared" si="0"/>
        <v>534</v>
      </c>
      <c r="L11">
        <f t="shared" si="1"/>
        <v>8.9</v>
      </c>
      <c r="M11" s="1">
        <v>881</v>
      </c>
      <c r="N11" s="1">
        <v>111</v>
      </c>
      <c r="O11" s="2"/>
      <c r="P11" s="3"/>
      <c r="Q11" s="2"/>
    </row>
    <row r="12" spans="1:22" ht="13.8" x14ac:dyDescent="0.25">
      <c r="A12" s="3">
        <v>10011</v>
      </c>
      <c r="B12" s="3" t="s">
        <v>61</v>
      </c>
      <c r="C12" s="2" t="s">
        <v>62</v>
      </c>
      <c r="D12" s="3" t="s">
        <v>54</v>
      </c>
      <c r="E12" s="2" t="s">
        <v>63</v>
      </c>
      <c r="F12" s="1" t="s">
        <v>56</v>
      </c>
      <c r="G12" s="3">
        <v>0</v>
      </c>
      <c r="H12" s="3" t="s">
        <v>64</v>
      </c>
      <c r="I12" s="3">
        <f>2*60+51</f>
        <v>171</v>
      </c>
      <c r="J12" s="3">
        <f>11*60+18</f>
        <v>678</v>
      </c>
      <c r="K12">
        <f t="shared" si="0"/>
        <v>507</v>
      </c>
      <c r="L12">
        <f t="shared" si="1"/>
        <v>8.4499999999999993</v>
      </c>
      <c r="M12" s="1">
        <v>793</v>
      </c>
      <c r="N12" s="1">
        <v>100</v>
      </c>
      <c r="O12" s="2"/>
      <c r="P12" s="3"/>
      <c r="Q12" s="2"/>
    </row>
    <row r="13" spans="1:22" ht="13.8" x14ac:dyDescent="0.25">
      <c r="A13" s="3">
        <v>10012</v>
      </c>
      <c r="B13" s="3" t="s">
        <v>65</v>
      </c>
      <c r="C13" s="2" t="s">
        <v>66</v>
      </c>
      <c r="D13" s="3" t="s">
        <v>67</v>
      </c>
      <c r="E13" s="2" t="s">
        <v>68</v>
      </c>
      <c r="F13" s="1" t="s">
        <v>18</v>
      </c>
      <c r="G13" s="3">
        <v>0</v>
      </c>
      <c r="H13" s="3" t="s">
        <v>69</v>
      </c>
      <c r="I13" s="3">
        <v>14</v>
      </c>
      <c r="J13" s="3">
        <f>6*60+56</f>
        <v>416</v>
      </c>
      <c r="K13">
        <f t="shared" si="0"/>
        <v>402</v>
      </c>
      <c r="L13">
        <f t="shared" si="1"/>
        <v>6.7</v>
      </c>
      <c r="M13" s="1">
        <v>496</v>
      </c>
      <c r="N13" s="1">
        <v>62</v>
      </c>
      <c r="O13" s="2"/>
      <c r="P13" s="3"/>
      <c r="Q13" s="2"/>
    </row>
    <row r="14" spans="1:22" ht="13.8" x14ac:dyDescent="0.25">
      <c r="A14" s="3">
        <v>10013</v>
      </c>
      <c r="B14" s="3" t="s">
        <v>70</v>
      </c>
      <c r="C14" s="2" t="s">
        <v>71</v>
      </c>
      <c r="D14" s="3" t="s">
        <v>72</v>
      </c>
      <c r="E14" s="2" t="s">
        <v>73</v>
      </c>
      <c r="F14" s="1" t="s">
        <v>56</v>
      </c>
      <c r="G14" s="3">
        <v>0</v>
      </c>
      <c r="H14" s="3" t="s">
        <v>74</v>
      </c>
      <c r="I14" s="3">
        <v>12</v>
      </c>
      <c r="J14" s="3">
        <f>2*60+12</f>
        <v>132</v>
      </c>
      <c r="K14">
        <f t="shared" si="0"/>
        <v>120</v>
      </c>
      <c r="L14">
        <f t="shared" si="1"/>
        <v>2</v>
      </c>
      <c r="M14" s="1">
        <v>194</v>
      </c>
      <c r="N14" s="1">
        <v>25</v>
      </c>
      <c r="O14" s="2"/>
      <c r="P14" s="3"/>
    </row>
    <row r="15" spans="1:22" ht="13.8" x14ac:dyDescent="0.25">
      <c r="A15" s="3">
        <v>10014</v>
      </c>
      <c r="B15" s="3" t="s">
        <v>75</v>
      </c>
      <c r="C15" s="2" t="s">
        <v>76</v>
      </c>
      <c r="D15" s="3" t="s">
        <v>72</v>
      </c>
      <c r="E15" s="2" t="s">
        <v>73</v>
      </c>
      <c r="F15" s="1" t="s">
        <v>56</v>
      </c>
      <c r="G15" s="3">
        <v>0</v>
      </c>
      <c r="H15" s="3" t="s">
        <v>77</v>
      </c>
      <c r="I15" s="3">
        <v>13</v>
      </c>
      <c r="J15" s="3">
        <f>3*60+16</f>
        <v>196</v>
      </c>
      <c r="K15">
        <f t="shared" si="0"/>
        <v>183</v>
      </c>
      <c r="L15">
        <f t="shared" si="1"/>
        <v>3.05</v>
      </c>
      <c r="M15" s="1">
        <v>440</v>
      </c>
      <c r="N15" s="1">
        <v>55</v>
      </c>
      <c r="O15" s="2"/>
      <c r="P15" s="3"/>
    </row>
    <row r="16" spans="1:22" ht="13.8" x14ac:dyDescent="0.25">
      <c r="A16" s="3">
        <v>10015</v>
      </c>
      <c r="B16" s="3" t="s">
        <v>78</v>
      </c>
      <c r="C16" s="2" t="s">
        <v>79</v>
      </c>
      <c r="D16" s="3" t="s">
        <v>72</v>
      </c>
      <c r="E16" s="2" t="s">
        <v>73</v>
      </c>
      <c r="F16" s="1" t="s">
        <v>56</v>
      </c>
      <c r="G16" s="3">
        <v>0</v>
      </c>
      <c r="H16" s="3" t="s">
        <v>80</v>
      </c>
      <c r="I16" s="3">
        <v>86</v>
      </c>
      <c r="J16" s="3">
        <f>4*60+58</f>
        <v>298</v>
      </c>
      <c r="K16">
        <f t="shared" si="0"/>
        <v>212</v>
      </c>
      <c r="L16">
        <f t="shared" si="1"/>
        <v>3.53</v>
      </c>
      <c r="M16" s="1">
        <v>275</v>
      </c>
      <c r="N16" s="1">
        <v>35</v>
      </c>
      <c r="O16" s="2"/>
      <c r="P16" s="3"/>
    </row>
    <row r="17" spans="1:17" ht="13.8" x14ac:dyDescent="0.25">
      <c r="A17" s="3">
        <v>10016</v>
      </c>
      <c r="B17" s="3" t="s">
        <v>81</v>
      </c>
      <c r="C17" s="2" t="s">
        <v>82</v>
      </c>
      <c r="D17" s="3" t="s">
        <v>72</v>
      </c>
      <c r="E17" s="2" t="s">
        <v>73</v>
      </c>
      <c r="F17" s="1" t="s">
        <v>56</v>
      </c>
      <c r="G17" s="3">
        <v>0</v>
      </c>
      <c r="H17" s="3" t="s">
        <v>83</v>
      </c>
      <c r="I17" s="3">
        <v>2</v>
      </c>
      <c r="J17" s="3">
        <f>5*60+11</f>
        <v>311</v>
      </c>
      <c r="K17">
        <f t="shared" si="0"/>
        <v>309</v>
      </c>
      <c r="L17">
        <f t="shared" si="1"/>
        <v>5.15</v>
      </c>
      <c r="M17" s="1">
        <v>465</v>
      </c>
      <c r="N17" s="1">
        <v>59</v>
      </c>
      <c r="O17" s="2"/>
      <c r="P17" s="3"/>
      <c r="Q17" s="2"/>
    </row>
    <row r="18" spans="1:17" ht="13.8" x14ac:dyDescent="0.25">
      <c r="A18" s="3">
        <v>10017</v>
      </c>
      <c r="B18" s="3" t="s">
        <v>84</v>
      </c>
      <c r="C18" s="2" t="s">
        <v>85</v>
      </c>
      <c r="D18" s="3" t="s">
        <v>72</v>
      </c>
      <c r="E18" s="2" t="s">
        <v>73</v>
      </c>
      <c r="F18" s="1" t="s">
        <v>56</v>
      </c>
      <c r="G18" s="3">
        <v>0</v>
      </c>
      <c r="H18" s="3" t="s">
        <v>41</v>
      </c>
      <c r="I18" s="3">
        <v>1</v>
      </c>
      <c r="J18" s="3">
        <f>3*60+55</f>
        <v>235</v>
      </c>
      <c r="K18">
        <f t="shared" si="0"/>
        <v>234</v>
      </c>
      <c r="L18">
        <f t="shared" si="1"/>
        <v>3.9</v>
      </c>
      <c r="M18" s="1">
        <v>305</v>
      </c>
      <c r="N18" s="1">
        <v>39</v>
      </c>
      <c r="O18" s="2"/>
      <c r="P18" s="3"/>
      <c r="Q18" s="2"/>
    </row>
    <row r="19" spans="1:17" ht="13.8" x14ac:dyDescent="0.25">
      <c r="A19" s="3">
        <v>10018</v>
      </c>
      <c r="B19" s="3" t="s">
        <v>86</v>
      </c>
      <c r="C19" s="2" t="s">
        <v>87</v>
      </c>
      <c r="D19" s="3" t="s">
        <v>88</v>
      </c>
      <c r="E19" s="2" t="s">
        <v>89</v>
      </c>
      <c r="F19" s="1" t="s">
        <v>18</v>
      </c>
      <c r="G19" s="3">
        <v>0</v>
      </c>
      <c r="H19" s="3" t="s">
        <v>90</v>
      </c>
      <c r="I19" s="3">
        <v>1</v>
      </c>
      <c r="J19" s="3">
        <f>4*60+21</f>
        <v>261</v>
      </c>
      <c r="K19">
        <f t="shared" si="0"/>
        <v>260</v>
      </c>
      <c r="L19">
        <f t="shared" si="1"/>
        <v>4.33</v>
      </c>
      <c r="M19" s="1">
        <v>441</v>
      </c>
      <c r="N19" s="1">
        <v>56</v>
      </c>
      <c r="O19" s="2"/>
      <c r="P19" s="3"/>
      <c r="Q19" s="2"/>
    </row>
    <row r="20" spans="1:17" ht="13.8" x14ac:dyDescent="0.25">
      <c r="A20" s="3">
        <v>10019</v>
      </c>
      <c r="B20" s="3" t="s">
        <v>91</v>
      </c>
      <c r="C20" s="2" t="s">
        <v>92</v>
      </c>
      <c r="D20" s="3" t="s">
        <v>88</v>
      </c>
      <c r="E20" s="2" t="s">
        <v>89</v>
      </c>
      <c r="F20" s="1" t="s">
        <v>18</v>
      </c>
      <c r="G20" s="3">
        <v>0</v>
      </c>
      <c r="H20" s="3" t="s">
        <v>93</v>
      </c>
      <c r="I20" s="3">
        <f>8*60+20</f>
        <v>500</v>
      </c>
      <c r="J20" s="3">
        <f>20*60+48</f>
        <v>1248</v>
      </c>
      <c r="K20">
        <f t="shared" si="0"/>
        <v>748</v>
      </c>
      <c r="L20">
        <f t="shared" si="1"/>
        <v>12.47</v>
      </c>
      <c r="M20" s="1">
        <v>1266</v>
      </c>
      <c r="N20" s="1">
        <v>159</v>
      </c>
      <c r="O20" s="2"/>
      <c r="P20" s="3"/>
      <c r="Q20" s="3"/>
    </row>
    <row r="21" spans="1:17" ht="13.8" x14ac:dyDescent="0.25">
      <c r="A21" s="3">
        <v>10020</v>
      </c>
      <c r="B21" s="3" t="s">
        <v>94</v>
      </c>
      <c r="C21" s="2" t="s">
        <v>95</v>
      </c>
      <c r="D21" s="3" t="s">
        <v>88</v>
      </c>
      <c r="E21" s="2" t="s">
        <v>96</v>
      </c>
      <c r="F21" s="1" t="s">
        <v>18</v>
      </c>
      <c r="G21" s="3">
        <v>0</v>
      </c>
      <c r="H21" s="3" t="s">
        <v>83</v>
      </c>
      <c r="I21" s="3">
        <v>16</v>
      </c>
      <c r="J21" s="3">
        <f>4*60+44</f>
        <v>284</v>
      </c>
      <c r="K21">
        <f t="shared" si="0"/>
        <v>268</v>
      </c>
      <c r="L21">
        <f t="shared" si="1"/>
        <v>4.47</v>
      </c>
      <c r="M21" s="1">
        <v>376</v>
      </c>
      <c r="N21" s="1">
        <v>47</v>
      </c>
      <c r="O21" s="2"/>
      <c r="P21" s="3"/>
      <c r="Q21" s="2"/>
    </row>
    <row r="22" spans="1:17" ht="13.8" x14ac:dyDescent="0.25">
      <c r="A22" s="3">
        <v>10021</v>
      </c>
      <c r="B22" s="3" t="s">
        <v>97</v>
      </c>
      <c r="C22" s="2" t="s">
        <v>98</v>
      </c>
      <c r="D22" s="3" t="s">
        <v>99</v>
      </c>
      <c r="E22" s="2" t="s">
        <v>100</v>
      </c>
      <c r="F22" s="1" t="s">
        <v>34</v>
      </c>
      <c r="G22" s="3">
        <v>0</v>
      </c>
      <c r="H22" s="3" t="s">
        <v>101</v>
      </c>
      <c r="I22" s="3">
        <v>3</v>
      </c>
      <c r="J22" s="3">
        <f>3*60+38</f>
        <v>218</v>
      </c>
      <c r="K22">
        <f t="shared" si="0"/>
        <v>215</v>
      </c>
      <c r="L22">
        <f t="shared" si="1"/>
        <v>3.58</v>
      </c>
      <c r="M22" s="1">
        <v>321</v>
      </c>
      <c r="N22" s="1">
        <v>41</v>
      </c>
      <c r="O22" s="2"/>
      <c r="P22" s="3"/>
      <c r="Q22" s="2"/>
    </row>
    <row r="23" spans="1:17" ht="13.8" x14ac:dyDescent="0.25">
      <c r="A23" s="3">
        <v>10022</v>
      </c>
      <c r="B23" s="3" t="s">
        <v>102</v>
      </c>
      <c r="C23" s="2" t="s">
        <v>103</v>
      </c>
      <c r="D23" s="3" t="s">
        <v>104</v>
      </c>
      <c r="E23" s="2" t="s">
        <v>105</v>
      </c>
      <c r="F23" s="1" t="s">
        <v>18</v>
      </c>
      <c r="G23" s="3">
        <v>0</v>
      </c>
      <c r="H23" s="3" t="s">
        <v>106</v>
      </c>
      <c r="I23" s="3">
        <v>23</v>
      </c>
      <c r="J23" s="3">
        <f>3*60+4</f>
        <v>184</v>
      </c>
      <c r="K23">
        <f t="shared" si="0"/>
        <v>161</v>
      </c>
      <c r="L23">
        <f t="shared" si="1"/>
        <v>2.68</v>
      </c>
      <c r="M23" s="1">
        <v>209</v>
      </c>
      <c r="N23" s="1">
        <v>27</v>
      </c>
      <c r="O23" s="2"/>
      <c r="P23" s="3"/>
      <c r="Q23" s="2"/>
    </row>
    <row r="24" spans="1:17" ht="13.8" x14ac:dyDescent="0.25">
      <c r="A24" s="3">
        <v>10023</v>
      </c>
      <c r="B24" s="3" t="s">
        <v>107</v>
      </c>
      <c r="C24" s="2" t="s">
        <v>108</v>
      </c>
      <c r="D24" s="3" t="s">
        <v>109</v>
      </c>
      <c r="E24" s="2" t="s">
        <v>110</v>
      </c>
      <c r="F24" s="1" t="s">
        <v>56</v>
      </c>
      <c r="G24" s="3">
        <v>0</v>
      </c>
      <c r="H24" s="3" t="s">
        <v>111</v>
      </c>
      <c r="I24" s="3">
        <f>2*60+24</f>
        <v>144</v>
      </c>
      <c r="J24" s="3">
        <f>7*60+55</f>
        <v>475</v>
      </c>
      <c r="K24">
        <f t="shared" si="0"/>
        <v>331</v>
      </c>
      <c r="L24">
        <f t="shared" si="1"/>
        <v>5.52</v>
      </c>
      <c r="M24" s="1">
        <v>409</v>
      </c>
      <c r="N24" s="1">
        <v>52</v>
      </c>
      <c r="O24" s="2"/>
      <c r="P24" s="3"/>
      <c r="Q24" s="2"/>
    </row>
    <row r="25" spans="1:17" ht="13.8" x14ac:dyDescent="0.25">
      <c r="A25" s="3">
        <v>10024</v>
      </c>
      <c r="B25" s="3" t="s">
        <v>112</v>
      </c>
      <c r="C25" s="2" t="s">
        <v>113</v>
      </c>
      <c r="D25" s="3" t="s">
        <v>114</v>
      </c>
      <c r="E25" s="2" t="s">
        <v>115</v>
      </c>
      <c r="F25" s="1" t="s">
        <v>116</v>
      </c>
      <c r="G25" s="3">
        <v>0</v>
      </c>
      <c r="H25" s="3" t="s">
        <v>117</v>
      </c>
      <c r="I25" s="3">
        <v>48</v>
      </c>
      <c r="J25" s="3">
        <f>3*60+42</f>
        <v>222</v>
      </c>
      <c r="K25">
        <f t="shared" si="0"/>
        <v>174</v>
      </c>
      <c r="L25">
        <f t="shared" si="1"/>
        <v>2.9</v>
      </c>
      <c r="M25" s="1">
        <v>283</v>
      </c>
      <c r="N25" s="1">
        <v>36</v>
      </c>
      <c r="O25" s="2"/>
      <c r="P25" s="3"/>
      <c r="Q25" s="2"/>
    </row>
    <row r="26" spans="1:17" ht="13.8" x14ac:dyDescent="0.25">
      <c r="A26" s="3">
        <v>10025</v>
      </c>
      <c r="B26" s="3" t="s">
        <v>118</v>
      </c>
      <c r="C26" s="2" t="s">
        <v>119</v>
      </c>
      <c r="D26" s="3" t="s">
        <v>114</v>
      </c>
      <c r="E26" s="2" t="s">
        <v>115</v>
      </c>
      <c r="F26" s="1" t="s">
        <v>116</v>
      </c>
      <c r="G26" s="3">
        <v>0</v>
      </c>
      <c r="H26" s="3" t="s">
        <v>120</v>
      </c>
      <c r="I26" s="3">
        <v>19</v>
      </c>
      <c r="J26" s="3">
        <v>240</v>
      </c>
      <c r="K26">
        <f t="shared" si="0"/>
        <v>221</v>
      </c>
      <c r="L26">
        <f t="shared" si="1"/>
        <v>3.68</v>
      </c>
      <c r="M26" s="1">
        <v>313</v>
      </c>
      <c r="N26" s="1">
        <v>40</v>
      </c>
      <c r="O26" s="2"/>
      <c r="P26" s="3"/>
      <c r="Q26" s="2"/>
    </row>
    <row r="27" spans="1:17" ht="13.8" x14ac:dyDescent="0.25">
      <c r="A27" s="3">
        <v>10026</v>
      </c>
      <c r="B27" s="3" t="s">
        <v>121</v>
      </c>
      <c r="C27" s="2" t="s">
        <v>1417</v>
      </c>
      <c r="D27" s="3" t="s">
        <v>122</v>
      </c>
      <c r="E27" s="2" t="s">
        <v>123</v>
      </c>
      <c r="F27" s="1" t="s">
        <v>124</v>
      </c>
      <c r="G27" s="3">
        <v>0</v>
      </c>
      <c r="H27" s="3" t="s">
        <v>125</v>
      </c>
      <c r="I27" s="3">
        <v>3</v>
      </c>
      <c r="J27" s="3">
        <f>2*60+3</f>
        <v>123</v>
      </c>
      <c r="K27">
        <f t="shared" si="0"/>
        <v>120</v>
      </c>
      <c r="L27">
        <f t="shared" si="1"/>
        <v>2</v>
      </c>
      <c r="M27" s="1">
        <v>201</v>
      </c>
      <c r="N27" s="1">
        <v>26</v>
      </c>
      <c r="O27" s="2"/>
      <c r="P27" s="3"/>
      <c r="Q27" s="2"/>
    </row>
    <row r="28" spans="1:17" ht="13.8" x14ac:dyDescent="0.25">
      <c r="A28" s="3">
        <v>10027</v>
      </c>
      <c r="B28" s="3" t="s">
        <v>126</v>
      </c>
      <c r="C28" s="2" t="s">
        <v>127</v>
      </c>
      <c r="D28" s="3" t="s">
        <v>128</v>
      </c>
      <c r="E28" s="2" t="s">
        <v>129</v>
      </c>
      <c r="F28" s="1" t="s">
        <v>34</v>
      </c>
      <c r="G28" s="3">
        <v>0</v>
      </c>
      <c r="H28" s="3" t="s">
        <v>130</v>
      </c>
      <c r="I28" s="3">
        <v>50</v>
      </c>
      <c r="J28" s="3">
        <f>2*60+27</f>
        <v>147</v>
      </c>
      <c r="K28">
        <f t="shared" si="0"/>
        <v>97</v>
      </c>
      <c r="L28">
        <f t="shared" si="1"/>
        <v>1.62</v>
      </c>
      <c r="M28" s="1">
        <v>158</v>
      </c>
      <c r="N28" s="1">
        <v>20</v>
      </c>
      <c r="O28" s="2"/>
      <c r="P28" s="3"/>
      <c r="Q28" s="2"/>
    </row>
    <row r="29" spans="1:17" ht="13.8" x14ac:dyDescent="0.25">
      <c r="A29" s="3">
        <v>10028</v>
      </c>
      <c r="B29" s="3" t="s">
        <v>131</v>
      </c>
      <c r="C29" s="2" t="s">
        <v>132</v>
      </c>
      <c r="D29" s="3" t="s">
        <v>128</v>
      </c>
      <c r="E29" s="2" t="s">
        <v>133</v>
      </c>
      <c r="F29" s="1" t="s">
        <v>34</v>
      </c>
      <c r="G29" s="3">
        <v>0</v>
      </c>
      <c r="H29" s="3" t="s">
        <v>134</v>
      </c>
      <c r="I29" s="3">
        <v>6</v>
      </c>
      <c r="J29" s="3">
        <f>6*60+17</f>
        <v>377</v>
      </c>
      <c r="K29">
        <f t="shared" si="0"/>
        <v>371</v>
      </c>
      <c r="L29">
        <f t="shared" si="1"/>
        <v>6.18</v>
      </c>
      <c r="M29" s="1">
        <v>529</v>
      </c>
      <c r="N29" s="1">
        <v>67</v>
      </c>
      <c r="O29" s="2"/>
      <c r="P29" s="3"/>
      <c r="Q29" s="2"/>
    </row>
    <row r="30" spans="1:17" ht="13.8" x14ac:dyDescent="0.25">
      <c r="A30" s="3">
        <v>10029</v>
      </c>
      <c r="B30" s="3" t="s">
        <v>135</v>
      </c>
      <c r="C30" s="2" t="s">
        <v>136</v>
      </c>
      <c r="D30" s="3" t="s">
        <v>128</v>
      </c>
      <c r="E30" s="2" t="s">
        <v>133</v>
      </c>
      <c r="F30" s="1" t="s">
        <v>34</v>
      </c>
      <c r="G30" s="3">
        <v>0</v>
      </c>
      <c r="H30" s="3" t="s">
        <v>137</v>
      </c>
      <c r="I30" s="3">
        <v>6</v>
      </c>
      <c r="J30" s="3">
        <f>5*60+33</f>
        <v>333</v>
      </c>
      <c r="K30">
        <f t="shared" si="0"/>
        <v>327</v>
      </c>
      <c r="L30">
        <f t="shared" si="1"/>
        <v>5.45</v>
      </c>
      <c r="M30" s="1">
        <v>480</v>
      </c>
      <c r="N30" s="1">
        <v>60</v>
      </c>
      <c r="O30" s="2"/>
      <c r="P30" s="3"/>
      <c r="Q30" s="2"/>
    </row>
    <row r="31" spans="1:17" ht="13.8" x14ac:dyDescent="0.25">
      <c r="A31" s="3">
        <v>10030</v>
      </c>
      <c r="B31" s="3" t="s">
        <v>138</v>
      </c>
      <c r="C31" s="2" t="s">
        <v>139</v>
      </c>
      <c r="D31" s="3" t="s">
        <v>140</v>
      </c>
      <c r="E31" s="2" t="s">
        <v>141</v>
      </c>
      <c r="F31" s="1" t="s">
        <v>34</v>
      </c>
      <c r="G31" s="3">
        <v>0</v>
      </c>
      <c r="H31" s="3" t="s">
        <v>142</v>
      </c>
      <c r="I31" s="3">
        <v>20</v>
      </c>
      <c r="J31" s="3">
        <f>3*60+53</f>
        <v>233</v>
      </c>
      <c r="K31">
        <f t="shared" si="0"/>
        <v>213</v>
      </c>
      <c r="L31">
        <f t="shared" si="1"/>
        <v>3.55</v>
      </c>
      <c r="M31" s="1">
        <v>289</v>
      </c>
      <c r="N31" s="1">
        <v>37</v>
      </c>
      <c r="O31" s="2"/>
      <c r="P31" s="3"/>
    </row>
    <row r="32" spans="1:17" ht="13.8" x14ac:dyDescent="0.25">
      <c r="A32" s="3">
        <v>10031</v>
      </c>
      <c r="B32" s="3" t="s">
        <v>143</v>
      </c>
      <c r="C32" s="2" t="s">
        <v>144</v>
      </c>
      <c r="D32" s="3" t="s">
        <v>140</v>
      </c>
      <c r="E32" s="2" t="s">
        <v>145</v>
      </c>
      <c r="F32" s="1" t="s">
        <v>34</v>
      </c>
      <c r="G32" s="3">
        <v>0</v>
      </c>
      <c r="H32" s="3" t="s">
        <v>146</v>
      </c>
      <c r="I32" s="3">
        <f>5*60+34</f>
        <v>334</v>
      </c>
      <c r="J32" s="3">
        <f>13*60+52</f>
        <v>832</v>
      </c>
      <c r="K32">
        <f t="shared" si="0"/>
        <v>498</v>
      </c>
      <c r="L32">
        <f t="shared" si="1"/>
        <v>8.3000000000000007</v>
      </c>
      <c r="M32" s="1">
        <v>657</v>
      </c>
      <c r="N32" s="1">
        <v>83</v>
      </c>
      <c r="O32" s="2"/>
      <c r="P32" s="3"/>
      <c r="Q32" s="2"/>
    </row>
    <row r="33" spans="1:17" ht="13.8" x14ac:dyDescent="0.25">
      <c r="A33" s="3">
        <v>10032</v>
      </c>
      <c r="B33" s="3" t="s">
        <v>147</v>
      </c>
      <c r="C33" s="2" t="s">
        <v>148</v>
      </c>
      <c r="D33" s="3" t="s">
        <v>149</v>
      </c>
      <c r="E33" s="2" t="s">
        <v>150</v>
      </c>
      <c r="F33" s="1" t="s">
        <v>18</v>
      </c>
      <c r="G33" s="3">
        <v>0</v>
      </c>
      <c r="H33" s="3" t="s">
        <v>151</v>
      </c>
      <c r="I33" s="3">
        <v>5</v>
      </c>
      <c r="J33" s="3">
        <f>5*60+4</f>
        <v>304</v>
      </c>
      <c r="K33">
        <f t="shared" si="0"/>
        <v>299</v>
      </c>
      <c r="L33">
        <f t="shared" si="1"/>
        <v>4.9800000000000004</v>
      </c>
      <c r="M33" s="1">
        <v>439</v>
      </c>
      <c r="N33" s="1">
        <v>55</v>
      </c>
      <c r="O33" s="2"/>
      <c r="P33" s="3"/>
      <c r="Q33" s="2"/>
    </row>
    <row r="34" spans="1:17" ht="13.8" x14ac:dyDescent="0.25">
      <c r="A34" s="3">
        <v>10033</v>
      </c>
      <c r="B34" s="3" t="s">
        <v>152</v>
      </c>
      <c r="C34" s="2" t="s">
        <v>153</v>
      </c>
      <c r="D34" s="3" t="s">
        <v>154</v>
      </c>
      <c r="E34" s="2" t="s">
        <v>155</v>
      </c>
      <c r="F34" s="1" t="s">
        <v>156</v>
      </c>
      <c r="G34" s="3">
        <v>0</v>
      </c>
      <c r="H34" s="3" t="s">
        <v>157</v>
      </c>
      <c r="I34" s="3">
        <v>19</v>
      </c>
      <c r="J34" s="3">
        <f>4*60+18</f>
        <v>258</v>
      </c>
      <c r="K34">
        <f t="shared" ref="K34:K65" si="2">J34-I34</f>
        <v>239</v>
      </c>
      <c r="L34">
        <f t="shared" ref="L34:L65" si="3">ROUND(K34/60,2)</f>
        <v>3.98</v>
      </c>
      <c r="M34" s="1">
        <v>345</v>
      </c>
      <c r="N34" s="1">
        <v>44</v>
      </c>
      <c r="O34" s="2"/>
      <c r="P34" s="3"/>
    </row>
    <row r="35" spans="1:17" ht="13.8" x14ac:dyDescent="0.25">
      <c r="A35" s="3">
        <v>10034</v>
      </c>
      <c r="B35" s="3" t="s">
        <v>158</v>
      </c>
      <c r="C35" s="2" t="s">
        <v>159</v>
      </c>
      <c r="D35" s="3" t="s">
        <v>154</v>
      </c>
      <c r="E35" s="2" t="s">
        <v>155</v>
      </c>
      <c r="F35" s="1" t="s">
        <v>156</v>
      </c>
      <c r="G35" s="3">
        <v>0</v>
      </c>
      <c r="H35" s="3" t="s">
        <v>146</v>
      </c>
      <c r="I35" s="3">
        <f>9*60+20</f>
        <v>560</v>
      </c>
      <c r="J35" s="3">
        <f>15*60+25</f>
        <v>925</v>
      </c>
      <c r="K35">
        <f t="shared" si="2"/>
        <v>365</v>
      </c>
      <c r="L35">
        <f t="shared" si="3"/>
        <v>6.08</v>
      </c>
      <c r="M35" s="1">
        <v>537</v>
      </c>
      <c r="N35" s="1">
        <v>68</v>
      </c>
      <c r="O35" s="2"/>
      <c r="P35" s="3"/>
      <c r="Q35" s="2"/>
    </row>
    <row r="36" spans="1:17" ht="13.8" x14ac:dyDescent="0.25">
      <c r="A36" s="3">
        <v>10035</v>
      </c>
      <c r="B36" s="3" t="s">
        <v>160</v>
      </c>
      <c r="C36" s="2" t="s">
        <v>161</v>
      </c>
      <c r="D36" s="3" t="s">
        <v>154</v>
      </c>
      <c r="E36" s="2" t="s">
        <v>155</v>
      </c>
      <c r="F36" s="1" t="s">
        <v>156</v>
      </c>
      <c r="G36" s="3">
        <v>0</v>
      </c>
      <c r="H36" s="3" t="s">
        <v>162</v>
      </c>
      <c r="I36" s="3">
        <v>31</v>
      </c>
      <c r="J36" s="3">
        <f>5*60+18</f>
        <v>318</v>
      </c>
      <c r="K36">
        <f t="shared" si="2"/>
        <v>287</v>
      </c>
      <c r="L36">
        <f t="shared" si="3"/>
        <v>4.78</v>
      </c>
      <c r="M36" s="1">
        <v>449</v>
      </c>
      <c r="N36" s="1">
        <v>57</v>
      </c>
      <c r="O36" s="2"/>
      <c r="P36" s="3"/>
      <c r="Q36" s="2"/>
    </row>
    <row r="37" spans="1:17" ht="13.8" x14ac:dyDescent="0.25">
      <c r="A37" s="3">
        <v>10036</v>
      </c>
      <c r="B37" s="3" t="s">
        <v>163</v>
      </c>
      <c r="C37" s="2" t="s">
        <v>164</v>
      </c>
      <c r="D37" s="3" t="s">
        <v>154</v>
      </c>
      <c r="E37" s="2" t="s">
        <v>155</v>
      </c>
      <c r="F37" s="1" t="s">
        <v>156</v>
      </c>
      <c r="G37" s="3">
        <v>0</v>
      </c>
      <c r="H37" s="3" t="s">
        <v>165</v>
      </c>
      <c r="I37" s="3">
        <f>5*60+42</f>
        <v>342</v>
      </c>
      <c r="J37" s="3">
        <f>12*60+28</f>
        <v>748</v>
      </c>
      <c r="K37">
        <f t="shared" si="2"/>
        <v>406</v>
      </c>
      <c r="L37">
        <f t="shared" si="3"/>
        <v>6.77</v>
      </c>
      <c r="M37" s="1">
        <v>618</v>
      </c>
      <c r="N37" s="1">
        <v>78</v>
      </c>
      <c r="O37" s="2"/>
      <c r="P37" s="3"/>
      <c r="Q37" s="2"/>
    </row>
    <row r="38" spans="1:17" ht="13.8" x14ac:dyDescent="0.25">
      <c r="A38" s="3">
        <v>10037</v>
      </c>
      <c r="B38" s="3" t="s">
        <v>166</v>
      </c>
      <c r="C38" s="2" t="s">
        <v>167</v>
      </c>
      <c r="D38" s="3" t="s">
        <v>154</v>
      </c>
      <c r="E38" s="2" t="s">
        <v>155</v>
      </c>
      <c r="F38" s="1" t="s">
        <v>156</v>
      </c>
      <c r="G38" s="3">
        <v>0</v>
      </c>
      <c r="H38" s="3" t="s">
        <v>168</v>
      </c>
      <c r="I38" s="3">
        <f>2*60+9+91</f>
        <v>220</v>
      </c>
      <c r="J38" s="3">
        <f>6*60+1</f>
        <v>361</v>
      </c>
      <c r="K38">
        <f t="shared" si="2"/>
        <v>141</v>
      </c>
      <c r="L38">
        <f t="shared" si="3"/>
        <v>2.35</v>
      </c>
      <c r="M38" s="1">
        <v>185</v>
      </c>
      <c r="N38" s="1">
        <v>24</v>
      </c>
      <c r="O38" s="2"/>
      <c r="P38" s="3"/>
      <c r="Q38" s="2"/>
    </row>
    <row r="39" spans="1:17" ht="13.8" x14ac:dyDescent="0.25">
      <c r="A39" s="3">
        <v>10038</v>
      </c>
      <c r="B39" s="3" t="s">
        <v>169</v>
      </c>
      <c r="C39" s="2" t="s">
        <v>170</v>
      </c>
      <c r="D39" s="3" t="s">
        <v>171</v>
      </c>
      <c r="E39" s="2" t="s">
        <v>172</v>
      </c>
      <c r="F39" s="1" t="s">
        <v>18</v>
      </c>
      <c r="G39" s="3">
        <v>0</v>
      </c>
      <c r="H39" s="3" t="s">
        <v>173</v>
      </c>
      <c r="I39" s="3">
        <v>72</v>
      </c>
      <c r="J39" s="3">
        <f>5*60+54</f>
        <v>354</v>
      </c>
      <c r="K39">
        <f t="shared" si="2"/>
        <v>282</v>
      </c>
      <c r="L39">
        <f t="shared" si="3"/>
        <v>4.7</v>
      </c>
      <c r="M39" s="1">
        <v>480</v>
      </c>
      <c r="N39" s="1">
        <v>60</v>
      </c>
      <c r="O39" s="2"/>
      <c r="P39" s="3"/>
      <c r="Q39" s="2"/>
    </row>
    <row r="40" spans="1:17" ht="13.8" x14ac:dyDescent="0.25">
      <c r="A40" s="3">
        <v>10039</v>
      </c>
      <c r="B40" s="3" t="s">
        <v>174</v>
      </c>
      <c r="C40" s="2" t="s">
        <v>175</v>
      </c>
      <c r="D40" s="3" t="s">
        <v>176</v>
      </c>
      <c r="E40" s="2" t="s">
        <v>177</v>
      </c>
      <c r="F40" s="1" t="s">
        <v>18</v>
      </c>
      <c r="G40" s="3">
        <v>0</v>
      </c>
      <c r="H40" s="3" t="s">
        <v>178</v>
      </c>
      <c r="I40" s="3">
        <v>50</v>
      </c>
      <c r="J40" s="3">
        <f>6*60+47</f>
        <v>407</v>
      </c>
      <c r="K40">
        <f t="shared" si="2"/>
        <v>357</v>
      </c>
      <c r="L40">
        <f t="shared" si="3"/>
        <v>5.95</v>
      </c>
      <c r="M40" s="1">
        <v>505</v>
      </c>
      <c r="N40" s="1">
        <v>64</v>
      </c>
      <c r="O40" s="2"/>
      <c r="P40" s="3"/>
    </row>
    <row r="41" spans="1:17" ht="13.8" x14ac:dyDescent="0.25">
      <c r="A41" s="3">
        <v>10040</v>
      </c>
      <c r="B41" s="3" t="s">
        <v>179</v>
      </c>
      <c r="C41" s="2" t="s">
        <v>180</v>
      </c>
      <c r="D41" s="3" t="s">
        <v>176</v>
      </c>
      <c r="E41" s="2" t="s">
        <v>177</v>
      </c>
      <c r="F41" s="1" t="s">
        <v>18</v>
      </c>
      <c r="G41" s="3">
        <v>0</v>
      </c>
      <c r="H41" s="3" t="s">
        <v>83</v>
      </c>
      <c r="I41" s="3">
        <f>5*60+35</f>
        <v>335</v>
      </c>
      <c r="J41" s="3">
        <f>11*60</f>
        <v>660</v>
      </c>
      <c r="K41">
        <f t="shared" si="2"/>
        <v>325</v>
      </c>
      <c r="L41">
        <f t="shared" si="3"/>
        <v>5.42</v>
      </c>
      <c r="M41" s="1">
        <v>433</v>
      </c>
      <c r="N41" s="1">
        <v>55</v>
      </c>
      <c r="O41" s="2"/>
      <c r="P41" s="3"/>
      <c r="Q41" s="2"/>
    </row>
    <row r="42" spans="1:17" ht="13.8" x14ac:dyDescent="0.25">
      <c r="A42" s="3">
        <v>10041</v>
      </c>
      <c r="B42" s="3" t="s">
        <v>181</v>
      </c>
      <c r="C42" s="2" t="s">
        <v>182</v>
      </c>
      <c r="D42" s="3" t="s">
        <v>176</v>
      </c>
      <c r="E42" s="2" t="s">
        <v>177</v>
      </c>
      <c r="F42" s="1" t="s">
        <v>18</v>
      </c>
      <c r="G42" s="3">
        <v>0</v>
      </c>
      <c r="H42" s="3" t="s">
        <v>183</v>
      </c>
      <c r="I42" s="3">
        <f>1*60+47</f>
        <v>107</v>
      </c>
      <c r="J42" s="3">
        <f>9*60+36</f>
        <v>576</v>
      </c>
      <c r="K42">
        <f t="shared" si="2"/>
        <v>469</v>
      </c>
      <c r="L42">
        <f t="shared" si="3"/>
        <v>7.82</v>
      </c>
      <c r="M42" s="1">
        <v>665</v>
      </c>
      <c r="N42" s="1">
        <v>84</v>
      </c>
      <c r="O42" s="2"/>
      <c r="P42" s="3"/>
      <c r="Q42" s="2"/>
    </row>
    <row r="43" spans="1:17" ht="13.8" x14ac:dyDescent="0.25">
      <c r="A43" s="3">
        <v>10042</v>
      </c>
      <c r="B43" s="3" t="s">
        <v>184</v>
      </c>
      <c r="C43" s="2" t="s">
        <v>185</v>
      </c>
      <c r="D43" s="3" t="s">
        <v>186</v>
      </c>
      <c r="E43" s="2" t="s">
        <v>187</v>
      </c>
      <c r="F43" s="1" t="s">
        <v>156</v>
      </c>
      <c r="G43" s="3">
        <v>0</v>
      </c>
      <c r="H43" s="3" t="s">
        <v>188</v>
      </c>
      <c r="I43" s="3">
        <v>336</v>
      </c>
      <c r="J43" s="3">
        <f>8*60</f>
        <v>480</v>
      </c>
      <c r="K43">
        <f t="shared" si="2"/>
        <v>144</v>
      </c>
      <c r="L43">
        <f t="shared" si="3"/>
        <v>2.4</v>
      </c>
      <c r="M43" s="1">
        <v>192</v>
      </c>
      <c r="N43" s="1">
        <v>24</v>
      </c>
      <c r="O43" s="2"/>
      <c r="P43" s="3"/>
      <c r="Q43" s="2"/>
    </row>
    <row r="44" spans="1:17" ht="13.8" x14ac:dyDescent="0.25">
      <c r="A44" s="3">
        <v>10043</v>
      </c>
      <c r="B44" s="3" t="s">
        <v>189</v>
      </c>
      <c r="C44" s="2" t="s">
        <v>190</v>
      </c>
      <c r="D44" s="3" t="s">
        <v>191</v>
      </c>
      <c r="E44" s="2" t="s">
        <v>192</v>
      </c>
      <c r="F44" s="1" t="s">
        <v>156</v>
      </c>
      <c r="G44" s="3">
        <v>0</v>
      </c>
      <c r="H44" s="3" t="s">
        <v>35</v>
      </c>
      <c r="I44" s="3">
        <v>3</v>
      </c>
      <c r="J44" s="3">
        <f>60+52</f>
        <v>112</v>
      </c>
      <c r="K44">
        <f t="shared" si="2"/>
        <v>109</v>
      </c>
      <c r="L44">
        <f t="shared" si="3"/>
        <v>1.82</v>
      </c>
      <c r="M44" s="1">
        <v>223</v>
      </c>
      <c r="N44" s="1">
        <v>28</v>
      </c>
      <c r="O44" s="2"/>
      <c r="P44" s="3"/>
      <c r="Q44" s="2"/>
    </row>
    <row r="45" spans="1:17" ht="13.8" x14ac:dyDescent="0.25">
      <c r="A45" s="3">
        <v>10044</v>
      </c>
      <c r="B45" s="3" t="s">
        <v>193</v>
      </c>
      <c r="C45" s="2" t="s">
        <v>194</v>
      </c>
      <c r="D45" s="3" t="s">
        <v>191</v>
      </c>
      <c r="E45" s="2" t="s">
        <v>192</v>
      </c>
      <c r="F45" s="1" t="s">
        <v>156</v>
      </c>
      <c r="G45" s="3">
        <v>0</v>
      </c>
      <c r="H45" s="3" t="s">
        <v>195</v>
      </c>
      <c r="I45" s="3">
        <f>1*60+51</f>
        <v>111</v>
      </c>
      <c r="J45" s="3">
        <f>10*60+38</f>
        <v>638</v>
      </c>
      <c r="K45">
        <f t="shared" si="2"/>
        <v>527</v>
      </c>
      <c r="L45">
        <f t="shared" si="3"/>
        <v>8.7799999999999994</v>
      </c>
      <c r="M45" s="1">
        <v>761</v>
      </c>
      <c r="N45" s="1">
        <v>96</v>
      </c>
      <c r="O45" s="2"/>
      <c r="P45" s="3"/>
      <c r="Q45" s="2"/>
    </row>
    <row r="46" spans="1:17" ht="13.8" x14ac:dyDescent="0.25">
      <c r="A46" s="3">
        <v>10045</v>
      </c>
      <c r="B46" s="3" t="s">
        <v>196</v>
      </c>
      <c r="C46" s="2" t="s">
        <v>1418</v>
      </c>
      <c r="D46" s="3" t="s">
        <v>197</v>
      </c>
      <c r="E46" s="2" t="s">
        <v>198</v>
      </c>
      <c r="F46" s="1" t="s">
        <v>18</v>
      </c>
      <c r="G46" s="3">
        <v>0</v>
      </c>
      <c r="H46" s="3" t="s">
        <v>199</v>
      </c>
      <c r="I46" s="3">
        <v>1</v>
      </c>
      <c r="J46" s="3">
        <f>5*60+12</f>
        <v>312</v>
      </c>
      <c r="K46">
        <f t="shared" si="2"/>
        <v>311</v>
      </c>
      <c r="L46">
        <f t="shared" si="3"/>
        <v>5.18</v>
      </c>
      <c r="M46" s="1">
        <v>417</v>
      </c>
      <c r="N46" s="1">
        <v>53</v>
      </c>
      <c r="O46" s="2"/>
      <c r="P46" s="3"/>
      <c r="Q46" s="2"/>
    </row>
    <row r="47" spans="1:17" ht="13.8" x14ac:dyDescent="0.25">
      <c r="A47" s="3">
        <v>10046</v>
      </c>
      <c r="B47" s="3" t="s">
        <v>200</v>
      </c>
      <c r="C47" s="2" t="s">
        <v>201</v>
      </c>
      <c r="D47" s="3" t="s">
        <v>202</v>
      </c>
      <c r="E47" s="2" t="s">
        <v>203</v>
      </c>
      <c r="F47" s="1" t="s">
        <v>18</v>
      </c>
      <c r="G47" s="3">
        <v>0</v>
      </c>
      <c r="H47" s="3" t="s">
        <v>204</v>
      </c>
      <c r="I47" s="3">
        <v>20</v>
      </c>
      <c r="J47" s="3">
        <f>9*60+16</f>
        <v>556</v>
      </c>
      <c r="K47">
        <f t="shared" si="2"/>
        <v>536</v>
      </c>
      <c r="L47">
        <f t="shared" si="3"/>
        <v>8.93</v>
      </c>
      <c r="M47" s="1">
        <v>777</v>
      </c>
      <c r="N47" s="1">
        <v>98</v>
      </c>
      <c r="O47" s="2"/>
      <c r="P47" s="3"/>
      <c r="Q47" s="2"/>
    </row>
    <row r="48" spans="1:17" ht="13.8" x14ac:dyDescent="0.25">
      <c r="A48" s="3">
        <v>10047</v>
      </c>
      <c r="B48" s="3" t="s">
        <v>205</v>
      </c>
      <c r="C48" s="2" t="s">
        <v>206</v>
      </c>
      <c r="D48" s="3" t="s">
        <v>202</v>
      </c>
      <c r="E48" s="2" t="s">
        <v>207</v>
      </c>
      <c r="F48" s="1" t="s">
        <v>18</v>
      </c>
      <c r="G48" s="3">
        <v>0</v>
      </c>
      <c r="H48" s="3" t="s">
        <v>173</v>
      </c>
      <c r="I48" s="3">
        <v>3</v>
      </c>
      <c r="J48" s="3">
        <v>89</v>
      </c>
      <c r="K48">
        <f t="shared" si="2"/>
        <v>86</v>
      </c>
      <c r="L48">
        <f t="shared" si="3"/>
        <v>1.43</v>
      </c>
      <c r="M48" s="1">
        <v>168</v>
      </c>
      <c r="N48" s="1">
        <v>21</v>
      </c>
      <c r="O48" s="2"/>
      <c r="P48" s="3"/>
      <c r="Q48" s="2"/>
    </row>
    <row r="49" spans="1:21" ht="13.8" x14ac:dyDescent="0.25">
      <c r="A49" s="3">
        <v>10048</v>
      </c>
      <c r="B49" s="3" t="s">
        <v>208</v>
      </c>
      <c r="C49" s="2" t="s">
        <v>209</v>
      </c>
      <c r="D49" s="3" t="s">
        <v>202</v>
      </c>
      <c r="E49" s="2" t="s">
        <v>210</v>
      </c>
      <c r="F49" s="1" t="s">
        <v>18</v>
      </c>
      <c r="G49" s="3">
        <v>0</v>
      </c>
      <c r="H49" s="3" t="s">
        <v>151</v>
      </c>
      <c r="I49" s="3">
        <v>18</v>
      </c>
      <c r="J49" s="3">
        <f>6*60+52</f>
        <v>412</v>
      </c>
      <c r="K49">
        <f t="shared" si="2"/>
        <v>394</v>
      </c>
      <c r="L49">
        <f t="shared" si="3"/>
        <v>6.57</v>
      </c>
      <c r="M49" s="1">
        <v>529</v>
      </c>
      <c r="N49" s="1">
        <v>67</v>
      </c>
      <c r="O49" s="2"/>
      <c r="P49" s="3"/>
    </row>
    <row r="50" spans="1:21" ht="13.8" x14ac:dyDescent="0.25">
      <c r="A50" s="3">
        <v>10049</v>
      </c>
      <c r="B50" s="3" t="s">
        <v>211</v>
      </c>
      <c r="C50" s="2" t="s">
        <v>212</v>
      </c>
      <c r="D50" s="3" t="s">
        <v>213</v>
      </c>
      <c r="E50" s="2" t="s">
        <v>214</v>
      </c>
      <c r="F50" s="1" t="s">
        <v>34</v>
      </c>
      <c r="G50" s="3">
        <v>0</v>
      </c>
      <c r="H50" s="3" t="s">
        <v>215</v>
      </c>
      <c r="I50" s="3">
        <v>1</v>
      </c>
      <c r="J50" s="3">
        <f>5*60+58</f>
        <v>358</v>
      </c>
      <c r="K50">
        <f t="shared" si="2"/>
        <v>357</v>
      </c>
      <c r="L50">
        <f t="shared" si="3"/>
        <v>5.95</v>
      </c>
      <c r="M50" s="1">
        <v>545</v>
      </c>
      <c r="N50" s="1">
        <v>69</v>
      </c>
      <c r="O50" s="2"/>
      <c r="P50" s="3"/>
      <c r="Q50" s="2"/>
    </row>
    <row r="51" spans="1:21" ht="13.8" x14ac:dyDescent="0.25">
      <c r="A51" s="4">
        <v>10050</v>
      </c>
      <c r="B51" s="4" t="s">
        <v>216</v>
      </c>
      <c r="C51" s="5" t="s">
        <v>217</v>
      </c>
      <c r="D51" s="4" t="s">
        <v>213</v>
      </c>
      <c r="E51" s="5" t="s">
        <v>214</v>
      </c>
      <c r="F51" s="6" t="s">
        <v>34</v>
      </c>
      <c r="G51" s="4">
        <v>0</v>
      </c>
      <c r="H51" s="4" t="s">
        <v>168</v>
      </c>
      <c r="I51" s="4">
        <v>3</v>
      </c>
      <c r="J51" s="4">
        <f>2*60+42</f>
        <v>162</v>
      </c>
      <c r="K51" s="6">
        <f t="shared" si="2"/>
        <v>159</v>
      </c>
      <c r="L51" s="6">
        <f t="shared" si="3"/>
        <v>2.65</v>
      </c>
      <c r="M51" s="6">
        <v>425</v>
      </c>
      <c r="N51" s="6">
        <v>54</v>
      </c>
      <c r="O51" s="5"/>
      <c r="P51" s="4"/>
      <c r="Q51" s="5"/>
      <c r="R51" s="6"/>
      <c r="S51" s="6"/>
      <c r="T51" s="6"/>
      <c r="U51" s="6"/>
    </row>
    <row r="52" spans="1:21" ht="13.8" x14ac:dyDescent="0.25">
      <c r="A52" s="7">
        <v>11001</v>
      </c>
      <c r="B52" s="7" t="s">
        <v>218</v>
      </c>
      <c r="C52" s="8" t="s">
        <v>219</v>
      </c>
      <c r="D52" s="7" t="s">
        <v>49</v>
      </c>
      <c r="E52" s="8" t="s">
        <v>50</v>
      </c>
      <c r="F52" s="9" t="s">
        <v>18</v>
      </c>
      <c r="G52" s="7">
        <v>1</v>
      </c>
      <c r="H52" s="7" t="s">
        <v>221</v>
      </c>
      <c r="I52" s="7">
        <v>137</v>
      </c>
      <c r="J52" s="7">
        <f>9*60+54</f>
        <v>594</v>
      </c>
      <c r="K52" s="9">
        <f t="shared" si="2"/>
        <v>457</v>
      </c>
      <c r="L52" s="9">
        <f t="shared" si="3"/>
        <v>7.62</v>
      </c>
      <c r="M52" s="9">
        <v>586</v>
      </c>
      <c r="N52" s="9">
        <v>196</v>
      </c>
      <c r="O52" s="8"/>
      <c r="P52" s="7"/>
      <c r="Q52" s="8"/>
      <c r="R52" s="9"/>
      <c r="S52" s="9"/>
      <c r="T52" s="9"/>
      <c r="U52" s="9"/>
    </row>
    <row r="53" spans="1:21" ht="13.8" x14ac:dyDescent="0.25">
      <c r="A53" s="3">
        <v>11002</v>
      </c>
      <c r="B53" s="10" t="s">
        <v>222</v>
      </c>
      <c r="C53" s="2" t="s">
        <v>223</v>
      </c>
      <c r="D53" s="3" t="s">
        <v>49</v>
      </c>
      <c r="E53" s="2" t="s">
        <v>224</v>
      </c>
      <c r="F53" s="1" t="s">
        <v>18</v>
      </c>
      <c r="G53" s="3">
        <v>1</v>
      </c>
      <c r="H53" s="3" t="s">
        <v>225</v>
      </c>
      <c r="I53" s="3">
        <v>31</v>
      </c>
      <c r="J53" s="3">
        <f>3*60+31</f>
        <v>211</v>
      </c>
      <c r="K53">
        <f t="shared" si="2"/>
        <v>180</v>
      </c>
      <c r="L53">
        <f t="shared" si="3"/>
        <v>3</v>
      </c>
      <c r="M53" s="1">
        <v>223</v>
      </c>
      <c r="N53" s="1">
        <v>75</v>
      </c>
      <c r="O53" s="2"/>
      <c r="P53" s="3"/>
      <c r="Q53" s="2"/>
    </row>
    <row r="54" spans="1:21" ht="13.8" x14ac:dyDescent="0.25">
      <c r="A54" s="3">
        <v>11003</v>
      </c>
      <c r="B54" s="3" t="s">
        <v>226</v>
      </c>
      <c r="C54" s="2" t="s">
        <v>227</v>
      </c>
      <c r="D54" s="3" t="s">
        <v>54</v>
      </c>
      <c r="E54" s="2" t="s">
        <v>55</v>
      </c>
      <c r="F54" s="1" t="s">
        <v>56</v>
      </c>
      <c r="G54" s="3">
        <v>1</v>
      </c>
      <c r="H54" s="3" t="s">
        <v>228</v>
      </c>
      <c r="I54" s="3">
        <f>4*60+13</f>
        <v>253</v>
      </c>
      <c r="J54" s="3">
        <f>9*60+4</f>
        <v>544</v>
      </c>
      <c r="K54">
        <f t="shared" si="2"/>
        <v>291</v>
      </c>
      <c r="L54">
        <f t="shared" si="3"/>
        <v>4.8499999999999996</v>
      </c>
      <c r="M54" s="1">
        <v>427</v>
      </c>
      <c r="N54" s="1">
        <v>143</v>
      </c>
      <c r="O54" s="2"/>
      <c r="P54" s="3"/>
      <c r="Q54" s="2"/>
    </row>
    <row r="55" spans="1:21" ht="13.8" x14ac:dyDescent="0.25">
      <c r="A55" s="3">
        <v>11004</v>
      </c>
      <c r="B55" s="3" t="s">
        <v>229</v>
      </c>
      <c r="C55" s="2" t="s">
        <v>230</v>
      </c>
      <c r="D55" s="3" t="s">
        <v>54</v>
      </c>
      <c r="E55" s="2" t="s">
        <v>63</v>
      </c>
      <c r="F55" s="1" t="s">
        <v>56</v>
      </c>
      <c r="G55" s="3">
        <v>1</v>
      </c>
      <c r="H55" s="3" t="s">
        <v>231</v>
      </c>
      <c r="I55" s="3">
        <v>3</v>
      </c>
      <c r="J55" s="3">
        <f>3*60+54</f>
        <v>234</v>
      </c>
      <c r="K55">
        <f t="shared" si="2"/>
        <v>231</v>
      </c>
      <c r="L55">
        <f t="shared" si="3"/>
        <v>3.85</v>
      </c>
      <c r="M55" s="1">
        <v>462</v>
      </c>
      <c r="N55" s="1">
        <v>154</v>
      </c>
      <c r="O55" s="2"/>
      <c r="P55" s="3"/>
      <c r="Q55" s="2"/>
    </row>
    <row r="56" spans="1:21" ht="13.8" x14ac:dyDescent="0.25">
      <c r="A56" s="3">
        <v>11005</v>
      </c>
      <c r="B56" s="3" t="s">
        <v>232</v>
      </c>
      <c r="C56" s="2" t="s">
        <v>233</v>
      </c>
      <c r="D56" s="3" t="s">
        <v>54</v>
      </c>
      <c r="E56" s="2" t="s">
        <v>63</v>
      </c>
      <c r="F56" s="1" t="s">
        <v>56</v>
      </c>
      <c r="G56" s="3">
        <v>1</v>
      </c>
      <c r="H56" s="3" t="s">
        <v>234</v>
      </c>
      <c r="I56" s="3">
        <f>5*60+24</f>
        <v>324</v>
      </c>
      <c r="J56" s="3">
        <f>13*60+34</f>
        <v>814</v>
      </c>
      <c r="K56">
        <f t="shared" si="2"/>
        <v>490</v>
      </c>
      <c r="L56">
        <f t="shared" si="3"/>
        <v>8.17</v>
      </c>
      <c r="M56" s="1">
        <v>655</v>
      </c>
      <c r="N56" s="1">
        <v>219</v>
      </c>
      <c r="O56" s="2"/>
      <c r="P56" s="3"/>
      <c r="Q56" s="2"/>
    </row>
    <row r="57" spans="1:21" ht="13.8" x14ac:dyDescent="0.25">
      <c r="A57" s="3">
        <v>11006</v>
      </c>
      <c r="B57" s="3" t="s">
        <v>235</v>
      </c>
      <c r="C57" s="2" t="s">
        <v>236</v>
      </c>
      <c r="D57" s="3" t="s">
        <v>67</v>
      </c>
      <c r="E57" s="2" t="s">
        <v>237</v>
      </c>
      <c r="F57" s="1" t="s">
        <v>18</v>
      </c>
      <c r="G57" s="3">
        <v>1</v>
      </c>
      <c r="H57" s="3" t="s">
        <v>195</v>
      </c>
      <c r="I57" s="3">
        <v>10</v>
      </c>
      <c r="J57" s="3">
        <f>6*60+11</f>
        <v>371</v>
      </c>
      <c r="K57">
        <f t="shared" si="2"/>
        <v>361</v>
      </c>
      <c r="L57">
        <f t="shared" si="3"/>
        <v>6.02</v>
      </c>
      <c r="M57" s="1">
        <v>505</v>
      </c>
      <c r="N57" s="1">
        <v>169</v>
      </c>
      <c r="O57" s="2"/>
      <c r="P57" s="3"/>
      <c r="Q57" s="2"/>
    </row>
    <row r="58" spans="1:21" ht="13.8" x14ac:dyDescent="0.25">
      <c r="A58" s="3">
        <v>11007</v>
      </c>
      <c r="B58" s="3" t="s">
        <v>238</v>
      </c>
      <c r="C58" s="2" t="s">
        <v>239</v>
      </c>
      <c r="D58" s="3" t="s">
        <v>67</v>
      </c>
      <c r="E58" s="2" t="s">
        <v>240</v>
      </c>
      <c r="F58" s="1" t="s">
        <v>18</v>
      </c>
      <c r="G58" s="3">
        <v>1</v>
      </c>
      <c r="H58" s="3" t="s">
        <v>241</v>
      </c>
      <c r="I58" s="3">
        <v>15</v>
      </c>
      <c r="J58" s="3">
        <f>4*60+27</f>
        <v>267</v>
      </c>
      <c r="K58">
        <f t="shared" si="2"/>
        <v>252</v>
      </c>
      <c r="L58">
        <f t="shared" si="3"/>
        <v>4.2</v>
      </c>
      <c r="M58" s="1">
        <v>385</v>
      </c>
      <c r="N58" s="1">
        <v>129</v>
      </c>
      <c r="O58" s="2"/>
      <c r="P58" s="3"/>
      <c r="Q58" s="2"/>
    </row>
    <row r="59" spans="1:21" ht="13.8" x14ac:dyDescent="0.25">
      <c r="A59" s="3">
        <v>11008</v>
      </c>
      <c r="B59" s="3" t="s">
        <v>242</v>
      </c>
      <c r="C59" s="2" t="s">
        <v>243</v>
      </c>
      <c r="D59" s="3" t="s">
        <v>67</v>
      </c>
      <c r="E59" s="2" t="s">
        <v>240</v>
      </c>
      <c r="F59" s="1" t="s">
        <v>18</v>
      </c>
      <c r="G59" s="3">
        <v>1</v>
      </c>
      <c r="H59" s="3" t="s">
        <v>101</v>
      </c>
      <c r="I59" s="3">
        <v>6</v>
      </c>
      <c r="J59" s="3">
        <f>4*60+19</f>
        <v>259</v>
      </c>
      <c r="K59">
        <f t="shared" si="2"/>
        <v>253</v>
      </c>
      <c r="L59">
        <f t="shared" si="3"/>
        <v>4.22</v>
      </c>
      <c r="M59" s="1">
        <v>310</v>
      </c>
      <c r="N59" s="1">
        <v>104</v>
      </c>
      <c r="O59" s="2"/>
      <c r="P59" s="3"/>
    </row>
    <row r="60" spans="1:21" ht="13.8" x14ac:dyDescent="0.25">
      <c r="A60" s="3">
        <v>11009</v>
      </c>
      <c r="B60" s="3" t="s">
        <v>244</v>
      </c>
      <c r="C60" s="2" t="s">
        <v>245</v>
      </c>
      <c r="D60" s="3" t="s">
        <v>67</v>
      </c>
      <c r="E60" s="2" t="s">
        <v>68</v>
      </c>
      <c r="F60" s="1" t="s">
        <v>18</v>
      </c>
      <c r="G60" s="3">
        <v>1</v>
      </c>
      <c r="H60" s="3" t="s">
        <v>246</v>
      </c>
      <c r="I60" s="3">
        <v>3</v>
      </c>
      <c r="J60" s="3">
        <f>4*60+46</f>
        <v>286</v>
      </c>
      <c r="K60">
        <f t="shared" si="2"/>
        <v>283</v>
      </c>
      <c r="L60">
        <f t="shared" si="3"/>
        <v>4.72</v>
      </c>
      <c r="M60" s="1">
        <v>340</v>
      </c>
      <c r="N60" s="1">
        <v>114</v>
      </c>
      <c r="O60" s="2"/>
      <c r="P60" s="3"/>
      <c r="Q60" s="2"/>
    </row>
    <row r="61" spans="1:21" ht="13.8" x14ac:dyDescent="0.25">
      <c r="A61" s="3">
        <v>11010</v>
      </c>
      <c r="B61" s="3" t="s">
        <v>247</v>
      </c>
      <c r="C61" s="2" t="s">
        <v>248</v>
      </c>
      <c r="D61" s="3" t="s">
        <v>72</v>
      </c>
      <c r="E61" s="2" t="s">
        <v>73</v>
      </c>
      <c r="F61" s="1" t="s">
        <v>56</v>
      </c>
      <c r="G61" s="3">
        <v>1</v>
      </c>
      <c r="H61" s="3" t="s">
        <v>249</v>
      </c>
      <c r="I61" s="3">
        <v>5</v>
      </c>
      <c r="J61" s="3">
        <f>3*60+47</f>
        <v>227</v>
      </c>
      <c r="K61">
        <f t="shared" si="2"/>
        <v>222</v>
      </c>
      <c r="L61">
        <f t="shared" si="3"/>
        <v>3.7</v>
      </c>
      <c r="M61" s="1">
        <v>310</v>
      </c>
      <c r="N61" s="1">
        <v>104</v>
      </c>
      <c r="O61" s="2"/>
      <c r="P61" s="3"/>
      <c r="Q61" s="2"/>
    </row>
    <row r="62" spans="1:21" ht="13.8" x14ac:dyDescent="0.25">
      <c r="A62" s="3">
        <v>11011</v>
      </c>
      <c r="B62" s="3" t="s">
        <v>250</v>
      </c>
      <c r="C62" s="2" t="s">
        <v>251</v>
      </c>
      <c r="D62" s="3" t="s">
        <v>72</v>
      </c>
      <c r="E62" s="2" t="s">
        <v>73</v>
      </c>
      <c r="F62" s="1" t="s">
        <v>56</v>
      </c>
      <c r="G62" s="3">
        <v>1</v>
      </c>
      <c r="H62" s="3" t="s">
        <v>252</v>
      </c>
      <c r="I62" s="3">
        <f>60+53</f>
        <v>113</v>
      </c>
      <c r="J62" s="3">
        <f>5*60+49</f>
        <v>349</v>
      </c>
      <c r="K62">
        <f t="shared" si="2"/>
        <v>236</v>
      </c>
      <c r="L62">
        <f t="shared" si="3"/>
        <v>3.93</v>
      </c>
      <c r="M62" s="1">
        <v>313</v>
      </c>
      <c r="N62" s="1">
        <v>105</v>
      </c>
      <c r="O62" s="2"/>
      <c r="P62" s="3"/>
      <c r="Q62" s="2"/>
    </row>
    <row r="63" spans="1:21" ht="13.8" x14ac:dyDescent="0.25">
      <c r="A63" s="3">
        <v>11012</v>
      </c>
      <c r="B63" s="3" t="s">
        <v>253</v>
      </c>
      <c r="C63" s="2" t="s">
        <v>254</v>
      </c>
      <c r="D63" s="3" t="s">
        <v>88</v>
      </c>
      <c r="E63" s="2" t="s">
        <v>255</v>
      </c>
      <c r="F63" s="1" t="s">
        <v>34</v>
      </c>
      <c r="G63" s="3">
        <v>1</v>
      </c>
      <c r="H63" s="3" t="s">
        <v>46</v>
      </c>
      <c r="I63" s="3">
        <f>5*60+27</f>
        <v>327</v>
      </c>
      <c r="J63" s="3">
        <f>8*60+46</f>
        <v>526</v>
      </c>
      <c r="K63">
        <f t="shared" si="2"/>
        <v>199</v>
      </c>
      <c r="L63">
        <f t="shared" si="3"/>
        <v>3.32</v>
      </c>
      <c r="M63" s="1">
        <v>340</v>
      </c>
      <c r="N63" s="1">
        <v>114</v>
      </c>
      <c r="O63" s="2"/>
      <c r="P63" s="3"/>
      <c r="Q63" s="2"/>
    </row>
    <row r="64" spans="1:21" ht="13.8" x14ac:dyDescent="0.25">
      <c r="A64" s="3">
        <v>11013</v>
      </c>
      <c r="B64" s="3" t="s">
        <v>256</v>
      </c>
      <c r="C64" s="2" t="s">
        <v>257</v>
      </c>
      <c r="D64" s="3" t="s">
        <v>99</v>
      </c>
      <c r="E64" s="2" t="s">
        <v>100</v>
      </c>
      <c r="F64" s="1" t="s">
        <v>34</v>
      </c>
      <c r="G64" s="3">
        <v>1</v>
      </c>
      <c r="H64" s="3" t="s">
        <v>258</v>
      </c>
      <c r="I64" s="3">
        <f>2*60+27</f>
        <v>147</v>
      </c>
      <c r="J64" s="3">
        <f>7*60+15</f>
        <v>435</v>
      </c>
      <c r="K64">
        <f t="shared" si="2"/>
        <v>288</v>
      </c>
      <c r="L64">
        <f t="shared" si="3"/>
        <v>4.8</v>
      </c>
      <c r="M64" s="1">
        <v>453</v>
      </c>
      <c r="N64" s="1">
        <v>151</v>
      </c>
      <c r="O64" s="2"/>
      <c r="P64" s="3"/>
      <c r="Q64" s="2"/>
    </row>
    <row r="65" spans="1:17" ht="13.8" x14ac:dyDescent="0.25">
      <c r="A65" s="3">
        <v>11014</v>
      </c>
      <c r="B65" s="3" t="s">
        <v>259</v>
      </c>
      <c r="C65" s="2" t="s">
        <v>260</v>
      </c>
      <c r="D65" s="3" t="s">
        <v>261</v>
      </c>
      <c r="E65" s="2" t="s">
        <v>262</v>
      </c>
      <c r="F65" s="1" t="s">
        <v>18</v>
      </c>
      <c r="G65" s="3">
        <v>1</v>
      </c>
      <c r="H65" s="3" t="s">
        <v>263</v>
      </c>
      <c r="I65" s="3">
        <v>5</v>
      </c>
      <c r="J65" s="3">
        <f>2*60+29</f>
        <v>149</v>
      </c>
      <c r="K65">
        <f t="shared" si="2"/>
        <v>144</v>
      </c>
      <c r="L65">
        <f t="shared" si="3"/>
        <v>2.4</v>
      </c>
      <c r="M65" s="1">
        <v>232</v>
      </c>
      <c r="N65" s="1">
        <v>78</v>
      </c>
      <c r="O65" s="2"/>
      <c r="P65" s="3"/>
      <c r="Q65" s="2"/>
    </row>
    <row r="66" spans="1:17" ht="13.8" x14ac:dyDescent="0.25">
      <c r="A66" s="3">
        <v>11015</v>
      </c>
      <c r="B66" s="3" t="s">
        <v>264</v>
      </c>
      <c r="C66" s="2" t="s">
        <v>265</v>
      </c>
      <c r="D66" s="3" t="s">
        <v>114</v>
      </c>
      <c r="E66" s="2" t="s">
        <v>115</v>
      </c>
      <c r="F66" s="1" t="s">
        <v>116</v>
      </c>
      <c r="G66" s="3">
        <v>1</v>
      </c>
      <c r="H66" s="3" t="s">
        <v>183</v>
      </c>
      <c r="I66" s="3">
        <v>54</v>
      </c>
      <c r="J66" s="3">
        <f>7*60+28</f>
        <v>448</v>
      </c>
      <c r="K66">
        <f t="shared" ref="K66:K97" si="4">J66-I66</f>
        <v>394</v>
      </c>
      <c r="L66">
        <f t="shared" ref="L66:L97" si="5">ROUND(K66/60,2)</f>
        <v>6.57</v>
      </c>
      <c r="M66" s="1">
        <v>586</v>
      </c>
      <c r="N66" s="1">
        <v>196</v>
      </c>
      <c r="O66" s="2"/>
      <c r="P66" s="3"/>
      <c r="Q66" s="2"/>
    </row>
    <row r="67" spans="1:17" ht="13.8" x14ac:dyDescent="0.25">
      <c r="A67" s="3">
        <v>11016</v>
      </c>
      <c r="B67" s="3" t="s">
        <v>266</v>
      </c>
      <c r="C67" s="2" t="s">
        <v>267</v>
      </c>
      <c r="D67" s="3" t="s">
        <v>128</v>
      </c>
      <c r="E67" s="2" t="s">
        <v>129</v>
      </c>
      <c r="F67" s="1" t="s">
        <v>34</v>
      </c>
      <c r="G67" s="3">
        <v>1</v>
      </c>
      <c r="H67" s="3" t="s">
        <v>221</v>
      </c>
      <c r="I67" s="3">
        <f>4*60+45</f>
        <v>285</v>
      </c>
      <c r="J67" s="3">
        <f>8*60+3</f>
        <v>483</v>
      </c>
      <c r="K67">
        <f t="shared" si="4"/>
        <v>198</v>
      </c>
      <c r="L67">
        <f t="shared" si="5"/>
        <v>3.3</v>
      </c>
      <c r="M67" s="1">
        <v>301</v>
      </c>
      <c r="N67" s="1">
        <v>101</v>
      </c>
      <c r="O67" s="2"/>
      <c r="P67" s="3"/>
      <c r="Q67" s="2"/>
    </row>
    <row r="68" spans="1:17" ht="13.8" x14ac:dyDescent="0.25">
      <c r="A68" s="3">
        <v>11017</v>
      </c>
      <c r="B68" s="3" t="s">
        <v>268</v>
      </c>
      <c r="C68" s="2" t="s">
        <v>269</v>
      </c>
      <c r="D68" s="3" t="s">
        <v>140</v>
      </c>
      <c r="E68" s="2" t="s">
        <v>141</v>
      </c>
      <c r="F68" s="1" t="s">
        <v>34</v>
      </c>
      <c r="G68" s="3">
        <v>1</v>
      </c>
      <c r="H68" s="3" t="s">
        <v>270</v>
      </c>
      <c r="I68" s="3">
        <v>4</v>
      </c>
      <c r="J68" s="3">
        <f>4*60+19</f>
        <v>259</v>
      </c>
      <c r="K68">
        <f t="shared" si="4"/>
        <v>255</v>
      </c>
      <c r="L68">
        <f t="shared" si="5"/>
        <v>4.25</v>
      </c>
      <c r="M68" s="1">
        <v>526</v>
      </c>
      <c r="N68" s="1">
        <v>176</v>
      </c>
      <c r="O68" s="2"/>
      <c r="P68" s="3"/>
      <c r="Q68" s="2"/>
    </row>
    <row r="69" spans="1:17" ht="13.8" x14ac:dyDescent="0.25">
      <c r="A69" s="3">
        <v>11018</v>
      </c>
      <c r="B69" s="3" t="s">
        <v>271</v>
      </c>
      <c r="C69" s="2" t="s">
        <v>272</v>
      </c>
      <c r="D69" s="3" t="s">
        <v>140</v>
      </c>
      <c r="E69" s="2" t="s">
        <v>145</v>
      </c>
      <c r="F69" s="1" t="s">
        <v>34</v>
      </c>
      <c r="G69" s="3">
        <v>1</v>
      </c>
      <c r="H69" s="3" t="s">
        <v>221</v>
      </c>
      <c r="I69" s="3">
        <v>38</v>
      </c>
      <c r="J69" s="3">
        <f>3*60+45</f>
        <v>225</v>
      </c>
      <c r="K69">
        <f t="shared" si="4"/>
        <v>187</v>
      </c>
      <c r="L69">
        <f t="shared" si="5"/>
        <v>3.12</v>
      </c>
      <c r="M69" s="1">
        <v>250</v>
      </c>
      <c r="N69" s="1">
        <v>84</v>
      </c>
      <c r="O69" s="2"/>
      <c r="P69" s="3"/>
      <c r="Q69" s="2"/>
    </row>
    <row r="70" spans="1:17" ht="13.8" x14ac:dyDescent="0.25">
      <c r="A70" s="3">
        <v>11019</v>
      </c>
      <c r="B70" s="3" t="s">
        <v>273</v>
      </c>
      <c r="C70" s="2" t="s">
        <v>274</v>
      </c>
      <c r="D70" s="3" t="s">
        <v>140</v>
      </c>
      <c r="E70" s="2" t="s">
        <v>145</v>
      </c>
      <c r="F70" s="1" t="s">
        <v>34</v>
      </c>
      <c r="G70" s="3">
        <v>1</v>
      </c>
      <c r="H70" s="3" t="s">
        <v>275</v>
      </c>
      <c r="I70" s="3">
        <v>36</v>
      </c>
      <c r="J70" s="3">
        <f>3*60+30</f>
        <v>210</v>
      </c>
      <c r="K70">
        <f t="shared" si="4"/>
        <v>174</v>
      </c>
      <c r="L70">
        <f t="shared" si="5"/>
        <v>2.9</v>
      </c>
      <c r="M70" s="1">
        <v>232</v>
      </c>
      <c r="N70" s="1">
        <v>78</v>
      </c>
      <c r="O70" s="2"/>
      <c r="P70" s="3"/>
      <c r="Q70" s="2"/>
    </row>
    <row r="71" spans="1:17" ht="13.8" x14ac:dyDescent="0.25">
      <c r="A71" s="3">
        <v>11020</v>
      </c>
      <c r="B71" s="3" t="s">
        <v>276</v>
      </c>
      <c r="C71" s="2" t="s">
        <v>277</v>
      </c>
      <c r="D71" s="3" t="s">
        <v>278</v>
      </c>
      <c r="E71" s="2" t="s">
        <v>279</v>
      </c>
      <c r="F71" s="1" t="s">
        <v>18</v>
      </c>
      <c r="G71" s="3">
        <v>1</v>
      </c>
      <c r="H71" s="3" t="s">
        <v>280</v>
      </c>
      <c r="I71" s="3">
        <f>7*60+34</f>
        <v>454</v>
      </c>
      <c r="J71" s="3">
        <f>16*60+36</f>
        <v>996</v>
      </c>
      <c r="K71">
        <f t="shared" si="4"/>
        <v>542</v>
      </c>
      <c r="L71">
        <f t="shared" si="5"/>
        <v>9.0299999999999994</v>
      </c>
      <c r="M71" s="1">
        <v>865</v>
      </c>
      <c r="N71" s="1">
        <v>289</v>
      </c>
      <c r="P71" s="2"/>
      <c r="Q71" s="2"/>
    </row>
    <row r="72" spans="1:17" ht="13.8" x14ac:dyDescent="0.25">
      <c r="A72" s="3">
        <v>11021</v>
      </c>
      <c r="B72" s="3" t="s">
        <v>281</v>
      </c>
      <c r="C72" s="2" t="s">
        <v>282</v>
      </c>
      <c r="D72" s="3" t="s">
        <v>278</v>
      </c>
      <c r="E72" s="2" t="s">
        <v>283</v>
      </c>
      <c r="F72" s="1" t="s">
        <v>18</v>
      </c>
      <c r="G72" s="3">
        <v>1</v>
      </c>
      <c r="H72" s="3" t="s">
        <v>284</v>
      </c>
      <c r="I72" s="3">
        <f>21*60+58</f>
        <v>1318</v>
      </c>
      <c r="J72" s="3">
        <f>36*60+53</f>
        <v>2213</v>
      </c>
      <c r="K72">
        <f t="shared" si="4"/>
        <v>895</v>
      </c>
      <c r="L72">
        <f t="shared" si="5"/>
        <v>14.92</v>
      </c>
      <c r="M72" s="1">
        <v>1346</v>
      </c>
      <c r="N72" s="1">
        <v>449</v>
      </c>
      <c r="P72" s="2"/>
      <c r="Q72" s="2"/>
    </row>
    <row r="73" spans="1:17" ht="13.8" x14ac:dyDescent="0.25">
      <c r="A73" s="3">
        <v>11022</v>
      </c>
      <c r="B73" s="3" t="s">
        <v>285</v>
      </c>
      <c r="C73" s="2" t="s">
        <v>286</v>
      </c>
      <c r="D73" s="3" t="s">
        <v>287</v>
      </c>
      <c r="E73" s="2" t="s">
        <v>50</v>
      </c>
      <c r="F73" s="1" t="s">
        <v>18</v>
      </c>
      <c r="G73" s="3">
        <v>1</v>
      </c>
      <c r="H73" s="3" t="s">
        <v>288</v>
      </c>
      <c r="I73" s="3">
        <f>3*60+2</f>
        <v>182</v>
      </c>
      <c r="J73" s="3">
        <f>18*60+34</f>
        <v>1114</v>
      </c>
      <c r="K73">
        <f t="shared" si="4"/>
        <v>932</v>
      </c>
      <c r="L73">
        <f t="shared" si="5"/>
        <v>15.53</v>
      </c>
      <c r="M73" s="1">
        <v>1247</v>
      </c>
      <c r="N73" s="1">
        <v>416</v>
      </c>
      <c r="O73" s="2"/>
      <c r="Q73" s="2"/>
    </row>
    <row r="74" spans="1:17" ht="13.8" x14ac:dyDescent="0.25">
      <c r="A74" s="3">
        <v>11023</v>
      </c>
      <c r="B74" s="3" t="s">
        <v>289</v>
      </c>
      <c r="C74" s="2" t="s">
        <v>290</v>
      </c>
      <c r="D74" s="3" t="s">
        <v>171</v>
      </c>
      <c r="E74" s="2" t="s">
        <v>172</v>
      </c>
      <c r="F74" s="1" t="s">
        <v>18</v>
      </c>
      <c r="G74" s="3">
        <v>1</v>
      </c>
      <c r="H74" s="3" t="s">
        <v>291</v>
      </c>
      <c r="I74" s="3">
        <f>16*60+15</f>
        <v>975</v>
      </c>
      <c r="J74" s="3">
        <f>21*60+27</f>
        <v>1287</v>
      </c>
      <c r="K74">
        <f t="shared" si="4"/>
        <v>312</v>
      </c>
      <c r="L74">
        <f t="shared" si="5"/>
        <v>5.2</v>
      </c>
      <c r="M74" s="1">
        <v>412</v>
      </c>
      <c r="N74" s="1">
        <v>138</v>
      </c>
      <c r="O74" s="2"/>
      <c r="P74" s="3"/>
      <c r="Q74" s="2"/>
    </row>
    <row r="75" spans="1:17" ht="13.8" x14ac:dyDescent="0.25">
      <c r="A75" s="3">
        <v>11024</v>
      </c>
      <c r="B75" s="3" t="s">
        <v>292</v>
      </c>
      <c r="C75" s="2" t="s">
        <v>293</v>
      </c>
      <c r="D75" s="3" t="s">
        <v>294</v>
      </c>
      <c r="E75" s="2" t="s">
        <v>295</v>
      </c>
      <c r="F75" s="1" t="s">
        <v>18</v>
      </c>
      <c r="G75" s="3">
        <v>1</v>
      </c>
      <c r="H75" s="3" t="s">
        <v>296</v>
      </c>
      <c r="I75" s="3">
        <f>14*60+31</f>
        <v>871</v>
      </c>
      <c r="J75" s="3">
        <f>30*60+45</f>
        <v>1845</v>
      </c>
      <c r="K75">
        <f t="shared" si="4"/>
        <v>974</v>
      </c>
      <c r="L75">
        <f t="shared" si="5"/>
        <v>16.23</v>
      </c>
      <c r="M75" s="1">
        <v>1158</v>
      </c>
      <c r="N75" s="1">
        <v>386</v>
      </c>
      <c r="O75" s="2"/>
      <c r="P75" s="3"/>
    </row>
    <row r="76" spans="1:17" ht="13.8" x14ac:dyDescent="0.25">
      <c r="A76" s="3">
        <v>11025</v>
      </c>
      <c r="B76" s="3" t="s">
        <v>297</v>
      </c>
      <c r="C76" s="2" t="s">
        <v>298</v>
      </c>
      <c r="D76" s="3" t="s">
        <v>299</v>
      </c>
      <c r="E76" s="2" t="s">
        <v>300</v>
      </c>
      <c r="F76" s="1" t="s">
        <v>18</v>
      </c>
      <c r="G76" s="3">
        <v>1</v>
      </c>
      <c r="H76" s="3" t="s">
        <v>301</v>
      </c>
      <c r="I76" s="3">
        <v>7</v>
      </c>
      <c r="J76" s="3">
        <f>3*60+27</f>
        <v>207</v>
      </c>
      <c r="K76">
        <f t="shared" si="4"/>
        <v>200</v>
      </c>
      <c r="L76">
        <f t="shared" si="5"/>
        <v>3.33</v>
      </c>
      <c r="M76" s="1">
        <v>256</v>
      </c>
      <c r="N76" s="1">
        <v>86</v>
      </c>
      <c r="O76" s="2"/>
      <c r="P76" s="3"/>
      <c r="Q76" s="2"/>
    </row>
    <row r="77" spans="1:17" ht="13.8" x14ac:dyDescent="0.25">
      <c r="A77" s="3">
        <v>11026</v>
      </c>
      <c r="B77" s="3" t="s">
        <v>302</v>
      </c>
      <c r="C77" s="2" t="s">
        <v>303</v>
      </c>
      <c r="D77" s="3" t="s">
        <v>299</v>
      </c>
      <c r="E77" s="2" t="s">
        <v>300</v>
      </c>
      <c r="F77" s="1" t="s">
        <v>18</v>
      </c>
      <c r="G77" s="3">
        <v>1</v>
      </c>
      <c r="H77" s="3" t="s">
        <v>280</v>
      </c>
      <c r="I77" s="3">
        <v>17</v>
      </c>
      <c r="J77" s="3">
        <f>3*60+28</f>
        <v>208</v>
      </c>
      <c r="K77">
        <f t="shared" si="4"/>
        <v>191</v>
      </c>
      <c r="L77">
        <f t="shared" si="5"/>
        <v>3.18</v>
      </c>
      <c r="M77" s="1">
        <v>241</v>
      </c>
      <c r="N77" s="1">
        <v>81</v>
      </c>
      <c r="O77" s="2"/>
      <c r="P77" s="3"/>
      <c r="Q77" s="2"/>
    </row>
    <row r="78" spans="1:17" ht="13.8" x14ac:dyDescent="0.25">
      <c r="A78" s="3">
        <v>11027</v>
      </c>
      <c r="B78" s="3" t="s">
        <v>304</v>
      </c>
      <c r="C78" s="2" t="s">
        <v>305</v>
      </c>
      <c r="D78" s="3" t="s">
        <v>306</v>
      </c>
      <c r="E78" s="2" t="s">
        <v>307</v>
      </c>
      <c r="F78" s="1" t="s">
        <v>18</v>
      </c>
      <c r="G78" s="3">
        <v>1</v>
      </c>
      <c r="H78" s="3" t="s">
        <v>308</v>
      </c>
      <c r="I78" s="3">
        <f>2*60+35</f>
        <v>155</v>
      </c>
      <c r="J78" s="3">
        <f>8*60+37</f>
        <v>517</v>
      </c>
      <c r="K78">
        <f t="shared" si="4"/>
        <v>362</v>
      </c>
      <c r="L78">
        <f t="shared" si="5"/>
        <v>6.03</v>
      </c>
      <c r="M78" s="1">
        <v>499</v>
      </c>
      <c r="N78" s="1">
        <v>167</v>
      </c>
      <c r="O78" s="2"/>
      <c r="Q78" s="2"/>
    </row>
    <row r="79" spans="1:17" ht="13.8" x14ac:dyDescent="0.25">
      <c r="A79" s="3">
        <v>11028</v>
      </c>
      <c r="B79" s="3" t="s">
        <v>309</v>
      </c>
      <c r="C79" s="2" t="s">
        <v>310</v>
      </c>
      <c r="D79" s="3" t="s">
        <v>306</v>
      </c>
      <c r="E79" s="2" t="s">
        <v>311</v>
      </c>
      <c r="F79" s="1" t="s">
        <v>18</v>
      </c>
      <c r="G79" s="3">
        <v>1</v>
      </c>
      <c r="H79" s="3" t="s">
        <v>312</v>
      </c>
      <c r="I79" s="3">
        <v>6</v>
      </c>
      <c r="J79" s="3">
        <f>7*60+44</f>
        <v>464</v>
      </c>
      <c r="K79">
        <f t="shared" si="4"/>
        <v>458</v>
      </c>
      <c r="L79">
        <f t="shared" si="5"/>
        <v>7.63</v>
      </c>
      <c r="M79" s="1">
        <v>624</v>
      </c>
      <c r="N79" s="1">
        <v>208</v>
      </c>
      <c r="O79" s="2"/>
      <c r="P79" s="3"/>
      <c r="Q79" s="2"/>
    </row>
    <row r="80" spans="1:17" ht="13.8" x14ac:dyDescent="0.25">
      <c r="A80" s="3">
        <v>11029</v>
      </c>
      <c r="B80" s="3" t="s">
        <v>313</v>
      </c>
      <c r="C80" s="2" t="s">
        <v>314</v>
      </c>
      <c r="D80" s="3" t="s">
        <v>306</v>
      </c>
      <c r="E80" s="2" t="s">
        <v>315</v>
      </c>
      <c r="F80" s="1" t="s">
        <v>18</v>
      </c>
      <c r="G80" s="3">
        <v>1</v>
      </c>
      <c r="H80" s="3" t="s">
        <v>316</v>
      </c>
      <c r="I80" s="3">
        <f>11*60+8</f>
        <v>668</v>
      </c>
      <c r="J80" s="3">
        <f>16*60</f>
        <v>960</v>
      </c>
      <c r="K80">
        <f t="shared" si="4"/>
        <v>292</v>
      </c>
      <c r="L80">
        <f t="shared" si="5"/>
        <v>4.87</v>
      </c>
      <c r="M80" s="1">
        <v>406</v>
      </c>
      <c r="N80" s="1">
        <v>136</v>
      </c>
      <c r="O80" s="2"/>
      <c r="P80" s="3"/>
      <c r="Q80" s="2"/>
    </row>
    <row r="81" spans="1:17" ht="13.8" x14ac:dyDescent="0.25">
      <c r="A81" s="3">
        <v>11030</v>
      </c>
      <c r="B81" s="3" t="s">
        <v>317</v>
      </c>
      <c r="C81" s="2" t="s">
        <v>318</v>
      </c>
      <c r="D81" s="3" t="s">
        <v>306</v>
      </c>
      <c r="E81" s="2" t="s">
        <v>319</v>
      </c>
      <c r="F81" s="1" t="s">
        <v>18</v>
      </c>
      <c r="G81" s="3">
        <v>1</v>
      </c>
      <c r="H81" s="3" t="s">
        <v>320</v>
      </c>
      <c r="I81" s="3">
        <f>15*60+19</f>
        <v>919</v>
      </c>
      <c r="J81" s="3">
        <f>22*60+43</f>
        <v>1363</v>
      </c>
      <c r="K81">
        <f t="shared" si="4"/>
        <v>444</v>
      </c>
      <c r="L81">
        <f t="shared" si="5"/>
        <v>7.4</v>
      </c>
      <c r="M81" s="1">
        <v>602</v>
      </c>
      <c r="N81" s="1">
        <v>201</v>
      </c>
      <c r="O81" s="2"/>
      <c r="P81" s="3"/>
      <c r="Q81" s="2"/>
    </row>
    <row r="82" spans="1:17" ht="13.8" x14ac:dyDescent="0.25">
      <c r="A82" s="3">
        <v>11031</v>
      </c>
      <c r="B82" s="3" t="s">
        <v>321</v>
      </c>
      <c r="C82" s="2" t="s">
        <v>322</v>
      </c>
      <c r="D82" s="3" t="s">
        <v>306</v>
      </c>
      <c r="E82" s="2" t="s">
        <v>323</v>
      </c>
      <c r="F82" s="1" t="s">
        <v>18</v>
      </c>
      <c r="G82" s="3">
        <v>1</v>
      </c>
      <c r="H82" s="3" t="s">
        <v>324</v>
      </c>
      <c r="I82" s="3">
        <v>9</v>
      </c>
      <c r="J82" s="3">
        <f>7*60+42</f>
        <v>462</v>
      </c>
      <c r="K82">
        <f t="shared" si="4"/>
        <v>453</v>
      </c>
      <c r="L82">
        <f t="shared" si="5"/>
        <v>7.55</v>
      </c>
      <c r="M82" s="1">
        <v>611</v>
      </c>
      <c r="N82" s="1">
        <v>204</v>
      </c>
      <c r="O82" s="2"/>
      <c r="P82" s="3"/>
      <c r="Q82" s="2"/>
    </row>
    <row r="83" spans="1:17" ht="13.8" x14ac:dyDescent="0.25">
      <c r="A83" s="3">
        <v>11032</v>
      </c>
      <c r="B83" s="3" t="s">
        <v>325</v>
      </c>
      <c r="C83" s="2" t="s">
        <v>326</v>
      </c>
      <c r="D83" s="3" t="s">
        <v>306</v>
      </c>
      <c r="E83" s="2" t="s">
        <v>327</v>
      </c>
      <c r="F83" s="1" t="s">
        <v>18</v>
      </c>
      <c r="G83" s="3">
        <v>1</v>
      </c>
      <c r="H83" s="3" t="s">
        <v>328</v>
      </c>
      <c r="I83" s="3">
        <f>60+45</f>
        <v>105</v>
      </c>
      <c r="J83" s="3">
        <f>5*60+52</f>
        <v>352</v>
      </c>
      <c r="K83">
        <f t="shared" si="4"/>
        <v>247</v>
      </c>
      <c r="L83">
        <f t="shared" si="5"/>
        <v>4.12</v>
      </c>
      <c r="M83" s="1">
        <v>298</v>
      </c>
      <c r="N83" s="1">
        <v>100</v>
      </c>
      <c r="O83" s="2"/>
      <c r="P83" s="3"/>
    </row>
    <row r="84" spans="1:17" ht="13.8" x14ac:dyDescent="0.25">
      <c r="A84" s="3">
        <v>11033</v>
      </c>
      <c r="B84" s="3" t="s">
        <v>329</v>
      </c>
      <c r="C84" s="2" t="s">
        <v>330</v>
      </c>
      <c r="D84" s="3" t="s">
        <v>306</v>
      </c>
      <c r="E84" s="2" t="s">
        <v>331</v>
      </c>
      <c r="F84" s="1" t="s">
        <v>18</v>
      </c>
      <c r="G84" s="3">
        <v>1</v>
      </c>
      <c r="H84" s="3" t="s">
        <v>332</v>
      </c>
      <c r="I84" s="3">
        <f>8*60+24</f>
        <v>504</v>
      </c>
      <c r="J84" s="3">
        <f>12*60+36</f>
        <v>756</v>
      </c>
      <c r="K84">
        <f t="shared" si="4"/>
        <v>252</v>
      </c>
      <c r="L84">
        <f t="shared" si="5"/>
        <v>4.2</v>
      </c>
      <c r="M84" s="1">
        <v>357</v>
      </c>
      <c r="N84" s="1">
        <v>119</v>
      </c>
      <c r="O84" s="2"/>
      <c r="P84" s="3"/>
      <c r="Q84" s="2"/>
    </row>
    <row r="85" spans="1:17" ht="13.8" x14ac:dyDescent="0.25">
      <c r="A85" s="3">
        <v>11034</v>
      </c>
      <c r="B85" s="3" t="s">
        <v>333</v>
      </c>
      <c r="C85" s="2" t="s">
        <v>334</v>
      </c>
      <c r="D85" s="3" t="s">
        <v>335</v>
      </c>
      <c r="E85" s="2" t="s">
        <v>336</v>
      </c>
      <c r="F85" s="1" t="s">
        <v>18</v>
      </c>
      <c r="G85" s="3">
        <v>1</v>
      </c>
      <c r="H85" s="3" t="s">
        <v>337</v>
      </c>
      <c r="I85" s="3">
        <v>1</v>
      </c>
      <c r="J85" s="3">
        <f>3*60+8</f>
        <v>188</v>
      </c>
      <c r="K85">
        <f t="shared" si="4"/>
        <v>187</v>
      </c>
      <c r="L85">
        <f t="shared" si="5"/>
        <v>3.12</v>
      </c>
      <c r="M85" s="1">
        <v>250</v>
      </c>
      <c r="N85" s="1">
        <v>84</v>
      </c>
      <c r="O85" s="2"/>
      <c r="P85" s="3"/>
      <c r="Q85" s="2"/>
    </row>
    <row r="86" spans="1:17" ht="13.8" x14ac:dyDescent="0.25">
      <c r="A86" s="3">
        <v>11035</v>
      </c>
      <c r="B86" s="3" t="s">
        <v>338</v>
      </c>
      <c r="C86" s="2" t="s">
        <v>272</v>
      </c>
      <c r="D86" s="3" t="s">
        <v>335</v>
      </c>
      <c r="E86" s="2" t="s">
        <v>339</v>
      </c>
      <c r="F86" s="1" t="s">
        <v>18</v>
      </c>
      <c r="G86" s="3">
        <v>1</v>
      </c>
      <c r="H86" s="3" t="s">
        <v>221</v>
      </c>
      <c r="I86" s="3">
        <v>117</v>
      </c>
      <c r="J86" s="3">
        <f>5*60+6</f>
        <v>306</v>
      </c>
      <c r="K86">
        <f t="shared" si="4"/>
        <v>189</v>
      </c>
      <c r="L86">
        <f t="shared" si="5"/>
        <v>3.15</v>
      </c>
      <c r="M86" s="1">
        <v>277</v>
      </c>
      <c r="N86" s="1">
        <v>93</v>
      </c>
      <c r="O86" s="2"/>
      <c r="P86" s="3"/>
      <c r="Q86" s="2"/>
    </row>
    <row r="87" spans="1:17" ht="13.8" x14ac:dyDescent="0.25">
      <c r="A87" s="3">
        <v>11036</v>
      </c>
      <c r="B87" s="3" t="s">
        <v>340</v>
      </c>
      <c r="C87" s="2" t="s">
        <v>341</v>
      </c>
      <c r="D87" s="3" t="s">
        <v>191</v>
      </c>
      <c r="E87" s="2" t="s">
        <v>192</v>
      </c>
      <c r="F87" s="1" t="s">
        <v>156</v>
      </c>
      <c r="G87" s="3">
        <v>1</v>
      </c>
      <c r="H87" s="3" t="s">
        <v>270</v>
      </c>
      <c r="I87" s="3">
        <v>15</v>
      </c>
      <c r="J87" s="3">
        <f>5*60+33</f>
        <v>333</v>
      </c>
      <c r="K87">
        <f t="shared" si="4"/>
        <v>318</v>
      </c>
      <c r="L87">
        <f t="shared" si="5"/>
        <v>5.3</v>
      </c>
      <c r="M87" s="1">
        <v>511</v>
      </c>
      <c r="N87" s="1">
        <v>171</v>
      </c>
      <c r="O87" s="2"/>
      <c r="P87" s="3"/>
      <c r="Q87" s="2"/>
    </row>
    <row r="88" spans="1:17" ht="13.8" x14ac:dyDescent="0.25">
      <c r="A88" s="3">
        <v>11037</v>
      </c>
      <c r="B88" s="3" t="s">
        <v>342</v>
      </c>
      <c r="C88" s="2" t="s">
        <v>343</v>
      </c>
      <c r="D88" s="3" t="s">
        <v>344</v>
      </c>
      <c r="E88" s="2" t="s">
        <v>345</v>
      </c>
      <c r="F88" s="1" t="s">
        <v>18</v>
      </c>
      <c r="G88" s="3">
        <v>1</v>
      </c>
      <c r="H88" s="3" t="s">
        <v>346</v>
      </c>
      <c r="I88" s="3">
        <f>12*60+58</f>
        <v>778</v>
      </c>
      <c r="J88" s="3">
        <f>16*60+2</f>
        <v>962</v>
      </c>
      <c r="K88">
        <f t="shared" si="4"/>
        <v>184</v>
      </c>
      <c r="L88">
        <f t="shared" si="5"/>
        <v>3.07</v>
      </c>
      <c r="M88" s="1">
        <v>236</v>
      </c>
      <c r="N88" s="1">
        <v>79</v>
      </c>
      <c r="O88" s="2"/>
      <c r="P88" s="3"/>
      <c r="Q88" s="2"/>
    </row>
    <row r="89" spans="1:17" ht="13.8" x14ac:dyDescent="0.25">
      <c r="A89" s="3">
        <v>11038</v>
      </c>
      <c r="B89" s="3" t="s">
        <v>347</v>
      </c>
      <c r="C89" s="2" t="s">
        <v>348</v>
      </c>
      <c r="D89" s="3" t="s">
        <v>344</v>
      </c>
      <c r="E89" s="2" t="s">
        <v>349</v>
      </c>
      <c r="F89" s="1" t="s">
        <v>18</v>
      </c>
      <c r="G89" s="3">
        <v>1</v>
      </c>
      <c r="H89" s="3" t="s">
        <v>280</v>
      </c>
      <c r="I89" s="3">
        <v>372</v>
      </c>
      <c r="J89" s="3">
        <f>11*60+39</f>
        <v>699</v>
      </c>
      <c r="K89">
        <f t="shared" si="4"/>
        <v>327</v>
      </c>
      <c r="L89">
        <f t="shared" si="5"/>
        <v>5.45</v>
      </c>
      <c r="M89" s="1">
        <v>444</v>
      </c>
      <c r="N89" s="1">
        <v>148</v>
      </c>
      <c r="O89" s="2"/>
      <c r="P89" s="3"/>
      <c r="Q89" s="2"/>
    </row>
    <row r="90" spans="1:17" ht="13.8" x14ac:dyDescent="0.25">
      <c r="A90" s="3">
        <v>11039</v>
      </c>
      <c r="B90" s="3" t="s">
        <v>350</v>
      </c>
      <c r="C90" s="2" t="s">
        <v>351</v>
      </c>
      <c r="D90" s="3" t="s">
        <v>344</v>
      </c>
      <c r="E90" s="2" t="s">
        <v>349</v>
      </c>
      <c r="F90" s="1" t="s">
        <v>18</v>
      </c>
      <c r="G90" s="3">
        <v>1</v>
      </c>
      <c r="H90" s="3" t="s">
        <v>188</v>
      </c>
      <c r="I90" s="3">
        <v>2</v>
      </c>
      <c r="J90" s="3">
        <f>4*60+36</f>
        <v>276</v>
      </c>
      <c r="K90">
        <f t="shared" si="4"/>
        <v>274</v>
      </c>
      <c r="L90">
        <f t="shared" si="5"/>
        <v>4.57</v>
      </c>
      <c r="M90" s="1">
        <v>355</v>
      </c>
      <c r="N90" s="1">
        <v>119</v>
      </c>
      <c r="O90" s="2"/>
      <c r="P90" s="3"/>
      <c r="Q90" s="2"/>
    </row>
    <row r="91" spans="1:17" ht="13.8" x14ac:dyDescent="0.25">
      <c r="A91" s="3">
        <v>11040</v>
      </c>
      <c r="B91" s="3" t="s">
        <v>352</v>
      </c>
      <c r="C91" s="2" t="s">
        <v>353</v>
      </c>
      <c r="D91" s="3" t="s">
        <v>354</v>
      </c>
      <c r="E91" s="2" t="s">
        <v>349</v>
      </c>
      <c r="F91" s="1" t="s">
        <v>18</v>
      </c>
      <c r="G91" s="3">
        <v>1</v>
      </c>
      <c r="H91" s="3" t="s">
        <v>134</v>
      </c>
      <c r="I91" s="3">
        <v>2</v>
      </c>
      <c r="J91" s="3">
        <f>4*60+30</f>
        <v>270</v>
      </c>
      <c r="K91">
        <f t="shared" si="4"/>
        <v>268</v>
      </c>
      <c r="L91">
        <f t="shared" si="5"/>
        <v>4.47</v>
      </c>
      <c r="M91" s="1">
        <v>412</v>
      </c>
      <c r="N91" s="1">
        <v>138</v>
      </c>
      <c r="O91" s="2"/>
      <c r="P91" s="3"/>
      <c r="Q91" s="2"/>
    </row>
    <row r="92" spans="1:17" ht="13.8" x14ac:dyDescent="0.25">
      <c r="A92" s="3">
        <v>11041</v>
      </c>
      <c r="B92" s="3" t="s">
        <v>355</v>
      </c>
      <c r="C92" s="2" t="s">
        <v>356</v>
      </c>
      <c r="D92" s="3" t="s">
        <v>354</v>
      </c>
      <c r="E92" s="2" t="s">
        <v>349</v>
      </c>
      <c r="F92" s="1" t="s">
        <v>18</v>
      </c>
      <c r="G92" s="3">
        <v>1</v>
      </c>
      <c r="H92" s="3" t="s">
        <v>357</v>
      </c>
      <c r="I92" s="3">
        <v>5</v>
      </c>
      <c r="J92" s="3">
        <f>4*60+50</f>
        <v>290</v>
      </c>
      <c r="K92">
        <f t="shared" si="4"/>
        <v>285</v>
      </c>
      <c r="L92">
        <f t="shared" si="5"/>
        <v>4.75</v>
      </c>
      <c r="M92" s="1">
        <v>385</v>
      </c>
      <c r="N92" s="1">
        <v>129</v>
      </c>
      <c r="O92" s="2"/>
      <c r="P92" s="3"/>
      <c r="Q92" s="2"/>
    </row>
    <row r="93" spans="1:17" ht="13.8" x14ac:dyDescent="0.25">
      <c r="A93" s="3">
        <v>11042</v>
      </c>
      <c r="B93" s="3" t="s">
        <v>358</v>
      </c>
      <c r="C93" s="2" t="s">
        <v>359</v>
      </c>
      <c r="D93" s="3" t="s">
        <v>354</v>
      </c>
      <c r="E93" s="2" t="s">
        <v>349</v>
      </c>
      <c r="F93" s="1" t="s">
        <v>18</v>
      </c>
      <c r="G93" s="3">
        <v>1</v>
      </c>
      <c r="H93" s="3" t="s">
        <v>360</v>
      </c>
      <c r="I93" s="3">
        <v>9</v>
      </c>
      <c r="J93" s="3">
        <f>5*60+31</f>
        <v>331</v>
      </c>
      <c r="K93">
        <f t="shared" si="4"/>
        <v>322</v>
      </c>
      <c r="L93">
        <f t="shared" si="5"/>
        <v>5.37</v>
      </c>
      <c r="M93" s="1">
        <v>421</v>
      </c>
      <c r="N93" s="1">
        <v>141</v>
      </c>
      <c r="O93" s="2"/>
      <c r="P93" s="3"/>
      <c r="Q93" s="2"/>
    </row>
    <row r="94" spans="1:17" ht="13.8" x14ac:dyDescent="0.25">
      <c r="A94" s="3">
        <v>11043</v>
      </c>
      <c r="B94" s="3" t="s">
        <v>361</v>
      </c>
      <c r="C94" s="2" t="s">
        <v>362</v>
      </c>
      <c r="D94" s="3" t="s">
        <v>363</v>
      </c>
      <c r="E94" s="2" t="s">
        <v>364</v>
      </c>
      <c r="F94" s="1" t="s">
        <v>18</v>
      </c>
      <c r="G94" s="3">
        <v>1</v>
      </c>
      <c r="H94" s="3" t="s">
        <v>365</v>
      </c>
      <c r="I94" s="3">
        <v>6</v>
      </c>
      <c r="J94" s="3">
        <f>3*60+10</f>
        <v>190</v>
      </c>
      <c r="K94">
        <f t="shared" si="4"/>
        <v>184</v>
      </c>
      <c r="L94">
        <f t="shared" si="5"/>
        <v>3.07</v>
      </c>
      <c r="M94" s="1">
        <v>226</v>
      </c>
      <c r="N94" s="1">
        <v>76</v>
      </c>
      <c r="O94" s="2"/>
      <c r="P94" s="3"/>
      <c r="Q94" s="2"/>
    </row>
    <row r="95" spans="1:17" ht="13.8" x14ac:dyDescent="0.25">
      <c r="A95" s="3">
        <v>11044</v>
      </c>
      <c r="B95" s="3" t="s">
        <v>366</v>
      </c>
      <c r="C95" s="2" t="s">
        <v>367</v>
      </c>
      <c r="D95" s="3" t="s">
        <v>202</v>
      </c>
      <c r="E95" s="2" t="s">
        <v>349</v>
      </c>
      <c r="F95" s="1" t="s">
        <v>18</v>
      </c>
      <c r="G95" s="3">
        <v>1</v>
      </c>
      <c r="H95" s="3" t="s">
        <v>280</v>
      </c>
      <c r="I95" s="3">
        <f>5*60+41</f>
        <v>341</v>
      </c>
      <c r="J95" s="3">
        <f>8*60+59</f>
        <v>539</v>
      </c>
      <c r="K95">
        <f t="shared" si="4"/>
        <v>198</v>
      </c>
      <c r="L95">
        <f t="shared" si="5"/>
        <v>3.3</v>
      </c>
      <c r="M95" s="1">
        <v>243</v>
      </c>
      <c r="N95" s="1">
        <v>81</v>
      </c>
      <c r="O95" s="2"/>
      <c r="P95" s="3"/>
      <c r="Q95" s="2"/>
    </row>
    <row r="96" spans="1:17" ht="13.8" x14ac:dyDescent="0.25">
      <c r="A96" s="3">
        <v>11045</v>
      </c>
      <c r="B96" s="3" t="s">
        <v>368</v>
      </c>
      <c r="C96" s="2" t="s">
        <v>369</v>
      </c>
      <c r="D96" s="3" t="s">
        <v>202</v>
      </c>
      <c r="E96" s="2" t="s">
        <v>224</v>
      </c>
      <c r="F96" s="1" t="s">
        <v>18</v>
      </c>
      <c r="G96" s="3">
        <v>1</v>
      </c>
      <c r="H96" s="3" t="s">
        <v>370</v>
      </c>
      <c r="I96" s="3">
        <v>4</v>
      </c>
      <c r="J96" s="3">
        <f>2*60+21</f>
        <v>141</v>
      </c>
      <c r="K96">
        <f t="shared" si="4"/>
        <v>137</v>
      </c>
      <c r="L96">
        <f t="shared" si="5"/>
        <v>2.2799999999999998</v>
      </c>
      <c r="M96" s="1">
        <v>223</v>
      </c>
      <c r="N96" s="1">
        <v>75</v>
      </c>
      <c r="O96" s="2"/>
      <c r="P96" s="3"/>
      <c r="Q96" s="2"/>
    </row>
    <row r="97" spans="1:21" ht="13.8" x14ac:dyDescent="0.25">
      <c r="A97" s="3">
        <v>11046</v>
      </c>
      <c r="B97" s="3" t="s">
        <v>371</v>
      </c>
      <c r="C97" s="2" t="s">
        <v>372</v>
      </c>
      <c r="D97" s="3" t="s">
        <v>213</v>
      </c>
      <c r="E97" s="2" t="s">
        <v>214</v>
      </c>
      <c r="F97" s="1" t="s">
        <v>18</v>
      </c>
      <c r="G97" s="3">
        <v>1</v>
      </c>
      <c r="H97" s="3" t="s">
        <v>373</v>
      </c>
      <c r="I97" s="3">
        <f>3*60+4</f>
        <v>184</v>
      </c>
      <c r="J97" s="3">
        <f>8*60+41</f>
        <v>521</v>
      </c>
      <c r="K97">
        <f t="shared" si="4"/>
        <v>337</v>
      </c>
      <c r="L97">
        <f t="shared" si="5"/>
        <v>5.62</v>
      </c>
      <c r="M97" s="1">
        <v>502</v>
      </c>
      <c r="N97" s="1">
        <v>168</v>
      </c>
      <c r="O97" s="2"/>
      <c r="P97" s="3"/>
      <c r="Q97" s="2"/>
    </row>
    <row r="98" spans="1:21" ht="13.8" x14ac:dyDescent="0.25">
      <c r="A98" s="3">
        <v>11047</v>
      </c>
      <c r="B98" s="3" t="s">
        <v>374</v>
      </c>
      <c r="C98" s="2" t="s">
        <v>375</v>
      </c>
      <c r="D98" s="3" t="s">
        <v>376</v>
      </c>
      <c r="E98" s="2" t="s">
        <v>377</v>
      </c>
      <c r="F98" s="1" t="s">
        <v>18</v>
      </c>
      <c r="G98" s="3">
        <v>1</v>
      </c>
      <c r="H98" s="3" t="s">
        <v>165</v>
      </c>
      <c r="I98" s="3">
        <v>12</v>
      </c>
      <c r="J98" s="3">
        <f>5*60+55</f>
        <v>355</v>
      </c>
      <c r="K98">
        <f t="shared" ref="K98:K129" si="6">J98-I98</f>
        <v>343</v>
      </c>
      <c r="L98">
        <f t="shared" ref="L98:L129" si="7">ROUND(K98/60,2)</f>
        <v>5.72</v>
      </c>
      <c r="M98" s="1">
        <v>484</v>
      </c>
      <c r="N98" s="1">
        <v>162</v>
      </c>
      <c r="O98" s="2"/>
      <c r="P98" s="3"/>
      <c r="Q98" s="2"/>
    </row>
    <row r="99" spans="1:21" ht="13.8" x14ac:dyDescent="0.25">
      <c r="A99" s="3">
        <v>11048</v>
      </c>
      <c r="B99" s="3" t="s">
        <v>378</v>
      </c>
      <c r="C99" s="2" t="s">
        <v>379</v>
      </c>
      <c r="D99" s="3" t="s">
        <v>380</v>
      </c>
      <c r="E99" s="2" t="s">
        <v>224</v>
      </c>
      <c r="F99" s="1" t="s">
        <v>18</v>
      </c>
      <c r="G99" s="3">
        <v>1</v>
      </c>
      <c r="H99" s="3" t="s">
        <v>381</v>
      </c>
      <c r="I99" s="3">
        <f>2*60+54</f>
        <v>174</v>
      </c>
      <c r="J99" s="3">
        <f>7*60+35</f>
        <v>455</v>
      </c>
      <c r="K99">
        <f t="shared" si="6"/>
        <v>281</v>
      </c>
      <c r="L99">
        <f t="shared" si="7"/>
        <v>4.68</v>
      </c>
      <c r="M99" s="1">
        <v>480</v>
      </c>
      <c r="N99" s="1">
        <v>160</v>
      </c>
      <c r="O99" s="2"/>
      <c r="P99" s="3"/>
      <c r="Q99" s="2"/>
    </row>
    <row r="100" spans="1:21" ht="13.8" x14ac:dyDescent="0.25">
      <c r="A100" s="3">
        <v>11049</v>
      </c>
      <c r="B100" s="3" t="s">
        <v>382</v>
      </c>
      <c r="C100" s="2" t="s">
        <v>383</v>
      </c>
      <c r="D100" s="3" t="s">
        <v>380</v>
      </c>
      <c r="E100" s="2" t="s">
        <v>207</v>
      </c>
      <c r="F100" s="1" t="s">
        <v>18</v>
      </c>
      <c r="G100" s="3">
        <v>1</v>
      </c>
      <c r="H100" s="3" t="s">
        <v>384</v>
      </c>
      <c r="I100" s="3">
        <f>8*60+58</f>
        <v>538</v>
      </c>
      <c r="J100" s="3">
        <f>16*60+18</f>
        <v>978</v>
      </c>
      <c r="K100">
        <f t="shared" si="6"/>
        <v>440</v>
      </c>
      <c r="L100">
        <f t="shared" si="7"/>
        <v>7.33</v>
      </c>
      <c r="M100" s="1">
        <v>683</v>
      </c>
      <c r="N100" s="1">
        <v>228</v>
      </c>
      <c r="O100" s="2"/>
      <c r="P100" s="3"/>
      <c r="Q100" s="2"/>
    </row>
    <row r="101" spans="1:21" ht="13.8" x14ac:dyDescent="0.25">
      <c r="A101" s="4">
        <v>11050</v>
      </c>
      <c r="B101" s="4" t="s">
        <v>385</v>
      </c>
      <c r="C101" s="5" t="s">
        <v>386</v>
      </c>
      <c r="D101" s="4" t="s">
        <v>380</v>
      </c>
      <c r="E101" s="5" t="s">
        <v>207</v>
      </c>
      <c r="F101" s="6" t="s">
        <v>18</v>
      </c>
      <c r="G101" s="4">
        <v>1</v>
      </c>
      <c r="H101" s="4" t="s">
        <v>387</v>
      </c>
      <c r="I101" s="4">
        <v>10</v>
      </c>
      <c r="J101" s="4">
        <f>2*60+14</f>
        <v>134</v>
      </c>
      <c r="K101" s="6">
        <f t="shared" si="6"/>
        <v>124</v>
      </c>
      <c r="L101" s="6">
        <f t="shared" si="7"/>
        <v>2.0699999999999998</v>
      </c>
      <c r="M101" s="6">
        <v>178</v>
      </c>
      <c r="N101" s="6">
        <v>60</v>
      </c>
      <c r="O101" s="5"/>
      <c r="P101" s="4"/>
      <c r="Q101" s="6"/>
      <c r="R101" s="6"/>
      <c r="S101" s="6"/>
      <c r="T101" s="6"/>
      <c r="U101" s="6"/>
    </row>
    <row r="102" spans="1:21" ht="13.8" x14ac:dyDescent="0.25">
      <c r="A102" s="7">
        <v>12001</v>
      </c>
      <c r="B102" s="7" t="s">
        <v>388</v>
      </c>
      <c r="C102" s="8" t="s">
        <v>389</v>
      </c>
      <c r="D102" s="7" t="s">
        <v>32</v>
      </c>
      <c r="E102" s="8" t="s">
        <v>33</v>
      </c>
      <c r="F102" s="9" t="s">
        <v>34</v>
      </c>
      <c r="G102" s="7">
        <v>2</v>
      </c>
      <c r="H102" s="7" t="s">
        <v>391</v>
      </c>
      <c r="I102" s="7">
        <v>76</v>
      </c>
      <c r="J102" s="7">
        <f>5*60+12</f>
        <v>312</v>
      </c>
      <c r="K102" s="9">
        <f t="shared" si="6"/>
        <v>236</v>
      </c>
      <c r="L102" s="9">
        <f t="shared" si="7"/>
        <v>3.93</v>
      </c>
      <c r="M102" s="9">
        <v>349</v>
      </c>
      <c r="N102" s="9">
        <v>88</v>
      </c>
      <c r="O102" s="8"/>
      <c r="P102" s="7"/>
      <c r="Q102" s="8"/>
      <c r="R102" s="9"/>
      <c r="S102" s="9"/>
      <c r="T102" s="9"/>
      <c r="U102" s="9"/>
    </row>
    <row r="103" spans="1:21" ht="13.8" x14ac:dyDescent="0.25">
      <c r="A103" s="3">
        <v>12002</v>
      </c>
      <c r="B103" s="3" t="s">
        <v>392</v>
      </c>
      <c r="C103" s="2" t="s">
        <v>393</v>
      </c>
      <c r="D103" s="3" t="s">
        <v>16</v>
      </c>
      <c r="E103" s="2" t="s">
        <v>394</v>
      </c>
      <c r="F103" s="1" t="s">
        <v>18</v>
      </c>
      <c r="G103" s="3">
        <v>2</v>
      </c>
      <c r="H103" s="3" t="s">
        <v>395</v>
      </c>
      <c r="I103" s="3">
        <v>9</v>
      </c>
      <c r="J103" s="3">
        <f>10*60+12</f>
        <v>612</v>
      </c>
      <c r="K103">
        <f t="shared" si="6"/>
        <v>603</v>
      </c>
      <c r="L103">
        <f t="shared" si="7"/>
        <v>10.050000000000001</v>
      </c>
      <c r="M103" s="1">
        <v>949</v>
      </c>
      <c r="N103" s="1">
        <v>238</v>
      </c>
      <c r="O103" s="2"/>
      <c r="P103" s="3"/>
      <c r="Q103" s="2"/>
    </row>
    <row r="104" spans="1:21" ht="13.8" x14ac:dyDescent="0.25">
      <c r="A104" s="3">
        <v>12003</v>
      </c>
      <c r="B104" s="3" t="s">
        <v>396</v>
      </c>
      <c r="C104" s="2" t="s">
        <v>1419</v>
      </c>
      <c r="D104" s="3" t="s">
        <v>27</v>
      </c>
      <c r="E104" s="2" t="s">
        <v>364</v>
      </c>
      <c r="F104" s="1" t="s">
        <v>18</v>
      </c>
      <c r="G104" s="3">
        <v>2</v>
      </c>
      <c r="H104" s="3" t="s">
        <v>397</v>
      </c>
      <c r="I104" s="3">
        <f>18*60+28</f>
        <v>1108</v>
      </c>
      <c r="J104" s="3">
        <f>27*60+34</f>
        <v>1654</v>
      </c>
      <c r="K104">
        <f t="shared" si="6"/>
        <v>546</v>
      </c>
      <c r="L104">
        <f t="shared" si="7"/>
        <v>9.1</v>
      </c>
      <c r="M104" s="1">
        <v>801</v>
      </c>
      <c r="N104" s="1">
        <v>201</v>
      </c>
      <c r="O104" s="2"/>
      <c r="P104" s="3"/>
      <c r="Q104" s="2"/>
    </row>
    <row r="105" spans="1:21" ht="13.8" x14ac:dyDescent="0.25">
      <c r="A105" s="3">
        <v>12004</v>
      </c>
      <c r="B105" s="3" t="s">
        <v>398</v>
      </c>
      <c r="C105" s="2" t="s">
        <v>399</v>
      </c>
      <c r="D105" s="3" t="s">
        <v>27</v>
      </c>
      <c r="E105" s="2" t="s">
        <v>364</v>
      </c>
      <c r="F105" s="1" t="s">
        <v>18</v>
      </c>
      <c r="G105" s="3">
        <v>2</v>
      </c>
      <c r="H105" s="3" t="s">
        <v>215</v>
      </c>
      <c r="I105" s="3">
        <v>307</v>
      </c>
      <c r="J105" s="3">
        <f>10*60+16</f>
        <v>616</v>
      </c>
      <c r="K105">
        <f t="shared" si="6"/>
        <v>309</v>
      </c>
      <c r="L105">
        <f t="shared" si="7"/>
        <v>5.15</v>
      </c>
      <c r="M105" s="1">
        <v>397</v>
      </c>
      <c r="N105" s="1">
        <v>100</v>
      </c>
      <c r="O105" s="2"/>
      <c r="P105" s="3"/>
    </row>
    <row r="106" spans="1:21" ht="13.8" x14ac:dyDescent="0.25">
      <c r="A106" s="3">
        <v>12005</v>
      </c>
      <c r="B106" s="3" t="s">
        <v>400</v>
      </c>
      <c r="C106" s="2" t="s">
        <v>401</v>
      </c>
      <c r="D106" s="3" t="s">
        <v>402</v>
      </c>
      <c r="E106" s="2" t="s">
        <v>403</v>
      </c>
      <c r="F106" s="1" t="s">
        <v>18</v>
      </c>
      <c r="G106" s="3">
        <v>2</v>
      </c>
      <c r="H106" s="3" t="s">
        <v>404</v>
      </c>
      <c r="I106" s="3">
        <f>4*60+5</f>
        <v>245</v>
      </c>
      <c r="J106" s="3">
        <f>10*60+1</f>
        <v>601</v>
      </c>
      <c r="K106">
        <f t="shared" si="6"/>
        <v>356</v>
      </c>
      <c r="L106">
        <f t="shared" si="7"/>
        <v>5.93</v>
      </c>
      <c r="M106" s="1">
        <v>758</v>
      </c>
      <c r="N106" s="1">
        <v>189</v>
      </c>
      <c r="O106" s="2"/>
      <c r="P106" s="3"/>
      <c r="Q106" s="2"/>
    </row>
    <row r="107" spans="1:21" ht="13.8" x14ac:dyDescent="0.25">
      <c r="A107" s="3">
        <v>12006</v>
      </c>
      <c r="B107" s="3" t="s">
        <v>405</v>
      </c>
      <c r="C107" s="2" t="s">
        <v>406</v>
      </c>
      <c r="D107" s="3" t="s">
        <v>44</v>
      </c>
      <c r="E107" s="2" t="s">
        <v>407</v>
      </c>
      <c r="F107" s="1" t="s">
        <v>18</v>
      </c>
      <c r="G107" s="3">
        <v>2</v>
      </c>
      <c r="H107" s="3" t="s">
        <v>337</v>
      </c>
      <c r="I107" s="3">
        <f>1*60+56</f>
        <v>116</v>
      </c>
      <c r="J107" s="3">
        <f>8*60+25</f>
        <v>505</v>
      </c>
      <c r="K107">
        <f t="shared" si="6"/>
        <v>389</v>
      </c>
      <c r="L107">
        <f t="shared" si="7"/>
        <v>6.48</v>
      </c>
      <c r="M107" s="1">
        <v>485</v>
      </c>
      <c r="N107" s="1">
        <v>122</v>
      </c>
      <c r="O107" s="2"/>
      <c r="P107" s="3"/>
      <c r="Q107" s="2"/>
    </row>
    <row r="108" spans="1:21" ht="13.8" x14ac:dyDescent="0.25">
      <c r="A108" s="3">
        <v>12007</v>
      </c>
      <c r="B108" s="3" t="s">
        <v>408</v>
      </c>
      <c r="C108" s="2" t="s">
        <v>409</v>
      </c>
      <c r="D108" s="3" t="s">
        <v>44</v>
      </c>
      <c r="E108" s="2" t="s">
        <v>224</v>
      </c>
      <c r="F108" s="1" t="s">
        <v>18</v>
      </c>
      <c r="G108" s="3">
        <v>2</v>
      </c>
      <c r="H108" s="3" t="s">
        <v>24</v>
      </c>
      <c r="I108" s="3">
        <f>2*60+27</f>
        <v>147</v>
      </c>
      <c r="J108" s="3">
        <f>7*60+1</f>
        <v>421</v>
      </c>
      <c r="K108">
        <f t="shared" si="6"/>
        <v>274</v>
      </c>
      <c r="L108">
        <f t="shared" si="7"/>
        <v>4.57</v>
      </c>
      <c r="M108" s="1">
        <v>329</v>
      </c>
      <c r="N108" s="1">
        <v>83</v>
      </c>
      <c r="O108" s="2"/>
      <c r="P108" s="3"/>
      <c r="Q108" s="2"/>
    </row>
    <row r="109" spans="1:21" ht="13.8" x14ac:dyDescent="0.25">
      <c r="A109" s="3">
        <v>12008</v>
      </c>
      <c r="B109" s="3" t="s">
        <v>410</v>
      </c>
      <c r="C109" s="2" t="s">
        <v>411</v>
      </c>
      <c r="D109" s="3" t="s">
        <v>49</v>
      </c>
      <c r="E109" s="2" t="s">
        <v>50</v>
      </c>
      <c r="F109" s="1" t="s">
        <v>18</v>
      </c>
      <c r="G109" s="3">
        <v>2</v>
      </c>
      <c r="H109" s="3" t="s">
        <v>412</v>
      </c>
      <c r="I109" s="3">
        <v>3</v>
      </c>
      <c r="J109" s="3">
        <f>8*60+29</f>
        <v>509</v>
      </c>
      <c r="K109">
        <f t="shared" si="6"/>
        <v>506</v>
      </c>
      <c r="L109">
        <f t="shared" si="7"/>
        <v>8.43</v>
      </c>
      <c r="M109" s="1">
        <v>689</v>
      </c>
      <c r="N109" s="1">
        <v>173</v>
      </c>
      <c r="O109" s="2"/>
      <c r="P109" s="3"/>
      <c r="Q109" s="2"/>
    </row>
    <row r="110" spans="1:21" ht="13.8" x14ac:dyDescent="0.25">
      <c r="A110" s="3">
        <v>12009</v>
      </c>
      <c r="B110" s="3" t="s">
        <v>413</v>
      </c>
      <c r="C110" s="2" t="s">
        <v>414</v>
      </c>
      <c r="D110" s="3" t="s">
        <v>49</v>
      </c>
      <c r="E110" s="2" t="s">
        <v>224</v>
      </c>
      <c r="F110" s="1" t="s">
        <v>18</v>
      </c>
      <c r="G110" s="3">
        <v>2</v>
      </c>
      <c r="H110" s="3" t="s">
        <v>415</v>
      </c>
      <c r="I110" s="3">
        <f>6*60+29</f>
        <v>389</v>
      </c>
      <c r="J110" s="3">
        <f>12*60+43</f>
        <v>763</v>
      </c>
      <c r="K110">
        <f t="shared" si="6"/>
        <v>374</v>
      </c>
      <c r="L110">
        <f t="shared" si="7"/>
        <v>6.23</v>
      </c>
      <c r="M110" s="1">
        <v>609</v>
      </c>
      <c r="N110" s="1">
        <v>153</v>
      </c>
      <c r="O110" s="2"/>
      <c r="P110" s="3"/>
      <c r="Q110" s="2"/>
    </row>
    <row r="111" spans="1:21" ht="13.8" x14ac:dyDescent="0.25">
      <c r="A111" s="3">
        <v>12010</v>
      </c>
      <c r="B111" s="3" t="s">
        <v>416</v>
      </c>
      <c r="C111" s="2" t="s">
        <v>417</v>
      </c>
      <c r="D111" s="3" t="s">
        <v>67</v>
      </c>
      <c r="E111" s="2" t="s">
        <v>418</v>
      </c>
      <c r="F111" s="1" t="s">
        <v>18</v>
      </c>
      <c r="G111" s="3">
        <v>2</v>
      </c>
      <c r="H111" s="3" t="s">
        <v>178</v>
      </c>
      <c r="I111" s="3">
        <f>7*60+17</f>
        <v>437</v>
      </c>
      <c r="J111" s="3">
        <f>15*60+36</f>
        <v>936</v>
      </c>
      <c r="K111">
        <f t="shared" si="6"/>
        <v>499</v>
      </c>
      <c r="L111">
        <f t="shared" si="7"/>
        <v>8.32</v>
      </c>
      <c r="M111" s="1">
        <v>841</v>
      </c>
      <c r="N111" s="1">
        <v>211</v>
      </c>
      <c r="O111" s="2"/>
      <c r="P111" s="3"/>
      <c r="Q111" s="2"/>
    </row>
    <row r="112" spans="1:21" ht="13.8" x14ac:dyDescent="0.25">
      <c r="A112" s="3">
        <v>12011</v>
      </c>
      <c r="B112" s="3" t="s">
        <v>419</v>
      </c>
      <c r="C112" s="2" t="s">
        <v>420</v>
      </c>
      <c r="D112" s="3" t="s">
        <v>421</v>
      </c>
      <c r="E112" s="2" t="s">
        <v>422</v>
      </c>
      <c r="F112" s="1" t="s">
        <v>18</v>
      </c>
      <c r="G112" s="3">
        <v>2</v>
      </c>
      <c r="H112" s="3" t="s">
        <v>280</v>
      </c>
      <c r="I112" s="3">
        <v>10</v>
      </c>
      <c r="J112" s="3">
        <f>10*60+16</f>
        <v>616</v>
      </c>
      <c r="K112">
        <f t="shared" si="6"/>
        <v>606</v>
      </c>
      <c r="L112">
        <f t="shared" si="7"/>
        <v>10.1</v>
      </c>
      <c r="M112" s="1">
        <v>981</v>
      </c>
      <c r="N112" s="1">
        <v>246</v>
      </c>
      <c r="O112" s="2"/>
      <c r="P112" s="3"/>
      <c r="Q112" s="2"/>
    </row>
    <row r="113" spans="1:17" ht="13.8" x14ac:dyDescent="0.25">
      <c r="A113" s="3">
        <v>12012</v>
      </c>
      <c r="B113" s="3" t="s">
        <v>423</v>
      </c>
      <c r="C113" s="2" t="s">
        <v>424</v>
      </c>
      <c r="D113" s="3" t="s">
        <v>72</v>
      </c>
      <c r="E113" s="2" t="s">
        <v>73</v>
      </c>
      <c r="F113" s="1" t="s">
        <v>56</v>
      </c>
      <c r="G113" s="3">
        <v>2</v>
      </c>
      <c r="H113" s="3" t="s">
        <v>425</v>
      </c>
      <c r="I113" s="3">
        <v>3</v>
      </c>
      <c r="J113" s="3">
        <f>6*60+28</f>
        <v>388</v>
      </c>
      <c r="K113">
        <f t="shared" si="6"/>
        <v>385</v>
      </c>
      <c r="L113">
        <f t="shared" si="7"/>
        <v>6.42</v>
      </c>
      <c r="M113" s="1">
        <v>553</v>
      </c>
      <c r="N113" s="1">
        <v>139</v>
      </c>
      <c r="O113" s="2"/>
      <c r="P113" s="3"/>
      <c r="Q113" s="2"/>
    </row>
    <row r="114" spans="1:17" ht="13.8" x14ac:dyDescent="0.25">
      <c r="A114" s="3">
        <v>12013</v>
      </c>
      <c r="B114" s="3" t="s">
        <v>426</v>
      </c>
      <c r="C114" s="2" t="s">
        <v>427</v>
      </c>
      <c r="D114" s="3" t="s">
        <v>88</v>
      </c>
      <c r="E114" s="2" t="s">
        <v>428</v>
      </c>
      <c r="F114" s="1" t="s">
        <v>18</v>
      </c>
      <c r="G114" s="3">
        <v>2</v>
      </c>
      <c r="H114" s="3" t="s">
        <v>429</v>
      </c>
      <c r="I114" s="3">
        <f>2*60+38</f>
        <v>158</v>
      </c>
      <c r="J114" s="3">
        <f>10*60+43</f>
        <v>643</v>
      </c>
      <c r="K114">
        <f t="shared" si="6"/>
        <v>485</v>
      </c>
      <c r="L114">
        <f t="shared" si="7"/>
        <v>8.08</v>
      </c>
      <c r="M114" s="1">
        <v>829</v>
      </c>
      <c r="N114" s="1">
        <v>208</v>
      </c>
      <c r="O114" s="2"/>
      <c r="P114" s="3"/>
      <c r="Q114" s="2"/>
    </row>
    <row r="115" spans="1:17" ht="13.8" x14ac:dyDescent="0.25">
      <c r="A115" s="3">
        <v>12014</v>
      </c>
      <c r="B115" s="3" t="s">
        <v>430</v>
      </c>
      <c r="C115" s="2" t="s">
        <v>431</v>
      </c>
      <c r="D115" s="3" t="s">
        <v>88</v>
      </c>
      <c r="E115" s="2" t="s">
        <v>432</v>
      </c>
      <c r="F115" s="1" t="s">
        <v>18</v>
      </c>
      <c r="G115" s="3">
        <v>2</v>
      </c>
      <c r="H115" s="3" t="s">
        <v>165</v>
      </c>
      <c r="I115" s="3">
        <f>17*60+19</f>
        <v>1039</v>
      </c>
      <c r="J115" s="3">
        <f>26*60+22</f>
        <v>1582</v>
      </c>
      <c r="K115">
        <f t="shared" si="6"/>
        <v>543</v>
      </c>
      <c r="L115">
        <f t="shared" si="7"/>
        <v>9.0500000000000007</v>
      </c>
      <c r="M115" s="1">
        <v>972</v>
      </c>
      <c r="N115" s="1">
        <v>243</v>
      </c>
      <c r="P115" s="3"/>
      <c r="Q115" s="2"/>
    </row>
    <row r="116" spans="1:17" ht="13.8" x14ac:dyDescent="0.25">
      <c r="A116" s="3">
        <v>12015</v>
      </c>
      <c r="B116" s="3" t="s">
        <v>433</v>
      </c>
      <c r="C116" s="2" t="s">
        <v>1420</v>
      </c>
      <c r="D116" s="3" t="s">
        <v>261</v>
      </c>
      <c r="E116" s="2" t="s">
        <v>434</v>
      </c>
      <c r="F116" s="1" t="s">
        <v>18</v>
      </c>
      <c r="G116" s="3">
        <v>2</v>
      </c>
      <c r="H116" s="3" t="s">
        <v>195</v>
      </c>
      <c r="I116" s="3">
        <f>4*60+26</f>
        <v>266</v>
      </c>
      <c r="J116" s="3">
        <f>8*60+53</f>
        <v>533</v>
      </c>
      <c r="K116">
        <f t="shared" si="6"/>
        <v>267</v>
      </c>
      <c r="L116">
        <f t="shared" si="7"/>
        <v>4.45</v>
      </c>
      <c r="M116" s="1">
        <v>445</v>
      </c>
      <c r="N116" s="1">
        <v>112</v>
      </c>
      <c r="O116" s="2"/>
      <c r="P116" s="3"/>
      <c r="Q116" s="2"/>
    </row>
    <row r="117" spans="1:17" ht="13.8" x14ac:dyDescent="0.25">
      <c r="A117" s="3">
        <v>12016</v>
      </c>
      <c r="B117" s="3" t="s">
        <v>435</v>
      </c>
      <c r="C117" s="2" t="s">
        <v>436</v>
      </c>
      <c r="D117" s="3" t="s">
        <v>261</v>
      </c>
      <c r="E117" s="2" t="s">
        <v>434</v>
      </c>
      <c r="F117" s="1" t="s">
        <v>18</v>
      </c>
      <c r="G117" s="3">
        <v>2</v>
      </c>
      <c r="H117" s="3" t="s">
        <v>83</v>
      </c>
      <c r="I117" s="3">
        <f>3*60+46</f>
        <v>226</v>
      </c>
      <c r="J117" s="3">
        <f>7*60+43</f>
        <v>463</v>
      </c>
      <c r="K117">
        <f t="shared" si="6"/>
        <v>237</v>
      </c>
      <c r="L117">
        <f t="shared" si="7"/>
        <v>3.95</v>
      </c>
      <c r="M117" s="1">
        <v>368</v>
      </c>
      <c r="N117" s="1">
        <v>92</v>
      </c>
      <c r="O117" s="2"/>
      <c r="P117" s="3"/>
      <c r="Q117" s="2"/>
    </row>
    <row r="118" spans="1:17" ht="13.8" x14ac:dyDescent="0.25">
      <c r="A118" s="3">
        <v>12017</v>
      </c>
      <c r="B118" s="3" t="s">
        <v>437</v>
      </c>
      <c r="C118" s="2" t="s">
        <v>438</v>
      </c>
      <c r="D118" s="3" t="s">
        <v>261</v>
      </c>
      <c r="E118" s="2" t="s">
        <v>434</v>
      </c>
      <c r="F118" s="1" t="s">
        <v>18</v>
      </c>
      <c r="G118" s="3">
        <v>2</v>
      </c>
      <c r="H118" s="3" t="s">
        <v>60</v>
      </c>
      <c r="I118" s="3">
        <v>11</v>
      </c>
      <c r="J118" s="3">
        <f>4*60+8</f>
        <v>248</v>
      </c>
      <c r="K118">
        <f t="shared" si="6"/>
        <v>237</v>
      </c>
      <c r="L118">
        <f t="shared" si="7"/>
        <v>3.95</v>
      </c>
      <c r="M118" s="1">
        <v>329</v>
      </c>
      <c r="N118" s="1">
        <v>83</v>
      </c>
      <c r="O118" s="2"/>
      <c r="P118" s="3"/>
      <c r="Q118" s="2"/>
    </row>
    <row r="119" spans="1:17" ht="13.8" x14ac:dyDescent="0.25">
      <c r="A119" s="3">
        <v>12018</v>
      </c>
      <c r="B119" s="3" t="s">
        <v>439</v>
      </c>
      <c r="C119" s="2" t="s">
        <v>440</v>
      </c>
      <c r="D119" s="3" t="s">
        <v>441</v>
      </c>
      <c r="E119" s="2" t="s">
        <v>442</v>
      </c>
      <c r="F119" s="1" t="s">
        <v>18</v>
      </c>
      <c r="G119" s="3">
        <v>2</v>
      </c>
      <c r="H119" s="3" t="s">
        <v>443</v>
      </c>
      <c r="I119" s="3">
        <f>5*60+5</f>
        <v>305</v>
      </c>
      <c r="J119" s="3">
        <f>13*60+14</f>
        <v>794</v>
      </c>
      <c r="K119">
        <f t="shared" si="6"/>
        <v>489</v>
      </c>
      <c r="L119">
        <f t="shared" si="7"/>
        <v>8.15</v>
      </c>
      <c r="M119" s="1">
        <v>726</v>
      </c>
      <c r="N119" s="1">
        <v>182</v>
      </c>
      <c r="O119" s="2"/>
      <c r="P119" s="3"/>
      <c r="Q119" s="2"/>
    </row>
    <row r="120" spans="1:17" ht="13.8" x14ac:dyDescent="0.25">
      <c r="A120" s="3">
        <v>12019</v>
      </c>
      <c r="B120" s="3" t="s">
        <v>444</v>
      </c>
      <c r="C120" s="2" t="s">
        <v>445</v>
      </c>
      <c r="D120" s="3" t="s">
        <v>441</v>
      </c>
      <c r="E120" s="2" t="s">
        <v>442</v>
      </c>
      <c r="F120" s="1" t="s">
        <v>18</v>
      </c>
      <c r="G120" s="3">
        <v>2</v>
      </c>
      <c r="H120" s="3" t="s">
        <v>412</v>
      </c>
      <c r="I120" s="3">
        <f>60+48</f>
        <v>108</v>
      </c>
      <c r="J120" s="3">
        <f>7*60+8</f>
        <v>428</v>
      </c>
      <c r="K120">
        <f t="shared" si="6"/>
        <v>320</v>
      </c>
      <c r="L120">
        <f t="shared" si="7"/>
        <v>5.33</v>
      </c>
      <c r="M120" s="1">
        <v>409</v>
      </c>
      <c r="N120" s="1">
        <v>103</v>
      </c>
      <c r="O120" s="2"/>
      <c r="P120" s="3"/>
    </row>
    <row r="121" spans="1:17" ht="13.8" x14ac:dyDescent="0.25">
      <c r="A121" s="3">
        <v>12020</v>
      </c>
      <c r="B121" s="3" t="s">
        <v>446</v>
      </c>
      <c r="C121" s="2" t="s">
        <v>447</v>
      </c>
      <c r="D121" s="3" t="s">
        <v>128</v>
      </c>
      <c r="E121" s="2" t="s">
        <v>129</v>
      </c>
      <c r="F121" s="1" t="s">
        <v>34</v>
      </c>
      <c r="G121" s="3">
        <v>2</v>
      </c>
      <c r="H121" s="3" t="s">
        <v>448</v>
      </c>
      <c r="I121" s="3">
        <v>5</v>
      </c>
      <c r="J121" s="3">
        <f>5*60+30</f>
        <v>330</v>
      </c>
      <c r="K121">
        <f t="shared" si="6"/>
        <v>325</v>
      </c>
      <c r="L121">
        <f t="shared" si="7"/>
        <v>5.42</v>
      </c>
      <c r="M121" s="1">
        <v>609</v>
      </c>
      <c r="N121" s="1">
        <v>153</v>
      </c>
      <c r="O121" s="2"/>
      <c r="P121" s="3"/>
      <c r="Q121" s="2"/>
    </row>
    <row r="122" spans="1:17" ht="13.8" x14ac:dyDescent="0.25">
      <c r="A122" s="3">
        <v>12021</v>
      </c>
      <c r="B122" s="3" t="s">
        <v>449</v>
      </c>
      <c r="C122" s="2" t="s">
        <v>450</v>
      </c>
      <c r="D122" s="3" t="s">
        <v>128</v>
      </c>
      <c r="E122" s="2" t="s">
        <v>129</v>
      </c>
      <c r="F122" s="1" t="s">
        <v>34</v>
      </c>
      <c r="G122" s="3">
        <v>2</v>
      </c>
      <c r="H122" s="3" t="s">
        <v>415</v>
      </c>
      <c r="I122" s="3">
        <f>3*60+36</f>
        <v>216</v>
      </c>
      <c r="J122" s="3">
        <f>11*60</f>
        <v>660</v>
      </c>
      <c r="K122">
        <f t="shared" si="6"/>
        <v>444</v>
      </c>
      <c r="L122">
        <f t="shared" si="7"/>
        <v>7.4</v>
      </c>
      <c r="M122" s="1">
        <v>799</v>
      </c>
      <c r="N122" s="1">
        <v>200</v>
      </c>
      <c r="O122" s="2"/>
      <c r="P122" s="3"/>
      <c r="Q122" s="2"/>
    </row>
    <row r="123" spans="1:17" ht="13.8" x14ac:dyDescent="0.25">
      <c r="A123" s="3">
        <v>12022</v>
      </c>
      <c r="B123" s="3" t="s">
        <v>451</v>
      </c>
      <c r="C123" s="2" t="s">
        <v>452</v>
      </c>
      <c r="D123" s="3" t="s">
        <v>140</v>
      </c>
      <c r="E123" s="2" t="s">
        <v>141</v>
      </c>
      <c r="F123" s="1" t="s">
        <v>34</v>
      </c>
      <c r="G123" s="3">
        <v>2</v>
      </c>
      <c r="H123" s="3" t="s">
        <v>453</v>
      </c>
      <c r="I123" s="3">
        <v>9</v>
      </c>
      <c r="J123" s="3">
        <f>4*60</f>
        <v>240</v>
      </c>
      <c r="K123">
        <f t="shared" si="6"/>
        <v>231</v>
      </c>
      <c r="L123">
        <f t="shared" si="7"/>
        <v>3.85</v>
      </c>
      <c r="M123" s="1">
        <v>377</v>
      </c>
      <c r="N123" s="1">
        <v>95</v>
      </c>
      <c r="O123" s="2"/>
      <c r="P123" s="3"/>
    </row>
    <row r="124" spans="1:17" ht="13.8" x14ac:dyDescent="0.25">
      <c r="A124" s="3">
        <v>12023</v>
      </c>
      <c r="B124" s="3" t="s">
        <v>454</v>
      </c>
      <c r="C124" s="2" t="s">
        <v>455</v>
      </c>
      <c r="D124" s="3" t="s">
        <v>278</v>
      </c>
      <c r="E124" s="2" t="s">
        <v>279</v>
      </c>
      <c r="F124" s="1" t="s">
        <v>18</v>
      </c>
      <c r="G124" s="3">
        <v>2</v>
      </c>
      <c r="H124" s="3" t="s">
        <v>316</v>
      </c>
      <c r="I124" s="3">
        <v>480</v>
      </c>
      <c r="J124" s="3">
        <f>22*60+8</f>
        <v>1328</v>
      </c>
      <c r="K124">
        <f t="shared" si="6"/>
        <v>848</v>
      </c>
      <c r="L124">
        <f t="shared" si="7"/>
        <v>14.13</v>
      </c>
      <c r="M124" s="1">
        <v>1325</v>
      </c>
      <c r="N124" s="1">
        <v>332</v>
      </c>
      <c r="O124" s="2"/>
      <c r="P124" s="3"/>
      <c r="Q124" s="2"/>
    </row>
    <row r="125" spans="1:17" ht="13.8" x14ac:dyDescent="0.25">
      <c r="A125" s="3">
        <v>12024</v>
      </c>
      <c r="B125" s="3" t="s">
        <v>456</v>
      </c>
      <c r="C125" s="2" t="s">
        <v>457</v>
      </c>
      <c r="D125" s="3" t="s">
        <v>149</v>
      </c>
      <c r="E125" s="2" t="s">
        <v>458</v>
      </c>
      <c r="F125" s="1" t="s">
        <v>18</v>
      </c>
      <c r="G125" s="3">
        <v>2</v>
      </c>
      <c r="H125" s="3" t="s">
        <v>173</v>
      </c>
      <c r="I125" s="3">
        <v>1</v>
      </c>
      <c r="J125" s="3">
        <f>5*60+6</f>
        <v>306</v>
      </c>
      <c r="K125">
        <f t="shared" si="6"/>
        <v>305</v>
      </c>
      <c r="L125">
        <f t="shared" si="7"/>
        <v>5.08</v>
      </c>
      <c r="M125" s="1">
        <v>505</v>
      </c>
      <c r="N125" s="1">
        <v>127</v>
      </c>
      <c r="O125" s="2"/>
      <c r="P125" s="3"/>
      <c r="Q125" s="2"/>
    </row>
    <row r="126" spans="1:17" ht="13.8" x14ac:dyDescent="0.25">
      <c r="A126" s="3">
        <v>12025</v>
      </c>
      <c r="B126" s="3" t="s">
        <v>459</v>
      </c>
      <c r="C126" s="2" t="s">
        <v>460</v>
      </c>
      <c r="D126" s="3" t="s">
        <v>287</v>
      </c>
      <c r="E126" s="2" t="s">
        <v>50</v>
      </c>
      <c r="F126" s="1" t="s">
        <v>18</v>
      </c>
      <c r="G126" s="3">
        <v>2</v>
      </c>
      <c r="H126" s="3" t="s">
        <v>188</v>
      </c>
      <c r="I126" s="3">
        <v>1</v>
      </c>
      <c r="J126" s="3">
        <f>60+56</f>
        <v>116</v>
      </c>
      <c r="K126">
        <f t="shared" si="6"/>
        <v>115</v>
      </c>
      <c r="L126">
        <f t="shared" si="7"/>
        <v>1.92</v>
      </c>
      <c r="M126" s="1">
        <v>241</v>
      </c>
      <c r="N126" s="1">
        <v>61</v>
      </c>
      <c r="O126" s="2"/>
      <c r="P126" s="3"/>
      <c r="Q126" s="2"/>
    </row>
    <row r="127" spans="1:17" ht="13.8" x14ac:dyDescent="0.25">
      <c r="A127" s="3">
        <v>12026</v>
      </c>
      <c r="B127" s="3" t="s">
        <v>461</v>
      </c>
      <c r="C127" s="2" t="s">
        <v>462</v>
      </c>
      <c r="D127" s="3" t="s">
        <v>463</v>
      </c>
      <c r="E127" s="2" t="s">
        <v>464</v>
      </c>
      <c r="F127" s="1" t="s">
        <v>18</v>
      </c>
      <c r="G127" s="3">
        <v>2</v>
      </c>
      <c r="H127" s="3" t="s">
        <v>465</v>
      </c>
      <c r="I127" s="3">
        <v>1</v>
      </c>
      <c r="J127" s="3">
        <f>4*60+30</f>
        <v>270</v>
      </c>
      <c r="K127">
        <f t="shared" si="6"/>
        <v>269</v>
      </c>
      <c r="L127">
        <f t="shared" si="7"/>
        <v>4.4800000000000004</v>
      </c>
      <c r="M127" s="1">
        <v>385</v>
      </c>
      <c r="N127" s="1">
        <v>97</v>
      </c>
      <c r="O127" s="2"/>
      <c r="P127" s="3"/>
      <c r="Q127" s="2"/>
    </row>
    <row r="128" spans="1:17" ht="13.8" x14ac:dyDescent="0.25">
      <c r="A128" s="3">
        <v>12027</v>
      </c>
      <c r="B128" s="3" t="s">
        <v>466</v>
      </c>
      <c r="C128" s="2" t="s">
        <v>467</v>
      </c>
      <c r="D128" s="3" t="s">
        <v>468</v>
      </c>
      <c r="E128" s="2" t="s">
        <v>469</v>
      </c>
      <c r="F128" s="1" t="s">
        <v>18</v>
      </c>
      <c r="G128" s="3">
        <v>2</v>
      </c>
      <c r="H128" s="3" t="s">
        <v>178</v>
      </c>
      <c r="I128" s="3">
        <f>16*60+46</f>
        <v>1006</v>
      </c>
      <c r="J128" s="3">
        <f>23*60+6</f>
        <v>1386</v>
      </c>
      <c r="K128">
        <f t="shared" si="6"/>
        <v>380</v>
      </c>
      <c r="L128">
        <f t="shared" si="7"/>
        <v>6.33</v>
      </c>
      <c r="M128" s="1">
        <v>549</v>
      </c>
      <c r="N128" s="1">
        <v>138</v>
      </c>
      <c r="O128" s="2"/>
      <c r="P128" s="3"/>
      <c r="Q128" s="2"/>
    </row>
    <row r="129" spans="1:17" ht="13.8" x14ac:dyDescent="0.25">
      <c r="A129" s="3">
        <v>12028</v>
      </c>
      <c r="B129" s="3" t="s">
        <v>470</v>
      </c>
      <c r="C129" s="2" t="s">
        <v>471</v>
      </c>
      <c r="D129" s="3" t="s">
        <v>176</v>
      </c>
      <c r="E129" s="2" t="s">
        <v>472</v>
      </c>
      <c r="F129" s="1" t="s">
        <v>18</v>
      </c>
      <c r="G129" s="3">
        <v>2</v>
      </c>
      <c r="H129" s="3" t="s">
        <v>473</v>
      </c>
      <c r="I129" s="3">
        <f>13*60+39</f>
        <v>819</v>
      </c>
      <c r="J129" s="3">
        <f>22*60+48</f>
        <v>1368</v>
      </c>
      <c r="K129">
        <f t="shared" si="6"/>
        <v>549</v>
      </c>
      <c r="L129">
        <f t="shared" si="7"/>
        <v>9.15</v>
      </c>
      <c r="M129" s="1">
        <v>825</v>
      </c>
      <c r="N129" s="1">
        <v>207</v>
      </c>
      <c r="O129" s="2"/>
      <c r="P129" s="3"/>
      <c r="Q129" s="2"/>
    </row>
    <row r="130" spans="1:17" ht="13.8" x14ac:dyDescent="0.25">
      <c r="A130" s="3">
        <v>12029</v>
      </c>
      <c r="B130" s="3" t="s">
        <v>474</v>
      </c>
      <c r="C130" s="2" t="s">
        <v>475</v>
      </c>
      <c r="D130" s="3" t="s">
        <v>176</v>
      </c>
      <c r="E130" s="2" t="s">
        <v>177</v>
      </c>
      <c r="F130" s="1" t="s">
        <v>18</v>
      </c>
      <c r="G130" s="3">
        <v>2</v>
      </c>
      <c r="H130" s="3" t="s">
        <v>120</v>
      </c>
      <c r="I130" s="3">
        <v>54</v>
      </c>
      <c r="J130" s="3">
        <f>7*60+33</f>
        <v>453</v>
      </c>
      <c r="K130">
        <f t="shared" ref="K130:K161" si="8">J130-I130</f>
        <v>399</v>
      </c>
      <c r="L130">
        <f t="shared" ref="L130:L161" si="9">ROUND(K130/60,2)</f>
        <v>6.65</v>
      </c>
      <c r="M130" s="1">
        <v>621</v>
      </c>
      <c r="N130" s="1">
        <v>156</v>
      </c>
      <c r="O130" s="2"/>
      <c r="P130" s="3"/>
      <c r="Q130" s="2"/>
    </row>
    <row r="131" spans="1:17" ht="13.8" x14ac:dyDescent="0.25">
      <c r="A131" s="3">
        <v>12030</v>
      </c>
      <c r="B131" s="3" t="s">
        <v>476</v>
      </c>
      <c r="C131" s="2" t="s">
        <v>477</v>
      </c>
      <c r="D131" s="3" t="s">
        <v>478</v>
      </c>
      <c r="E131" s="2" t="s">
        <v>479</v>
      </c>
      <c r="F131" s="1" t="s">
        <v>18</v>
      </c>
      <c r="G131" s="3">
        <v>2</v>
      </c>
      <c r="H131" s="3" t="s">
        <v>480</v>
      </c>
      <c r="I131" s="3">
        <f>23*60+9</f>
        <v>1389</v>
      </c>
      <c r="J131" s="3">
        <f>29*60+41</f>
        <v>1781</v>
      </c>
      <c r="K131">
        <f t="shared" si="8"/>
        <v>392</v>
      </c>
      <c r="L131">
        <f t="shared" si="9"/>
        <v>6.53</v>
      </c>
      <c r="M131" s="1">
        <v>741</v>
      </c>
      <c r="N131" s="1">
        <v>186</v>
      </c>
      <c r="O131" s="2"/>
      <c r="P131" s="3"/>
      <c r="Q131" s="2"/>
    </row>
    <row r="132" spans="1:17" ht="13.8" x14ac:dyDescent="0.25">
      <c r="A132" s="3">
        <v>12031</v>
      </c>
      <c r="B132" s="3" t="s">
        <v>481</v>
      </c>
      <c r="C132" s="2" t="s">
        <v>482</v>
      </c>
      <c r="D132" s="3" t="s">
        <v>478</v>
      </c>
      <c r="E132" s="2" t="s">
        <v>479</v>
      </c>
      <c r="F132" s="1" t="s">
        <v>18</v>
      </c>
      <c r="G132" s="3">
        <v>2</v>
      </c>
      <c r="H132" s="3" t="s">
        <v>483</v>
      </c>
      <c r="I132" s="3">
        <v>12</v>
      </c>
      <c r="J132" s="3">
        <f>4*60+42</f>
        <v>282</v>
      </c>
      <c r="K132">
        <f t="shared" si="8"/>
        <v>270</v>
      </c>
      <c r="L132">
        <f t="shared" si="9"/>
        <v>4.5</v>
      </c>
      <c r="M132" s="1">
        <v>525</v>
      </c>
      <c r="N132" s="1">
        <v>132</v>
      </c>
      <c r="O132" s="2"/>
      <c r="P132" s="3"/>
      <c r="Q132" s="2"/>
    </row>
    <row r="133" spans="1:17" ht="13.8" x14ac:dyDescent="0.25">
      <c r="A133" s="3">
        <v>12032</v>
      </c>
      <c r="B133" s="3" t="s">
        <v>484</v>
      </c>
      <c r="C133" s="2" t="s">
        <v>485</v>
      </c>
      <c r="D133" s="3" t="s">
        <v>486</v>
      </c>
      <c r="E133" s="2" t="s">
        <v>487</v>
      </c>
      <c r="F133" s="1" t="s">
        <v>18</v>
      </c>
      <c r="G133" s="3">
        <v>2</v>
      </c>
      <c r="H133" s="3" t="s">
        <v>384</v>
      </c>
      <c r="I133" s="3">
        <v>72</v>
      </c>
      <c r="J133" s="3">
        <f>7*60+41</f>
        <v>461</v>
      </c>
      <c r="K133">
        <f t="shared" si="8"/>
        <v>389</v>
      </c>
      <c r="L133">
        <f t="shared" si="9"/>
        <v>6.48</v>
      </c>
      <c r="M133" s="1">
        <v>501</v>
      </c>
      <c r="N133" s="1">
        <v>126</v>
      </c>
      <c r="O133" s="2"/>
      <c r="P133" s="3"/>
      <c r="Q133" s="2"/>
    </row>
    <row r="134" spans="1:17" ht="13.8" x14ac:dyDescent="0.25">
      <c r="A134" s="3">
        <v>12033</v>
      </c>
      <c r="B134" s="3" t="s">
        <v>488</v>
      </c>
      <c r="C134" s="2" t="s">
        <v>489</v>
      </c>
      <c r="D134" s="3" t="s">
        <v>299</v>
      </c>
      <c r="E134" s="2" t="s">
        <v>300</v>
      </c>
      <c r="F134" s="1" t="s">
        <v>18</v>
      </c>
      <c r="G134" s="3">
        <v>2</v>
      </c>
      <c r="H134" s="3" t="s">
        <v>490</v>
      </c>
      <c r="I134" s="3">
        <v>8</v>
      </c>
      <c r="J134" s="3">
        <f>4*60+6</f>
        <v>246</v>
      </c>
      <c r="K134">
        <f t="shared" si="8"/>
        <v>238</v>
      </c>
      <c r="L134">
        <f t="shared" si="9"/>
        <v>3.97</v>
      </c>
      <c r="M134" s="1">
        <v>365</v>
      </c>
      <c r="N134" s="1">
        <v>92</v>
      </c>
      <c r="O134" s="2"/>
      <c r="P134" s="3"/>
      <c r="Q134" s="2"/>
    </row>
    <row r="135" spans="1:17" ht="13.8" x14ac:dyDescent="0.25">
      <c r="A135" s="3">
        <v>12034</v>
      </c>
      <c r="B135" s="3" t="s">
        <v>491</v>
      </c>
      <c r="C135" s="2" t="s">
        <v>492</v>
      </c>
      <c r="D135" s="3" t="s">
        <v>335</v>
      </c>
      <c r="E135" s="2" t="s">
        <v>339</v>
      </c>
      <c r="F135" s="1" t="s">
        <v>18</v>
      </c>
      <c r="G135" s="3">
        <v>2</v>
      </c>
      <c r="H135" s="3" t="s">
        <v>493</v>
      </c>
      <c r="I135" s="3">
        <f>4*60+32</f>
        <v>272</v>
      </c>
      <c r="J135" s="3">
        <f>15*60+22</f>
        <v>922</v>
      </c>
      <c r="K135">
        <f t="shared" si="8"/>
        <v>650</v>
      </c>
      <c r="L135">
        <f t="shared" si="9"/>
        <v>10.83</v>
      </c>
      <c r="M135" s="1">
        <v>969</v>
      </c>
      <c r="N135" s="1">
        <v>243</v>
      </c>
      <c r="O135" s="2"/>
      <c r="P135" s="3"/>
      <c r="Q135" s="2"/>
    </row>
    <row r="136" spans="1:17" ht="13.8" x14ac:dyDescent="0.25">
      <c r="A136" s="3">
        <v>12035</v>
      </c>
      <c r="B136" s="3" t="s">
        <v>494</v>
      </c>
      <c r="C136" s="2" t="s">
        <v>495</v>
      </c>
      <c r="D136" s="3" t="s">
        <v>344</v>
      </c>
      <c r="E136" s="2" t="s">
        <v>345</v>
      </c>
      <c r="F136" s="1" t="s">
        <v>18</v>
      </c>
      <c r="G136" s="3">
        <v>2</v>
      </c>
      <c r="H136" s="3" t="s">
        <v>165</v>
      </c>
      <c r="I136" s="3">
        <f>19*60+26</f>
        <v>1166</v>
      </c>
      <c r="J136" s="3">
        <f>26*60+30</f>
        <v>1590</v>
      </c>
      <c r="K136">
        <f t="shared" si="8"/>
        <v>424</v>
      </c>
      <c r="L136">
        <f t="shared" si="9"/>
        <v>7.07</v>
      </c>
      <c r="M136" s="1">
        <v>633</v>
      </c>
      <c r="N136" s="1">
        <v>159</v>
      </c>
      <c r="O136" s="2"/>
      <c r="P136" s="3"/>
      <c r="Q136" s="2"/>
    </row>
    <row r="137" spans="1:17" ht="13.8" x14ac:dyDescent="0.25">
      <c r="A137" s="3">
        <v>12036</v>
      </c>
      <c r="B137" s="3" t="s">
        <v>496</v>
      </c>
      <c r="C137" s="2" t="s">
        <v>497</v>
      </c>
      <c r="D137" s="3" t="s">
        <v>344</v>
      </c>
      <c r="E137" s="2" t="s">
        <v>345</v>
      </c>
      <c r="F137" s="1" t="s">
        <v>18</v>
      </c>
      <c r="G137" s="3">
        <v>2</v>
      </c>
      <c r="H137" s="3" t="s">
        <v>221</v>
      </c>
      <c r="I137" s="3">
        <v>9</v>
      </c>
      <c r="J137" s="3">
        <f>7*60+34</f>
        <v>454</v>
      </c>
      <c r="K137">
        <f t="shared" si="8"/>
        <v>445</v>
      </c>
      <c r="L137">
        <f t="shared" si="9"/>
        <v>7.42</v>
      </c>
      <c r="M137" s="1">
        <v>580</v>
      </c>
      <c r="N137" s="1">
        <v>145</v>
      </c>
      <c r="O137" s="2"/>
      <c r="P137" s="3"/>
      <c r="Q137" s="2"/>
    </row>
    <row r="138" spans="1:17" ht="13.8" x14ac:dyDescent="0.25">
      <c r="A138" s="3">
        <v>12037</v>
      </c>
      <c r="B138" s="3" t="s">
        <v>498</v>
      </c>
      <c r="C138" s="2" t="s">
        <v>499</v>
      </c>
      <c r="D138" s="3" t="s">
        <v>363</v>
      </c>
      <c r="E138" s="2" t="s">
        <v>500</v>
      </c>
      <c r="F138" s="1" t="s">
        <v>18</v>
      </c>
      <c r="G138" s="3">
        <v>2</v>
      </c>
      <c r="H138" s="3" t="s">
        <v>501</v>
      </c>
      <c r="I138" s="3">
        <f>4*60+19</f>
        <v>259</v>
      </c>
      <c r="J138" s="3">
        <f>13*60+58</f>
        <v>838</v>
      </c>
      <c r="K138">
        <f t="shared" si="8"/>
        <v>579</v>
      </c>
      <c r="L138">
        <f t="shared" si="9"/>
        <v>9.65</v>
      </c>
      <c r="M138" s="1">
        <v>805</v>
      </c>
      <c r="N138" s="1">
        <v>202</v>
      </c>
      <c r="O138" s="2"/>
      <c r="P138" s="3"/>
      <c r="Q138" s="2"/>
    </row>
    <row r="139" spans="1:17" ht="13.8" x14ac:dyDescent="0.25">
      <c r="A139" s="3">
        <v>12038</v>
      </c>
      <c r="B139" s="3" t="s">
        <v>502</v>
      </c>
      <c r="C139" s="2" t="s">
        <v>503</v>
      </c>
      <c r="D139" s="3" t="s">
        <v>197</v>
      </c>
      <c r="E139" s="2" t="s">
        <v>198</v>
      </c>
      <c r="F139" s="1" t="s">
        <v>18</v>
      </c>
      <c r="G139" s="3">
        <v>2</v>
      </c>
      <c r="H139" s="3" t="s">
        <v>504</v>
      </c>
      <c r="I139" s="3">
        <f>5*60+3</f>
        <v>303</v>
      </c>
      <c r="J139" s="3">
        <f>14*60+20</f>
        <v>860</v>
      </c>
      <c r="K139">
        <f t="shared" si="8"/>
        <v>557</v>
      </c>
      <c r="L139">
        <f t="shared" si="9"/>
        <v>9.2799999999999994</v>
      </c>
      <c r="M139" s="1">
        <v>713</v>
      </c>
      <c r="N139" s="1">
        <v>179</v>
      </c>
      <c r="O139" s="2"/>
      <c r="P139" s="3"/>
      <c r="Q139" s="2"/>
    </row>
    <row r="140" spans="1:17" ht="13.8" x14ac:dyDescent="0.25">
      <c r="A140" s="3">
        <v>12039</v>
      </c>
      <c r="B140" s="3" t="s">
        <v>505</v>
      </c>
      <c r="C140" s="2" t="s">
        <v>506</v>
      </c>
      <c r="D140" s="3" t="s">
        <v>197</v>
      </c>
      <c r="E140" s="2" t="s">
        <v>507</v>
      </c>
      <c r="F140" s="1" t="s">
        <v>18</v>
      </c>
      <c r="G140" s="3">
        <v>2</v>
      </c>
      <c r="H140" s="3" t="s">
        <v>429</v>
      </c>
      <c r="I140" s="3">
        <v>2</v>
      </c>
      <c r="J140" s="3">
        <f>10*60+23</f>
        <v>623</v>
      </c>
      <c r="K140">
        <f t="shared" si="8"/>
        <v>621</v>
      </c>
      <c r="L140">
        <f t="shared" si="9"/>
        <v>10.35</v>
      </c>
      <c r="M140" s="1">
        <v>825</v>
      </c>
      <c r="N140" s="1">
        <v>207</v>
      </c>
      <c r="O140" s="2"/>
      <c r="P140" s="3"/>
      <c r="Q140" s="2"/>
    </row>
    <row r="141" spans="1:17" ht="13.8" x14ac:dyDescent="0.25">
      <c r="A141" s="3">
        <v>12040</v>
      </c>
      <c r="B141" s="3" t="s">
        <v>508</v>
      </c>
      <c r="C141" s="2" t="s">
        <v>509</v>
      </c>
      <c r="D141" s="3" t="s">
        <v>197</v>
      </c>
      <c r="E141" s="2" t="s">
        <v>510</v>
      </c>
      <c r="F141" s="1" t="s">
        <v>18</v>
      </c>
      <c r="G141" s="3">
        <v>2</v>
      </c>
      <c r="H141" s="3" t="s">
        <v>501</v>
      </c>
      <c r="I141" s="3">
        <f>6*60+19</f>
        <v>379</v>
      </c>
      <c r="J141" s="3">
        <f>17*60+54</f>
        <v>1074</v>
      </c>
      <c r="K141">
        <f t="shared" si="8"/>
        <v>695</v>
      </c>
      <c r="L141">
        <f t="shared" si="9"/>
        <v>11.58</v>
      </c>
      <c r="M141" s="1">
        <v>989</v>
      </c>
      <c r="N141" s="1">
        <v>248</v>
      </c>
      <c r="O141" s="2"/>
      <c r="P141" s="3"/>
      <c r="Q141" s="2"/>
    </row>
    <row r="142" spans="1:17" ht="13.8" x14ac:dyDescent="0.25">
      <c r="A142" s="3">
        <v>12041</v>
      </c>
      <c r="B142" s="3" t="s">
        <v>511</v>
      </c>
      <c r="C142" s="2" t="s">
        <v>512</v>
      </c>
      <c r="D142" s="3" t="s">
        <v>197</v>
      </c>
      <c r="E142" s="2" t="s">
        <v>510</v>
      </c>
      <c r="F142" s="1" t="s">
        <v>18</v>
      </c>
      <c r="G142" s="3">
        <v>2</v>
      </c>
      <c r="H142" s="3" t="s">
        <v>513</v>
      </c>
      <c r="I142" s="3">
        <f>8*60+48</f>
        <v>528</v>
      </c>
      <c r="J142" s="3">
        <f>23*60+9</f>
        <v>1389</v>
      </c>
      <c r="K142">
        <f t="shared" si="8"/>
        <v>861</v>
      </c>
      <c r="L142">
        <f t="shared" si="9"/>
        <v>14.35</v>
      </c>
      <c r="M142" s="1">
        <v>1225</v>
      </c>
      <c r="N142" s="1">
        <v>307</v>
      </c>
      <c r="O142" s="2"/>
      <c r="P142" s="3"/>
      <c r="Q142" s="2"/>
    </row>
    <row r="143" spans="1:17" ht="13.8" x14ac:dyDescent="0.25">
      <c r="A143" s="3">
        <v>12042</v>
      </c>
      <c r="B143" s="3" t="s">
        <v>514</v>
      </c>
      <c r="C143" s="2" t="s">
        <v>515</v>
      </c>
      <c r="D143" s="3" t="s">
        <v>202</v>
      </c>
      <c r="E143" s="2" t="s">
        <v>349</v>
      </c>
      <c r="F143" s="1" t="s">
        <v>18</v>
      </c>
      <c r="G143" s="3">
        <v>2</v>
      </c>
      <c r="H143" s="3" t="s">
        <v>415</v>
      </c>
      <c r="I143" s="3">
        <v>22</v>
      </c>
      <c r="J143" s="3">
        <f>8*60+21</f>
        <v>501</v>
      </c>
      <c r="K143">
        <f t="shared" si="8"/>
        <v>479</v>
      </c>
      <c r="L143">
        <f t="shared" si="9"/>
        <v>7.98</v>
      </c>
      <c r="M143" s="1">
        <v>697</v>
      </c>
      <c r="N143" s="1">
        <v>175</v>
      </c>
      <c r="O143" s="2"/>
      <c r="P143" s="3"/>
      <c r="Q143" s="2"/>
    </row>
    <row r="144" spans="1:17" ht="13.8" x14ac:dyDescent="0.25">
      <c r="A144" s="3">
        <v>12043</v>
      </c>
      <c r="B144" s="3" t="s">
        <v>516</v>
      </c>
      <c r="C144" s="2" t="s">
        <v>517</v>
      </c>
      <c r="D144" s="3" t="s">
        <v>202</v>
      </c>
      <c r="E144" s="2" t="s">
        <v>224</v>
      </c>
      <c r="F144" s="1" t="s">
        <v>18</v>
      </c>
      <c r="G144" s="3">
        <v>2</v>
      </c>
      <c r="H144" s="3" t="s">
        <v>337</v>
      </c>
      <c r="I144" s="3">
        <f>5*60+23</f>
        <v>323</v>
      </c>
      <c r="J144" s="3">
        <f>13*60+2</f>
        <v>782</v>
      </c>
      <c r="K144">
        <f t="shared" si="8"/>
        <v>459</v>
      </c>
      <c r="L144">
        <f t="shared" si="9"/>
        <v>7.65</v>
      </c>
      <c r="M144" s="1">
        <v>557</v>
      </c>
      <c r="N144" s="1">
        <v>140</v>
      </c>
      <c r="O144" s="2"/>
      <c r="P144" s="3"/>
      <c r="Q144" s="2"/>
    </row>
    <row r="145" spans="1:21" ht="13.8" x14ac:dyDescent="0.25">
      <c r="A145" s="3">
        <v>12044</v>
      </c>
      <c r="B145" s="3" t="s">
        <v>518</v>
      </c>
      <c r="C145" s="2" t="s">
        <v>519</v>
      </c>
      <c r="D145" s="3" t="s">
        <v>202</v>
      </c>
      <c r="E145" s="2" t="s">
        <v>207</v>
      </c>
      <c r="F145" s="1" t="s">
        <v>18</v>
      </c>
      <c r="G145" s="3">
        <v>2</v>
      </c>
      <c r="H145" s="3" t="s">
        <v>397</v>
      </c>
      <c r="I145" s="3">
        <v>16</v>
      </c>
      <c r="J145" s="3">
        <f>120+I145</f>
        <v>136</v>
      </c>
      <c r="K145">
        <f t="shared" si="8"/>
        <v>120</v>
      </c>
      <c r="L145">
        <f t="shared" si="9"/>
        <v>2</v>
      </c>
      <c r="M145" s="1">
        <v>159</v>
      </c>
      <c r="N145" s="1">
        <v>40</v>
      </c>
      <c r="O145" s="2"/>
      <c r="P145" s="3"/>
    </row>
    <row r="146" spans="1:21" ht="13.8" x14ac:dyDescent="0.25">
      <c r="A146" s="3">
        <v>12045</v>
      </c>
      <c r="B146" s="3" t="s">
        <v>520</v>
      </c>
      <c r="C146" s="2" t="s">
        <v>521</v>
      </c>
      <c r="D146" s="3" t="s">
        <v>202</v>
      </c>
      <c r="E146" s="2" t="s">
        <v>210</v>
      </c>
      <c r="F146" s="1" t="s">
        <v>18</v>
      </c>
      <c r="G146" s="3">
        <v>2</v>
      </c>
      <c r="H146" s="3" t="s">
        <v>296</v>
      </c>
      <c r="I146" s="3">
        <v>22</v>
      </c>
      <c r="J146" s="3">
        <f>7*60+32</f>
        <v>452</v>
      </c>
      <c r="K146">
        <f t="shared" si="8"/>
        <v>430</v>
      </c>
      <c r="L146">
        <f t="shared" si="9"/>
        <v>7.17</v>
      </c>
      <c r="M146" s="1">
        <v>641</v>
      </c>
      <c r="N146" s="1">
        <v>161</v>
      </c>
      <c r="O146" s="2"/>
      <c r="Q146" s="3"/>
    </row>
    <row r="147" spans="1:21" ht="13.8" x14ac:dyDescent="0.25">
      <c r="A147" s="3">
        <v>12046</v>
      </c>
      <c r="B147" s="3" t="s">
        <v>522</v>
      </c>
      <c r="C147" s="2" t="s">
        <v>1421</v>
      </c>
      <c r="D147" s="3" t="s">
        <v>523</v>
      </c>
      <c r="E147" s="2" t="s">
        <v>524</v>
      </c>
      <c r="F147" s="1" t="s">
        <v>18</v>
      </c>
      <c r="G147" s="3">
        <v>2</v>
      </c>
      <c r="H147" s="3" t="s">
        <v>60</v>
      </c>
      <c r="I147" s="3">
        <v>16</v>
      </c>
      <c r="J147" s="3">
        <f>6*60+1</f>
        <v>361</v>
      </c>
      <c r="K147">
        <f t="shared" si="8"/>
        <v>345</v>
      </c>
      <c r="L147">
        <f t="shared" si="9"/>
        <v>5.75</v>
      </c>
      <c r="M147" s="1">
        <v>417</v>
      </c>
      <c r="N147" s="1">
        <v>105</v>
      </c>
      <c r="O147" s="2"/>
      <c r="P147" s="3"/>
    </row>
    <row r="148" spans="1:21" ht="13.8" x14ac:dyDescent="0.25">
      <c r="A148" s="3">
        <v>12047</v>
      </c>
      <c r="B148" s="3" t="s">
        <v>525</v>
      </c>
      <c r="C148" s="2" t="s">
        <v>526</v>
      </c>
      <c r="D148" s="3" t="s">
        <v>376</v>
      </c>
      <c r="E148" s="2" t="s">
        <v>377</v>
      </c>
      <c r="F148" s="1" t="s">
        <v>18</v>
      </c>
      <c r="G148" s="3">
        <v>2</v>
      </c>
      <c r="H148" s="3" t="s">
        <v>384</v>
      </c>
      <c r="I148" s="3">
        <v>1</v>
      </c>
      <c r="J148" s="3">
        <f>4*60+48</f>
        <v>288</v>
      </c>
      <c r="K148">
        <f t="shared" si="8"/>
        <v>287</v>
      </c>
      <c r="L148">
        <f t="shared" si="9"/>
        <v>4.78</v>
      </c>
      <c r="M148" s="1">
        <v>449</v>
      </c>
      <c r="N148" s="1">
        <v>113</v>
      </c>
      <c r="O148" s="2"/>
      <c r="P148" s="3"/>
      <c r="Q148" s="2"/>
    </row>
    <row r="149" spans="1:21" ht="13.8" x14ac:dyDescent="0.25">
      <c r="A149" s="4">
        <v>12048</v>
      </c>
      <c r="B149" s="4" t="s">
        <v>527</v>
      </c>
      <c r="C149" s="5" t="s">
        <v>528</v>
      </c>
      <c r="D149" s="4" t="s">
        <v>529</v>
      </c>
      <c r="E149" s="5" t="s">
        <v>530</v>
      </c>
      <c r="F149" s="6" t="s">
        <v>18</v>
      </c>
      <c r="G149" s="4">
        <v>2</v>
      </c>
      <c r="H149" s="4" t="s">
        <v>531</v>
      </c>
      <c r="I149" s="4">
        <f>19*60+14</f>
        <v>1154</v>
      </c>
      <c r="J149" s="4">
        <f>31*60+55</f>
        <v>1915</v>
      </c>
      <c r="K149" s="6">
        <f t="shared" si="8"/>
        <v>761</v>
      </c>
      <c r="L149" s="6">
        <f t="shared" si="9"/>
        <v>12.68</v>
      </c>
      <c r="M149" s="6">
        <v>1209</v>
      </c>
      <c r="N149" s="6">
        <v>303</v>
      </c>
      <c r="O149" s="6"/>
      <c r="P149" s="4"/>
      <c r="Q149" s="5"/>
      <c r="R149" s="6"/>
      <c r="S149" s="6"/>
      <c r="T149" s="6"/>
      <c r="U149" s="6"/>
    </row>
    <row r="150" spans="1:21" ht="13.8" x14ac:dyDescent="0.25">
      <c r="A150" s="7">
        <v>13001</v>
      </c>
      <c r="B150" s="7" t="s">
        <v>532</v>
      </c>
      <c r="C150" s="8" t="s">
        <v>533</v>
      </c>
      <c r="D150" s="7" t="s">
        <v>402</v>
      </c>
      <c r="E150" s="8" t="s">
        <v>534</v>
      </c>
      <c r="F150" s="9" t="s">
        <v>18</v>
      </c>
      <c r="G150" s="7">
        <v>3</v>
      </c>
      <c r="H150" s="7" t="s">
        <v>536</v>
      </c>
      <c r="I150" s="7">
        <f>4*60+46</f>
        <v>286</v>
      </c>
      <c r="J150" s="7">
        <f>12*60+50</f>
        <v>770</v>
      </c>
      <c r="K150" s="9">
        <f t="shared" si="8"/>
        <v>484</v>
      </c>
      <c r="L150" s="9">
        <f t="shared" si="9"/>
        <v>8.07</v>
      </c>
      <c r="M150" s="9">
        <v>544</v>
      </c>
      <c r="N150" s="9">
        <v>182</v>
      </c>
      <c r="O150" s="8"/>
      <c r="P150" s="7"/>
      <c r="Q150" s="8"/>
      <c r="R150" s="9"/>
      <c r="S150" s="9"/>
      <c r="T150" s="9"/>
      <c r="U150" s="9"/>
    </row>
    <row r="151" spans="1:21" ht="13.8" x14ac:dyDescent="0.25">
      <c r="A151" s="3">
        <v>13002</v>
      </c>
      <c r="B151" s="3" t="s">
        <v>537</v>
      </c>
      <c r="C151" s="2" t="s">
        <v>538</v>
      </c>
      <c r="D151" s="3" t="s">
        <v>16</v>
      </c>
      <c r="E151" s="2" t="s">
        <v>539</v>
      </c>
      <c r="F151" s="1" t="s">
        <v>18</v>
      </c>
      <c r="G151" s="3">
        <v>3</v>
      </c>
      <c r="H151" s="3" t="s">
        <v>188</v>
      </c>
      <c r="I151" s="3">
        <v>66</v>
      </c>
      <c r="J151" s="3">
        <f>7*60+47</f>
        <v>467</v>
      </c>
      <c r="K151">
        <f t="shared" si="8"/>
        <v>401</v>
      </c>
      <c r="L151">
        <f t="shared" si="9"/>
        <v>6.68</v>
      </c>
      <c r="M151" s="1">
        <v>595</v>
      </c>
      <c r="N151" s="1">
        <v>199</v>
      </c>
      <c r="O151" s="2"/>
      <c r="P151" s="3"/>
      <c r="Q151" s="2"/>
    </row>
    <row r="152" spans="1:21" ht="13.8" x14ac:dyDescent="0.25">
      <c r="A152" s="3">
        <v>13003</v>
      </c>
      <c r="B152" s="3" t="s">
        <v>540</v>
      </c>
      <c r="C152" s="2" t="s">
        <v>541</v>
      </c>
      <c r="D152" s="3" t="s">
        <v>16</v>
      </c>
      <c r="E152" s="2" t="s">
        <v>17</v>
      </c>
      <c r="F152" s="1" t="s">
        <v>18</v>
      </c>
      <c r="G152" s="3">
        <v>3</v>
      </c>
      <c r="H152" s="3" t="s">
        <v>542</v>
      </c>
      <c r="I152" s="3">
        <v>2</v>
      </c>
      <c r="J152" s="3">
        <f>3*60+27</f>
        <v>207</v>
      </c>
      <c r="K152">
        <f t="shared" si="8"/>
        <v>205</v>
      </c>
      <c r="L152">
        <f t="shared" si="9"/>
        <v>3.42</v>
      </c>
      <c r="M152" s="1">
        <v>349</v>
      </c>
      <c r="N152" s="1">
        <v>117</v>
      </c>
      <c r="O152" s="2"/>
      <c r="P152" s="3"/>
      <c r="Q152" s="2"/>
    </row>
    <row r="153" spans="1:21" ht="13.8" x14ac:dyDescent="0.25">
      <c r="A153" s="3">
        <v>13004</v>
      </c>
      <c r="B153" s="3" t="s">
        <v>543</v>
      </c>
      <c r="C153" s="2" t="s">
        <v>544</v>
      </c>
      <c r="D153" s="3" t="s">
        <v>27</v>
      </c>
      <c r="E153" s="2" t="s">
        <v>28</v>
      </c>
      <c r="F153" s="1" t="s">
        <v>18</v>
      </c>
      <c r="G153" s="3">
        <v>3</v>
      </c>
      <c r="H153" s="3" t="s">
        <v>38</v>
      </c>
      <c r="I153" s="3">
        <v>56</v>
      </c>
      <c r="J153" s="3">
        <f>9*60+17</f>
        <v>557</v>
      </c>
      <c r="K153">
        <f t="shared" si="8"/>
        <v>501</v>
      </c>
      <c r="L153">
        <f t="shared" si="9"/>
        <v>8.35</v>
      </c>
      <c r="M153" s="1">
        <v>820</v>
      </c>
      <c r="N153" s="1">
        <v>274</v>
      </c>
      <c r="O153" s="2"/>
      <c r="P153" s="3"/>
      <c r="Q153" s="2"/>
    </row>
    <row r="154" spans="1:21" ht="13.8" x14ac:dyDescent="0.25">
      <c r="A154" s="3">
        <v>13005</v>
      </c>
      <c r="B154" s="3" t="s">
        <v>545</v>
      </c>
      <c r="C154" s="2" t="s">
        <v>546</v>
      </c>
      <c r="D154" s="3" t="s">
        <v>44</v>
      </c>
      <c r="E154" s="2" t="s">
        <v>224</v>
      </c>
      <c r="F154" s="1" t="s">
        <v>18</v>
      </c>
      <c r="G154" s="3">
        <v>3</v>
      </c>
      <c r="H154" s="3" t="s">
        <v>395</v>
      </c>
      <c r="I154" s="3">
        <f>11*60+8</f>
        <v>668</v>
      </c>
      <c r="J154" s="3">
        <f>18*60+14</f>
        <v>1094</v>
      </c>
      <c r="K154">
        <f t="shared" si="8"/>
        <v>426</v>
      </c>
      <c r="L154">
        <f t="shared" si="9"/>
        <v>7.1</v>
      </c>
      <c r="M154" s="1">
        <v>712</v>
      </c>
      <c r="N154" s="1">
        <v>238</v>
      </c>
      <c r="O154" s="2"/>
      <c r="P154" s="3"/>
      <c r="Q154" s="2"/>
    </row>
    <row r="155" spans="1:21" ht="13.8" x14ac:dyDescent="0.25">
      <c r="A155" s="3">
        <v>13006</v>
      </c>
      <c r="B155" s="3" t="s">
        <v>547</v>
      </c>
      <c r="C155" s="2" t="s">
        <v>548</v>
      </c>
      <c r="D155" s="3" t="s">
        <v>54</v>
      </c>
      <c r="E155" s="2" t="s">
        <v>63</v>
      </c>
      <c r="F155" s="1" t="s">
        <v>56</v>
      </c>
      <c r="G155" s="3">
        <v>3</v>
      </c>
      <c r="H155" s="3" t="s">
        <v>549</v>
      </c>
      <c r="I155" s="3">
        <f>60+18</f>
        <v>78</v>
      </c>
      <c r="J155" s="3">
        <f>3*60+14</f>
        <v>194</v>
      </c>
      <c r="K155">
        <f t="shared" si="8"/>
        <v>116</v>
      </c>
      <c r="L155">
        <f t="shared" si="9"/>
        <v>1.93</v>
      </c>
      <c r="M155" s="1">
        <v>190</v>
      </c>
      <c r="N155" s="1">
        <v>64</v>
      </c>
      <c r="O155" s="2"/>
      <c r="Q155" s="3"/>
    </row>
    <row r="156" spans="1:21" ht="13.8" x14ac:dyDescent="0.25">
      <c r="A156" s="3">
        <v>13007</v>
      </c>
      <c r="B156" s="3" t="s">
        <v>550</v>
      </c>
      <c r="C156" s="2" t="s">
        <v>551</v>
      </c>
      <c r="D156" s="3" t="s">
        <v>72</v>
      </c>
      <c r="E156" s="2" t="s">
        <v>73</v>
      </c>
      <c r="F156" s="1" t="s">
        <v>56</v>
      </c>
      <c r="G156" s="3">
        <v>3</v>
      </c>
      <c r="H156" s="3" t="s">
        <v>552</v>
      </c>
      <c r="I156" s="3">
        <v>3</v>
      </c>
      <c r="J156" s="3">
        <f>5*60+5</f>
        <v>305</v>
      </c>
      <c r="K156">
        <f t="shared" si="8"/>
        <v>302</v>
      </c>
      <c r="L156">
        <f t="shared" si="9"/>
        <v>5.03</v>
      </c>
      <c r="M156" s="1">
        <v>502</v>
      </c>
      <c r="N156" s="1">
        <v>168</v>
      </c>
      <c r="O156" s="2"/>
      <c r="P156" s="3"/>
      <c r="Q156" s="2"/>
    </row>
    <row r="157" spans="1:21" ht="13.8" x14ac:dyDescent="0.25">
      <c r="A157" s="3">
        <v>13008</v>
      </c>
      <c r="B157" s="3" t="s">
        <v>553</v>
      </c>
      <c r="C157" s="2" t="s">
        <v>554</v>
      </c>
      <c r="D157" s="3" t="s">
        <v>88</v>
      </c>
      <c r="E157" s="2" t="s">
        <v>555</v>
      </c>
      <c r="F157" s="1" t="s">
        <v>18</v>
      </c>
      <c r="G157" s="3">
        <v>3</v>
      </c>
      <c r="H157" s="3" t="s">
        <v>38</v>
      </c>
      <c r="I157" s="3">
        <v>1</v>
      </c>
      <c r="J157" s="3">
        <f>3*60+2</f>
        <v>182</v>
      </c>
      <c r="K157">
        <f t="shared" si="8"/>
        <v>181</v>
      </c>
      <c r="L157">
        <f t="shared" si="9"/>
        <v>3.02</v>
      </c>
      <c r="M157" s="1">
        <v>376</v>
      </c>
      <c r="N157" s="1">
        <v>126</v>
      </c>
      <c r="O157" s="2"/>
      <c r="P157" s="3"/>
      <c r="Q157" s="2"/>
    </row>
    <row r="158" spans="1:21" ht="13.8" x14ac:dyDescent="0.25">
      <c r="A158" s="3">
        <v>13009</v>
      </c>
      <c r="B158" s="3" t="s">
        <v>556</v>
      </c>
      <c r="C158" s="2" t="s">
        <v>557</v>
      </c>
      <c r="D158" s="3" t="s">
        <v>114</v>
      </c>
      <c r="E158" s="2" t="s">
        <v>115</v>
      </c>
      <c r="F158" s="1" t="s">
        <v>116</v>
      </c>
      <c r="G158" s="3">
        <v>3</v>
      </c>
      <c r="H158" s="3" t="s">
        <v>558</v>
      </c>
      <c r="I158" s="3">
        <f>1*60+16</f>
        <v>76</v>
      </c>
      <c r="J158" s="3">
        <f>6*60+2</f>
        <v>362</v>
      </c>
      <c r="K158">
        <f t="shared" si="8"/>
        <v>286</v>
      </c>
      <c r="L158">
        <f t="shared" si="9"/>
        <v>4.7699999999999996</v>
      </c>
      <c r="M158" s="1">
        <v>468</v>
      </c>
      <c r="N158" s="1">
        <v>156</v>
      </c>
      <c r="O158" s="2"/>
      <c r="P158" s="3"/>
      <c r="Q158" s="2"/>
    </row>
    <row r="159" spans="1:21" ht="13.8" x14ac:dyDescent="0.25">
      <c r="A159" s="3">
        <v>13010</v>
      </c>
      <c r="B159" s="3" t="s">
        <v>559</v>
      </c>
      <c r="C159" s="2" t="s">
        <v>560</v>
      </c>
      <c r="D159" s="3" t="s">
        <v>140</v>
      </c>
      <c r="E159" s="2" t="s">
        <v>141</v>
      </c>
      <c r="F159" s="1" t="s">
        <v>34</v>
      </c>
      <c r="G159" s="3">
        <v>3</v>
      </c>
      <c r="H159" s="3" t="s">
        <v>561</v>
      </c>
      <c r="I159" s="3">
        <v>7</v>
      </c>
      <c r="J159" s="3">
        <f>3*60+49</f>
        <v>229</v>
      </c>
      <c r="K159">
        <f t="shared" si="8"/>
        <v>222</v>
      </c>
      <c r="L159">
        <f t="shared" si="9"/>
        <v>3.7</v>
      </c>
      <c r="M159" s="1">
        <v>439</v>
      </c>
      <c r="N159" s="1">
        <v>147</v>
      </c>
      <c r="O159" s="2"/>
      <c r="P159" s="3"/>
      <c r="Q159" s="2"/>
    </row>
    <row r="160" spans="1:21" ht="13.8" x14ac:dyDescent="0.25">
      <c r="A160" s="3">
        <v>13011</v>
      </c>
      <c r="B160" s="3" t="s">
        <v>562</v>
      </c>
      <c r="C160" s="2" t="s">
        <v>563</v>
      </c>
      <c r="D160" s="3" t="s">
        <v>140</v>
      </c>
      <c r="E160" s="2" t="s">
        <v>145</v>
      </c>
      <c r="F160" s="1" t="s">
        <v>34</v>
      </c>
      <c r="G160" s="3">
        <v>3</v>
      </c>
      <c r="H160" s="3" t="s">
        <v>542</v>
      </c>
      <c r="I160" s="3">
        <f>4*60+4</f>
        <v>244</v>
      </c>
      <c r="J160" s="3">
        <f>12*60+57</f>
        <v>777</v>
      </c>
      <c r="K160">
        <f t="shared" si="8"/>
        <v>533</v>
      </c>
      <c r="L160">
        <f t="shared" si="9"/>
        <v>8.8800000000000008</v>
      </c>
      <c r="M160" s="1">
        <v>889</v>
      </c>
      <c r="N160" s="1">
        <v>297</v>
      </c>
      <c r="P160" s="3"/>
      <c r="Q160" s="2"/>
    </row>
    <row r="161" spans="1:17" ht="13.8" x14ac:dyDescent="0.25">
      <c r="A161" s="3">
        <v>13012</v>
      </c>
      <c r="B161" s="3" t="s">
        <v>564</v>
      </c>
      <c r="C161" s="2" t="s">
        <v>565</v>
      </c>
      <c r="D161" s="3" t="s">
        <v>278</v>
      </c>
      <c r="E161" s="2" t="s">
        <v>279</v>
      </c>
      <c r="F161" s="1" t="s">
        <v>18</v>
      </c>
      <c r="G161" s="3">
        <v>3</v>
      </c>
      <c r="H161" s="3" t="s">
        <v>38</v>
      </c>
      <c r="I161" s="3">
        <v>3</v>
      </c>
      <c r="J161" s="3">
        <f>5*60+45</f>
        <v>345</v>
      </c>
      <c r="K161">
        <f t="shared" si="8"/>
        <v>342</v>
      </c>
      <c r="L161">
        <f t="shared" si="9"/>
        <v>5.7</v>
      </c>
      <c r="M161" s="1">
        <v>643</v>
      </c>
      <c r="N161" s="1">
        <v>215</v>
      </c>
      <c r="O161" s="2"/>
      <c r="P161" s="3"/>
      <c r="Q161" s="2"/>
    </row>
    <row r="162" spans="1:17" ht="13.8" x14ac:dyDescent="0.25">
      <c r="A162" s="3">
        <v>13013</v>
      </c>
      <c r="B162" s="3" t="s">
        <v>566</v>
      </c>
      <c r="C162" s="2" t="s">
        <v>567</v>
      </c>
      <c r="D162" s="3" t="s">
        <v>468</v>
      </c>
      <c r="E162" s="2" t="s">
        <v>469</v>
      </c>
      <c r="F162" s="1" t="s">
        <v>18</v>
      </c>
      <c r="G162" s="3">
        <v>3</v>
      </c>
      <c r="H162" s="3" t="s">
        <v>284</v>
      </c>
      <c r="I162" s="3">
        <v>5</v>
      </c>
      <c r="J162" s="3">
        <f>8*60+20</f>
        <v>500</v>
      </c>
      <c r="K162">
        <f t="shared" ref="K162:K177" si="10">J162-I162</f>
        <v>495</v>
      </c>
      <c r="L162">
        <f t="shared" ref="L162:L177" si="11">ROUND(K162/60,2)</f>
        <v>8.25</v>
      </c>
      <c r="M162" s="1">
        <v>739</v>
      </c>
      <c r="N162" s="1">
        <v>247</v>
      </c>
      <c r="O162" s="2"/>
      <c r="P162" s="3"/>
      <c r="Q162" s="2"/>
    </row>
    <row r="163" spans="1:17" ht="13.8" x14ac:dyDescent="0.25">
      <c r="A163" s="3">
        <v>13014</v>
      </c>
      <c r="B163" s="3" t="s">
        <v>568</v>
      </c>
      <c r="C163" s="2" t="s">
        <v>569</v>
      </c>
      <c r="D163" s="3" t="s">
        <v>176</v>
      </c>
      <c r="E163" s="2" t="s">
        <v>570</v>
      </c>
      <c r="F163" s="1" t="s">
        <v>18</v>
      </c>
      <c r="G163" s="3">
        <v>3</v>
      </c>
      <c r="H163" s="3" t="s">
        <v>480</v>
      </c>
      <c r="I163" s="3">
        <v>5</v>
      </c>
      <c r="J163" s="3">
        <f>5*60+36</f>
        <v>336</v>
      </c>
      <c r="K163">
        <f t="shared" si="10"/>
        <v>331</v>
      </c>
      <c r="L163">
        <f t="shared" si="11"/>
        <v>5.52</v>
      </c>
      <c r="M163" s="1">
        <v>598</v>
      </c>
      <c r="N163" s="1">
        <v>200</v>
      </c>
      <c r="O163" s="2"/>
      <c r="Q163" s="3"/>
    </row>
    <row r="164" spans="1:17" ht="13.8" x14ac:dyDescent="0.25">
      <c r="A164" s="3">
        <v>13015</v>
      </c>
      <c r="B164" s="3" t="s">
        <v>571</v>
      </c>
      <c r="C164" s="2" t="s">
        <v>572</v>
      </c>
      <c r="D164" s="3" t="s">
        <v>294</v>
      </c>
      <c r="E164" s="2" t="s">
        <v>539</v>
      </c>
      <c r="F164" s="1" t="s">
        <v>18</v>
      </c>
      <c r="G164" s="3">
        <v>3</v>
      </c>
      <c r="H164" s="3" t="s">
        <v>397</v>
      </c>
      <c r="I164" s="3">
        <v>2</v>
      </c>
      <c r="J164" s="3">
        <f>3*60+46</f>
        <v>226</v>
      </c>
      <c r="K164">
        <f t="shared" si="10"/>
        <v>224</v>
      </c>
      <c r="L164">
        <f t="shared" si="11"/>
        <v>3.73</v>
      </c>
      <c r="M164" s="1">
        <v>328</v>
      </c>
      <c r="N164" s="1">
        <v>110</v>
      </c>
      <c r="O164" s="2"/>
      <c r="P164" s="3"/>
      <c r="Q164" s="2"/>
    </row>
    <row r="165" spans="1:17" ht="13.8" x14ac:dyDescent="0.25">
      <c r="A165" s="3">
        <v>13016</v>
      </c>
      <c r="B165" s="3" t="s">
        <v>573</v>
      </c>
      <c r="C165" s="2" t="s">
        <v>574</v>
      </c>
      <c r="D165" s="3" t="s">
        <v>486</v>
      </c>
      <c r="E165" s="2" t="s">
        <v>575</v>
      </c>
      <c r="F165" s="1" t="s">
        <v>18</v>
      </c>
      <c r="G165" s="3">
        <v>3</v>
      </c>
      <c r="H165" s="3" t="s">
        <v>188</v>
      </c>
      <c r="I165" s="3">
        <f>8*60+16</f>
        <v>496</v>
      </c>
      <c r="J165" s="3">
        <f>13*60+28</f>
        <v>808</v>
      </c>
      <c r="K165">
        <f t="shared" si="10"/>
        <v>312</v>
      </c>
      <c r="L165">
        <f t="shared" si="11"/>
        <v>5.2</v>
      </c>
      <c r="M165" s="1">
        <v>490</v>
      </c>
      <c r="N165" s="1">
        <v>164</v>
      </c>
      <c r="O165" s="2"/>
      <c r="P165" s="3"/>
      <c r="Q165" s="2"/>
    </row>
    <row r="166" spans="1:17" ht="13.8" x14ac:dyDescent="0.25">
      <c r="A166" s="3">
        <v>13017</v>
      </c>
      <c r="B166" s="3" t="s">
        <v>576</v>
      </c>
      <c r="C166" s="2" t="s">
        <v>577</v>
      </c>
      <c r="D166" s="3" t="s">
        <v>299</v>
      </c>
      <c r="E166" s="2" t="s">
        <v>300</v>
      </c>
      <c r="F166" s="1" t="s">
        <v>18</v>
      </c>
      <c r="G166" s="3">
        <v>3</v>
      </c>
      <c r="H166" s="3" t="s">
        <v>578</v>
      </c>
      <c r="I166" s="3">
        <v>10</v>
      </c>
      <c r="J166" s="3">
        <f>2*60+54</f>
        <v>174</v>
      </c>
      <c r="K166">
        <f t="shared" si="10"/>
        <v>164</v>
      </c>
      <c r="L166">
        <f t="shared" si="11"/>
        <v>2.73</v>
      </c>
      <c r="M166" s="1">
        <v>247</v>
      </c>
      <c r="N166" s="1">
        <v>83</v>
      </c>
      <c r="O166" s="2"/>
      <c r="P166" s="3"/>
      <c r="Q166" s="2"/>
    </row>
    <row r="167" spans="1:17" ht="13.8" x14ac:dyDescent="0.25">
      <c r="A167" s="3">
        <v>13018</v>
      </c>
      <c r="B167" s="3" t="s">
        <v>579</v>
      </c>
      <c r="C167" s="2" t="s">
        <v>580</v>
      </c>
      <c r="D167" s="3" t="s">
        <v>299</v>
      </c>
      <c r="E167" s="2" t="s">
        <v>300</v>
      </c>
      <c r="F167" s="1" t="s">
        <v>18</v>
      </c>
      <c r="G167" s="3">
        <v>3</v>
      </c>
      <c r="H167" s="3" t="s">
        <v>337</v>
      </c>
      <c r="I167" s="3">
        <v>9</v>
      </c>
      <c r="J167" s="3">
        <f>2*60+17</f>
        <v>137</v>
      </c>
      <c r="K167">
        <f t="shared" si="10"/>
        <v>128</v>
      </c>
      <c r="L167">
        <f t="shared" si="11"/>
        <v>2.13</v>
      </c>
      <c r="M167" s="1">
        <v>361</v>
      </c>
      <c r="N167" s="1">
        <v>121</v>
      </c>
      <c r="O167" s="2"/>
      <c r="P167" s="3"/>
      <c r="Q167" s="2"/>
    </row>
    <row r="168" spans="1:17" ht="13.8" x14ac:dyDescent="0.25">
      <c r="A168" s="3">
        <v>13019</v>
      </c>
      <c r="B168" s="3" t="s">
        <v>581</v>
      </c>
      <c r="C168" s="2" t="s">
        <v>582</v>
      </c>
      <c r="D168" s="3" t="s">
        <v>299</v>
      </c>
      <c r="E168" s="2" t="s">
        <v>300</v>
      </c>
      <c r="F168" s="1" t="s">
        <v>18</v>
      </c>
      <c r="G168" s="3">
        <v>3</v>
      </c>
      <c r="H168" s="3" t="s">
        <v>583</v>
      </c>
      <c r="I168" s="3">
        <v>26</v>
      </c>
      <c r="J168" s="3">
        <f>4*60+30</f>
        <v>270</v>
      </c>
      <c r="K168">
        <f t="shared" si="10"/>
        <v>244</v>
      </c>
      <c r="L168">
        <f t="shared" si="11"/>
        <v>4.07</v>
      </c>
      <c r="M168" s="1">
        <v>324</v>
      </c>
      <c r="N168" s="1">
        <v>108</v>
      </c>
      <c r="O168" s="2"/>
      <c r="P168" s="3"/>
      <c r="Q168" s="2"/>
    </row>
    <row r="169" spans="1:17" ht="13.8" x14ac:dyDescent="0.25">
      <c r="A169" s="3">
        <v>13020</v>
      </c>
      <c r="B169" s="3" t="s">
        <v>584</v>
      </c>
      <c r="C169" s="2" t="s">
        <v>585</v>
      </c>
      <c r="D169" s="3" t="s">
        <v>299</v>
      </c>
      <c r="E169" s="2" t="s">
        <v>300</v>
      </c>
      <c r="F169" s="1" t="s">
        <v>18</v>
      </c>
      <c r="G169" s="3">
        <v>3</v>
      </c>
      <c r="H169" s="3" t="s">
        <v>586</v>
      </c>
      <c r="I169" s="3">
        <v>21</v>
      </c>
      <c r="J169" s="3">
        <f>3*60+40</f>
        <v>220</v>
      </c>
      <c r="K169">
        <f t="shared" si="10"/>
        <v>199</v>
      </c>
      <c r="L169">
        <f t="shared" si="11"/>
        <v>3.32</v>
      </c>
      <c r="M169" s="1">
        <v>298</v>
      </c>
      <c r="N169" s="1">
        <v>100</v>
      </c>
      <c r="O169" s="2"/>
      <c r="P169" s="3"/>
      <c r="Q169" s="2"/>
    </row>
    <row r="170" spans="1:17" ht="13.8" x14ac:dyDescent="0.25">
      <c r="A170" s="3">
        <v>13021</v>
      </c>
      <c r="B170" s="3" t="s">
        <v>587</v>
      </c>
      <c r="C170" s="2" t="s">
        <v>588</v>
      </c>
      <c r="D170" s="3" t="s">
        <v>299</v>
      </c>
      <c r="E170" s="2" t="s">
        <v>300</v>
      </c>
      <c r="F170" s="1" t="s">
        <v>18</v>
      </c>
      <c r="G170" s="3">
        <v>3</v>
      </c>
      <c r="H170" s="3" t="s">
        <v>589</v>
      </c>
      <c r="I170" s="3">
        <v>11</v>
      </c>
      <c r="J170" s="3">
        <f>2*60+55</f>
        <v>175</v>
      </c>
      <c r="K170">
        <f t="shared" si="10"/>
        <v>164</v>
      </c>
      <c r="L170">
        <f t="shared" si="11"/>
        <v>2.73</v>
      </c>
      <c r="M170" s="1">
        <v>232</v>
      </c>
      <c r="N170" s="1">
        <v>78</v>
      </c>
      <c r="O170" s="2"/>
      <c r="P170" s="3"/>
      <c r="Q170" s="2"/>
    </row>
    <row r="171" spans="1:17" ht="13.8" x14ac:dyDescent="0.25">
      <c r="A171" s="3">
        <v>13022</v>
      </c>
      <c r="B171" s="3" t="s">
        <v>590</v>
      </c>
      <c r="C171" s="2" t="s">
        <v>591</v>
      </c>
      <c r="D171" s="3" t="s">
        <v>299</v>
      </c>
      <c r="E171" s="2" t="s">
        <v>300</v>
      </c>
      <c r="F171" s="1" t="s">
        <v>18</v>
      </c>
      <c r="G171" s="3">
        <v>3</v>
      </c>
      <c r="H171" s="3" t="s">
        <v>592</v>
      </c>
      <c r="I171" s="3">
        <v>17</v>
      </c>
      <c r="J171" s="3">
        <f>5*60+8</f>
        <v>308</v>
      </c>
      <c r="K171">
        <f t="shared" si="10"/>
        <v>291</v>
      </c>
      <c r="L171">
        <f t="shared" si="11"/>
        <v>4.8499999999999996</v>
      </c>
      <c r="M171" s="1">
        <v>432</v>
      </c>
      <c r="N171" s="1">
        <v>144</v>
      </c>
      <c r="O171" s="2"/>
      <c r="P171" s="3"/>
      <c r="Q171" s="2"/>
    </row>
    <row r="172" spans="1:17" ht="13.8" x14ac:dyDescent="0.25">
      <c r="A172" s="3">
        <v>13023</v>
      </c>
      <c r="B172" s="3" t="s">
        <v>593</v>
      </c>
      <c r="C172" s="2" t="s">
        <v>594</v>
      </c>
      <c r="D172" s="3" t="s">
        <v>299</v>
      </c>
      <c r="E172" s="2" t="s">
        <v>300</v>
      </c>
      <c r="F172" s="1" t="s">
        <v>18</v>
      </c>
      <c r="G172" s="3">
        <v>3</v>
      </c>
      <c r="H172" s="3" t="s">
        <v>595</v>
      </c>
      <c r="I172" s="3">
        <v>17</v>
      </c>
      <c r="J172" s="3">
        <f>4*60+41</f>
        <v>281</v>
      </c>
      <c r="K172">
        <f t="shared" si="10"/>
        <v>264</v>
      </c>
      <c r="L172">
        <f t="shared" si="11"/>
        <v>4.4000000000000004</v>
      </c>
      <c r="M172" s="1">
        <v>400</v>
      </c>
      <c r="N172" s="1">
        <v>134</v>
      </c>
      <c r="O172" s="2"/>
      <c r="P172" s="3"/>
      <c r="Q172" s="2"/>
    </row>
    <row r="173" spans="1:17" ht="13.8" x14ac:dyDescent="0.25">
      <c r="A173" s="3">
        <v>13024</v>
      </c>
      <c r="B173" s="3" t="s">
        <v>596</v>
      </c>
      <c r="C173" s="2" t="s">
        <v>597</v>
      </c>
      <c r="D173" s="3" t="s">
        <v>306</v>
      </c>
      <c r="E173" s="2" t="s">
        <v>598</v>
      </c>
      <c r="F173" s="1" t="s">
        <v>18</v>
      </c>
      <c r="G173" s="3">
        <v>3</v>
      </c>
      <c r="H173" s="3" t="s">
        <v>599</v>
      </c>
      <c r="I173" s="3">
        <v>61</v>
      </c>
      <c r="J173" s="3">
        <f>5*60+16</f>
        <v>316</v>
      </c>
      <c r="K173">
        <f t="shared" si="10"/>
        <v>255</v>
      </c>
      <c r="L173">
        <f t="shared" si="11"/>
        <v>4.25</v>
      </c>
      <c r="M173" s="1">
        <v>397</v>
      </c>
      <c r="N173" s="1">
        <v>133</v>
      </c>
      <c r="O173" s="2"/>
      <c r="P173" s="3"/>
      <c r="Q173" s="2"/>
    </row>
    <row r="174" spans="1:17" ht="13.8" x14ac:dyDescent="0.25">
      <c r="A174" s="3">
        <v>13025</v>
      </c>
      <c r="B174" s="3" t="s">
        <v>600</v>
      </c>
      <c r="C174" s="2" t="s">
        <v>601</v>
      </c>
      <c r="D174" s="3" t="s">
        <v>191</v>
      </c>
      <c r="E174" s="2" t="s">
        <v>192</v>
      </c>
      <c r="F174" s="1" t="s">
        <v>156</v>
      </c>
      <c r="G174" s="3">
        <v>3</v>
      </c>
      <c r="H174" s="3" t="s">
        <v>165</v>
      </c>
      <c r="I174" s="3">
        <f>13*60+35</f>
        <v>815</v>
      </c>
      <c r="J174" s="3">
        <f>20*60+30</f>
        <v>1230</v>
      </c>
      <c r="K174">
        <f t="shared" si="10"/>
        <v>415</v>
      </c>
      <c r="L174">
        <f t="shared" si="11"/>
        <v>6.92</v>
      </c>
      <c r="M174" s="1">
        <v>703</v>
      </c>
      <c r="N174" s="1">
        <v>235</v>
      </c>
      <c r="O174" s="2"/>
      <c r="P174" s="3"/>
      <c r="Q174" s="2"/>
    </row>
    <row r="175" spans="1:17" ht="13.8" x14ac:dyDescent="0.25">
      <c r="A175" s="3">
        <v>13026</v>
      </c>
      <c r="B175" s="3" t="s">
        <v>602</v>
      </c>
      <c r="C175" s="2" t="s">
        <v>603</v>
      </c>
      <c r="D175" s="3" t="s">
        <v>344</v>
      </c>
      <c r="E175" s="2" t="s">
        <v>345</v>
      </c>
      <c r="F175" s="1" t="s">
        <v>18</v>
      </c>
      <c r="G175" s="3">
        <v>3</v>
      </c>
      <c r="H175" s="3" t="s">
        <v>604</v>
      </c>
      <c r="I175" s="3">
        <f>1*60+9</f>
        <v>69</v>
      </c>
      <c r="J175" s="3">
        <f>3*60+18</f>
        <v>198</v>
      </c>
      <c r="K175">
        <f t="shared" si="10"/>
        <v>129</v>
      </c>
      <c r="L175">
        <f t="shared" si="11"/>
        <v>2.15</v>
      </c>
      <c r="M175" s="1">
        <v>223</v>
      </c>
      <c r="N175" s="1">
        <v>75</v>
      </c>
      <c r="O175" s="2"/>
      <c r="P175" s="3"/>
      <c r="Q175" s="2"/>
    </row>
    <row r="176" spans="1:17" ht="13.8" x14ac:dyDescent="0.25">
      <c r="A176" s="3">
        <v>13027</v>
      </c>
      <c r="B176" s="3" t="s">
        <v>605</v>
      </c>
      <c r="C176" s="2" t="s">
        <v>606</v>
      </c>
      <c r="D176" s="3" t="s">
        <v>363</v>
      </c>
      <c r="E176" s="2" t="s">
        <v>28</v>
      </c>
      <c r="F176" s="1" t="s">
        <v>18</v>
      </c>
      <c r="G176" s="3">
        <v>3</v>
      </c>
      <c r="H176" s="3" t="s">
        <v>607</v>
      </c>
      <c r="I176" s="3">
        <v>3</v>
      </c>
      <c r="J176" s="3">
        <f>4*60+28</f>
        <v>268</v>
      </c>
      <c r="K176">
        <f t="shared" si="10"/>
        <v>265</v>
      </c>
      <c r="L176">
        <f t="shared" si="11"/>
        <v>4.42</v>
      </c>
      <c r="M176" s="1">
        <v>487</v>
      </c>
      <c r="N176" s="1">
        <v>163</v>
      </c>
      <c r="O176" s="2"/>
      <c r="P176" s="3"/>
      <c r="Q176" s="2"/>
    </row>
    <row r="177" spans="1:17" ht="13.8" x14ac:dyDescent="0.25">
      <c r="A177" s="3">
        <v>13028</v>
      </c>
      <c r="B177" s="3" t="s">
        <v>608</v>
      </c>
      <c r="C177" s="2" t="s">
        <v>609</v>
      </c>
      <c r="D177" s="3" t="s">
        <v>376</v>
      </c>
      <c r="E177" s="2" t="s">
        <v>377</v>
      </c>
      <c r="F177" s="1" t="s">
        <v>18</v>
      </c>
      <c r="G177" s="3">
        <v>3</v>
      </c>
      <c r="H177" s="3" t="s">
        <v>604</v>
      </c>
      <c r="I177" s="3">
        <v>2</v>
      </c>
      <c r="J177" s="3">
        <f>3*60+20</f>
        <v>200</v>
      </c>
      <c r="K177">
        <f t="shared" si="10"/>
        <v>198</v>
      </c>
      <c r="L177">
        <f t="shared" si="11"/>
        <v>3.3</v>
      </c>
      <c r="M177" s="1">
        <v>325</v>
      </c>
      <c r="N177" s="1">
        <v>109</v>
      </c>
      <c r="O177" s="2"/>
      <c r="P177" s="3"/>
      <c r="Q177" s="2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7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3.2" x14ac:dyDescent="0.25"/>
  <cols>
    <col min="1" max="1" width="8.109375" customWidth="1"/>
    <col min="2" max="2" width="36.6640625" customWidth="1"/>
    <col min="3" max="3" width="9.44140625" customWidth="1"/>
    <col min="4" max="4" width="9" customWidth="1"/>
    <col min="5" max="6" width="8.109375" customWidth="1"/>
    <col min="7" max="8" width="16.5546875" customWidth="1"/>
    <col min="9" max="9" width="8.109375" customWidth="1"/>
    <col min="10" max="10" width="16.44140625" customWidth="1"/>
    <col min="11" max="15" width="8.109375" customWidth="1"/>
    <col min="16" max="16" width="6.6640625" customWidth="1"/>
    <col min="17" max="18" width="8.109375" customWidth="1"/>
    <col min="19" max="19" width="38.109375" customWidth="1"/>
    <col min="20" max="21" width="8.109375" customWidth="1"/>
    <col min="22" max="1025" width="14.44140625" customWidth="1"/>
  </cols>
  <sheetData>
    <row r="1" spans="1:21" ht="15" customHeight="1" x14ac:dyDescent="0.25">
      <c r="A1" s="3" t="s">
        <v>0</v>
      </c>
      <c r="B1" s="3" t="s">
        <v>610</v>
      </c>
      <c r="C1" s="3" t="s">
        <v>611</v>
      </c>
      <c r="D1" s="3" t="s">
        <v>6</v>
      </c>
      <c r="E1" s="3" t="s">
        <v>612</v>
      </c>
      <c r="F1" s="3" t="s">
        <v>613</v>
      </c>
      <c r="G1" s="3" t="s">
        <v>614</v>
      </c>
      <c r="H1" s="3" t="s">
        <v>615</v>
      </c>
      <c r="I1" s="3" t="s">
        <v>616</v>
      </c>
      <c r="J1" s="3" t="s">
        <v>617</v>
      </c>
      <c r="K1" s="3" t="s">
        <v>618</v>
      </c>
      <c r="L1" s="3" t="s">
        <v>619</v>
      </c>
      <c r="M1" s="3" t="s">
        <v>620</v>
      </c>
      <c r="N1" s="3" t="s">
        <v>621</v>
      </c>
      <c r="O1" s="3" t="s">
        <v>622</v>
      </c>
      <c r="P1" s="3" t="s">
        <v>623</v>
      </c>
      <c r="Q1" s="1" t="s">
        <v>624</v>
      </c>
      <c r="R1" s="1" t="s">
        <v>625</v>
      </c>
      <c r="S1" s="1" t="s">
        <v>626</v>
      </c>
      <c r="T1" s="1" t="s">
        <v>627</v>
      </c>
      <c r="U1" s="1" t="s">
        <v>628</v>
      </c>
    </row>
    <row r="2" spans="1:21" ht="15" customHeight="1" x14ac:dyDescent="0.25">
      <c r="A2" s="3">
        <v>10001</v>
      </c>
      <c r="B2" s="3" t="s">
        <v>629</v>
      </c>
      <c r="C2" s="3" t="s">
        <v>14</v>
      </c>
      <c r="D2" s="3" t="s">
        <v>19</v>
      </c>
      <c r="E2" s="3">
        <v>26</v>
      </c>
      <c r="F2" s="3">
        <f>2*60+55</f>
        <v>175</v>
      </c>
      <c r="G2" s="3" t="s">
        <v>20</v>
      </c>
      <c r="H2" s="3" t="s">
        <v>630</v>
      </c>
      <c r="I2" s="3">
        <v>2</v>
      </c>
      <c r="J2" s="3" t="s">
        <v>631</v>
      </c>
      <c r="K2" s="3"/>
      <c r="L2" s="3"/>
      <c r="M2" s="3">
        <f t="shared" ref="M2:M33" si="0">F2-E2</f>
        <v>149</v>
      </c>
      <c r="N2" s="3">
        <f t="shared" ref="N2:N33" si="1">IF(ISBLANK(H2),0,1)</f>
        <v>1</v>
      </c>
      <c r="O2" s="3">
        <f t="shared" ref="O2:O33" si="2">M2*N2</f>
        <v>149</v>
      </c>
      <c r="P2" s="3">
        <f t="shared" ref="P2:P33" si="3">O2/60</f>
        <v>2.4833333333333334</v>
      </c>
      <c r="Q2" s="1">
        <v>1</v>
      </c>
      <c r="R2" s="1" t="s">
        <v>630</v>
      </c>
      <c r="T2" s="1" t="s">
        <v>630</v>
      </c>
      <c r="U2" s="1" t="s">
        <v>630</v>
      </c>
    </row>
    <row r="3" spans="1:21" ht="15" customHeight="1" x14ac:dyDescent="0.25">
      <c r="A3" s="3">
        <v>10002</v>
      </c>
      <c r="B3" s="3" t="s">
        <v>632</v>
      </c>
      <c r="C3" s="3" t="s">
        <v>21</v>
      </c>
      <c r="D3" s="3" t="s">
        <v>19</v>
      </c>
      <c r="E3" s="3">
        <v>16</v>
      </c>
      <c r="F3" s="3">
        <f>240+13</f>
        <v>253</v>
      </c>
      <c r="G3" s="3" t="s">
        <v>24</v>
      </c>
      <c r="H3" s="3" t="s">
        <v>630</v>
      </c>
      <c r="I3" s="3">
        <v>0</v>
      </c>
      <c r="J3" s="3" t="s">
        <v>633</v>
      </c>
      <c r="K3" s="3"/>
      <c r="L3" s="3"/>
      <c r="M3" s="3">
        <f t="shared" si="0"/>
        <v>237</v>
      </c>
      <c r="N3" s="3">
        <f t="shared" si="1"/>
        <v>1</v>
      </c>
      <c r="O3" s="3">
        <f t="shared" si="2"/>
        <v>237</v>
      </c>
      <c r="P3" s="3">
        <f t="shared" si="3"/>
        <v>3.95</v>
      </c>
      <c r="Q3" s="1" t="s">
        <v>634</v>
      </c>
      <c r="R3" s="1" t="s">
        <v>630</v>
      </c>
      <c r="T3" s="1" t="s">
        <v>630</v>
      </c>
      <c r="U3" s="1" t="s">
        <v>630</v>
      </c>
    </row>
    <row r="4" spans="1:21" ht="15" customHeight="1" x14ac:dyDescent="0.25">
      <c r="A4" s="3">
        <v>10003</v>
      </c>
      <c r="B4" s="3" t="s">
        <v>635</v>
      </c>
      <c r="C4" s="3" t="s">
        <v>25</v>
      </c>
      <c r="D4" s="3" t="s">
        <v>19</v>
      </c>
      <c r="E4" s="3">
        <v>54</v>
      </c>
      <c r="F4" s="3">
        <f>6*60+46</f>
        <v>406</v>
      </c>
      <c r="G4" s="3" t="s">
        <v>29</v>
      </c>
      <c r="H4" s="3" t="s">
        <v>630</v>
      </c>
      <c r="I4" s="3">
        <v>0</v>
      </c>
      <c r="J4" s="3" t="s">
        <v>636</v>
      </c>
      <c r="K4" s="3"/>
      <c r="L4" s="3"/>
      <c r="M4" s="3">
        <f t="shared" si="0"/>
        <v>352</v>
      </c>
      <c r="N4" s="3">
        <f t="shared" si="1"/>
        <v>1</v>
      </c>
      <c r="O4" s="3">
        <f t="shared" si="2"/>
        <v>352</v>
      </c>
      <c r="P4" s="3">
        <f t="shared" si="3"/>
        <v>5.8666666666666663</v>
      </c>
      <c r="Q4" s="1">
        <v>2</v>
      </c>
      <c r="R4" s="1" t="s">
        <v>630</v>
      </c>
      <c r="T4" s="1" t="s">
        <v>630</v>
      </c>
      <c r="U4" s="1" t="s">
        <v>630</v>
      </c>
    </row>
    <row r="5" spans="1:21" ht="15" customHeight="1" x14ac:dyDescent="0.25">
      <c r="A5" s="3">
        <v>10004</v>
      </c>
      <c r="B5" s="3" t="s">
        <v>637</v>
      </c>
      <c r="C5" s="3" t="s">
        <v>30</v>
      </c>
      <c r="D5" s="3" t="s">
        <v>19</v>
      </c>
      <c r="E5" s="3">
        <v>43</v>
      </c>
      <c r="F5" s="3">
        <f>9*60+13</f>
        <v>553</v>
      </c>
      <c r="G5" s="3" t="s">
        <v>35</v>
      </c>
      <c r="H5" s="3" t="s">
        <v>630</v>
      </c>
      <c r="I5" s="3">
        <v>0</v>
      </c>
      <c r="J5" s="3" t="s">
        <v>633</v>
      </c>
      <c r="K5" s="3"/>
      <c r="L5" s="3"/>
      <c r="M5" s="3">
        <f t="shared" si="0"/>
        <v>510</v>
      </c>
      <c r="N5" s="3">
        <f t="shared" si="1"/>
        <v>1</v>
      </c>
      <c r="O5" s="3">
        <f t="shared" si="2"/>
        <v>510</v>
      </c>
      <c r="P5" s="3">
        <f t="shared" si="3"/>
        <v>8.5</v>
      </c>
      <c r="Q5" s="1">
        <v>1</v>
      </c>
      <c r="R5" s="1" t="s">
        <v>630</v>
      </c>
      <c r="S5" s="1" t="s">
        <v>638</v>
      </c>
      <c r="T5" s="1" t="s">
        <v>630</v>
      </c>
      <c r="U5" s="1" t="s">
        <v>630</v>
      </c>
    </row>
    <row r="6" spans="1:21" ht="15" customHeight="1" x14ac:dyDescent="0.25">
      <c r="A6" s="3">
        <v>10005</v>
      </c>
      <c r="B6" s="3" t="s">
        <v>639</v>
      </c>
      <c r="C6" s="3" t="s">
        <v>36</v>
      </c>
      <c r="D6" s="3" t="s">
        <v>19</v>
      </c>
      <c r="E6" s="3">
        <v>3</v>
      </c>
      <c r="F6" s="3">
        <f>8*60+37</f>
        <v>517</v>
      </c>
      <c r="G6" s="3" t="s">
        <v>38</v>
      </c>
      <c r="H6" s="3" t="s">
        <v>630</v>
      </c>
      <c r="I6" s="3">
        <v>0</v>
      </c>
      <c r="J6" s="3" t="s">
        <v>633</v>
      </c>
      <c r="K6" s="3"/>
      <c r="L6" s="3"/>
      <c r="M6" s="3">
        <f t="shared" si="0"/>
        <v>514</v>
      </c>
      <c r="N6" s="3">
        <f t="shared" si="1"/>
        <v>1</v>
      </c>
      <c r="O6" s="3">
        <f t="shared" si="2"/>
        <v>514</v>
      </c>
      <c r="P6" s="3">
        <f t="shared" si="3"/>
        <v>8.5666666666666664</v>
      </c>
      <c r="Q6" s="1">
        <v>1</v>
      </c>
      <c r="R6" s="1" t="s">
        <v>630</v>
      </c>
    </row>
    <row r="7" spans="1:21" ht="15" customHeight="1" x14ac:dyDescent="0.25">
      <c r="A7" s="3">
        <v>10006</v>
      </c>
      <c r="B7" s="3" t="s">
        <v>640</v>
      </c>
      <c r="C7" s="3" t="s">
        <v>39</v>
      </c>
      <c r="D7" s="3" t="s">
        <v>19</v>
      </c>
      <c r="E7" s="3">
        <f>6*60+53</f>
        <v>413</v>
      </c>
      <c r="F7" s="3">
        <f>10*60+29</f>
        <v>629</v>
      </c>
      <c r="G7" s="3" t="s">
        <v>41</v>
      </c>
      <c r="H7" s="3" t="s">
        <v>630</v>
      </c>
      <c r="I7" s="3">
        <v>6</v>
      </c>
      <c r="J7" s="3" t="s">
        <v>641</v>
      </c>
      <c r="K7" s="3"/>
      <c r="L7" s="3"/>
      <c r="M7" s="3">
        <f t="shared" si="0"/>
        <v>216</v>
      </c>
      <c r="N7" s="3">
        <f t="shared" si="1"/>
        <v>1</v>
      </c>
      <c r="O7" s="3">
        <f t="shared" si="2"/>
        <v>216</v>
      </c>
      <c r="P7" s="3">
        <f t="shared" si="3"/>
        <v>3.6</v>
      </c>
      <c r="Q7" s="1">
        <v>1</v>
      </c>
      <c r="R7" s="1" t="s">
        <v>630</v>
      </c>
    </row>
    <row r="8" spans="1:21" ht="15" customHeight="1" x14ac:dyDescent="0.25">
      <c r="A8" s="3">
        <v>10007</v>
      </c>
      <c r="B8" s="3" t="s">
        <v>642</v>
      </c>
      <c r="C8" s="3" t="s">
        <v>42</v>
      </c>
      <c r="D8" s="3" t="s">
        <v>19</v>
      </c>
      <c r="E8" s="3">
        <v>10</v>
      </c>
      <c r="F8" s="3">
        <f>7*60+13</f>
        <v>433</v>
      </c>
      <c r="G8" s="3" t="s">
        <v>46</v>
      </c>
      <c r="H8" s="3" t="s">
        <v>630</v>
      </c>
      <c r="I8" s="3">
        <v>0</v>
      </c>
      <c r="J8" s="3" t="s">
        <v>643</v>
      </c>
      <c r="K8" s="3"/>
      <c r="L8" s="3"/>
      <c r="M8" s="3">
        <f t="shared" si="0"/>
        <v>423</v>
      </c>
      <c r="N8" s="3">
        <f t="shared" si="1"/>
        <v>1</v>
      </c>
      <c r="O8" s="3">
        <f t="shared" si="2"/>
        <v>423</v>
      </c>
      <c r="P8" s="3">
        <f t="shared" si="3"/>
        <v>7.05</v>
      </c>
      <c r="Q8" s="1">
        <v>1</v>
      </c>
      <c r="R8" s="1" t="s">
        <v>630</v>
      </c>
    </row>
    <row r="9" spans="1:21" ht="15" customHeight="1" x14ac:dyDescent="0.25">
      <c r="A9" s="3">
        <v>10008</v>
      </c>
      <c r="B9" s="3" t="s">
        <v>644</v>
      </c>
      <c r="C9" s="3" t="s">
        <v>47</v>
      </c>
      <c r="D9" s="3" t="s">
        <v>19</v>
      </c>
      <c r="E9" s="3">
        <v>71</v>
      </c>
      <c r="F9" s="3">
        <f>6*60+6</f>
        <v>366</v>
      </c>
      <c r="G9" s="3" t="s">
        <v>51</v>
      </c>
      <c r="H9" s="3" t="s">
        <v>630</v>
      </c>
      <c r="I9" s="3">
        <v>0</v>
      </c>
      <c r="J9" s="3" t="s">
        <v>645</v>
      </c>
      <c r="K9" s="3"/>
      <c r="L9" s="3"/>
      <c r="M9" s="3">
        <f t="shared" si="0"/>
        <v>295</v>
      </c>
      <c r="N9" s="3">
        <f t="shared" si="1"/>
        <v>1</v>
      </c>
      <c r="O9" s="3">
        <f t="shared" si="2"/>
        <v>295</v>
      </c>
      <c r="P9" s="3">
        <f t="shared" si="3"/>
        <v>4.916666666666667</v>
      </c>
      <c r="Q9" s="1">
        <v>1</v>
      </c>
      <c r="R9" s="1" t="s">
        <v>630</v>
      </c>
    </row>
    <row r="10" spans="1:21" ht="15" customHeight="1" x14ac:dyDescent="0.25">
      <c r="A10" s="3">
        <v>10009</v>
      </c>
      <c r="B10" s="3" t="s">
        <v>646</v>
      </c>
      <c r="C10" s="3" t="s">
        <v>52</v>
      </c>
      <c r="D10" s="3" t="s">
        <v>19</v>
      </c>
      <c r="E10" s="3">
        <v>24</v>
      </c>
      <c r="F10" s="3">
        <f>3*60+17</f>
        <v>197</v>
      </c>
      <c r="G10" s="3" t="s">
        <v>57</v>
      </c>
      <c r="H10" s="3" t="s">
        <v>630</v>
      </c>
      <c r="I10" s="3">
        <v>0</v>
      </c>
      <c r="J10" s="3" t="s">
        <v>647</v>
      </c>
      <c r="K10" s="3"/>
      <c r="L10" s="3"/>
      <c r="M10" s="3">
        <f t="shared" si="0"/>
        <v>173</v>
      </c>
      <c r="N10" s="3">
        <f t="shared" si="1"/>
        <v>1</v>
      </c>
      <c r="O10" s="3">
        <f t="shared" si="2"/>
        <v>173</v>
      </c>
      <c r="P10" s="3">
        <f t="shared" si="3"/>
        <v>2.8833333333333333</v>
      </c>
      <c r="Q10" s="1">
        <v>1</v>
      </c>
      <c r="R10" s="1" t="s">
        <v>630</v>
      </c>
    </row>
    <row r="11" spans="1:21" ht="15" customHeight="1" x14ac:dyDescent="0.25">
      <c r="A11" s="3">
        <v>10010</v>
      </c>
      <c r="B11" s="3" t="s">
        <v>648</v>
      </c>
      <c r="C11" s="3" t="s">
        <v>58</v>
      </c>
      <c r="D11" s="3" t="s">
        <v>19</v>
      </c>
      <c r="E11" s="3">
        <f>4*60+51</f>
        <v>291</v>
      </c>
      <c r="F11" s="3">
        <f>13*60+45</f>
        <v>825</v>
      </c>
      <c r="G11" s="3" t="s">
        <v>60</v>
      </c>
      <c r="H11" s="3" t="s">
        <v>630</v>
      </c>
      <c r="I11" s="3">
        <v>4</v>
      </c>
      <c r="J11" s="3" t="s">
        <v>649</v>
      </c>
      <c r="K11" s="3"/>
      <c r="L11" s="3"/>
      <c r="M11" s="3">
        <f t="shared" si="0"/>
        <v>534</v>
      </c>
      <c r="N11" s="3">
        <f t="shared" si="1"/>
        <v>1</v>
      </c>
      <c r="O11" s="3">
        <f t="shared" si="2"/>
        <v>534</v>
      </c>
      <c r="P11" s="3">
        <f t="shared" si="3"/>
        <v>8.9</v>
      </c>
      <c r="Q11" s="1">
        <v>1</v>
      </c>
      <c r="R11" s="1" t="s">
        <v>630</v>
      </c>
    </row>
    <row r="12" spans="1:21" ht="15" customHeight="1" x14ac:dyDescent="0.25">
      <c r="A12" s="3">
        <v>10011</v>
      </c>
      <c r="B12" s="3" t="s">
        <v>650</v>
      </c>
      <c r="C12" s="3" t="s">
        <v>61</v>
      </c>
      <c r="D12" s="3" t="s">
        <v>19</v>
      </c>
      <c r="E12" s="3">
        <f>2*60+51</f>
        <v>171</v>
      </c>
      <c r="F12" s="3">
        <f>11*60+18</f>
        <v>678</v>
      </c>
      <c r="G12" s="3" t="s">
        <v>64</v>
      </c>
      <c r="H12" s="3" t="s">
        <v>630</v>
      </c>
      <c r="I12" s="3">
        <v>6</v>
      </c>
      <c r="J12" s="3" t="s">
        <v>651</v>
      </c>
      <c r="K12" s="3"/>
      <c r="L12" s="3"/>
      <c r="M12" s="3">
        <f t="shared" si="0"/>
        <v>507</v>
      </c>
      <c r="N12" s="3">
        <f t="shared" si="1"/>
        <v>1</v>
      </c>
      <c r="O12" s="3">
        <f t="shared" si="2"/>
        <v>507</v>
      </c>
      <c r="P12" s="3">
        <f t="shared" si="3"/>
        <v>8.4499999999999993</v>
      </c>
      <c r="Q12" s="1">
        <v>1</v>
      </c>
      <c r="R12" s="1" t="s">
        <v>630</v>
      </c>
    </row>
    <row r="13" spans="1:21" ht="15" customHeight="1" x14ac:dyDescent="0.25">
      <c r="A13" s="3">
        <v>10012</v>
      </c>
      <c r="B13" s="3" t="s">
        <v>652</v>
      </c>
      <c r="C13" s="3" t="s">
        <v>65</v>
      </c>
      <c r="D13" s="3" t="s">
        <v>19</v>
      </c>
      <c r="E13" s="3">
        <v>14</v>
      </c>
      <c r="F13" s="3">
        <f>6*60+56</f>
        <v>416</v>
      </c>
      <c r="G13" s="3" t="s">
        <v>69</v>
      </c>
      <c r="H13" s="3" t="s">
        <v>630</v>
      </c>
      <c r="I13" s="3">
        <v>0</v>
      </c>
      <c r="J13" s="3" t="s">
        <v>653</v>
      </c>
      <c r="K13" s="3"/>
      <c r="L13" s="3"/>
      <c r="M13" s="3">
        <f t="shared" si="0"/>
        <v>402</v>
      </c>
      <c r="N13" s="3">
        <f t="shared" si="1"/>
        <v>1</v>
      </c>
      <c r="O13" s="3">
        <f t="shared" si="2"/>
        <v>402</v>
      </c>
      <c r="P13" s="3">
        <f t="shared" si="3"/>
        <v>6.7</v>
      </c>
      <c r="Q13" s="1">
        <v>2</v>
      </c>
      <c r="R13" s="1" t="s">
        <v>630</v>
      </c>
    </row>
    <row r="14" spans="1:21" ht="15" customHeight="1" x14ac:dyDescent="0.25">
      <c r="A14" s="3">
        <v>10013</v>
      </c>
      <c r="B14" s="3" t="s">
        <v>654</v>
      </c>
      <c r="C14" s="3" t="s">
        <v>70</v>
      </c>
      <c r="D14" s="3" t="s">
        <v>19</v>
      </c>
      <c r="E14" s="3">
        <v>12</v>
      </c>
      <c r="F14" s="3">
        <f>2*60+12</f>
        <v>132</v>
      </c>
      <c r="G14" s="3" t="s">
        <v>74</v>
      </c>
      <c r="H14" s="3" t="s">
        <v>630</v>
      </c>
      <c r="I14" s="3">
        <v>0</v>
      </c>
      <c r="J14" s="3" t="s">
        <v>655</v>
      </c>
      <c r="K14" s="3"/>
      <c r="L14" s="3"/>
      <c r="M14" s="3">
        <f t="shared" si="0"/>
        <v>120</v>
      </c>
      <c r="N14" s="3">
        <f t="shared" si="1"/>
        <v>1</v>
      </c>
      <c r="O14" s="3">
        <f t="shared" si="2"/>
        <v>120</v>
      </c>
      <c r="P14" s="3">
        <f t="shared" si="3"/>
        <v>2</v>
      </c>
      <c r="Q14" s="1">
        <v>1</v>
      </c>
      <c r="R14" s="1" t="s">
        <v>630</v>
      </c>
    </row>
    <row r="15" spans="1:21" ht="15" customHeight="1" x14ac:dyDescent="0.25">
      <c r="A15" s="3">
        <v>10014</v>
      </c>
      <c r="B15" s="3" t="s">
        <v>656</v>
      </c>
      <c r="C15" s="3" t="s">
        <v>75</v>
      </c>
      <c r="D15" s="3" t="s">
        <v>19</v>
      </c>
      <c r="E15" s="3">
        <v>13</v>
      </c>
      <c r="F15" s="3">
        <f>3*60+16</f>
        <v>196</v>
      </c>
      <c r="G15" s="3" t="s">
        <v>77</v>
      </c>
      <c r="H15" s="3" t="s">
        <v>630</v>
      </c>
      <c r="I15" s="3">
        <v>0</v>
      </c>
      <c r="J15" s="3" t="s">
        <v>657</v>
      </c>
      <c r="K15" s="3"/>
      <c r="L15" s="3"/>
      <c r="M15" s="3">
        <f t="shared" si="0"/>
        <v>183</v>
      </c>
      <c r="N15" s="3">
        <f t="shared" si="1"/>
        <v>1</v>
      </c>
      <c r="O15" s="3">
        <f t="shared" si="2"/>
        <v>183</v>
      </c>
      <c r="P15" s="3">
        <f t="shared" si="3"/>
        <v>3.05</v>
      </c>
      <c r="Q15" s="1">
        <v>1</v>
      </c>
      <c r="R15" s="1" t="s">
        <v>630</v>
      </c>
    </row>
    <row r="16" spans="1:21" ht="15" customHeight="1" x14ac:dyDescent="0.25">
      <c r="A16" s="3">
        <v>10015</v>
      </c>
      <c r="B16" s="3" t="s">
        <v>658</v>
      </c>
      <c r="C16" s="3" t="s">
        <v>78</v>
      </c>
      <c r="D16" s="3" t="s">
        <v>19</v>
      </c>
      <c r="E16" s="3">
        <v>86</v>
      </c>
      <c r="F16" s="3">
        <f>4*60+58</f>
        <v>298</v>
      </c>
      <c r="G16" s="3" t="s">
        <v>80</v>
      </c>
      <c r="H16" s="3" t="s">
        <v>630</v>
      </c>
      <c r="I16" s="3">
        <v>2</v>
      </c>
      <c r="J16" s="3" t="s">
        <v>655</v>
      </c>
      <c r="K16" s="3"/>
      <c r="L16" s="3"/>
      <c r="M16" s="3">
        <f t="shared" si="0"/>
        <v>212</v>
      </c>
      <c r="N16" s="3">
        <f t="shared" si="1"/>
        <v>1</v>
      </c>
      <c r="O16" s="3">
        <f t="shared" si="2"/>
        <v>212</v>
      </c>
      <c r="P16" s="3">
        <f t="shared" si="3"/>
        <v>3.5333333333333332</v>
      </c>
      <c r="Q16" s="1">
        <v>1</v>
      </c>
      <c r="R16" s="1" t="s">
        <v>630</v>
      </c>
    </row>
    <row r="17" spans="1:20" ht="15" customHeight="1" x14ac:dyDescent="0.25">
      <c r="A17" s="3">
        <v>10016</v>
      </c>
      <c r="B17" s="3" t="s">
        <v>659</v>
      </c>
      <c r="C17" s="3" t="s">
        <v>81</v>
      </c>
      <c r="D17" s="3" t="s">
        <v>19</v>
      </c>
      <c r="E17" s="3">
        <v>2</v>
      </c>
      <c r="F17" s="3">
        <f>5*60+11</f>
        <v>311</v>
      </c>
      <c r="G17" s="3" t="s">
        <v>83</v>
      </c>
      <c r="H17" s="3" t="s">
        <v>630</v>
      </c>
      <c r="I17" s="3">
        <v>0</v>
      </c>
      <c r="J17" s="3" t="s">
        <v>657</v>
      </c>
      <c r="K17" s="3"/>
      <c r="L17" s="3"/>
      <c r="M17" s="3">
        <f t="shared" si="0"/>
        <v>309</v>
      </c>
      <c r="N17" s="3">
        <f t="shared" si="1"/>
        <v>1</v>
      </c>
      <c r="O17" s="3">
        <f t="shared" si="2"/>
        <v>309</v>
      </c>
      <c r="P17" s="3">
        <f t="shared" si="3"/>
        <v>5.15</v>
      </c>
      <c r="Q17" s="1">
        <v>1</v>
      </c>
      <c r="R17" s="1" t="s">
        <v>630</v>
      </c>
    </row>
    <row r="18" spans="1:20" ht="15" customHeight="1" x14ac:dyDescent="0.25">
      <c r="A18" s="3">
        <v>10017</v>
      </c>
      <c r="B18" s="3" t="s">
        <v>660</v>
      </c>
      <c r="C18" s="3" t="s">
        <v>84</v>
      </c>
      <c r="D18" s="3" t="s">
        <v>19</v>
      </c>
      <c r="E18" s="3">
        <v>1</v>
      </c>
      <c r="F18" s="3">
        <f>3*60+55</f>
        <v>235</v>
      </c>
      <c r="G18" s="3" t="s">
        <v>41</v>
      </c>
      <c r="H18" s="3" t="s">
        <v>630</v>
      </c>
      <c r="I18" s="3">
        <v>2</v>
      </c>
      <c r="J18" s="3" t="s">
        <v>655</v>
      </c>
      <c r="K18" s="3"/>
      <c r="L18" s="3"/>
      <c r="M18" s="3">
        <f t="shared" si="0"/>
        <v>234</v>
      </c>
      <c r="N18" s="3">
        <f t="shared" si="1"/>
        <v>1</v>
      </c>
      <c r="O18" s="3">
        <f t="shared" si="2"/>
        <v>234</v>
      </c>
      <c r="P18" s="3">
        <f t="shared" si="3"/>
        <v>3.9</v>
      </c>
      <c r="Q18" s="1">
        <v>1</v>
      </c>
      <c r="R18" s="1" t="s">
        <v>630</v>
      </c>
    </row>
    <row r="19" spans="1:20" ht="15" customHeight="1" x14ac:dyDescent="0.25">
      <c r="A19" s="3">
        <v>10018</v>
      </c>
      <c r="B19" s="3" t="s">
        <v>661</v>
      </c>
      <c r="C19" s="3" t="s">
        <v>86</v>
      </c>
      <c r="D19" s="3" t="s">
        <v>19</v>
      </c>
      <c r="E19" s="3">
        <v>1</v>
      </c>
      <c r="F19" s="3">
        <f>4*60+21</f>
        <v>261</v>
      </c>
      <c r="G19" s="3" t="s">
        <v>90</v>
      </c>
      <c r="H19" s="3" t="s">
        <v>630</v>
      </c>
      <c r="I19" s="3">
        <v>6</v>
      </c>
      <c r="J19" s="3" t="s">
        <v>655</v>
      </c>
      <c r="K19" s="3"/>
      <c r="L19" s="3"/>
      <c r="M19" s="3">
        <f t="shared" si="0"/>
        <v>260</v>
      </c>
      <c r="N19" s="3">
        <f t="shared" si="1"/>
        <v>1</v>
      </c>
      <c r="O19" s="3">
        <f t="shared" si="2"/>
        <v>260</v>
      </c>
      <c r="P19" s="3">
        <f t="shared" si="3"/>
        <v>4.333333333333333</v>
      </c>
      <c r="Q19" s="1">
        <v>1</v>
      </c>
      <c r="R19" s="1" t="s">
        <v>630</v>
      </c>
    </row>
    <row r="20" spans="1:20" ht="15" customHeight="1" x14ac:dyDescent="0.25">
      <c r="A20" s="3">
        <v>10019</v>
      </c>
      <c r="B20" s="3" t="s">
        <v>662</v>
      </c>
      <c r="C20" s="3" t="s">
        <v>91</v>
      </c>
      <c r="D20" s="3" t="s">
        <v>19</v>
      </c>
      <c r="E20" s="3">
        <f>8*60+20</f>
        <v>500</v>
      </c>
      <c r="F20" s="3">
        <f>20*60+48</f>
        <v>1248</v>
      </c>
      <c r="G20" s="3" t="s">
        <v>93</v>
      </c>
      <c r="H20" s="3" t="s">
        <v>630</v>
      </c>
      <c r="I20" s="3">
        <v>0</v>
      </c>
      <c r="J20" s="3" t="s">
        <v>663</v>
      </c>
      <c r="K20" s="3"/>
      <c r="L20" s="3"/>
      <c r="M20" s="3">
        <f t="shared" si="0"/>
        <v>748</v>
      </c>
      <c r="N20" s="3">
        <f t="shared" si="1"/>
        <v>1</v>
      </c>
      <c r="O20" s="3">
        <f t="shared" si="2"/>
        <v>748</v>
      </c>
      <c r="P20" s="3">
        <f t="shared" si="3"/>
        <v>12.466666666666667</v>
      </c>
      <c r="Q20" s="1">
        <v>1</v>
      </c>
      <c r="R20" s="1" t="s">
        <v>630</v>
      </c>
      <c r="S20" s="1" t="s">
        <v>664</v>
      </c>
    </row>
    <row r="21" spans="1:20" ht="15" customHeight="1" x14ac:dyDescent="0.25">
      <c r="A21" s="3">
        <v>10020</v>
      </c>
      <c r="B21" s="3" t="s">
        <v>665</v>
      </c>
      <c r="C21" s="3" t="s">
        <v>94</v>
      </c>
      <c r="D21" s="3" t="s">
        <v>19</v>
      </c>
      <c r="E21" s="3">
        <v>16</v>
      </c>
      <c r="F21" s="3">
        <f>4*60+44</f>
        <v>284</v>
      </c>
      <c r="G21" s="3" t="s">
        <v>83</v>
      </c>
      <c r="H21" s="3" t="s">
        <v>630</v>
      </c>
      <c r="I21" s="3">
        <v>0</v>
      </c>
      <c r="J21" s="3" t="s">
        <v>645</v>
      </c>
      <c r="K21" s="3"/>
      <c r="L21" s="3"/>
      <c r="M21" s="3">
        <f t="shared" si="0"/>
        <v>268</v>
      </c>
      <c r="N21" s="3">
        <f t="shared" si="1"/>
        <v>1</v>
      </c>
      <c r="O21" s="3">
        <f t="shared" si="2"/>
        <v>268</v>
      </c>
      <c r="P21" s="3">
        <f t="shared" si="3"/>
        <v>4.4666666666666668</v>
      </c>
      <c r="Q21" s="1">
        <v>1</v>
      </c>
      <c r="R21" s="1" t="s">
        <v>630</v>
      </c>
      <c r="T21" s="1" t="s">
        <v>630</v>
      </c>
    </row>
    <row r="22" spans="1:20" ht="15" customHeight="1" x14ac:dyDescent="0.25">
      <c r="A22" s="3">
        <v>10021</v>
      </c>
      <c r="B22" s="3" t="s">
        <v>666</v>
      </c>
      <c r="C22" s="3" t="s">
        <v>97</v>
      </c>
      <c r="D22" s="3" t="s">
        <v>19</v>
      </c>
      <c r="E22" s="3">
        <v>3</v>
      </c>
      <c r="F22" s="3">
        <f>3*60+38</f>
        <v>218</v>
      </c>
      <c r="G22" s="3" t="s">
        <v>101</v>
      </c>
      <c r="H22" s="3" t="s">
        <v>630</v>
      </c>
      <c r="I22" s="3">
        <v>0</v>
      </c>
      <c r="J22" s="3" t="s">
        <v>645</v>
      </c>
      <c r="K22" s="3"/>
      <c r="L22" s="3"/>
      <c r="M22" s="3">
        <f t="shared" si="0"/>
        <v>215</v>
      </c>
      <c r="N22" s="3">
        <f t="shared" si="1"/>
        <v>1</v>
      </c>
      <c r="O22" s="3">
        <f t="shared" si="2"/>
        <v>215</v>
      </c>
      <c r="P22" s="3">
        <f t="shared" si="3"/>
        <v>3.5833333333333335</v>
      </c>
      <c r="Q22" s="1">
        <v>1</v>
      </c>
      <c r="R22" s="1" t="s">
        <v>630</v>
      </c>
    </row>
    <row r="23" spans="1:20" ht="15" customHeight="1" x14ac:dyDescent="0.25">
      <c r="A23" s="3">
        <v>10022</v>
      </c>
      <c r="B23" s="3" t="s">
        <v>667</v>
      </c>
      <c r="C23" s="3" t="s">
        <v>102</v>
      </c>
      <c r="D23" s="3" t="s">
        <v>19</v>
      </c>
      <c r="E23" s="3">
        <v>23</v>
      </c>
      <c r="F23" s="3">
        <f>3*60+4</f>
        <v>184</v>
      </c>
      <c r="G23" s="3" t="s">
        <v>106</v>
      </c>
      <c r="H23" s="3" t="s">
        <v>630</v>
      </c>
      <c r="I23" s="3">
        <v>2</v>
      </c>
      <c r="J23" s="3" t="s">
        <v>655</v>
      </c>
      <c r="K23" s="3"/>
      <c r="L23" s="3"/>
      <c r="M23" s="3">
        <f t="shared" si="0"/>
        <v>161</v>
      </c>
      <c r="N23" s="3">
        <f t="shared" si="1"/>
        <v>1</v>
      </c>
      <c r="O23" s="3">
        <f t="shared" si="2"/>
        <v>161</v>
      </c>
      <c r="P23" s="3">
        <f t="shared" si="3"/>
        <v>2.6833333333333331</v>
      </c>
      <c r="Q23" s="1">
        <v>1</v>
      </c>
      <c r="R23" s="1" t="s">
        <v>630</v>
      </c>
      <c r="S23" s="1" t="s">
        <v>668</v>
      </c>
    </row>
    <row r="24" spans="1:20" ht="15" customHeight="1" x14ac:dyDescent="0.25">
      <c r="A24" s="3">
        <v>10023</v>
      </c>
      <c r="B24" s="3" t="s">
        <v>669</v>
      </c>
      <c r="C24" s="3" t="s">
        <v>107</v>
      </c>
      <c r="D24" s="3" t="s">
        <v>19</v>
      </c>
      <c r="E24" s="3">
        <f>2*60+24</f>
        <v>144</v>
      </c>
      <c r="F24" s="3">
        <f>7*60+55</f>
        <v>475</v>
      </c>
      <c r="G24" s="3" t="s">
        <v>111</v>
      </c>
      <c r="H24" s="3" t="s">
        <v>630</v>
      </c>
      <c r="I24" s="3" t="s">
        <v>670</v>
      </c>
      <c r="J24" s="3" t="s">
        <v>671</v>
      </c>
      <c r="K24" s="3"/>
      <c r="L24" s="3"/>
      <c r="M24" s="3">
        <f t="shared" si="0"/>
        <v>331</v>
      </c>
      <c r="N24" s="3">
        <f t="shared" si="1"/>
        <v>1</v>
      </c>
      <c r="O24" s="3">
        <f t="shared" si="2"/>
        <v>331</v>
      </c>
      <c r="P24" s="3">
        <f t="shared" si="3"/>
        <v>5.5166666666666666</v>
      </c>
      <c r="Q24" s="1">
        <v>1</v>
      </c>
      <c r="R24" s="1" t="s">
        <v>630</v>
      </c>
    </row>
    <row r="25" spans="1:20" ht="15" customHeight="1" x14ac:dyDescent="0.25">
      <c r="A25" s="3">
        <v>10024</v>
      </c>
      <c r="B25" s="3" t="s">
        <v>672</v>
      </c>
      <c r="C25" s="3" t="s">
        <v>112</v>
      </c>
      <c r="D25" s="3" t="s">
        <v>19</v>
      </c>
      <c r="E25" s="3">
        <v>48</v>
      </c>
      <c r="F25" s="3">
        <f>3*60+42</f>
        <v>222</v>
      </c>
      <c r="G25" s="3" t="s">
        <v>117</v>
      </c>
      <c r="H25" s="3" t="s">
        <v>630</v>
      </c>
      <c r="I25" s="3">
        <v>6</v>
      </c>
      <c r="J25" s="3" t="s">
        <v>673</v>
      </c>
      <c r="K25" s="3"/>
      <c r="L25" s="3"/>
      <c r="M25" s="3">
        <f t="shared" si="0"/>
        <v>174</v>
      </c>
      <c r="N25" s="3">
        <f t="shared" si="1"/>
        <v>1</v>
      </c>
      <c r="O25" s="3">
        <f t="shared" si="2"/>
        <v>174</v>
      </c>
      <c r="P25" s="3">
        <f t="shared" si="3"/>
        <v>2.9</v>
      </c>
      <c r="Q25" s="1">
        <v>1</v>
      </c>
      <c r="R25" s="1" t="s">
        <v>630</v>
      </c>
    </row>
    <row r="26" spans="1:20" ht="15" customHeight="1" x14ac:dyDescent="0.25">
      <c r="A26" s="3">
        <v>10025</v>
      </c>
      <c r="B26" s="3" t="s">
        <v>674</v>
      </c>
      <c r="C26" s="3" t="s">
        <v>118</v>
      </c>
      <c r="D26" s="3" t="s">
        <v>19</v>
      </c>
      <c r="E26" s="3">
        <v>19</v>
      </c>
      <c r="F26" s="3">
        <v>240</v>
      </c>
      <c r="G26" s="3" t="s">
        <v>120</v>
      </c>
      <c r="H26" s="3" t="s">
        <v>630</v>
      </c>
      <c r="I26" s="3">
        <v>0</v>
      </c>
      <c r="J26" s="3" t="s">
        <v>675</v>
      </c>
      <c r="K26" s="3"/>
      <c r="L26" s="3"/>
      <c r="M26" s="3">
        <f t="shared" si="0"/>
        <v>221</v>
      </c>
      <c r="N26" s="3">
        <f t="shared" si="1"/>
        <v>1</v>
      </c>
      <c r="O26" s="3">
        <f t="shared" si="2"/>
        <v>221</v>
      </c>
      <c r="P26" s="3">
        <f t="shared" si="3"/>
        <v>3.6833333333333331</v>
      </c>
      <c r="Q26" s="1">
        <v>1</v>
      </c>
      <c r="R26" s="1" t="s">
        <v>630</v>
      </c>
    </row>
    <row r="27" spans="1:20" ht="15" customHeight="1" x14ac:dyDescent="0.25">
      <c r="A27" s="3">
        <v>10026</v>
      </c>
      <c r="B27" s="3" t="s">
        <v>676</v>
      </c>
      <c r="C27" s="3" t="s">
        <v>121</v>
      </c>
      <c r="D27" s="3" t="s">
        <v>19</v>
      </c>
      <c r="E27" s="3">
        <v>3</v>
      </c>
      <c r="F27" s="3">
        <f>2*60+3</f>
        <v>123</v>
      </c>
      <c r="G27" s="3" t="s">
        <v>677</v>
      </c>
      <c r="H27" s="3" t="s">
        <v>630</v>
      </c>
      <c r="I27" s="3">
        <v>0</v>
      </c>
      <c r="J27" s="3" t="s">
        <v>678</v>
      </c>
      <c r="K27" s="3"/>
      <c r="L27" s="3"/>
      <c r="M27" s="3">
        <f t="shared" si="0"/>
        <v>120</v>
      </c>
      <c r="N27" s="3">
        <f t="shared" si="1"/>
        <v>1</v>
      </c>
      <c r="O27" s="3">
        <f t="shared" si="2"/>
        <v>120</v>
      </c>
      <c r="P27" s="3">
        <f t="shared" si="3"/>
        <v>2</v>
      </c>
      <c r="Q27" s="1">
        <v>1</v>
      </c>
      <c r="R27" s="1" t="s">
        <v>630</v>
      </c>
    </row>
    <row r="28" spans="1:20" ht="15" customHeight="1" x14ac:dyDescent="0.25">
      <c r="A28" s="3">
        <v>10027</v>
      </c>
      <c r="B28" s="3" t="s">
        <v>679</v>
      </c>
      <c r="C28" s="3" t="s">
        <v>126</v>
      </c>
      <c r="D28" s="3" t="s">
        <v>19</v>
      </c>
      <c r="E28" s="3">
        <v>50</v>
      </c>
      <c r="F28" s="3">
        <f>2*60+27</f>
        <v>147</v>
      </c>
      <c r="G28" s="3" t="s">
        <v>130</v>
      </c>
      <c r="H28" s="3" t="s">
        <v>630</v>
      </c>
      <c r="I28" s="3">
        <v>0</v>
      </c>
      <c r="J28" s="3" t="s">
        <v>680</v>
      </c>
      <c r="K28" s="3"/>
      <c r="L28" s="3"/>
      <c r="M28" s="3">
        <f t="shared" si="0"/>
        <v>97</v>
      </c>
      <c r="N28" s="3">
        <f t="shared" si="1"/>
        <v>1</v>
      </c>
      <c r="O28" s="3">
        <f t="shared" si="2"/>
        <v>97</v>
      </c>
      <c r="P28" s="3">
        <f t="shared" si="3"/>
        <v>1.6166666666666667</v>
      </c>
      <c r="Q28" s="1">
        <v>2</v>
      </c>
      <c r="R28" s="1" t="s">
        <v>630</v>
      </c>
    </row>
    <row r="29" spans="1:20" ht="15" customHeight="1" x14ac:dyDescent="0.25">
      <c r="A29" s="3">
        <v>10028</v>
      </c>
      <c r="B29" s="3" t="s">
        <v>681</v>
      </c>
      <c r="C29" s="3" t="s">
        <v>131</v>
      </c>
      <c r="D29" s="3" t="s">
        <v>19</v>
      </c>
      <c r="E29" s="3">
        <v>6</v>
      </c>
      <c r="F29" s="3">
        <f>6*60+17</f>
        <v>377</v>
      </c>
      <c r="G29" s="3" t="s">
        <v>134</v>
      </c>
      <c r="H29" s="3" t="s">
        <v>630</v>
      </c>
      <c r="I29" s="3">
        <v>0</v>
      </c>
      <c r="J29" s="3" t="s">
        <v>682</v>
      </c>
      <c r="K29" s="3"/>
      <c r="L29" s="3"/>
      <c r="M29" s="3">
        <f t="shared" si="0"/>
        <v>371</v>
      </c>
      <c r="N29" s="3">
        <f t="shared" si="1"/>
        <v>1</v>
      </c>
      <c r="O29" s="3">
        <f t="shared" si="2"/>
        <v>371</v>
      </c>
      <c r="P29" s="3">
        <f t="shared" si="3"/>
        <v>6.1833333333333336</v>
      </c>
      <c r="Q29" s="1">
        <v>1</v>
      </c>
      <c r="R29" s="1" t="s">
        <v>630</v>
      </c>
    </row>
    <row r="30" spans="1:20" ht="15" customHeight="1" x14ac:dyDescent="0.25">
      <c r="A30" s="3">
        <v>10029</v>
      </c>
      <c r="B30" s="3" t="s">
        <v>683</v>
      </c>
      <c r="C30" s="3" t="s">
        <v>135</v>
      </c>
      <c r="D30" s="3" t="s">
        <v>19</v>
      </c>
      <c r="E30" s="3">
        <v>6</v>
      </c>
      <c r="F30" s="3">
        <f>5*60+33</f>
        <v>333</v>
      </c>
      <c r="G30" s="3" t="s">
        <v>137</v>
      </c>
      <c r="H30" s="3" t="s">
        <v>630</v>
      </c>
      <c r="I30" s="3">
        <v>6</v>
      </c>
      <c r="J30" s="3" t="s">
        <v>684</v>
      </c>
      <c r="K30" s="3"/>
      <c r="L30" s="3"/>
      <c r="M30" s="3">
        <f t="shared" si="0"/>
        <v>327</v>
      </c>
      <c r="N30" s="3">
        <f t="shared" si="1"/>
        <v>1</v>
      </c>
      <c r="O30" s="3">
        <f t="shared" si="2"/>
        <v>327</v>
      </c>
      <c r="P30" s="3">
        <f t="shared" si="3"/>
        <v>5.45</v>
      </c>
      <c r="Q30" s="1">
        <v>1</v>
      </c>
      <c r="R30" s="1" t="s">
        <v>630</v>
      </c>
    </row>
    <row r="31" spans="1:20" ht="15" customHeight="1" x14ac:dyDescent="0.25">
      <c r="A31" s="3">
        <v>10030</v>
      </c>
      <c r="B31" s="3" t="s">
        <v>685</v>
      </c>
      <c r="C31" s="3" t="s">
        <v>138</v>
      </c>
      <c r="D31" s="3" t="s">
        <v>19</v>
      </c>
      <c r="E31" s="3">
        <v>20</v>
      </c>
      <c r="F31" s="3">
        <f>3*60+53</f>
        <v>233</v>
      </c>
      <c r="G31" s="3" t="s">
        <v>142</v>
      </c>
      <c r="H31" s="3" t="s">
        <v>630</v>
      </c>
      <c r="I31" s="3">
        <v>3</v>
      </c>
      <c r="J31" s="3" t="s">
        <v>682</v>
      </c>
      <c r="K31" s="3"/>
      <c r="L31" s="3"/>
      <c r="M31" s="3">
        <f t="shared" si="0"/>
        <v>213</v>
      </c>
      <c r="N31" s="3">
        <f t="shared" si="1"/>
        <v>1</v>
      </c>
      <c r="O31" s="3">
        <f t="shared" si="2"/>
        <v>213</v>
      </c>
      <c r="P31" s="3">
        <f t="shared" si="3"/>
        <v>3.55</v>
      </c>
      <c r="Q31" s="1">
        <v>1</v>
      </c>
      <c r="R31" s="1" t="s">
        <v>630</v>
      </c>
    </row>
    <row r="32" spans="1:20" ht="15" customHeight="1" x14ac:dyDescent="0.25">
      <c r="A32" s="3">
        <v>10031</v>
      </c>
      <c r="B32" s="3" t="s">
        <v>686</v>
      </c>
      <c r="C32" s="3" t="s">
        <v>143</v>
      </c>
      <c r="D32" s="3" t="s">
        <v>19</v>
      </c>
      <c r="E32" s="3">
        <f>5*60+34</f>
        <v>334</v>
      </c>
      <c r="F32" s="3">
        <f>13*60+52</f>
        <v>832</v>
      </c>
      <c r="G32" s="3" t="s">
        <v>146</v>
      </c>
      <c r="H32" s="3" t="s">
        <v>630</v>
      </c>
      <c r="I32" s="3">
        <v>0</v>
      </c>
      <c r="J32" s="3" t="s">
        <v>687</v>
      </c>
      <c r="K32" s="3"/>
      <c r="L32" s="3"/>
      <c r="M32" s="3">
        <f t="shared" si="0"/>
        <v>498</v>
      </c>
      <c r="N32" s="3">
        <f t="shared" si="1"/>
        <v>1</v>
      </c>
      <c r="O32" s="3">
        <f t="shared" si="2"/>
        <v>498</v>
      </c>
      <c r="P32" s="3">
        <f t="shared" si="3"/>
        <v>8.3000000000000007</v>
      </c>
      <c r="Q32" s="1">
        <v>1</v>
      </c>
      <c r="R32" s="1" t="s">
        <v>630</v>
      </c>
    </row>
    <row r="33" spans="1:20" ht="15" customHeight="1" x14ac:dyDescent="0.25">
      <c r="A33" s="3">
        <v>10032</v>
      </c>
      <c r="B33" s="3" t="s">
        <v>688</v>
      </c>
      <c r="C33" s="3" t="s">
        <v>147</v>
      </c>
      <c r="D33" s="3" t="s">
        <v>19</v>
      </c>
      <c r="E33" s="3">
        <v>5</v>
      </c>
      <c r="F33" s="3">
        <f>5*60+4</f>
        <v>304</v>
      </c>
      <c r="G33" s="3" t="s">
        <v>151</v>
      </c>
      <c r="H33" s="3" t="s">
        <v>630</v>
      </c>
      <c r="I33" s="3">
        <v>2</v>
      </c>
      <c r="J33" s="3" t="s">
        <v>689</v>
      </c>
      <c r="K33" s="3"/>
      <c r="L33" s="3"/>
      <c r="M33" s="3">
        <f t="shared" si="0"/>
        <v>299</v>
      </c>
      <c r="N33" s="3">
        <f t="shared" si="1"/>
        <v>1</v>
      </c>
      <c r="O33" s="3">
        <f t="shared" si="2"/>
        <v>299</v>
      </c>
      <c r="P33" s="3">
        <f t="shared" si="3"/>
        <v>4.9833333333333334</v>
      </c>
      <c r="Q33" s="1">
        <v>1</v>
      </c>
      <c r="R33" s="1" t="s">
        <v>630</v>
      </c>
    </row>
    <row r="34" spans="1:20" ht="15" customHeight="1" x14ac:dyDescent="0.25">
      <c r="A34" s="3">
        <v>10033</v>
      </c>
      <c r="B34" s="3" t="s">
        <v>690</v>
      </c>
      <c r="C34" s="3" t="s">
        <v>152</v>
      </c>
      <c r="D34" s="3" t="s">
        <v>19</v>
      </c>
      <c r="E34" s="3">
        <v>19</v>
      </c>
      <c r="F34" s="3">
        <f>4*60+18</f>
        <v>258</v>
      </c>
      <c r="G34" s="3" t="s">
        <v>157</v>
      </c>
      <c r="H34" s="3" t="s">
        <v>630</v>
      </c>
      <c r="I34" s="3">
        <v>2</v>
      </c>
      <c r="J34" s="3" t="s">
        <v>691</v>
      </c>
      <c r="K34" s="3"/>
      <c r="L34" s="3"/>
      <c r="M34" s="3">
        <f t="shared" ref="M34:M65" si="4">F34-E34</f>
        <v>239</v>
      </c>
      <c r="N34" s="3">
        <f t="shared" ref="N34:N65" si="5">IF(ISBLANK(H34),0,1)</f>
        <v>1</v>
      </c>
      <c r="O34" s="3">
        <f t="shared" ref="O34:O65" si="6">M34*N34</f>
        <v>239</v>
      </c>
      <c r="P34" s="3">
        <f t="shared" ref="P34:P65" si="7">O34/60</f>
        <v>3.9833333333333334</v>
      </c>
      <c r="Q34" s="1">
        <v>1</v>
      </c>
      <c r="R34" s="1" t="s">
        <v>630</v>
      </c>
    </row>
    <row r="35" spans="1:20" ht="15" customHeight="1" x14ac:dyDescent="0.25">
      <c r="A35" s="3">
        <v>10034</v>
      </c>
      <c r="B35" s="3" t="s">
        <v>692</v>
      </c>
      <c r="C35" s="3" t="s">
        <v>158</v>
      </c>
      <c r="D35" s="3" t="s">
        <v>19</v>
      </c>
      <c r="E35" s="3">
        <f>9*60+20</f>
        <v>560</v>
      </c>
      <c r="F35" s="3">
        <f>15*60+25</f>
        <v>925</v>
      </c>
      <c r="G35" s="3" t="s">
        <v>146</v>
      </c>
      <c r="H35" s="3" t="s">
        <v>630</v>
      </c>
      <c r="I35" s="3">
        <v>0</v>
      </c>
      <c r="J35" s="3" t="s">
        <v>693</v>
      </c>
      <c r="K35" s="3"/>
      <c r="L35" s="3"/>
      <c r="M35" s="3">
        <f t="shared" si="4"/>
        <v>365</v>
      </c>
      <c r="N35" s="3">
        <f t="shared" si="5"/>
        <v>1</v>
      </c>
      <c r="O35" s="3">
        <f t="shared" si="6"/>
        <v>365</v>
      </c>
      <c r="P35" s="3">
        <f t="shared" si="7"/>
        <v>6.083333333333333</v>
      </c>
      <c r="Q35" s="1">
        <v>1</v>
      </c>
      <c r="R35" s="1" t="s">
        <v>630</v>
      </c>
    </row>
    <row r="36" spans="1:20" ht="15" customHeight="1" x14ac:dyDescent="0.25">
      <c r="A36" s="3">
        <v>10035</v>
      </c>
      <c r="B36" s="3" t="s">
        <v>694</v>
      </c>
      <c r="C36" s="3" t="s">
        <v>160</v>
      </c>
      <c r="D36" s="3" t="s">
        <v>19</v>
      </c>
      <c r="E36" s="3">
        <v>31</v>
      </c>
      <c r="F36" s="3">
        <f>5*60+18</f>
        <v>318</v>
      </c>
      <c r="G36" s="3" t="s">
        <v>162</v>
      </c>
      <c r="H36" s="3" t="s">
        <v>630</v>
      </c>
      <c r="I36" s="3">
        <v>6</v>
      </c>
      <c r="J36" s="3" t="s">
        <v>695</v>
      </c>
      <c r="K36" s="3"/>
      <c r="L36" s="3"/>
      <c r="M36" s="3">
        <f t="shared" si="4"/>
        <v>287</v>
      </c>
      <c r="N36" s="3">
        <f t="shared" si="5"/>
        <v>1</v>
      </c>
      <c r="O36" s="3">
        <f t="shared" si="6"/>
        <v>287</v>
      </c>
      <c r="P36" s="3">
        <f t="shared" si="7"/>
        <v>4.7833333333333332</v>
      </c>
      <c r="Q36" s="1">
        <v>1</v>
      </c>
      <c r="R36" s="1" t="s">
        <v>630</v>
      </c>
      <c r="S36" s="1" t="s">
        <v>696</v>
      </c>
    </row>
    <row r="37" spans="1:20" ht="15" customHeight="1" x14ac:dyDescent="0.25">
      <c r="A37" s="3">
        <v>10036</v>
      </c>
      <c r="B37" s="3" t="s">
        <v>697</v>
      </c>
      <c r="C37" s="3" t="s">
        <v>163</v>
      </c>
      <c r="D37" s="3" t="s">
        <v>19</v>
      </c>
      <c r="E37" s="3">
        <f>5*60+42</f>
        <v>342</v>
      </c>
      <c r="F37" s="3">
        <f>12*60+28</f>
        <v>748</v>
      </c>
      <c r="G37" s="3" t="s">
        <v>165</v>
      </c>
      <c r="H37" s="3" t="s">
        <v>630</v>
      </c>
      <c r="I37" s="3">
        <v>6</v>
      </c>
      <c r="J37" s="3" t="s">
        <v>698</v>
      </c>
      <c r="K37" s="3"/>
      <c r="L37" s="3"/>
      <c r="M37" s="3">
        <f t="shared" si="4"/>
        <v>406</v>
      </c>
      <c r="N37" s="3">
        <f t="shared" si="5"/>
        <v>1</v>
      </c>
      <c r="O37" s="3">
        <f t="shared" si="6"/>
        <v>406</v>
      </c>
      <c r="P37" s="3">
        <f t="shared" si="7"/>
        <v>6.7666666666666666</v>
      </c>
      <c r="Q37" s="1">
        <v>1</v>
      </c>
      <c r="R37" s="1" t="s">
        <v>630</v>
      </c>
    </row>
    <row r="38" spans="1:20" ht="15" customHeight="1" x14ac:dyDescent="0.25">
      <c r="A38" s="11">
        <v>10037</v>
      </c>
      <c r="B38" s="11" t="s">
        <v>699</v>
      </c>
      <c r="C38" s="11" t="s">
        <v>166</v>
      </c>
      <c r="D38" s="11" t="s">
        <v>19</v>
      </c>
      <c r="E38" s="11">
        <f>2*60+9+91</f>
        <v>220</v>
      </c>
      <c r="F38" s="11">
        <f>6*60+1</f>
        <v>361</v>
      </c>
      <c r="G38" s="11" t="s">
        <v>168</v>
      </c>
      <c r="H38" s="11" t="s">
        <v>630</v>
      </c>
      <c r="I38" s="11">
        <v>6</v>
      </c>
      <c r="J38" s="11" t="s">
        <v>700</v>
      </c>
      <c r="K38" s="11"/>
      <c r="L38" s="11"/>
      <c r="M38" s="11">
        <f t="shared" si="4"/>
        <v>141</v>
      </c>
      <c r="N38" s="11">
        <f t="shared" si="5"/>
        <v>1</v>
      </c>
      <c r="O38" s="11">
        <f t="shared" si="6"/>
        <v>141</v>
      </c>
      <c r="P38" s="11">
        <f t="shared" si="7"/>
        <v>2.35</v>
      </c>
      <c r="Q38" s="12">
        <v>1</v>
      </c>
      <c r="R38" s="12" t="s">
        <v>630</v>
      </c>
      <c r="S38" s="12" t="s">
        <v>701</v>
      </c>
      <c r="T38" s="12"/>
    </row>
    <row r="39" spans="1:20" ht="15" customHeight="1" x14ac:dyDescent="0.25">
      <c r="A39" s="3">
        <v>10038</v>
      </c>
      <c r="B39" s="3" t="s">
        <v>702</v>
      </c>
      <c r="C39" s="3" t="s">
        <v>169</v>
      </c>
      <c r="D39" s="3" t="s">
        <v>19</v>
      </c>
      <c r="E39" s="3">
        <v>72</v>
      </c>
      <c r="F39" s="3">
        <f>5*60+54</f>
        <v>354</v>
      </c>
      <c r="G39" s="3" t="s">
        <v>173</v>
      </c>
      <c r="H39" s="3" t="s">
        <v>630</v>
      </c>
      <c r="I39" s="3">
        <v>6</v>
      </c>
      <c r="J39" s="3" t="s">
        <v>703</v>
      </c>
      <c r="K39" s="3"/>
      <c r="L39" s="3"/>
      <c r="M39" s="3">
        <f t="shared" si="4"/>
        <v>282</v>
      </c>
      <c r="N39" s="3">
        <f t="shared" si="5"/>
        <v>1</v>
      </c>
      <c r="O39" s="3">
        <f t="shared" si="6"/>
        <v>282</v>
      </c>
      <c r="P39" s="3">
        <f t="shared" si="7"/>
        <v>4.7</v>
      </c>
      <c r="Q39" s="1">
        <v>2</v>
      </c>
      <c r="R39" s="1" t="s">
        <v>630</v>
      </c>
      <c r="S39" s="1" t="s">
        <v>704</v>
      </c>
    </row>
    <row r="40" spans="1:20" ht="15" customHeight="1" x14ac:dyDescent="0.25">
      <c r="A40" s="3">
        <v>10039</v>
      </c>
      <c r="B40" s="3" t="s">
        <v>705</v>
      </c>
      <c r="C40" s="3" t="s">
        <v>174</v>
      </c>
      <c r="D40" s="3" t="s">
        <v>19</v>
      </c>
      <c r="E40" s="3">
        <v>50</v>
      </c>
      <c r="F40" s="3">
        <f>6*60+47</f>
        <v>407</v>
      </c>
      <c r="G40" s="3" t="s">
        <v>178</v>
      </c>
      <c r="H40" s="3" t="s">
        <v>630</v>
      </c>
      <c r="I40" s="3">
        <v>0</v>
      </c>
      <c r="J40" s="3" t="s">
        <v>641</v>
      </c>
      <c r="K40" s="3"/>
      <c r="L40" s="3"/>
      <c r="M40" s="3">
        <f t="shared" si="4"/>
        <v>357</v>
      </c>
      <c r="N40" s="3">
        <f t="shared" si="5"/>
        <v>1</v>
      </c>
      <c r="O40" s="3">
        <f t="shared" si="6"/>
        <v>357</v>
      </c>
      <c r="P40" s="3">
        <f t="shared" si="7"/>
        <v>5.95</v>
      </c>
      <c r="Q40" s="1" t="s">
        <v>706</v>
      </c>
      <c r="R40" s="1" t="s">
        <v>630</v>
      </c>
    </row>
    <row r="41" spans="1:20" ht="15" customHeight="1" x14ac:dyDescent="0.25">
      <c r="A41" s="3">
        <v>10040</v>
      </c>
      <c r="B41" s="3" t="s">
        <v>707</v>
      </c>
      <c r="C41" s="3" t="s">
        <v>179</v>
      </c>
      <c r="D41" s="3" t="s">
        <v>19</v>
      </c>
      <c r="E41" s="3">
        <f>5*60+35</f>
        <v>335</v>
      </c>
      <c r="F41" s="3">
        <f>11*60</f>
        <v>660</v>
      </c>
      <c r="G41" s="3" t="s">
        <v>83</v>
      </c>
      <c r="H41" s="3" t="s">
        <v>630</v>
      </c>
      <c r="I41" s="3">
        <v>0</v>
      </c>
      <c r="J41" s="3" t="s">
        <v>708</v>
      </c>
      <c r="K41" s="3"/>
      <c r="L41" s="3"/>
      <c r="M41" s="3">
        <f t="shared" si="4"/>
        <v>325</v>
      </c>
      <c r="N41" s="3">
        <f t="shared" si="5"/>
        <v>1</v>
      </c>
      <c r="O41" s="3">
        <f t="shared" si="6"/>
        <v>325</v>
      </c>
      <c r="P41" s="3">
        <f t="shared" si="7"/>
        <v>5.416666666666667</v>
      </c>
      <c r="Q41" s="1">
        <v>2</v>
      </c>
      <c r="R41" s="1" t="s">
        <v>630</v>
      </c>
    </row>
    <row r="42" spans="1:20" ht="15" customHeight="1" x14ac:dyDescent="0.25">
      <c r="A42" s="3">
        <v>10041</v>
      </c>
      <c r="B42" s="3" t="s">
        <v>709</v>
      </c>
      <c r="C42" s="3" t="s">
        <v>181</v>
      </c>
      <c r="D42" s="3" t="s">
        <v>19</v>
      </c>
      <c r="E42" s="3">
        <f>1*60+47</f>
        <v>107</v>
      </c>
      <c r="F42" s="3">
        <f>9*60+36</f>
        <v>576</v>
      </c>
      <c r="G42" s="3" t="s">
        <v>183</v>
      </c>
      <c r="H42" s="3" t="s">
        <v>630</v>
      </c>
      <c r="I42" s="3">
        <v>0</v>
      </c>
      <c r="J42" s="3" t="s">
        <v>655</v>
      </c>
      <c r="K42" s="3"/>
      <c r="L42" s="3"/>
      <c r="M42" s="3">
        <f t="shared" si="4"/>
        <v>469</v>
      </c>
      <c r="N42" s="3">
        <f t="shared" si="5"/>
        <v>1</v>
      </c>
      <c r="O42" s="3">
        <f t="shared" si="6"/>
        <v>469</v>
      </c>
      <c r="P42" s="3">
        <f t="shared" si="7"/>
        <v>7.8166666666666664</v>
      </c>
      <c r="Q42" s="1">
        <v>1</v>
      </c>
      <c r="R42" s="1" t="s">
        <v>630</v>
      </c>
    </row>
    <row r="43" spans="1:20" ht="15" customHeight="1" x14ac:dyDescent="0.25">
      <c r="A43" s="3">
        <v>10042</v>
      </c>
      <c r="B43" s="3" t="s">
        <v>710</v>
      </c>
      <c r="C43" s="3" t="s">
        <v>184</v>
      </c>
      <c r="D43" s="3" t="s">
        <v>19</v>
      </c>
      <c r="E43" s="3">
        <v>336</v>
      </c>
      <c r="F43" s="3">
        <f>8*60</f>
        <v>480</v>
      </c>
      <c r="G43" s="3" t="s">
        <v>188</v>
      </c>
      <c r="H43" s="3" t="s">
        <v>630</v>
      </c>
      <c r="I43" s="3">
        <v>2</v>
      </c>
      <c r="J43" s="3" t="s">
        <v>711</v>
      </c>
      <c r="K43" s="3"/>
      <c r="L43" s="3"/>
      <c r="M43" s="3">
        <f t="shared" si="4"/>
        <v>144</v>
      </c>
      <c r="N43" s="3">
        <f t="shared" si="5"/>
        <v>1</v>
      </c>
      <c r="O43" s="3">
        <f t="shared" si="6"/>
        <v>144</v>
      </c>
      <c r="P43" s="3">
        <f t="shared" si="7"/>
        <v>2.4</v>
      </c>
      <c r="Q43" s="1">
        <v>1</v>
      </c>
      <c r="R43" s="1" t="s">
        <v>630</v>
      </c>
    </row>
    <row r="44" spans="1:20" ht="15" customHeight="1" x14ac:dyDescent="0.25">
      <c r="A44" s="3">
        <v>10043</v>
      </c>
      <c r="B44" s="3" t="s">
        <v>712</v>
      </c>
      <c r="C44" s="3" t="s">
        <v>189</v>
      </c>
      <c r="D44" s="3" t="s">
        <v>19</v>
      </c>
      <c r="E44" s="3">
        <v>3</v>
      </c>
      <c r="F44" s="3">
        <f>60+52</f>
        <v>112</v>
      </c>
      <c r="G44" s="3" t="s">
        <v>35</v>
      </c>
      <c r="H44" s="3" t="s">
        <v>630</v>
      </c>
      <c r="I44" s="3">
        <v>0</v>
      </c>
      <c r="J44" s="3" t="s">
        <v>713</v>
      </c>
      <c r="K44" s="3"/>
      <c r="L44" s="3"/>
      <c r="M44" s="3">
        <f t="shared" si="4"/>
        <v>109</v>
      </c>
      <c r="N44" s="3">
        <f t="shared" si="5"/>
        <v>1</v>
      </c>
      <c r="O44" s="3">
        <f t="shared" si="6"/>
        <v>109</v>
      </c>
      <c r="P44" s="3">
        <f t="shared" si="7"/>
        <v>1.8166666666666667</v>
      </c>
      <c r="Q44" s="1">
        <v>1</v>
      </c>
      <c r="R44" s="1" t="s">
        <v>630</v>
      </c>
    </row>
    <row r="45" spans="1:20" ht="15" customHeight="1" x14ac:dyDescent="0.25">
      <c r="A45" s="3">
        <v>10044</v>
      </c>
      <c r="B45" s="3" t="s">
        <v>714</v>
      </c>
      <c r="C45" s="3" t="s">
        <v>193</v>
      </c>
      <c r="D45" s="3" t="s">
        <v>19</v>
      </c>
      <c r="E45" s="3">
        <f>1*60+51</f>
        <v>111</v>
      </c>
      <c r="F45" s="3">
        <f>10*60+38</f>
        <v>638</v>
      </c>
      <c r="G45" s="3" t="s">
        <v>195</v>
      </c>
      <c r="H45" s="3" t="s">
        <v>630</v>
      </c>
      <c r="I45" s="3">
        <v>2</v>
      </c>
      <c r="J45" s="3" t="s">
        <v>715</v>
      </c>
      <c r="K45" s="3"/>
      <c r="L45" s="3"/>
      <c r="M45" s="3">
        <f t="shared" si="4"/>
        <v>527</v>
      </c>
      <c r="N45" s="3">
        <f t="shared" si="5"/>
        <v>1</v>
      </c>
      <c r="O45" s="3">
        <f t="shared" si="6"/>
        <v>527</v>
      </c>
      <c r="P45" s="3">
        <f t="shared" si="7"/>
        <v>8.7833333333333332</v>
      </c>
      <c r="Q45" s="1">
        <v>1</v>
      </c>
      <c r="R45" s="1" t="s">
        <v>630</v>
      </c>
    </row>
    <row r="46" spans="1:20" ht="15" customHeight="1" x14ac:dyDescent="0.25">
      <c r="A46" s="3">
        <v>10045</v>
      </c>
      <c r="B46" s="3" t="s">
        <v>716</v>
      </c>
      <c r="C46" s="3" t="s">
        <v>196</v>
      </c>
      <c r="D46" s="3" t="s">
        <v>19</v>
      </c>
      <c r="E46" s="3">
        <v>1</v>
      </c>
      <c r="F46" s="3">
        <f>5*60+12</f>
        <v>312</v>
      </c>
      <c r="G46" s="3" t="s">
        <v>199</v>
      </c>
      <c r="H46" s="3" t="s">
        <v>630</v>
      </c>
      <c r="I46" s="3">
        <v>4</v>
      </c>
      <c r="J46" s="3" t="s">
        <v>655</v>
      </c>
      <c r="K46" s="3"/>
      <c r="L46" s="3"/>
      <c r="M46" s="3">
        <f t="shared" si="4"/>
        <v>311</v>
      </c>
      <c r="N46" s="3">
        <f t="shared" si="5"/>
        <v>1</v>
      </c>
      <c r="O46" s="3">
        <f t="shared" si="6"/>
        <v>311</v>
      </c>
      <c r="P46" s="3">
        <f t="shared" si="7"/>
        <v>5.1833333333333336</v>
      </c>
      <c r="Q46" s="1">
        <v>2</v>
      </c>
      <c r="R46" s="1" t="s">
        <v>630</v>
      </c>
    </row>
    <row r="47" spans="1:20" ht="15" customHeight="1" x14ac:dyDescent="0.25">
      <c r="A47" s="3">
        <v>10046</v>
      </c>
      <c r="B47" s="3" t="s">
        <v>717</v>
      </c>
      <c r="C47" s="3" t="s">
        <v>200</v>
      </c>
      <c r="D47" s="3" t="s">
        <v>19</v>
      </c>
      <c r="E47" s="3">
        <v>20</v>
      </c>
      <c r="F47" s="3">
        <f>9*60+16</f>
        <v>556</v>
      </c>
      <c r="G47" s="3" t="s">
        <v>204</v>
      </c>
      <c r="H47" s="3" t="s">
        <v>630</v>
      </c>
      <c r="I47" s="3">
        <v>6</v>
      </c>
      <c r="J47" s="3" t="s">
        <v>655</v>
      </c>
      <c r="K47" s="3"/>
      <c r="L47" s="3"/>
      <c r="M47" s="3">
        <f t="shared" si="4"/>
        <v>536</v>
      </c>
      <c r="N47" s="3">
        <f t="shared" si="5"/>
        <v>1</v>
      </c>
      <c r="O47" s="3">
        <f t="shared" si="6"/>
        <v>536</v>
      </c>
      <c r="P47" s="3">
        <f t="shared" si="7"/>
        <v>8.9333333333333336</v>
      </c>
      <c r="Q47" s="1">
        <v>1</v>
      </c>
      <c r="R47" s="1" t="s">
        <v>630</v>
      </c>
    </row>
    <row r="48" spans="1:20" ht="15" customHeight="1" x14ac:dyDescent="0.25">
      <c r="A48" s="3">
        <v>10047</v>
      </c>
      <c r="B48" s="3" t="s">
        <v>718</v>
      </c>
      <c r="C48" s="3" t="s">
        <v>205</v>
      </c>
      <c r="D48" s="3" t="s">
        <v>19</v>
      </c>
      <c r="E48" s="3">
        <v>3</v>
      </c>
      <c r="F48" s="3">
        <v>89</v>
      </c>
      <c r="G48" s="3" t="s">
        <v>173</v>
      </c>
      <c r="H48" s="3" t="s">
        <v>630</v>
      </c>
      <c r="I48" s="3">
        <v>0</v>
      </c>
      <c r="J48" s="3" t="s">
        <v>645</v>
      </c>
      <c r="K48" s="3"/>
      <c r="L48" s="3"/>
      <c r="M48" s="3">
        <f t="shared" si="4"/>
        <v>86</v>
      </c>
      <c r="N48" s="3">
        <f t="shared" si="5"/>
        <v>1</v>
      </c>
      <c r="O48" s="3">
        <f t="shared" si="6"/>
        <v>86</v>
      </c>
      <c r="P48" s="3">
        <f t="shared" si="7"/>
        <v>1.4333333333333333</v>
      </c>
      <c r="Q48" s="1">
        <v>1</v>
      </c>
      <c r="R48" s="1" t="s">
        <v>630</v>
      </c>
    </row>
    <row r="49" spans="1:21" ht="15" customHeight="1" x14ac:dyDescent="0.25">
      <c r="A49" s="3">
        <v>10048</v>
      </c>
      <c r="B49" s="3" t="s">
        <v>719</v>
      </c>
      <c r="C49" s="3" t="s">
        <v>208</v>
      </c>
      <c r="D49" s="3" t="s">
        <v>19</v>
      </c>
      <c r="E49" s="3">
        <v>18</v>
      </c>
      <c r="F49" s="3">
        <f>6*60+52</f>
        <v>412</v>
      </c>
      <c r="G49" s="3" t="s">
        <v>151</v>
      </c>
      <c r="H49" s="3" t="s">
        <v>630</v>
      </c>
      <c r="I49" s="3">
        <v>2</v>
      </c>
      <c r="J49" s="3" t="s">
        <v>720</v>
      </c>
      <c r="K49" s="3"/>
      <c r="L49" s="3"/>
      <c r="M49" s="3">
        <f t="shared" si="4"/>
        <v>394</v>
      </c>
      <c r="N49" s="3">
        <f t="shared" si="5"/>
        <v>1</v>
      </c>
      <c r="O49" s="3">
        <f t="shared" si="6"/>
        <v>394</v>
      </c>
      <c r="P49" s="3">
        <f t="shared" si="7"/>
        <v>6.5666666666666664</v>
      </c>
      <c r="Q49" s="1">
        <v>1</v>
      </c>
      <c r="R49" s="1" t="s">
        <v>630</v>
      </c>
    </row>
    <row r="50" spans="1:21" ht="15" customHeight="1" x14ac:dyDescent="0.25">
      <c r="A50" s="3">
        <v>10049</v>
      </c>
      <c r="B50" s="3" t="s">
        <v>721</v>
      </c>
      <c r="C50" s="3" t="s">
        <v>211</v>
      </c>
      <c r="D50" s="3" t="s">
        <v>19</v>
      </c>
      <c r="E50" s="3">
        <v>1</v>
      </c>
      <c r="F50" s="3">
        <f>5*60+58</f>
        <v>358</v>
      </c>
      <c r="G50" s="3" t="s">
        <v>215</v>
      </c>
      <c r="H50" s="3" t="s">
        <v>630</v>
      </c>
      <c r="I50" s="3">
        <v>0</v>
      </c>
      <c r="J50" s="3" t="s">
        <v>722</v>
      </c>
      <c r="K50" s="3"/>
      <c r="L50" s="3"/>
      <c r="M50" s="3">
        <f t="shared" si="4"/>
        <v>357</v>
      </c>
      <c r="N50" s="3">
        <f t="shared" si="5"/>
        <v>1</v>
      </c>
      <c r="O50" s="3">
        <f t="shared" si="6"/>
        <v>357</v>
      </c>
      <c r="P50" s="3">
        <f t="shared" si="7"/>
        <v>5.95</v>
      </c>
      <c r="Q50" s="1">
        <v>2</v>
      </c>
      <c r="R50" s="1" t="s">
        <v>630</v>
      </c>
    </row>
    <row r="51" spans="1:21" ht="15" customHeight="1" x14ac:dyDescent="0.25">
      <c r="A51" s="4">
        <v>10050</v>
      </c>
      <c r="B51" s="4" t="s">
        <v>723</v>
      </c>
      <c r="C51" s="4" t="s">
        <v>216</v>
      </c>
      <c r="D51" s="4" t="s">
        <v>19</v>
      </c>
      <c r="E51" s="4">
        <v>3</v>
      </c>
      <c r="F51" s="4">
        <f>2*60+42</f>
        <v>162</v>
      </c>
      <c r="G51" s="4" t="s">
        <v>677</v>
      </c>
      <c r="H51" s="4" t="s">
        <v>630</v>
      </c>
      <c r="I51" s="4">
        <v>0</v>
      </c>
      <c r="J51" s="4" t="s">
        <v>724</v>
      </c>
      <c r="K51" s="3"/>
      <c r="L51" s="3"/>
      <c r="M51" s="4">
        <f t="shared" si="4"/>
        <v>159</v>
      </c>
      <c r="N51" s="4">
        <f t="shared" si="5"/>
        <v>1</v>
      </c>
      <c r="O51" s="4">
        <f t="shared" si="6"/>
        <v>159</v>
      </c>
      <c r="P51" s="4">
        <f t="shared" si="7"/>
        <v>2.65</v>
      </c>
      <c r="Q51" s="6">
        <v>1</v>
      </c>
      <c r="R51" s="6" t="s">
        <v>630</v>
      </c>
      <c r="S51" s="6" t="s">
        <v>725</v>
      </c>
      <c r="T51" s="6"/>
      <c r="U51" s="6"/>
    </row>
    <row r="52" spans="1:21" ht="15" customHeight="1" x14ac:dyDescent="0.25">
      <c r="A52" s="7">
        <v>11001</v>
      </c>
      <c r="B52" s="7" t="s">
        <v>726</v>
      </c>
      <c r="C52" s="7" t="s">
        <v>218</v>
      </c>
      <c r="D52" s="7" t="s">
        <v>220</v>
      </c>
      <c r="E52" s="7">
        <v>137</v>
      </c>
      <c r="F52" s="7">
        <f>9*60+54</f>
        <v>594</v>
      </c>
      <c r="G52" s="7" t="s">
        <v>221</v>
      </c>
      <c r="H52" s="7" t="s">
        <v>630</v>
      </c>
      <c r="I52" s="7">
        <v>0</v>
      </c>
      <c r="J52" s="7" t="s">
        <v>727</v>
      </c>
      <c r="K52" s="3"/>
      <c r="L52" s="3"/>
      <c r="M52" s="7">
        <f t="shared" si="4"/>
        <v>457</v>
      </c>
      <c r="N52" s="7">
        <f t="shared" si="5"/>
        <v>1</v>
      </c>
      <c r="O52" s="7">
        <f t="shared" si="6"/>
        <v>457</v>
      </c>
      <c r="P52" s="7">
        <f t="shared" si="7"/>
        <v>7.6166666666666663</v>
      </c>
      <c r="Q52" s="9">
        <v>1</v>
      </c>
      <c r="R52" s="9" t="s">
        <v>630</v>
      </c>
      <c r="S52" s="9"/>
      <c r="T52" s="9"/>
      <c r="U52" s="9"/>
    </row>
    <row r="53" spans="1:21" ht="15" customHeight="1" x14ac:dyDescent="0.25">
      <c r="A53" s="3">
        <v>11002</v>
      </c>
      <c r="B53" s="3" t="s">
        <v>728</v>
      </c>
      <c r="C53" s="10" t="s">
        <v>222</v>
      </c>
      <c r="D53" s="3" t="s">
        <v>220</v>
      </c>
      <c r="E53" s="3">
        <v>31</v>
      </c>
      <c r="F53" s="3">
        <f>3*60+31</f>
        <v>211</v>
      </c>
      <c r="G53" s="3" t="s">
        <v>225</v>
      </c>
      <c r="H53" s="3" t="s">
        <v>630</v>
      </c>
      <c r="I53" s="3">
        <v>0</v>
      </c>
      <c r="J53" s="3" t="s">
        <v>729</v>
      </c>
      <c r="K53" s="3"/>
      <c r="L53" s="3"/>
      <c r="M53" s="3">
        <f t="shared" si="4"/>
        <v>180</v>
      </c>
      <c r="N53" s="3">
        <f t="shared" si="5"/>
        <v>1</v>
      </c>
      <c r="O53" s="3">
        <f t="shared" si="6"/>
        <v>180</v>
      </c>
      <c r="P53" s="3">
        <f t="shared" si="7"/>
        <v>3</v>
      </c>
      <c r="Q53" s="1">
        <v>1</v>
      </c>
      <c r="R53" s="1" t="s">
        <v>630</v>
      </c>
    </row>
    <row r="54" spans="1:21" ht="15" customHeight="1" x14ac:dyDescent="0.25">
      <c r="A54" s="3">
        <v>11003</v>
      </c>
      <c r="B54" s="3" t="s">
        <v>730</v>
      </c>
      <c r="C54" s="3" t="s">
        <v>226</v>
      </c>
      <c r="D54" s="3" t="s">
        <v>220</v>
      </c>
      <c r="E54" s="3">
        <f>4*60+13</f>
        <v>253</v>
      </c>
      <c r="F54" s="3">
        <f>9*60+4</f>
        <v>544</v>
      </c>
      <c r="G54" s="3" t="s">
        <v>228</v>
      </c>
      <c r="H54" s="3" t="s">
        <v>630</v>
      </c>
      <c r="I54" s="3">
        <v>2</v>
      </c>
      <c r="J54" s="3" t="s">
        <v>731</v>
      </c>
      <c r="K54" s="3"/>
      <c r="L54" s="3"/>
      <c r="M54" s="3">
        <f t="shared" si="4"/>
        <v>291</v>
      </c>
      <c r="N54" s="3">
        <f t="shared" si="5"/>
        <v>1</v>
      </c>
      <c r="O54" s="3">
        <f t="shared" si="6"/>
        <v>291</v>
      </c>
      <c r="P54" s="3">
        <f t="shared" si="7"/>
        <v>4.8499999999999996</v>
      </c>
      <c r="Q54" s="1">
        <v>1</v>
      </c>
      <c r="R54" s="1" t="s">
        <v>630</v>
      </c>
    </row>
    <row r="55" spans="1:21" ht="15" customHeight="1" x14ac:dyDescent="0.25">
      <c r="A55" s="3">
        <v>11004</v>
      </c>
      <c r="B55" s="3" t="s">
        <v>732</v>
      </c>
      <c r="C55" s="3" t="s">
        <v>229</v>
      </c>
      <c r="D55" s="3" t="s">
        <v>220</v>
      </c>
      <c r="E55" s="3">
        <v>3</v>
      </c>
      <c r="F55" s="3">
        <f>3*60+54</f>
        <v>234</v>
      </c>
      <c r="G55" s="3" t="s">
        <v>231</v>
      </c>
      <c r="H55" s="3" t="s">
        <v>630</v>
      </c>
      <c r="I55" s="3">
        <v>0</v>
      </c>
      <c r="J55" s="3" t="s">
        <v>733</v>
      </c>
      <c r="K55" s="3"/>
      <c r="L55" s="3"/>
      <c r="M55" s="3">
        <f t="shared" si="4"/>
        <v>231</v>
      </c>
      <c r="N55" s="3">
        <f t="shared" si="5"/>
        <v>1</v>
      </c>
      <c r="O55" s="3">
        <f t="shared" si="6"/>
        <v>231</v>
      </c>
      <c r="P55" s="3">
        <f t="shared" si="7"/>
        <v>3.85</v>
      </c>
      <c r="Q55" s="1">
        <v>1</v>
      </c>
      <c r="R55" s="1" t="s">
        <v>630</v>
      </c>
    </row>
    <row r="56" spans="1:21" ht="15" customHeight="1" x14ac:dyDescent="0.25">
      <c r="A56" s="3">
        <v>11005</v>
      </c>
      <c r="B56" s="3" t="s">
        <v>734</v>
      </c>
      <c r="C56" s="3" t="s">
        <v>232</v>
      </c>
      <c r="D56" s="3" t="s">
        <v>220</v>
      </c>
      <c r="E56" s="3">
        <f>5*60+24</f>
        <v>324</v>
      </c>
      <c r="F56" s="3">
        <f>13*60+34</f>
        <v>814</v>
      </c>
      <c r="G56" s="3" t="s">
        <v>234</v>
      </c>
      <c r="H56" s="3" t="s">
        <v>630</v>
      </c>
      <c r="I56" s="3">
        <v>0</v>
      </c>
      <c r="J56" s="3" t="s">
        <v>735</v>
      </c>
      <c r="K56" s="3"/>
      <c r="L56" s="3"/>
      <c r="M56" s="3">
        <f t="shared" si="4"/>
        <v>490</v>
      </c>
      <c r="N56" s="3">
        <f t="shared" si="5"/>
        <v>1</v>
      </c>
      <c r="O56" s="3">
        <f t="shared" si="6"/>
        <v>490</v>
      </c>
      <c r="P56" s="3">
        <f t="shared" si="7"/>
        <v>8.1666666666666661</v>
      </c>
      <c r="Q56" s="1">
        <v>1</v>
      </c>
      <c r="R56" s="1" t="s">
        <v>630</v>
      </c>
    </row>
    <row r="57" spans="1:21" ht="15" customHeight="1" x14ac:dyDescent="0.25">
      <c r="A57" s="3">
        <v>11006</v>
      </c>
      <c r="B57" s="3" t="s">
        <v>736</v>
      </c>
      <c r="C57" s="3" t="s">
        <v>235</v>
      </c>
      <c r="D57" s="3" t="s">
        <v>220</v>
      </c>
      <c r="E57" s="3">
        <v>10</v>
      </c>
      <c r="F57" s="3">
        <f>6*60+11</f>
        <v>371</v>
      </c>
      <c r="G57" s="3" t="s">
        <v>195</v>
      </c>
      <c r="H57" s="3" t="s">
        <v>630</v>
      </c>
      <c r="I57" s="3">
        <v>0</v>
      </c>
      <c r="J57" s="3" t="s">
        <v>737</v>
      </c>
      <c r="K57" s="3"/>
      <c r="L57" s="3"/>
      <c r="M57" s="3">
        <f t="shared" si="4"/>
        <v>361</v>
      </c>
      <c r="N57" s="3">
        <f t="shared" si="5"/>
        <v>1</v>
      </c>
      <c r="O57" s="3">
        <f t="shared" si="6"/>
        <v>361</v>
      </c>
      <c r="P57" s="3">
        <f t="shared" si="7"/>
        <v>6.0166666666666666</v>
      </c>
      <c r="Q57" s="1">
        <v>1</v>
      </c>
      <c r="R57" s="1" t="s">
        <v>630</v>
      </c>
    </row>
    <row r="58" spans="1:21" ht="15" customHeight="1" x14ac:dyDescent="0.25">
      <c r="A58" s="3">
        <v>11007</v>
      </c>
      <c r="B58" s="3" t="s">
        <v>738</v>
      </c>
      <c r="C58" s="3" t="s">
        <v>238</v>
      </c>
      <c r="D58" s="3" t="s">
        <v>220</v>
      </c>
      <c r="E58" s="3">
        <v>15</v>
      </c>
      <c r="F58" s="3">
        <f>4*60+27</f>
        <v>267</v>
      </c>
      <c r="G58" s="3" t="s">
        <v>241</v>
      </c>
      <c r="H58" s="3" t="s">
        <v>630</v>
      </c>
      <c r="I58" s="3">
        <v>0</v>
      </c>
      <c r="J58" s="3" t="s">
        <v>645</v>
      </c>
      <c r="K58" s="3"/>
      <c r="L58" s="3"/>
      <c r="M58" s="3">
        <f t="shared" si="4"/>
        <v>252</v>
      </c>
      <c r="N58" s="3">
        <f t="shared" si="5"/>
        <v>1</v>
      </c>
      <c r="O58" s="3">
        <f t="shared" si="6"/>
        <v>252</v>
      </c>
      <c r="P58" s="3">
        <f t="shared" si="7"/>
        <v>4.2</v>
      </c>
      <c r="Q58" s="1">
        <v>1</v>
      </c>
      <c r="R58" s="1" t="s">
        <v>630</v>
      </c>
    </row>
    <row r="59" spans="1:21" ht="15" customHeight="1" x14ac:dyDescent="0.25">
      <c r="A59" s="3">
        <v>11008</v>
      </c>
      <c r="B59" s="3" t="s">
        <v>739</v>
      </c>
      <c r="C59" s="3" t="s">
        <v>242</v>
      </c>
      <c r="D59" s="3" t="s">
        <v>220</v>
      </c>
      <c r="E59" s="3">
        <v>6</v>
      </c>
      <c r="F59" s="3">
        <f>4*60+19</f>
        <v>259</v>
      </c>
      <c r="G59" s="3" t="s">
        <v>101</v>
      </c>
      <c r="H59" s="3" t="s">
        <v>630</v>
      </c>
      <c r="I59" s="3">
        <v>0</v>
      </c>
      <c r="J59" s="3" t="s">
        <v>645</v>
      </c>
      <c r="K59" s="3"/>
      <c r="L59" s="3"/>
      <c r="M59" s="3">
        <f t="shared" si="4"/>
        <v>253</v>
      </c>
      <c r="N59" s="3">
        <f t="shared" si="5"/>
        <v>1</v>
      </c>
      <c r="O59" s="3">
        <f t="shared" si="6"/>
        <v>253</v>
      </c>
      <c r="P59" s="3">
        <f t="shared" si="7"/>
        <v>4.2166666666666668</v>
      </c>
      <c r="Q59" s="1">
        <v>1</v>
      </c>
      <c r="R59" s="1" t="s">
        <v>630</v>
      </c>
    </row>
    <row r="60" spans="1:21" ht="15" customHeight="1" x14ac:dyDescent="0.25">
      <c r="A60" s="3">
        <v>11009</v>
      </c>
      <c r="B60" s="3" t="s">
        <v>740</v>
      </c>
      <c r="C60" s="3" t="s">
        <v>244</v>
      </c>
      <c r="D60" s="3" t="s">
        <v>220</v>
      </c>
      <c r="E60" s="3">
        <v>3</v>
      </c>
      <c r="F60" s="3">
        <f>4*60+46</f>
        <v>286</v>
      </c>
      <c r="G60" s="3" t="s">
        <v>246</v>
      </c>
      <c r="H60" s="3" t="s">
        <v>630</v>
      </c>
      <c r="I60" s="3">
        <v>2</v>
      </c>
      <c r="J60" s="3" t="s">
        <v>645</v>
      </c>
      <c r="K60" s="3"/>
      <c r="L60" s="3"/>
      <c r="M60" s="3">
        <f t="shared" si="4"/>
        <v>283</v>
      </c>
      <c r="N60" s="3">
        <f t="shared" si="5"/>
        <v>1</v>
      </c>
      <c r="O60" s="3">
        <f t="shared" si="6"/>
        <v>283</v>
      </c>
      <c r="P60" s="3">
        <f t="shared" si="7"/>
        <v>4.7166666666666668</v>
      </c>
      <c r="Q60" s="1">
        <v>1</v>
      </c>
      <c r="R60" s="1" t="s">
        <v>630</v>
      </c>
    </row>
    <row r="61" spans="1:21" ht="15" customHeight="1" x14ac:dyDescent="0.25">
      <c r="A61" s="3">
        <v>11010</v>
      </c>
      <c r="B61" s="3" t="s">
        <v>741</v>
      </c>
      <c r="C61" s="3" t="s">
        <v>247</v>
      </c>
      <c r="D61" s="3" t="s">
        <v>220</v>
      </c>
      <c r="E61" s="3">
        <v>5</v>
      </c>
      <c r="F61" s="3">
        <f>3*60+47</f>
        <v>227</v>
      </c>
      <c r="G61" s="3" t="s">
        <v>249</v>
      </c>
      <c r="H61" s="3" t="s">
        <v>630</v>
      </c>
      <c r="I61" s="3">
        <v>0</v>
      </c>
      <c r="J61" s="3" t="s">
        <v>655</v>
      </c>
      <c r="K61" s="3"/>
      <c r="L61" s="3"/>
      <c r="M61" s="3">
        <f t="shared" si="4"/>
        <v>222</v>
      </c>
      <c r="N61" s="3">
        <f t="shared" si="5"/>
        <v>1</v>
      </c>
      <c r="O61" s="3">
        <f t="shared" si="6"/>
        <v>222</v>
      </c>
      <c r="P61" s="3">
        <f t="shared" si="7"/>
        <v>3.7</v>
      </c>
      <c r="Q61" s="1">
        <v>1</v>
      </c>
      <c r="R61" s="1" t="s">
        <v>630</v>
      </c>
    </row>
    <row r="62" spans="1:21" ht="15" customHeight="1" x14ac:dyDescent="0.25">
      <c r="A62" s="3">
        <v>11011</v>
      </c>
      <c r="B62" s="3" t="s">
        <v>742</v>
      </c>
      <c r="C62" s="3" t="s">
        <v>250</v>
      </c>
      <c r="D62" s="3" t="s">
        <v>220</v>
      </c>
      <c r="E62" s="3">
        <f>60+53</f>
        <v>113</v>
      </c>
      <c r="F62" s="3">
        <f>5*60+49</f>
        <v>349</v>
      </c>
      <c r="G62" s="3" t="s">
        <v>252</v>
      </c>
      <c r="H62" s="3" t="s">
        <v>630</v>
      </c>
      <c r="I62" s="3">
        <v>0</v>
      </c>
      <c r="J62" s="3" t="s">
        <v>645</v>
      </c>
      <c r="K62" s="3"/>
      <c r="L62" s="3"/>
      <c r="M62" s="3">
        <f t="shared" si="4"/>
        <v>236</v>
      </c>
      <c r="N62" s="3">
        <f t="shared" si="5"/>
        <v>1</v>
      </c>
      <c r="O62" s="3">
        <f t="shared" si="6"/>
        <v>236</v>
      </c>
      <c r="P62" s="3">
        <f t="shared" si="7"/>
        <v>3.9333333333333331</v>
      </c>
      <c r="Q62" s="1">
        <v>1</v>
      </c>
      <c r="R62" s="1" t="s">
        <v>630</v>
      </c>
    </row>
    <row r="63" spans="1:21" ht="15" customHeight="1" x14ac:dyDescent="0.25">
      <c r="A63" s="3">
        <v>11012</v>
      </c>
      <c r="B63" s="3" t="s">
        <v>743</v>
      </c>
      <c r="C63" s="3" t="s">
        <v>253</v>
      </c>
      <c r="D63" s="3" t="s">
        <v>220</v>
      </c>
      <c r="E63" s="3">
        <f>5*60+27</f>
        <v>327</v>
      </c>
      <c r="F63" s="3">
        <f>8*60+46</f>
        <v>526</v>
      </c>
      <c r="G63" s="3" t="s">
        <v>46</v>
      </c>
      <c r="H63" s="3" t="s">
        <v>630</v>
      </c>
      <c r="I63" s="3">
        <v>0</v>
      </c>
      <c r="J63" s="3" t="s">
        <v>744</v>
      </c>
      <c r="K63" s="3"/>
      <c r="L63" s="3"/>
      <c r="M63" s="3">
        <f t="shared" si="4"/>
        <v>199</v>
      </c>
      <c r="N63" s="3">
        <f t="shared" si="5"/>
        <v>1</v>
      </c>
      <c r="O63" s="3">
        <f t="shared" si="6"/>
        <v>199</v>
      </c>
      <c r="P63" s="3">
        <f t="shared" si="7"/>
        <v>3.3166666666666669</v>
      </c>
      <c r="Q63" s="1">
        <v>1</v>
      </c>
      <c r="R63" s="1" t="s">
        <v>630</v>
      </c>
    </row>
    <row r="64" spans="1:21" ht="15" customHeight="1" x14ac:dyDescent="0.25">
      <c r="A64" s="3">
        <v>11013</v>
      </c>
      <c r="B64" s="3" t="s">
        <v>745</v>
      </c>
      <c r="C64" s="3" t="s">
        <v>256</v>
      </c>
      <c r="D64" s="3" t="s">
        <v>220</v>
      </c>
      <c r="E64" s="3">
        <f>2*60+27</f>
        <v>147</v>
      </c>
      <c r="F64" s="3">
        <f>7*60+15</f>
        <v>435</v>
      </c>
      <c r="G64" s="3" t="s">
        <v>258</v>
      </c>
      <c r="H64" s="3" t="s">
        <v>630</v>
      </c>
      <c r="I64" s="3">
        <v>0</v>
      </c>
      <c r="J64" s="3" t="s">
        <v>746</v>
      </c>
      <c r="K64" s="3"/>
      <c r="L64" s="3"/>
      <c r="M64" s="3">
        <f t="shared" si="4"/>
        <v>288</v>
      </c>
      <c r="N64" s="3">
        <f t="shared" si="5"/>
        <v>1</v>
      </c>
      <c r="O64" s="3">
        <f t="shared" si="6"/>
        <v>288</v>
      </c>
      <c r="P64" s="3">
        <f t="shared" si="7"/>
        <v>4.8</v>
      </c>
      <c r="Q64" s="1">
        <v>1</v>
      </c>
      <c r="R64" s="1" t="s">
        <v>630</v>
      </c>
    </row>
    <row r="65" spans="1:19" ht="15" customHeight="1" x14ac:dyDescent="0.25">
      <c r="A65" s="3">
        <v>11014</v>
      </c>
      <c r="B65" s="3" t="s">
        <v>747</v>
      </c>
      <c r="C65" s="3" t="s">
        <v>259</v>
      </c>
      <c r="D65" s="3" t="s">
        <v>220</v>
      </c>
      <c r="E65" s="3">
        <v>5</v>
      </c>
      <c r="F65" s="3">
        <f>2*60+29</f>
        <v>149</v>
      </c>
      <c r="G65" s="3" t="s">
        <v>263</v>
      </c>
      <c r="H65" s="3" t="s">
        <v>630</v>
      </c>
      <c r="I65" s="3">
        <v>0</v>
      </c>
      <c r="J65" s="3" t="s">
        <v>748</v>
      </c>
      <c r="K65" s="3"/>
      <c r="L65" s="3"/>
      <c r="M65" s="3">
        <f t="shared" si="4"/>
        <v>144</v>
      </c>
      <c r="N65" s="3">
        <f t="shared" si="5"/>
        <v>1</v>
      </c>
      <c r="O65" s="3">
        <f t="shared" si="6"/>
        <v>144</v>
      </c>
      <c r="P65" s="3">
        <f t="shared" si="7"/>
        <v>2.4</v>
      </c>
      <c r="Q65" s="1">
        <v>1</v>
      </c>
      <c r="R65" s="1" t="s">
        <v>630</v>
      </c>
    </row>
    <row r="66" spans="1:19" ht="15" customHeight="1" x14ac:dyDescent="0.25">
      <c r="A66" s="3">
        <v>11015</v>
      </c>
      <c r="B66" s="3" t="s">
        <v>749</v>
      </c>
      <c r="C66" s="3" t="s">
        <v>264</v>
      </c>
      <c r="D66" s="3" t="s">
        <v>220</v>
      </c>
      <c r="E66" s="3">
        <v>54</v>
      </c>
      <c r="F66" s="3">
        <f>7*60+28</f>
        <v>448</v>
      </c>
      <c r="G66" s="3" t="s">
        <v>183</v>
      </c>
      <c r="H66" s="3" t="s">
        <v>630</v>
      </c>
      <c r="I66" s="3">
        <v>0</v>
      </c>
      <c r="J66" s="3" t="s">
        <v>645</v>
      </c>
      <c r="K66" s="3"/>
      <c r="L66" s="3"/>
      <c r="M66" s="3">
        <f t="shared" ref="M66:M97" si="8">F66-E66</f>
        <v>394</v>
      </c>
      <c r="N66" s="3">
        <f t="shared" ref="N66:N97" si="9">IF(ISBLANK(H66),0,1)</f>
        <v>1</v>
      </c>
      <c r="O66" s="3">
        <f t="shared" ref="O66:O97" si="10">M66*N66</f>
        <v>394</v>
      </c>
      <c r="P66" s="3">
        <f t="shared" ref="P66:P97" si="11">O66/60</f>
        <v>6.5666666666666664</v>
      </c>
      <c r="Q66" s="1">
        <v>1</v>
      </c>
      <c r="R66" s="1" t="s">
        <v>630</v>
      </c>
    </row>
    <row r="67" spans="1:19" ht="15" customHeight="1" x14ac:dyDescent="0.25">
      <c r="A67" s="3">
        <v>11016</v>
      </c>
      <c r="B67" s="3" t="s">
        <v>750</v>
      </c>
      <c r="C67" s="3" t="s">
        <v>266</v>
      </c>
      <c r="D67" s="3" t="s">
        <v>220</v>
      </c>
      <c r="E67" s="3">
        <f>4*60+45</f>
        <v>285</v>
      </c>
      <c r="F67" s="3">
        <f>8*60+3</f>
        <v>483</v>
      </c>
      <c r="G67" s="3" t="s">
        <v>221</v>
      </c>
      <c r="H67" s="3" t="s">
        <v>630</v>
      </c>
      <c r="I67" s="3">
        <v>0</v>
      </c>
      <c r="J67" s="3" t="s">
        <v>751</v>
      </c>
      <c r="K67" s="3"/>
      <c r="L67" s="3"/>
      <c r="M67" s="3">
        <f t="shared" si="8"/>
        <v>198</v>
      </c>
      <c r="N67" s="3">
        <f t="shared" si="9"/>
        <v>1</v>
      </c>
      <c r="O67" s="3">
        <f t="shared" si="10"/>
        <v>198</v>
      </c>
      <c r="P67" s="3">
        <f t="shared" si="11"/>
        <v>3.3</v>
      </c>
      <c r="Q67" s="1">
        <v>1</v>
      </c>
      <c r="R67" s="1" t="s">
        <v>630</v>
      </c>
    </row>
    <row r="68" spans="1:19" ht="15" customHeight="1" x14ac:dyDescent="0.25">
      <c r="A68" s="3">
        <v>11017</v>
      </c>
      <c r="B68" s="3" t="s">
        <v>752</v>
      </c>
      <c r="C68" s="3" t="s">
        <v>268</v>
      </c>
      <c r="D68" s="3" t="s">
        <v>220</v>
      </c>
      <c r="E68" s="3">
        <v>4</v>
      </c>
      <c r="F68" s="3">
        <f>4*60+19</f>
        <v>259</v>
      </c>
      <c r="G68" s="3" t="s">
        <v>270</v>
      </c>
      <c r="H68" s="3" t="s">
        <v>630</v>
      </c>
      <c r="I68" s="3">
        <v>0</v>
      </c>
      <c r="J68" s="3" t="s">
        <v>753</v>
      </c>
      <c r="K68" s="3"/>
      <c r="L68" s="3"/>
      <c r="M68" s="3">
        <f t="shared" si="8"/>
        <v>255</v>
      </c>
      <c r="N68" s="3">
        <f t="shared" si="9"/>
        <v>1</v>
      </c>
      <c r="O68" s="3">
        <f t="shared" si="10"/>
        <v>255</v>
      </c>
      <c r="P68" s="3">
        <f t="shared" si="11"/>
        <v>4.25</v>
      </c>
      <c r="Q68" s="1">
        <v>1</v>
      </c>
      <c r="R68" s="1" t="s">
        <v>630</v>
      </c>
      <c r="S68" s="1" t="s">
        <v>754</v>
      </c>
    </row>
    <row r="69" spans="1:19" ht="15" customHeight="1" x14ac:dyDescent="0.25">
      <c r="A69" s="3">
        <v>11018</v>
      </c>
      <c r="B69" s="3" t="s">
        <v>755</v>
      </c>
      <c r="C69" s="3" t="s">
        <v>271</v>
      </c>
      <c r="D69" s="3" t="s">
        <v>220</v>
      </c>
      <c r="E69" s="3">
        <v>38</v>
      </c>
      <c r="F69" s="3">
        <f>3*60+45</f>
        <v>225</v>
      </c>
      <c r="G69" s="3" t="s">
        <v>221</v>
      </c>
      <c r="H69" s="3" t="s">
        <v>630</v>
      </c>
      <c r="I69" s="3">
        <v>0</v>
      </c>
      <c r="J69" s="3" t="s">
        <v>645</v>
      </c>
      <c r="K69" s="3"/>
      <c r="L69" s="3"/>
      <c r="M69" s="3">
        <f t="shared" si="8"/>
        <v>187</v>
      </c>
      <c r="N69" s="3">
        <f t="shared" si="9"/>
        <v>1</v>
      </c>
      <c r="O69" s="3">
        <f t="shared" si="10"/>
        <v>187</v>
      </c>
      <c r="P69" s="3">
        <f t="shared" si="11"/>
        <v>3.1166666666666667</v>
      </c>
      <c r="Q69" s="1">
        <v>1</v>
      </c>
      <c r="R69" s="1" t="s">
        <v>630</v>
      </c>
    </row>
    <row r="70" spans="1:19" ht="15" customHeight="1" x14ac:dyDescent="0.25">
      <c r="A70" s="3">
        <v>11019</v>
      </c>
      <c r="B70" s="3" t="s">
        <v>756</v>
      </c>
      <c r="C70" s="3" t="s">
        <v>273</v>
      </c>
      <c r="D70" s="3" t="s">
        <v>220</v>
      </c>
      <c r="E70" s="3">
        <v>36</v>
      </c>
      <c r="F70" s="3">
        <f>3*60+30</f>
        <v>210</v>
      </c>
      <c r="G70" s="3" t="s">
        <v>275</v>
      </c>
      <c r="H70" s="3" t="s">
        <v>630</v>
      </c>
      <c r="I70" s="3">
        <v>0</v>
      </c>
      <c r="J70" s="3" t="s">
        <v>645</v>
      </c>
      <c r="K70" s="3"/>
      <c r="L70" s="3"/>
      <c r="M70" s="3">
        <f t="shared" si="8"/>
        <v>174</v>
      </c>
      <c r="N70" s="3">
        <f t="shared" si="9"/>
        <v>1</v>
      </c>
      <c r="O70" s="3">
        <f t="shared" si="10"/>
        <v>174</v>
      </c>
      <c r="P70" s="3">
        <f t="shared" si="11"/>
        <v>2.9</v>
      </c>
      <c r="Q70" s="1">
        <v>1</v>
      </c>
      <c r="R70" s="1" t="s">
        <v>630</v>
      </c>
    </row>
    <row r="71" spans="1:19" ht="15" customHeight="1" x14ac:dyDescent="0.25">
      <c r="A71" s="3">
        <v>11020</v>
      </c>
      <c r="B71" s="3" t="s">
        <v>757</v>
      </c>
      <c r="C71" s="3" t="s">
        <v>276</v>
      </c>
      <c r="D71" s="3" t="s">
        <v>220</v>
      </c>
      <c r="E71" s="3">
        <f>7*60+34</f>
        <v>454</v>
      </c>
      <c r="F71" s="3">
        <f>16*60+36</f>
        <v>996</v>
      </c>
      <c r="G71" s="3" t="s">
        <v>280</v>
      </c>
      <c r="H71" s="3" t="s">
        <v>630</v>
      </c>
      <c r="I71" s="3">
        <v>0</v>
      </c>
      <c r="J71" s="3" t="s">
        <v>657</v>
      </c>
      <c r="K71" s="3"/>
      <c r="L71" s="3"/>
      <c r="M71" s="3">
        <f t="shared" si="8"/>
        <v>542</v>
      </c>
      <c r="N71" s="3">
        <f t="shared" si="9"/>
        <v>1</v>
      </c>
      <c r="O71" s="3">
        <f t="shared" si="10"/>
        <v>542</v>
      </c>
      <c r="P71" s="3">
        <f t="shared" si="11"/>
        <v>9.0333333333333332</v>
      </c>
      <c r="Q71" s="1">
        <v>1</v>
      </c>
      <c r="R71" s="1" t="s">
        <v>630</v>
      </c>
      <c r="S71" s="1" t="s">
        <v>758</v>
      </c>
    </row>
    <row r="72" spans="1:19" ht="15" customHeight="1" x14ac:dyDescent="0.25">
      <c r="A72" s="3">
        <v>11021</v>
      </c>
      <c r="B72" s="3" t="s">
        <v>759</v>
      </c>
      <c r="C72" s="3" t="s">
        <v>281</v>
      </c>
      <c r="D72" s="3" t="s">
        <v>220</v>
      </c>
      <c r="E72" s="3">
        <f>21*60+58</f>
        <v>1318</v>
      </c>
      <c r="F72" s="3">
        <f>36*60+53</f>
        <v>2213</v>
      </c>
      <c r="G72" s="3" t="s">
        <v>284</v>
      </c>
      <c r="H72" s="3" t="s">
        <v>630</v>
      </c>
      <c r="I72" s="3">
        <v>0</v>
      </c>
      <c r="J72" s="3" t="s">
        <v>735</v>
      </c>
      <c r="K72" s="3" t="s">
        <v>760</v>
      </c>
      <c r="L72" s="3"/>
      <c r="M72" s="3">
        <f t="shared" si="8"/>
        <v>895</v>
      </c>
      <c r="N72" s="3">
        <f t="shared" si="9"/>
        <v>1</v>
      </c>
      <c r="O72" s="3">
        <f t="shared" si="10"/>
        <v>895</v>
      </c>
      <c r="P72" s="3">
        <f t="shared" si="11"/>
        <v>14.916666666666666</v>
      </c>
      <c r="Q72" s="1">
        <v>2</v>
      </c>
      <c r="R72" s="1" t="s">
        <v>630</v>
      </c>
      <c r="S72" s="1" t="s">
        <v>761</v>
      </c>
    </row>
    <row r="73" spans="1:19" ht="15" customHeight="1" x14ac:dyDescent="0.25">
      <c r="A73" s="3">
        <v>11022</v>
      </c>
      <c r="B73" s="3" t="s">
        <v>762</v>
      </c>
      <c r="C73" s="3" t="s">
        <v>285</v>
      </c>
      <c r="D73" s="3" t="s">
        <v>220</v>
      </c>
      <c r="E73" s="3">
        <f>3*60+2</f>
        <v>182</v>
      </c>
      <c r="F73" s="3">
        <f>18*60+34</f>
        <v>1114</v>
      </c>
      <c r="G73" s="3" t="s">
        <v>288</v>
      </c>
      <c r="H73" s="3" t="s">
        <v>630</v>
      </c>
      <c r="I73" s="3">
        <v>0</v>
      </c>
      <c r="J73" s="3" t="s">
        <v>735</v>
      </c>
      <c r="K73" s="3" t="s">
        <v>763</v>
      </c>
      <c r="L73" s="3"/>
      <c r="M73" s="3">
        <f t="shared" si="8"/>
        <v>932</v>
      </c>
      <c r="N73" s="3">
        <f t="shared" si="9"/>
        <v>1</v>
      </c>
      <c r="O73" s="3">
        <f t="shared" si="10"/>
        <v>932</v>
      </c>
      <c r="P73" s="3">
        <f t="shared" si="11"/>
        <v>15.533333333333333</v>
      </c>
      <c r="Q73" s="1">
        <v>1</v>
      </c>
      <c r="R73" s="1" t="s">
        <v>630</v>
      </c>
    </row>
    <row r="74" spans="1:19" ht="15" customHeight="1" x14ac:dyDescent="0.25">
      <c r="A74" s="3">
        <v>11023</v>
      </c>
      <c r="B74" s="3" t="s">
        <v>764</v>
      </c>
      <c r="C74" s="3" t="s">
        <v>289</v>
      </c>
      <c r="D74" s="3" t="s">
        <v>220</v>
      </c>
      <c r="E74" s="3">
        <f>16*60+15</f>
        <v>975</v>
      </c>
      <c r="F74" s="3">
        <f>21*60+27</f>
        <v>1287</v>
      </c>
      <c r="G74" s="3" t="s">
        <v>291</v>
      </c>
      <c r="H74" s="3" t="s">
        <v>630</v>
      </c>
      <c r="I74" s="3">
        <v>0</v>
      </c>
      <c r="J74" s="3" t="s">
        <v>645</v>
      </c>
      <c r="K74" s="3"/>
      <c r="L74" s="3"/>
      <c r="M74" s="3">
        <f t="shared" si="8"/>
        <v>312</v>
      </c>
      <c r="N74" s="3">
        <f t="shared" si="9"/>
        <v>1</v>
      </c>
      <c r="O74" s="3">
        <f t="shared" si="10"/>
        <v>312</v>
      </c>
      <c r="P74" s="3">
        <f t="shared" si="11"/>
        <v>5.2</v>
      </c>
      <c r="Q74" s="1">
        <v>1</v>
      </c>
      <c r="R74" s="1" t="s">
        <v>630</v>
      </c>
    </row>
    <row r="75" spans="1:19" ht="15" customHeight="1" x14ac:dyDescent="0.25">
      <c r="A75" s="3">
        <v>11024</v>
      </c>
      <c r="B75" s="3" t="s">
        <v>765</v>
      </c>
      <c r="C75" s="3" t="s">
        <v>292</v>
      </c>
      <c r="D75" s="3" t="s">
        <v>220</v>
      </c>
      <c r="E75" s="3">
        <f>14*60+31</f>
        <v>871</v>
      </c>
      <c r="F75" s="3">
        <f>30*60+45</f>
        <v>1845</v>
      </c>
      <c r="G75" s="3" t="s">
        <v>296</v>
      </c>
      <c r="H75" s="3" t="s">
        <v>630</v>
      </c>
      <c r="I75" s="3">
        <v>2</v>
      </c>
      <c r="J75" s="3" t="s">
        <v>655</v>
      </c>
      <c r="K75" s="3"/>
      <c r="L75" s="3"/>
      <c r="M75" s="3">
        <f t="shared" si="8"/>
        <v>974</v>
      </c>
      <c r="N75" s="3">
        <f t="shared" si="9"/>
        <v>1</v>
      </c>
      <c r="O75" s="3">
        <f t="shared" si="10"/>
        <v>974</v>
      </c>
      <c r="P75" s="3">
        <f t="shared" si="11"/>
        <v>16.233333333333334</v>
      </c>
      <c r="Q75" s="1">
        <v>1</v>
      </c>
      <c r="R75" s="1" t="s">
        <v>630</v>
      </c>
    </row>
    <row r="76" spans="1:19" ht="15" customHeight="1" x14ac:dyDescent="0.25">
      <c r="A76" s="3">
        <v>11025</v>
      </c>
      <c r="B76" s="3" t="s">
        <v>766</v>
      </c>
      <c r="C76" s="3" t="s">
        <v>297</v>
      </c>
      <c r="D76" s="3" t="s">
        <v>220</v>
      </c>
      <c r="E76" s="3">
        <v>7</v>
      </c>
      <c r="F76" s="3">
        <f>3*60+27</f>
        <v>207</v>
      </c>
      <c r="G76" s="3" t="s">
        <v>301</v>
      </c>
      <c r="H76" s="3" t="s">
        <v>630</v>
      </c>
      <c r="I76" s="3">
        <v>2</v>
      </c>
      <c r="J76" s="3" t="s">
        <v>657</v>
      </c>
      <c r="K76" s="3"/>
      <c r="L76" s="3"/>
      <c r="M76" s="3">
        <f t="shared" si="8"/>
        <v>200</v>
      </c>
      <c r="N76" s="3">
        <f t="shared" si="9"/>
        <v>1</v>
      </c>
      <c r="O76" s="3">
        <f t="shared" si="10"/>
        <v>200</v>
      </c>
      <c r="P76" s="3">
        <f t="shared" si="11"/>
        <v>3.3333333333333335</v>
      </c>
      <c r="Q76" s="1">
        <v>1</v>
      </c>
      <c r="R76" s="1" t="s">
        <v>630</v>
      </c>
    </row>
    <row r="77" spans="1:19" ht="15" customHeight="1" x14ac:dyDescent="0.25">
      <c r="A77" s="3">
        <v>11026</v>
      </c>
      <c r="B77" s="3" t="s">
        <v>767</v>
      </c>
      <c r="C77" s="3" t="s">
        <v>302</v>
      </c>
      <c r="D77" s="3" t="s">
        <v>220</v>
      </c>
      <c r="E77" s="3">
        <v>17</v>
      </c>
      <c r="F77" s="3">
        <f>3*60+28</f>
        <v>208</v>
      </c>
      <c r="G77" s="3" t="s">
        <v>280</v>
      </c>
      <c r="H77" s="3" t="s">
        <v>630</v>
      </c>
      <c r="I77" s="3">
        <v>2</v>
      </c>
      <c r="J77" s="3" t="s">
        <v>657</v>
      </c>
      <c r="K77" s="3"/>
      <c r="L77" s="3"/>
      <c r="M77" s="3">
        <f t="shared" si="8"/>
        <v>191</v>
      </c>
      <c r="N77" s="3">
        <f t="shared" si="9"/>
        <v>1</v>
      </c>
      <c r="O77" s="3">
        <f t="shared" si="10"/>
        <v>191</v>
      </c>
      <c r="P77" s="3">
        <f t="shared" si="11"/>
        <v>3.1833333333333331</v>
      </c>
      <c r="Q77" s="1">
        <v>1</v>
      </c>
      <c r="R77" s="1" t="s">
        <v>630</v>
      </c>
    </row>
    <row r="78" spans="1:19" ht="15" customHeight="1" x14ac:dyDescent="0.25">
      <c r="A78" s="3">
        <v>11027</v>
      </c>
      <c r="B78" s="3" t="s">
        <v>768</v>
      </c>
      <c r="C78" s="3" t="s">
        <v>304</v>
      </c>
      <c r="D78" s="3" t="s">
        <v>220</v>
      </c>
      <c r="E78" s="3">
        <f>2*60+35</f>
        <v>155</v>
      </c>
      <c r="F78" s="3">
        <f>8*60+37</f>
        <v>517</v>
      </c>
      <c r="G78" s="3" t="s">
        <v>308</v>
      </c>
      <c r="H78" s="3" t="s">
        <v>630</v>
      </c>
      <c r="I78" s="3">
        <v>0</v>
      </c>
      <c r="J78" s="3" t="s">
        <v>645</v>
      </c>
      <c r="K78" s="3"/>
      <c r="L78" s="3"/>
      <c r="M78" s="3">
        <f t="shared" si="8"/>
        <v>362</v>
      </c>
      <c r="N78" s="3">
        <f t="shared" si="9"/>
        <v>1</v>
      </c>
      <c r="O78" s="3">
        <f t="shared" si="10"/>
        <v>362</v>
      </c>
      <c r="P78" s="3">
        <f t="shared" si="11"/>
        <v>6.0333333333333332</v>
      </c>
      <c r="Q78" s="1">
        <v>1</v>
      </c>
      <c r="R78" s="1" t="s">
        <v>630</v>
      </c>
    </row>
    <row r="79" spans="1:19" ht="15" customHeight="1" x14ac:dyDescent="0.25">
      <c r="A79" s="3">
        <v>11028</v>
      </c>
      <c r="B79" s="3" t="s">
        <v>769</v>
      </c>
      <c r="C79" s="3" t="s">
        <v>309</v>
      </c>
      <c r="D79" s="3" t="s">
        <v>220</v>
      </c>
      <c r="E79" s="3">
        <v>6</v>
      </c>
      <c r="F79" s="3">
        <f>7*60+44</f>
        <v>464</v>
      </c>
      <c r="G79" s="3" t="s">
        <v>312</v>
      </c>
      <c r="H79" s="3" t="s">
        <v>630</v>
      </c>
      <c r="I79" s="3">
        <v>0</v>
      </c>
      <c r="J79" s="3" t="s">
        <v>727</v>
      </c>
      <c r="K79" s="3"/>
      <c r="L79" s="3"/>
      <c r="M79" s="3">
        <f t="shared" si="8"/>
        <v>458</v>
      </c>
      <c r="N79" s="3">
        <f t="shared" si="9"/>
        <v>1</v>
      </c>
      <c r="O79" s="3">
        <f t="shared" si="10"/>
        <v>458</v>
      </c>
      <c r="P79" s="3">
        <f t="shared" si="11"/>
        <v>7.6333333333333337</v>
      </c>
      <c r="Q79" s="1">
        <v>1</v>
      </c>
      <c r="R79" s="1" t="s">
        <v>630</v>
      </c>
    </row>
    <row r="80" spans="1:19" ht="15" customHeight="1" x14ac:dyDescent="0.25">
      <c r="A80" s="3">
        <v>11029</v>
      </c>
      <c r="B80" s="3" t="s">
        <v>770</v>
      </c>
      <c r="C80" s="3" t="s">
        <v>313</v>
      </c>
      <c r="D80" s="3" t="s">
        <v>220</v>
      </c>
      <c r="E80" s="3">
        <f>11*60+8</f>
        <v>668</v>
      </c>
      <c r="F80" s="3">
        <f>16*60</f>
        <v>960</v>
      </c>
      <c r="G80" s="3" t="s">
        <v>316</v>
      </c>
      <c r="H80" s="3" t="s">
        <v>630</v>
      </c>
      <c r="I80" s="3">
        <v>0</v>
      </c>
      <c r="J80" s="3" t="s">
        <v>771</v>
      </c>
      <c r="K80" s="3"/>
      <c r="L80" s="3"/>
      <c r="M80" s="3">
        <f t="shared" si="8"/>
        <v>292</v>
      </c>
      <c r="N80" s="3">
        <f t="shared" si="9"/>
        <v>1</v>
      </c>
      <c r="O80" s="3">
        <f t="shared" si="10"/>
        <v>292</v>
      </c>
      <c r="P80" s="3">
        <f t="shared" si="11"/>
        <v>4.8666666666666663</v>
      </c>
      <c r="Q80" s="1">
        <v>1</v>
      </c>
      <c r="R80" s="1" t="s">
        <v>630</v>
      </c>
    </row>
    <row r="81" spans="1:19" ht="15" customHeight="1" x14ac:dyDescent="0.25">
      <c r="A81" s="3">
        <v>11030</v>
      </c>
      <c r="B81" s="3" t="s">
        <v>772</v>
      </c>
      <c r="C81" s="3" t="s">
        <v>317</v>
      </c>
      <c r="D81" s="3" t="s">
        <v>220</v>
      </c>
      <c r="E81" s="3">
        <f>15*60+19</f>
        <v>919</v>
      </c>
      <c r="F81" s="3">
        <f>22*60+43</f>
        <v>1363</v>
      </c>
      <c r="G81" s="3" t="s">
        <v>320</v>
      </c>
      <c r="H81" s="3" t="s">
        <v>630</v>
      </c>
      <c r="I81" s="3">
        <v>2</v>
      </c>
      <c r="J81" s="3" t="s">
        <v>773</v>
      </c>
      <c r="K81" s="3"/>
      <c r="L81" s="3"/>
      <c r="M81" s="3">
        <f t="shared" si="8"/>
        <v>444</v>
      </c>
      <c r="N81" s="3">
        <f t="shared" si="9"/>
        <v>1</v>
      </c>
      <c r="O81" s="3">
        <f t="shared" si="10"/>
        <v>444</v>
      </c>
      <c r="P81" s="3">
        <f t="shared" si="11"/>
        <v>7.4</v>
      </c>
      <c r="Q81" s="1">
        <v>1</v>
      </c>
      <c r="R81" s="1" t="s">
        <v>630</v>
      </c>
    </row>
    <row r="82" spans="1:19" ht="15" customHeight="1" x14ac:dyDescent="0.25">
      <c r="A82" s="3">
        <v>11031</v>
      </c>
      <c r="B82" s="3" t="s">
        <v>774</v>
      </c>
      <c r="C82" s="3" t="s">
        <v>321</v>
      </c>
      <c r="D82" s="3" t="s">
        <v>220</v>
      </c>
      <c r="E82" s="3">
        <v>9</v>
      </c>
      <c r="F82" s="3">
        <f>7*60+42</f>
        <v>462</v>
      </c>
      <c r="G82" s="3" t="s">
        <v>324</v>
      </c>
      <c r="H82" s="3" t="s">
        <v>630</v>
      </c>
      <c r="I82" s="3">
        <v>2</v>
      </c>
      <c r="J82" s="3" t="s">
        <v>775</v>
      </c>
      <c r="K82" s="3"/>
      <c r="L82" s="3"/>
      <c r="M82" s="3">
        <f t="shared" si="8"/>
        <v>453</v>
      </c>
      <c r="N82" s="3">
        <f t="shared" si="9"/>
        <v>1</v>
      </c>
      <c r="O82" s="3">
        <f t="shared" si="10"/>
        <v>453</v>
      </c>
      <c r="P82" s="3">
        <f t="shared" si="11"/>
        <v>7.55</v>
      </c>
      <c r="Q82" s="1">
        <v>1</v>
      </c>
      <c r="R82" s="1" t="s">
        <v>630</v>
      </c>
    </row>
    <row r="83" spans="1:19" ht="15" customHeight="1" x14ac:dyDescent="0.25">
      <c r="A83" s="3">
        <v>11032</v>
      </c>
      <c r="B83" s="3" t="s">
        <v>776</v>
      </c>
      <c r="C83" s="3" t="s">
        <v>325</v>
      </c>
      <c r="D83" s="3" t="s">
        <v>220</v>
      </c>
      <c r="E83" s="3">
        <f>60+45</f>
        <v>105</v>
      </c>
      <c r="F83" s="3">
        <f>5*60+52</f>
        <v>352</v>
      </c>
      <c r="G83" s="3" t="s">
        <v>328</v>
      </c>
      <c r="H83" s="3" t="s">
        <v>630</v>
      </c>
      <c r="I83" s="3">
        <v>2</v>
      </c>
      <c r="J83" s="3" t="s">
        <v>777</v>
      </c>
      <c r="K83" s="3"/>
      <c r="L83" s="3"/>
      <c r="M83" s="3">
        <f t="shared" si="8"/>
        <v>247</v>
      </c>
      <c r="N83" s="3">
        <f t="shared" si="9"/>
        <v>1</v>
      </c>
      <c r="O83" s="3">
        <f t="shared" si="10"/>
        <v>247</v>
      </c>
      <c r="P83" s="3">
        <f t="shared" si="11"/>
        <v>4.1166666666666663</v>
      </c>
      <c r="Q83" s="1">
        <v>1</v>
      </c>
      <c r="R83" s="1" t="s">
        <v>630</v>
      </c>
    </row>
    <row r="84" spans="1:19" ht="15" customHeight="1" x14ac:dyDescent="0.25">
      <c r="A84" s="3">
        <v>11033</v>
      </c>
      <c r="B84" s="3" t="s">
        <v>778</v>
      </c>
      <c r="C84" s="3" t="s">
        <v>329</v>
      </c>
      <c r="D84" s="3" t="s">
        <v>220</v>
      </c>
      <c r="E84" s="3">
        <f>8*60+24</f>
        <v>504</v>
      </c>
      <c r="F84" s="3">
        <f>12*60+36</f>
        <v>756</v>
      </c>
      <c r="G84" s="3" t="s">
        <v>332</v>
      </c>
      <c r="H84" s="3" t="s">
        <v>630</v>
      </c>
      <c r="I84" s="3">
        <v>0</v>
      </c>
      <c r="J84" s="3" t="s">
        <v>779</v>
      </c>
      <c r="K84" s="3"/>
      <c r="L84" s="3"/>
      <c r="M84" s="3">
        <f t="shared" si="8"/>
        <v>252</v>
      </c>
      <c r="N84" s="3">
        <f t="shared" si="9"/>
        <v>1</v>
      </c>
      <c r="O84" s="3">
        <f t="shared" si="10"/>
        <v>252</v>
      </c>
      <c r="P84" s="3">
        <f t="shared" si="11"/>
        <v>4.2</v>
      </c>
      <c r="Q84" s="1">
        <v>1</v>
      </c>
      <c r="R84" s="1" t="s">
        <v>630</v>
      </c>
    </row>
    <row r="85" spans="1:19" ht="15" customHeight="1" x14ac:dyDescent="0.25">
      <c r="A85" s="3">
        <v>11034</v>
      </c>
      <c r="B85" s="3" t="s">
        <v>780</v>
      </c>
      <c r="C85" s="3" t="s">
        <v>333</v>
      </c>
      <c r="D85" s="3" t="s">
        <v>220</v>
      </c>
      <c r="E85" s="3">
        <v>1</v>
      </c>
      <c r="F85" s="3">
        <f>3*60+8</f>
        <v>188</v>
      </c>
      <c r="G85" s="3" t="s">
        <v>337</v>
      </c>
      <c r="H85" s="3" t="s">
        <v>630</v>
      </c>
      <c r="I85" s="3">
        <v>2</v>
      </c>
      <c r="J85" s="3" t="s">
        <v>657</v>
      </c>
      <c r="K85" s="3"/>
      <c r="L85" s="3"/>
      <c r="M85" s="3">
        <f t="shared" si="8"/>
        <v>187</v>
      </c>
      <c r="N85" s="3">
        <f t="shared" si="9"/>
        <v>1</v>
      </c>
      <c r="O85" s="3">
        <f t="shared" si="10"/>
        <v>187</v>
      </c>
      <c r="P85" s="3">
        <f t="shared" si="11"/>
        <v>3.1166666666666667</v>
      </c>
      <c r="Q85" s="1">
        <v>1</v>
      </c>
      <c r="R85" s="1" t="s">
        <v>630</v>
      </c>
    </row>
    <row r="86" spans="1:19" ht="15" customHeight="1" x14ac:dyDescent="0.25">
      <c r="A86" s="3">
        <v>11035</v>
      </c>
      <c r="B86" s="3" t="s">
        <v>781</v>
      </c>
      <c r="C86" s="3" t="s">
        <v>338</v>
      </c>
      <c r="D86" s="3" t="s">
        <v>220</v>
      </c>
      <c r="E86" s="3">
        <v>117</v>
      </c>
      <c r="F86" s="3">
        <f>5*60+6</f>
        <v>306</v>
      </c>
      <c r="G86" s="3" t="s">
        <v>221</v>
      </c>
      <c r="H86" s="3" t="s">
        <v>630</v>
      </c>
      <c r="I86" s="3">
        <v>0</v>
      </c>
      <c r="J86" s="3" t="s">
        <v>782</v>
      </c>
      <c r="K86" s="3"/>
      <c r="L86" s="3"/>
      <c r="M86" s="3">
        <f t="shared" si="8"/>
        <v>189</v>
      </c>
      <c r="N86" s="3">
        <f t="shared" si="9"/>
        <v>1</v>
      </c>
      <c r="O86" s="3">
        <f t="shared" si="10"/>
        <v>189</v>
      </c>
      <c r="P86" s="3">
        <f t="shared" si="11"/>
        <v>3.15</v>
      </c>
      <c r="Q86" s="1">
        <v>1</v>
      </c>
      <c r="R86" s="1" t="s">
        <v>630</v>
      </c>
      <c r="S86" s="1" t="s">
        <v>783</v>
      </c>
    </row>
    <row r="87" spans="1:19" ht="15" customHeight="1" x14ac:dyDescent="0.25">
      <c r="A87" s="3">
        <v>11036</v>
      </c>
      <c r="B87" s="3" t="s">
        <v>784</v>
      </c>
      <c r="C87" s="3" t="s">
        <v>340</v>
      </c>
      <c r="D87" s="3" t="s">
        <v>220</v>
      </c>
      <c r="E87" s="3">
        <v>15</v>
      </c>
      <c r="F87" s="3">
        <f>5*60+33</f>
        <v>333</v>
      </c>
      <c r="G87" s="3" t="s">
        <v>270</v>
      </c>
      <c r="H87" s="3" t="s">
        <v>630</v>
      </c>
      <c r="I87" s="3">
        <v>0</v>
      </c>
      <c r="J87" s="3" t="s">
        <v>785</v>
      </c>
      <c r="K87" s="3"/>
      <c r="L87" s="3"/>
      <c r="M87" s="3">
        <f t="shared" si="8"/>
        <v>318</v>
      </c>
      <c r="N87" s="3">
        <f t="shared" si="9"/>
        <v>1</v>
      </c>
      <c r="O87" s="3">
        <f t="shared" si="10"/>
        <v>318</v>
      </c>
      <c r="P87" s="3">
        <f t="shared" si="11"/>
        <v>5.3</v>
      </c>
      <c r="Q87" s="1">
        <v>1</v>
      </c>
      <c r="R87" s="1" t="s">
        <v>630</v>
      </c>
    </row>
    <row r="88" spans="1:19" ht="15" customHeight="1" x14ac:dyDescent="0.25">
      <c r="A88" s="3">
        <v>11037</v>
      </c>
      <c r="B88" s="3" t="s">
        <v>786</v>
      </c>
      <c r="C88" s="3" t="s">
        <v>342</v>
      </c>
      <c r="D88" s="3" t="s">
        <v>220</v>
      </c>
      <c r="E88" s="3">
        <f>12*60+58</f>
        <v>778</v>
      </c>
      <c r="F88" s="3">
        <f>16*60+2</f>
        <v>962</v>
      </c>
      <c r="G88" s="3" t="s">
        <v>346</v>
      </c>
      <c r="H88" s="3" t="s">
        <v>630</v>
      </c>
      <c r="I88" s="3">
        <v>2</v>
      </c>
      <c r="J88" s="3" t="s">
        <v>787</v>
      </c>
      <c r="K88" s="3"/>
      <c r="L88" s="3"/>
      <c r="M88" s="3">
        <f t="shared" si="8"/>
        <v>184</v>
      </c>
      <c r="N88" s="3">
        <f t="shared" si="9"/>
        <v>1</v>
      </c>
      <c r="O88" s="3">
        <f t="shared" si="10"/>
        <v>184</v>
      </c>
      <c r="P88" s="3">
        <f t="shared" si="11"/>
        <v>3.0666666666666669</v>
      </c>
      <c r="Q88" s="1">
        <v>1</v>
      </c>
      <c r="R88" s="1" t="s">
        <v>630</v>
      </c>
    </row>
    <row r="89" spans="1:19" ht="15" customHeight="1" x14ac:dyDescent="0.25">
      <c r="A89" s="3">
        <v>11038</v>
      </c>
      <c r="B89" s="3" t="s">
        <v>788</v>
      </c>
      <c r="C89" s="3" t="s">
        <v>347</v>
      </c>
      <c r="D89" s="3" t="s">
        <v>220</v>
      </c>
      <c r="E89" s="3">
        <v>372</v>
      </c>
      <c r="F89" s="3">
        <f>11*60+39</f>
        <v>699</v>
      </c>
      <c r="G89" s="3" t="s">
        <v>280</v>
      </c>
      <c r="H89" s="3" t="s">
        <v>630</v>
      </c>
      <c r="I89" s="3">
        <v>0</v>
      </c>
      <c r="J89" s="3" t="s">
        <v>789</v>
      </c>
      <c r="K89" s="3"/>
      <c r="L89" s="3"/>
      <c r="M89" s="3">
        <f t="shared" si="8"/>
        <v>327</v>
      </c>
      <c r="N89" s="3">
        <f t="shared" si="9"/>
        <v>1</v>
      </c>
      <c r="O89" s="3">
        <f t="shared" si="10"/>
        <v>327</v>
      </c>
      <c r="P89" s="3">
        <f t="shared" si="11"/>
        <v>5.45</v>
      </c>
      <c r="Q89" s="1">
        <v>1</v>
      </c>
      <c r="R89" s="1" t="s">
        <v>630</v>
      </c>
    </row>
    <row r="90" spans="1:19" ht="15" customHeight="1" x14ac:dyDescent="0.25">
      <c r="A90" s="3">
        <v>11039</v>
      </c>
      <c r="B90" s="3" t="s">
        <v>790</v>
      </c>
      <c r="C90" s="3" t="s">
        <v>350</v>
      </c>
      <c r="D90" s="3" t="s">
        <v>220</v>
      </c>
      <c r="E90" s="3">
        <v>2</v>
      </c>
      <c r="F90" s="3">
        <f>4*60+36</f>
        <v>276</v>
      </c>
      <c r="G90" s="3" t="s">
        <v>188</v>
      </c>
      <c r="H90" s="3" t="s">
        <v>630</v>
      </c>
      <c r="I90" s="3">
        <v>2</v>
      </c>
      <c r="J90" s="3" t="s">
        <v>657</v>
      </c>
      <c r="K90" s="3"/>
      <c r="L90" s="3"/>
      <c r="M90" s="3">
        <f t="shared" si="8"/>
        <v>274</v>
      </c>
      <c r="N90" s="3">
        <f t="shared" si="9"/>
        <v>1</v>
      </c>
      <c r="O90" s="3">
        <f t="shared" si="10"/>
        <v>274</v>
      </c>
      <c r="P90" s="3">
        <f t="shared" si="11"/>
        <v>4.5666666666666664</v>
      </c>
      <c r="Q90" s="1">
        <v>1</v>
      </c>
      <c r="R90" s="1" t="s">
        <v>630</v>
      </c>
    </row>
    <row r="91" spans="1:19" ht="15" customHeight="1" x14ac:dyDescent="0.25">
      <c r="A91" s="3">
        <v>11040</v>
      </c>
      <c r="B91" s="3" t="s">
        <v>791</v>
      </c>
      <c r="C91" s="3" t="s">
        <v>352</v>
      </c>
      <c r="D91" s="3" t="s">
        <v>220</v>
      </c>
      <c r="E91" s="3">
        <v>2</v>
      </c>
      <c r="F91" s="3">
        <f>4*60+30</f>
        <v>270</v>
      </c>
      <c r="G91" s="3" t="s">
        <v>134</v>
      </c>
      <c r="H91" s="3" t="s">
        <v>630</v>
      </c>
      <c r="I91" s="3">
        <v>2</v>
      </c>
      <c r="J91" s="3" t="s">
        <v>657</v>
      </c>
      <c r="K91" s="3"/>
      <c r="L91" s="3"/>
      <c r="M91" s="3">
        <f t="shared" si="8"/>
        <v>268</v>
      </c>
      <c r="N91" s="3">
        <f t="shared" si="9"/>
        <v>1</v>
      </c>
      <c r="O91" s="3">
        <f t="shared" si="10"/>
        <v>268</v>
      </c>
      <c r="P91" s="3">
        <f t="shared" si="11"/>
        <v>4.4666666666666668</v>
      </c>
      <c r="Q91" s="1">
        <v>1</v>
      </c>
      <c r="R91" s="1" t="s">
        <v>630</v>
      </c>
    </row>
    <row r="92" spans="1:19" ht="15" customHeight="1" x14ac:dyDescent="0.25">
      <c r="A92" s="3">
        <v>11041</v>
      </c>
      <c r="B92" s="3" t="s">
        <v>792</v>
      </c>
      <c r="C92" s="3" t="s">
        <v>355</v>
      </c>
      <c r="D92" s="3" t="s">
        <v>220</v>
      </c>
      <c r="E92" s="3">
        <v>5</v>
      </c>
      <c r="F92" s="3">
        <f>4*60+50</f>
        <v>290</v>
      </c>
      <c r="G92" s="3" t="s">
        <v>357</v>
      </c>
      <c r="H92" s="3" t="s">
        <v>630</v>
      </c>
      <c r="I92" s="3">
        <v>0</v>
      </c>
      <c r="J92" s="3" t="s">
        <v>793</v>
      </c>
      <c r="K92" s="3"/>
      <c r="L92" s="3"/>
      <c r="M92" s="3">
        <f t="shared" si="8"/>
        <v>285</v>
      </c>
      <c r="N92" s="3">
        <f t="shared" si="9"/>
        <v>1</v>
      </c>
      <c r="O92" s="3">
        <f t="shared" si="10"/>
        <v>285</v>
      </c>
      <c r="P92" s="3">
        <f t="shared" si="11"/>
        <v>4.75</v>
      </c>
      <c r="Q92" s="1">
        <v>1</v>
      </c>
      <c r="R92" s="1" t="s">
        <v>630</v>
      </c>
    </row>
    <row r="93" spans="1:19" ht="15" customHeight="1" x14ac:dyDescent="0.25">
      <c r="A93" s="3">
        <v>11042</v>
      </c>
      <c r="B93" s="3" t="s">
        <v>794</v>
      </c>
      <c r="C93" s="3" t="s">
        <v>358</v>
      </c>
      <c r="D93" s="3" t="s">
        <v>220</v>
      </c>
      <c r="E93" s="3">
        <v>9</v>
      </c>
      <c r="F93" s="3">
        <f>5*60+31</f>
        <v>331</v>
      </c>
      <c r="G93" s="3" t="s">
        <v>360</v>
      </c>
      <c r="H93" s="3" t="s">
        <v>630</v>
      </c>
      <c r="I93" s="3">
        <v>0</v>
      </c>
      <c r="J93" s="3" t="s">
        <v>657</v>
      </c>
      <c r="K93" s="3"/>
      <c r="L93" s="3"/>
      <c r="M93" s="3">
        <f t="shared" si="8"/>
        <v>322</v>
      </c>
      <c r="N93" s="3">
        <f t="shared" si="9"/>
        <v>1</v>
      </c>
      <c r="O93" s="3">
        <f t="shared" si="10"/>
        <v>322</v>
      </c>
      <c r="P93" s="3">
        <f t="shared" si="11"/>
        <v>5.3666666666666663</v>
      </c>
      <c r="Q93" s="1">
        <v>1</v>
      </c>
      <c r="R93" s="1" t="s">
        <v>630</v>
      </c>
    </row>
    <row r="94" spans="1:19" ht="15" customHeight="1" x14ac:dyDescent="0.25">
      <c r="A94" s="3">
        <v>11043</v>
      </c>
      <c r="B94" s="3" t="s">
        <v>795</v>
      </c>
      <c r="C94" s="3" t="s">
        <v>361</v>
      </c>
      <c r="D94" s="3" t="s">
        <v>220</v>
      </c>
      <c r="E94" s="3">
        <v>6</v>
      </c>
      <c r="F94" s="3">
        <f>3*60+10</f>
        <v>190</v>
      </c>
      <c r="G94" s="3" t="s">
        <v>365</v>
      </c>
      <c r="H94" s="3" t="s">
        <v>630</v>
      </c>
      <c r="I94" s="3">
        <v>2</v>
      </c>
      <c r="J94" s="3" t="s">
        <v>655</v>
      </c>
      <c r="K94" s="3" t="s">
        <v>796</v>
      </c>
      <c r="L94" s="3"/>
      <c r="M94" s="3">
        <f t="shared" si="8"/>
        <v>184</v>
      </c>
      <c r="N94" s="3">
        <f t="shared" si="9"/>
        <v>1</v>
      </c>
      <c r="O94" s="3">
        <f t="shared" si="10"/>
        <v>184</v>
      </c>
      <c r="P94" s="3">
        <f t="shared" si="11"/>
        <v>3.0666666666666669</v>
      </c>
      <c r="Q94" s="1">
        <v>1</v>
      </c>
      <c r="R94" s="1" t="s">
        <v>630</v>
      </c>
    </row>
    <row r="95" spans="1:19" ht="15" customHeight="1" x14ac:dyDescent="0.25">
      <c r="A95" s="3">
        <v>11044</v>
      </c>
      <c r="B95" s="3" t="s">
        <v>797</v>
      </c>
      <c r="C95" s="3" t="s">
        <v>366</v>
      </c>
      <c r="D95" s="3" t="s">
        <v>220</v>
      </c>
      <c r="E95" s="3">
        <f>5*60+41</f>
        <v>341</v>
      </c>
      <c r="F95" s="3">
        <f>8*60+59</f>
        <v>539</v>
      </c>
      <c r="G95" s="3" t="s">
        <v>280</v>
      </c>
      <c r="H95" s="3" t="s">
        <v>630</v>
      </c>
      <c r="I95" s="3">
        <v>2</v>
      </c>
      <c r="J95" s="3" t="s">
        <v>798</v>
      </c>
      <c r="K95" s="3"/>
      <c r="L95" s="3"/>
      <c r="M95" s="3">
        <f t="shared" si="8"/>
        <v>198</v>
      </c>
      <c r="N95" s="3">
        <f t="shared" si="9"/>
        <v>1</v>
      </c>
      <c r="O95" s="3">
        <f t="shared" si="10"/>
        <v>198</v>
      </c>
      <c r="P95" s="3">
        <f t="shared" si="11"/>
        <v>3.3</v>
      </c>
      <c r="Q95" s="1">
        <v>1</v>
      </c>
      <c r="R95" s="1" t="s">
        <v>630</v>
      </c>
    </row>
    <row r="96" spans="1:19" ht="15" customHeight="1" x14ac:dyDescent="0.25">
      <c r="A96" s="3">
        <v>11045</v>
      </c>
      <c r="B96" s="3" t="s">
        <v>799</v>
      </c>
      <c r="C96" s="3" t="s">
        <v>368</v>
      </c>
      <c r="D96" s="3" t="s">
        <v>220</v>
      </c>
      <c r="E96" s="3">
        <v>4</v>
      </c>
      <c r="F96" s="3">
        <f>2*60+21</f>
        <v>141</v>
      </c>
      <c r="G96" s="3" t="s">
        <v>370</v>
      </c>
      <c r="H96" s="3" t="s">
        <v>630</v>
      </c>
      <c r="I96" s="3">
        <v>0</v>
      </c>
      <c r="J96" s="3" t="s">
        <v>800</v>
      </c>
      <c r="K96" s="3"/>
      <c r="L96" s="3"/>
      <c r="M96" s="3">
        <f t="shared" si="8"/>
        <v>137</v>
      </c>
      <c r="N96" s="3">
        <f t="shared" si="9"/>
        <v>1</v>
      </c>
      <c r="O96" s="3">
        <f t="shared" si="10"/>
        <v>137</v>
      </c>
      <c r="P96" s="3">
        <f t="shared" si="11"/>
        <v>2.2833333333333332</v>
      </c>
      <c r="Q96" s="1">
        <v>1</v>
      </c>
      <c r="R96" s="1" t="s">
        <v>630</v>
      </c>
    </row>
    <row r="97" spans="1:21" ht="15" customHeight="1" x14ac:dyDescent="0.25">
      <c r="A97" s="3">
        <v>11046</v>
      </c>
      <c r="B97" s="3" t="s">
        <v>801</v>
      </c>
      <c r="C97" s="3" t="s">
        <v>371</v>
      </c>
      <c r="D97" s="3" t="s">
        <v>220</v>
      </c>
      <c r="E97" s="3">
        <f>3*60+4</f>
        <v>184</v>
      </c>
      <c r="F97" s="3">
        <f>8*60+41</f>
        <v>521</v>
      </c>
      <c r="G97" s="3" t="s">
        <v>373</v>
      </c>
      <c r="H97" s="3" t="s">
        <v>630</v>
      </c>
      <c r="I97" s="3">
        <v>2</v>
      </c>
      <c r="J97" s="3" t="s">
        <v>645</v>
      </c>
      <c r="K97" s="3"/>
      <c r="L97" s="3"/>
      <c r="M97" s="3">
        <f t="shared" si="8"/>
        <v>337</v>
      </c>
      <c r="N97" s="3">
        <f t="shared" si="9"/>
        <v>1</v>
      </c>
      <c r="O97" s="3">
        <f t="shared" si="10"/>
        <v>337</v>
      </c>
      <c r="P97" s="3">
        <f t="shared" si="11"/>
        <v>5.6166666666666663</v>
      </c>
      <c r="Q97" s="1">
        <v>1</v>
      </c>
      <c r="R97" s="1" t="s">
        <v>630</v>
      </c>
      <c r="S97" s="1" t="s">
        <v>802</v>
      </c>
    </row>
    <row r="98" spans="1:21" ht="15" customHeight="1" x14ac:dyDescent="0.25">
      <c r="A98" s="3">
        <v>11047</v>
      </c>
      <c r="B98" s="3" t="s">
        <v>803</v>
      </c>
      <c r="C98" s="3" t="s">
        <v>374</v>
      </c>
      <c r="D98" s="3" t="s">
        <v>220</v>
      </c>
      <c r="E98" s="3">
        <v>12</v>
      </c>
      <c r="F98" s="3">
        <f>5*60+55</f>
        <v>355</v>
      </c>
      <c r="G98" s="3" t="s">
        <v>165</v>
      </c>
      <c r="H98" s="3" t="s">
        <v>630</v>
      </c>
      <c r="I98" s="3">
        <v>4</v>
      </c>
      <c r="J98" s="3" t="s">
        <v>804</v>
      </c>
      <c r="K98" s="3"/>
      <c r="L98" s="3"/>
      <c r="M98" s="3">
        <f t="shared" ref="M98:M129" si="12">F98-E98</f>
        <v>343</v>
      </c>
      <c r="N98" s="3">
        <f t="shared" ref="N98:N129" si="13">IF(ISBLANK(H98),0,1)</f>
        <v>1</v>
      </c>
      <c r="O98" s="3">
        <f t="shared" ref="O98:O129" si="14">M98*N98</f>
        <v>343</v>
      </c>
      <c r="P98" s="3">
        <f t="shared" ref="P98:P129" si="15">O98/60</f>
        <v>5.7166666666666668</v>
      </c>
      <c r="Q98" s="1">
        <v>1</v>
      </c>
      <c r="R98" s="1" t="s">
        <v>630</v>
      </c>
    </row>
    <row r="99" spans="1:21" ht="15" customHeight="1" x14ac:dyDescent="0.25">
      <c r="A99" s="3">
        <v>11048</v>
      </c>
      <c r="B99" s="3" t="s">
        <v>805</v>
      </c>
      <c r="C99" s="3" t="s">
        <v>378</v>
      </c>
      <c r="D99" s="3" t="s">
        <v>220</v>
      </c>
      <c r="E99" s="3">
        <f>2*60+54</f>
        <v>174</v>
      </c>
      <c r="F99" s="3">
        <f>7*60+35</f>
        <v>455</v>
      </c>
      <c r="G99" s="3" t="s">
        <v>381</v>
      </c>
      <c r="H99" s="3" t="s">
        <v>630</v>
      </c>
      <c r="I99" s="3">
        <v>0</v>
      </c>
      <c r="J99" s="3" t="s">
        <v>806</v>
      </c>
      <c r="K99" s="3"/>
      <c r="L99" s="3"/>
      <c r="M99" s="3">
        <f t="shared" si="12"/>
        <v>281</v>
      </c>
      <c r="N99" s="3">
        <f t="shared" si="13"/>
        <v>1</v>
      </c>
      <c r="O99" s="3">
        <f t="shared" si="14"/>
        <v>281</v>
      </c>
      <c r="P99" s="3">
        <f t="shared" si="15"/>
        <v>4.6833333333333336</v>
      </c>
      <c r="Q99" s="1">
        <v>1</v>
      </c>
      <c r="R99" s="1" t="s">
        <v>630</v>
      </c>
    </row>
    <row r="100" spans="1:21" ht="15" customHeight="1" x14ac:dyDescent="0.25">
      <c r="A100" s="3">
        <v>11049</v>
      </c>
      <c r="B100" s="3" t="s">
        <v>807</v>
      </c>
      <c r="C100" s="3" t="s">
        <v>382</v>
      </c>
      <c r="D100" s="3" t="s">
        <v>220</v>
      </c>
      <c r="E100" s="3">
        <f>8*60+58</f>
        <v>538</v>
      </c>
      <c r="F100" s="3">
        <f>16*60+18</f>
        <v>978</v>
      </c>
      <c r="G100" s="3" t="s">
        <v>384</v>
      </c>
      <c r="H100" s="3" t="s">
        <v>630</v>
      </c>
      <c r="I100" s="3">
        <v>0</v>
      </c>
      <c r="J100" s="3" t="s">
        <v>808</v>
      </c>
      <c r="K100" s="3"/>
      <c r="L100" s="3"/>
      <c r="M100" s="3">
        <f t="shared" si="12"/>
        <v>440</v>
      </c>
      <c r="N100" s="3">
        <f t="shared" si="13"/>
        <v>1</v>
      </c>
      <c r="O100" s="3">
        <f t="shared" si="14"/>
        <v>440</v>
      </c>
      <c r="P100" s="3">
        <f t="shared" si="15"/>
        <v>7.333333333333333</v>
      </c>
      <c r="Q100" s="1">
        <v>1</v>
      </c>
      <c r="R100" s="1" t="s">
        <v>630</v>
      </c>
    </row>
    <row r="101" spans="1:21" ht="15" customHeight="1" x14ac:dyDescent="0.25">
      <c r="A101" s="4">
        <v>11050</v>
      </c>
      <c r="B101" s="4" t="s">
        <v>809</v>
      </c>
      <c r="C101" s="4" t="s">
        <v>385</v>
      </c>
      <c r="D101" s="4" t="s">
        <v>220</v>
      </c>
      <c r="E101" s="4">
        <v>10</v>
      </c>
      <c r="F101" s="4">
        <f>2*60+14</f>
        <v>134</v>
      </c>
      <c r="G101" s="4" t="s">
        <v>387</v>
      </c>
      <c r="H101" s="4" t="s">
        <v>630</v>
      </c>
      <c r="I101" s="4">
        <v>0</v>
      </c>
      <c r="J101" s="4" t="s">
        <v>657</v>
      </c>
      <c r="K101" s="4" t="s">
        <v>810</v>
      </c>
      <c r="L101" s="3"/>
      <c r="M101" s="4">
        <f t="shared" si="12"/>
        <v>124</v>
      </c>
      <c r="N101" s="4">
        <f t="shared" si="13"/>
        <v>1</v>
      </c>
      <c r="O101" s="4">
        <f t="shared" si="14"/>
        <v>124</v>
      </c>
      <c r="P101" s="4">
        <f t="shared" si="15"/>
        <v>2.0666666666666669</v>
      </c>
      <c r="Q101" s="6">
        <v>1</v>
      </c>
      <c r="R101" s="6" t="s">
        <v>630</v>
      </c>
      <c r="S101" s="6"/>
      <c r="T101" s="6"/>
      <c r="U101" s="6"/>
    </row>
    <row r="102" spans="1:21" ht="15" customHeight="1" x14ac:dyDescent="0.25">
      <c r="A102" s="7">
        <v>12001</v>
      </c>
      <c r="B102" s="7" t="s">
        <v>811</v>
      </c>
      <c r="C102" s="7" t="s">
        <v>388</v>
      </c>
      <c r="D102" s="7" t="s">
        <v>390</v>
      </c>
      <c r="E102" s="7">
        <v>76</v>
      </c>
      <c r="F102" s="7">
        <f>5*60+12</f>
        <v>312</v>
      </c>
      <c r="G102" s="7" t="s">
        <v>391</v>
      </c>
      <c r="H102" s="7" t="s">
        <v>630</v>
      </c>
      <c r="I102" s="7">
        <v>4</v>
      </c>
      <c r="J102" s="7" t="s">
        <v>812</v>
      </c>
      <c r="K102" s="7"/>
      <c r="L102" s="3"/>
      <c r="M102" s="7">
        <f t="shared" si="12"/>
        <v>236</v>
      </c>
      <c r="N102" s="7">
        <f t="shared" si="13"/>
        <v>1</v>
      </c>
      <c r="O102" s="7">
        <f t="shared" si="14"/>
        <v>236</v>
      </c>
      <c r="P102" s="7">
        <f t="shared" si="15"/>
        <v>3.9333333333333331</v>
      </c>
      <c r="Q102" s="9">
        <v>1</v>
      </c>
      <c r="R102" s="9" t="s">
        <v>630</v>
      </c>
      <c r="S102" s="9"/>
      <c r="T102" s="9"/>
      <c r="U102" s="9"/>
    </row>
    <row r="103" spans="1:21" ht="15" customHeight="1" x14ac:dyDescent="0.25">
      <c r="A103" s="3">
        <v>12002</v>
      </c>
      <c r="B103" s="3" t="s">
        <v>813</v>
      </c>
      <c r="C103" s="3" t="s">
        <v>392</v>
      </c>
      <c r="D103" s="3" t="s">
        <v>390</v>
      </c>
      <c r="E103" s="3">
        <v>9</v>
      </c>
      <c r="F103" s="3">
        <f>10*60+12</f>
        <v>612</v>
      </c>
      <c r="G103" s="3" t="s">
        <v>395</v>
      </c>
      <c r="H103" s="3" t="s">
        <v>630</v>
      </c>
      <c r="I103" s="3">
        <v>6</v>
      </c>
      <c r="J103" s="3" t="s">
        <v>814</v>
      </c>
      <c r="K103" s="3"/>
      <c r="L103" s="3" t="s">
        <v>815</v>
      </c>
      <c r="M103" s="3">
        <f t="shared" si="12"/>
        <v>603</v>
      </c>
      <c r="N103" s="3">
        <f t="shared" si="13"/>
        <v>1</v>
      </c>
      <c r="O103" s="3">
        <f t="shared" si="14"/>
        <v>603</v>
      </c>
      <c r="P103" s="3">
        <f t="shared" si="15"/>
        <v>10.050000000000001</v>
      </c>
      <c r="Q103" s="1">
        <v>1</v>
      </c>
      <c r="R103" s="1" t="s">
        <v>630</v>
      </c>
      <c r="S103" s="1" t="s">
        <v>816</v>
      </c>
    </row>
    <row r="104" spans="1:21" ht="15" customHeight="1" x14ac:dyDescent="0.25">
      <c r="A104" s="3">
        <v>12003</v>
      </c>
      <c r="B104" s="3" t="s">
        <v>817</v>
      </c>
      <c r="C104" s="3" t="s">
        <v>396</v>
      </c>
      <c r="D104" s="3" t="s">
        <v>390</v>
      </c>
      <c r="E104" s="3">
        <f>18*60+28</f>
        <v>1108</v>
      </c>
      <c r="F104" s="3">
        <f>27*60+34</f>
        <v>1654</v>
      </c>
      <c r="G104" s="3" t="s">
        <v>397</v>
      </c>
      <c r="H104" s="3" t="s">
        <v>630</v>
      </c>
      <c r="I104" s="3">
        <v>4</v>
      </c>
      <c r="J104" s="3" t="s">
        <v>818</v>
      </c>
      <c r="K104" s="3"/>
      <c r="L104" s="3"/>
      <c r="M104" s="3">
        <f t="shared" si="12"/>
        <v>546</v>
      </c>
      <c r="N104" s="3">
        <f t="shared" si="13"/>
        <v>1</v>
      </c>
      <c r="O104" s="3">
        <f t="shared" si="14"/>
        <v>546</v>
      </c>
      <c r="P104" s="3">
        <f t="shared" si="15"/>
        <v>9.1</v>
      </c>
      <c r="Q104" s="1">
        <v>1</v>
      </c>
      <c r="R104" s="1" t="s">
        <v>630</v>
      </c>
    </row>
    <row r="105" spans="1:21" ht="15" customHeight="1" x14ac:dyDescent="0.25">
      <c r="A105" s="3">
        <v>12004</v>
      </c>
      <c r="B105" s="3" t="s">
        <v>819</v>
      </c>
      <c r="C105" s="3" t="s">
        <v>398</v>
      </c>
      <c r="D105" s="3" t="s">
        <v>390</v>
      </c>
      <c r="E105" s="3">
        <v>307</v>
      </c>
      <c r="F105" s="3">
        <f>10*60+16</f>
        <v>616</v>
      </c>
      <c r="G105" s="3" t="s">
        <v>677</v>
      </c>
      <c r="H105" s="3" t="s">
        <v>630</v>
      </c>
      <c r="I105" s="3">
        <v>4</v>
      </c>
      <c r="J105" s="3" t="s">
        <v>655</v>
      </c>
      <c r="K105" s="3" t="s">
        <v>820</v>
      </c>
      <c r="L105" s="3"/>
      <c r="M105" s="3">
        <f t="shared" si="12"/>
        <v>309</v>
      </c>
      <c r="N105" s="3">
        <f t="shared" si="13"/>
        <v>1</v>
      </c>
      <c r="O105" s="3">
        <f t="shared" si="14"/>
        <v>309</v>
      </c>
      <c r="P105" s="3">
        <f t="shared" si="15"/>
        <v>5.15</v>
      </c>
      <c r="Q105" s="1">
        <v>1</v>
      </c>
      <c r="R105" s="1" t="s">
        <v>630</v>
      </c>
    </row>
    <row r="106" spans="1:21" ht="15" customHeight="1" x14ac:dyDescent="0.25">
      <c r="A106" s="3">
        <v>12005</v>
      </c>
      <c r="B106" s="3" t="s">
        <v>821</v>
      </c>
      <c r="C106" s="3" t="s">
        <v>400</v>
      </c>
      <c r="D106" s="3" t="s">
        <v>390</v>
      </c>
      <c r="E106" s="3">
        <f>4*60+5</f>
        <v>245</v>
      </c>
      <c r="F106" s="3">
        <f>10*60+1</f>
        <v>601</v>
      </c>
      <c r="G106" s="3" t="s">
        <v>404</v>
      </c>
      <c r="H106" s="3" t="s">
        <v>630</v>
      </c>
      <c r="I106" s="3">
        <v>6</v>
      </c>
      <c r="J106" s="3" t="s">
        <v>822</v>
      </c>
      <c r="K106" s="3"/>
      <c r="L106" s="3"/>
      <c r="M106" s="3">
        <f t="shared" si="12"/>
        <v>356</v>
      </c>
      <c r="N106" s="3">
        <f t="shared" si="13"/>
        <v>1</v>
      </c>
      <c r="O106" s="3">
        <f t="shared" si="14"/>
        <v>356</v>
      </c>
      <c r="P106" s="3">
        <f t="shared" si="15"/>
        <v>5.9333333333333336</v>
      </c>
      <c r="Q106" s="1">
        <v>1</v>
      </c>
      <c r="R106" s="1" t="s">
        <v>630</v>
      </c>
    </row>
    <row r="107" spans="1:21" ht="15" customHeight="1" x14ac:dyDescent="0.25">
      <c r="A107" s="3">
        <v>12006</v>
      </c>
      <c r="B107" s="3" t="s">
        <v>823</v>
      </c>
      <c r="C107" s="3" t="s">
        <v>405</v>
      </c>
      <c r="D107" s="3" t="s">
        <v>390</v>
      </c>
      <c r="E107" s="3">
        <f>1*60+56</f>
        <v>116</v>
      </c>
      <c r="F107" s="3">
        <f>8*60+25</f>
        <v>505</v>
      </c>
      <c r="G107" s="3" t="s">
        <v>337</v>
      </c>
      <c r="H107" s="3" t="s">
        <v>630</v>
      </c>
      <c r="I107" s="3">
        <v>0</v>
      </c>
      <c r="J107" s="3" t="s">
        <v>655</v>
      </c>
      <c r="K107" s="3"/>
      <c r="L107" s="3"/>
      <c r="M107" s="3">
        <f t="shared" si="12"/>
        <v>389</v>
      </c>
      <c r="N107" s="3">
        <f t="shared" si="13"/>
        <v>1</v>
      </c>
      <c r="O107" s="3">
        <f t="shared" si="14"/>
        <v>389</v>
      </c>
      <c r="P107" s="3">
        <f t="shared" si="15"/>
        <v>6.4833333333333334</v>
      </c>
      <c r="Q107" s="1">
        <v>1</v>
      </c>
      <c r="R107" s="1" t="s">
        <v>630</v>
      </c>
    </row>
    <row r="108" spans="1:21" ht="15" customHeight="1" x14ac:dyDescent="0.25">
      <c r="A108" s="3">
        <v>12007</v>
      </c>
      <c r="B108" s="3" t="s">
        <v>824</v>
      </c>
      <c r="C108" s="3" t="s">
        <v>408</v>
      </c>
      <c r="D108" s="3" t="s">
        <v>390</v>
      </c>
      <c r="E108" s="3">
        <f>2*60+27</f>
        <v>147</v>
      </c>
      <c r="F108" s="3">
        <f>7*60+1</f>
        <v>421</v>
      </c>
      <c r="G108" s="3" t="s">
        <v>677</v>
      </c>
      <c r="H108" s="3" t="s">
        <v>630</v>
      </c>
      <c r="I108" s="3">
        <v>2</v>
      </c>
      <c r="J108" s="3" t="s">
        <v>708</v>
      </c>
      <c r="K108" s="3"/>
      <c r="L108" s="3"/>
      <c r="M108" s="3">
        <f t="shared" si="12"/>
        <v>274</v>
      </c>
      <c r="N108" s="3">
        <f t="shared" si="13"/>
        <v>1</v>
      </c>
      <c r="O108" s="3">
        <f t="shared" si="14"/>
        <v>274</v>
      </c>
      <c r="P108" s="3">
        <f t="shared" si="15"/>
        <v>4.5666666666666664</v>
      </c>
      <c r="Q108" s="1">
        <v>1</v>
      </c>
      <c r="R108" s="1" t="s">
        <v>630</v>
      </c>
      <c r="S108" s="1" t="s">
        <v>825</v>
      </c>
    </row>
    <row r="109" spans="1:21" ht="15" customHeight="1" x14ac:dyDescent="0.25">
      <c r="A109" s="3">
        <v>12008</v>
      </c>
      <c r="B109" s="3" t="s">
        <v>826</v>
      </c>
      <c r="C109" s="3" t="s">
        <v>410</v>
      </c>
      <c r="D109" s="3" t="s">
        <v>390</v>
      </c>
      <c r="E109" s="3">
        <v>3</v>
      </c>
      <c r="F109" s="3">
        <f>8*60+29</f>
        <v>509</v>
      </c>
      <c r="G109" s="3" t="s">
        <v>412</v>
      </c>
      <c r="H109" s="3" t="s">
        <v>630</v>
      </c>
      <c r="I109" s="3">
        <v>4</v>
      </c>
      <c r="J109" s="3" t="s">
        <v>800</v>
      </c>
      <c r="K109" s="3"/>
      <c r="L109" s="3"/>
      <c r="M109" s="3">
        <f t="shared" si="12"/>
        <v>506</v>
      </c>
      <c r="N109" s="3">
        <f t="shared" si="13"/>
        <v>1</v>
      </c>
      <c r="O109" s="3">
        <f t="shared" si="14"/>
        <v>506</v>
      </c>
      <c r="P109" s="3">
        <f t="shared" si="15"/>
        <v>8.4333333333333336</v>
      </c>
      <c r="Q109" s="1">
        <v>1</v>
      </c>
      <c r="R109" s="1" t="s">
        <v>630</v>
      </c>
    </row>
    <row r="110" spans="1:21" ht="15" customHeight="1" x14ac:dyDescent="0.25">
      <c r="A110" s="3">
        <v>12009</v>
      </c>
      <c r="B110" s="3" t="s">
        <v>827</v>
      </c>
      <c r="C110" s="3" t="s">
        <v>413</v>
      </c>
      <c r="D110" s="3" t="s">
        <v>390</v>
      </c>
      <c r="E110" s="3">
        <f>6*60+29</f>
        <v>389</v>
      </c>
      <c r="F110" s="3">
        <f>12*60+43</f>
        <v>763</v>
      </c>
      <c r="G110" s="3" t="s">
        <v>415</v>
      </c>
      <c r="H110" s="3" t="s">
        <v>630</v>
      </c>
      <c r="I110" s="3">
        <v>0</v>
      </c>
      <c r="J110" s="3" t="s">
        <v>828</v>
      </c>
      <c r="K110" s="3"/>
      <c r="L110" s="3"/>
      <c r="M110" s="3">
        <f t="shared" si="12"/>
        <v>374</v>
      </c>
      <c r="N110" s="3">
        <f t="shared" si="13"/>
        <v>1</v>
      </c>
      <c r="O110" s="3">
        <f t="shared" si="14"/>
        <v>374</v>
      </c>
      <c r="P110" s="3">
        <f t="shared" si="15"/>
        <v>6.2333333333333334</v>
      </c>
      <c r="Q110" s="1">
        <v>1</v>
      </c>
      <c r="R110" s="1" t="s">
        <v>630</v>
      </c>
      <c r="S110" s="1" t="s">
        <v>829</v>
      </c>
    </row>
    <row r="111" spans="1:21" ht="15" customHeight="1" x14ac:dyDescent="0.25">
      <c r="A111" s="3">
        <v>12010</v>
      </c>
      <c r="B111" s="3" t="s">
        <v>830</v>
      </c>
      <c r="C111" s="3" t="s">
        <v>416</v>
      </c>
      <c r="D111" s="3" t="s">
        <v>390</v>
      </c>
      <c r="E111" s="3">
        <f>7*60+17</f>
        <v>437</v>
      </c>
      <c r="F111" s="3">
        <f>15*60+36</f>
        <v>936</v>
      </c>
      <c r="G111" s="3" t="s">
        <v>178</v>
      </c>
      <c r="H111" s="3" t="s">
        <v>630</v>
      </c>
      <c r="I111" s="3">
        <v>4</v>
      </c>
      <c r="J111" s="3" t="s">
        <v>655</v>
      </c>
      <c r="K111" s="3"/>
      <c r="L111" s="3"/>
      <c r="M111" s="3">
        <f t="shared" si="12"/>
        <v>499</v>
      </c>
      <c r="N111" s="3">
        <f t="shared" si="13"/>
        <v>1</v>
      </c>
      <c r="O111" s="3">
        <f t="shared" si="14"/>
        <v>499</v>
      </c>
      <c r="P111" s="3">
        <f t="shared" si="15"/>
        <v>8.3166666666666664</v>
      </c>
      <c r="Q111" s="1">
        <v>1</v>
      </c>
      <c r="R111" s="1" t="s">
        <v>630</v>
      </c>
    </row>
    <row r="112" spans="1:21" ht="15" customHeight="1" x14ac:dyDescent="0.25">
      <c r="A112" s="3">
        <v>12011</v>
      </c>
      <c r="B112" s="3" t="s">
        <v>831</v>
      </c>
      <c r="C112" s="3" t="s">
        <v>419</v>
      </c>
      <c r="D112" s="3" t="s">
        <v>390</v>
      </c>
      <c r="E112" s="3">
        <v>10</v>
      </c>
      <c r="F112" s="3">
        <f>10*60+16</f>
        <v>616</v>
      </c>
      <c r="G112" s="3" t="s">
        <v>280</v>
      </c>
      <c r="H112" s="3" t="s">
        <v>630</v>
      </c>
      <c r="I112" s="3">
        <v>0</v>
      </c>
      <c r="J112" s="3" t="s">
        <v>655</v>
      </c>
      <c r="K112" s="3"/>
      <c r="L112" s="3"/>
      <c r="M112" s="3">
        <f t="shared" si="12"/>
        <v>606</v>
      </c>
      <c r="N112" s="3">
        <f t="shared" si="13"/>
        <v>1</v>
      </c>
      <c r="O112" s="3">
        <f t="shared" si="14"/>
        <v>606</v>
      </c>
      <c r="P112" s="3">
        <f t="shared" si="15"/>
        <v>10.1</v>
      </c>
      <c r="Q112" s="1">
        <v>1</v>
      </c>
      <c r="R112" s="1" t="s">
        <v>630</v>
      </c>
      <c r="S112" s="1" t="s">
        <v>832</v>
      </c>
    </row>
    <row r="113" spans="1:19" ht="15" customHeight="1" x14ac:dyDescent="0.25">
      <c r="A113" s="3">
        <v>12012</v>
      </c>
      <c r="B113" s="3" t="s">
        <v>833</v>
      </c>
      <c r="C113" s="3" t="s">
        <v>423</v>
      </c>
      <c r="D113" s="3" t="s">
        <v>390</v>
      </c>
      <c r="E113" s="3">
        <v>3</v>
      </c>
      <c r="F113" s="3">
        <f>6*60+28</f>
        <v>388</v>
      </c>
      <c r="G113" s="3" t="s">
        <v>425</v>
      </c>
      <c r="H113" s="3" t="s">
        <v>630</v>
      </c>
      <c r="I113" s="3">
        <v>0</v>
      </c>
      <c r="J113" s="3" t="s">
        <v>834</v>
      </c>
      <c r="K113" s="3"/>
      <c r="L113" s="3"/>
      <c r="M113" s="3">
        <f t="shared" si="12"/>
        <v>385</v>
      </c>
      <c r="N113" s="3">
        <f t="shared" si="13"/>
        <v>1</v>
      </c>
      <c r="O113" s="3">
        <f t="shared" si="14"/>
        <v>385</v>
      </c>
      <c r="P113" s="3">
        <f t="shared" si="15"/>
        <v>6.416666666666667</v>
      </c>
      <c r="Q113" s="1">
        <v>1</v>
      </c>
      <c r="R113" s="1" t="s">
        <v>630</v>
      </c>
    </row>
    <row r="114" spans="1:19" ht="15" customHeight="1" x14ac:dyDescent="0.25">
      <c r="A114" s="3">
        <v>12013</v>
      </c>
      <c r="B114" s="3" t="s">
        <v>835</v>
      </c>
      <c r="C114" s="3" t="s">
        <v>426</v>
      </c>
      <c r="D114" s="3" t="s">
        <v>390</v>
      </c>
      <c r="E114" s="3">
        <f>2*60+38</f>
        <v>158</v>
      </c>
      <c r="F114" s="3">
        <f>10*60+43</f>
        <v>643</v>
      </c>
      <c r="G114" s="3" t="s">
        <v>429</v>
      </c>
      <c r="H114" s="3" t="s">
        <v>630</v>
      </c>
      <c r="I114" s="3" t="s">
        <v>836</v>
      </c>
      <c r="J114" s="3" t="s">
        <v>655</v>
      </c>
      <c r="K114" s="3"/>
      <c r="L114" s="3"/>
      <c r="M114" s="3">
        <f t="shared" si="12"/>
        <v>485</v>
      </c>
      <c r="N114" s="3">
        <f t="shared" si="13"/>
        <v>1</v>
      </c>
      <c r="O114" s="3">
        <f t="shared" si="14"/>
        <v>485</v>
      </c>
      <c r="P114" s="3">
        <f t="shared" si="15"/>
        <v>8.0833333333333339</v>
      </c>
      <c r="Q114" s="1">
        <v>1</v>
      </c>
      <c r="R114" s="1" t="s">
        <v>630</v>
      </c>
      <c r="S114" s="1" t="s">
        <v>837</v>
      </c>
    </row>
    <row r="115" spans="1:19" ht="15" customHeight="1" x14ac:dyDescent="0.25">
      <c r="A115" s="3">
        <v>12014</v>
      </c>
      <c r="B115" s="3" t="s">
        <v>838</v>
      </c>
      <c r="C115" s="3" t="s">
        <v>430</v>
      </c>
      <c r="D115" s="3" t="s">
        <v>390</v>
      </c>
      <c r="E115" s="3">
        <f>17*60+19</f>
        <v>1039</v>
      </c>
      <c r="F115" s="3">
        <f>26*60+22</f>
        <v>1582</v>
      </c>
      <c r="G115" s="3" t="s">
        <v>165</v>
      </c>
      <c r="H115" s="3" t="s">
        <v>630</v>
      </c>
      <c r="I115" s="3">
        <v>4</v>
      </c>
      <c r="J115" s="3" t="s">
        <v>839</v>
      </c>
      <c r="K115" s="3"/>
      <c r="L115" s="3"/>
      <c r="M115" s="3">
        <f t="shared" si="12"/>
        <v>543</v>
      </c>
      <c r="N115" s="3">
        <f t="shared" si="13"/>
        <v>1</v>
      </c>
      <c r="O115" s="3">
        <f t="shared" si="14"/>
        <v>543</v>
      </c>
      <c r="P115" s="3">
        <f t="shared" si="15"/>
        <v>9.0500000000000007</v>
      </c>
      <c r="Q115" s="1">
        <v>1</v>
      </c>
      <c r="R115" s="1" t="s">
        <v>630</v>
      </c>
      <c r="S115" s="1" t="s">
        <v>840</v>
      </c>
    </row>
    <row r="116" spans="1:19" ht="15" customHeight="1" x14ac:dyDescent="0.25">
      <c r="A116" s="3">
        <v>12015</v>
      </c>
      <c r="B116" s="3" t="s">
        <v>841</v>
      </c>
      <c r="C116" s="3" t="s">
        <v>433</v>
      </c>
      <c r="D116" s="3" t="s">
        <v>390</v>
      </c>
      <c r="E116" s="3">
        <f>4*60+26</f>
        <v>266</v>
      </c>
      <c r="F116" s="3">
        <f>8*60+53</f>
        <v>533</v>
      </c>
      <c r="G116" s="3" t="s">
        <v>195</v>
      </c>
      <c r="H116" s="3" t="s">
        <v>630</v>
      </c>
      <c r="I116" s="3">
        <v>4</v>
      </c>
      <c r="J116" s="3" t="s">
        <v>842</v>
      </c>
      <c r="K116" s="3"/>
      <c r="L116" s="3"/>
      <c r="M116" s="3">
        <f t="shared" si="12"/>
        <v>267</v>
      </c>
      <c r="N116" s="3">
        <f t="shared" si="13"/>
        <v>1</v>
      </c>
      <c r="O116" s="3">
        <f t="shared" si="14"/>
        <v>267</v>
      </c>
      <c r="P116" s="3">
        <f t="shared" si="15"/>
        <v>4.45</v>
      </c>
      <c r="Q116" s="1">
        <v>1</v>
      </c>
      <c r="R116" s="1" t="s">
        <v>630</v>
      </c>
    </row>
    <row r="117" spans="1:19" ht="15" customHeight="1" x14ac:dyDescent="0.25">
      <c r="A117" s="3">
        <v>12016</v>
      </c>
      <c r="B117" s="3" t="s">
        <v>843</v>
      </c>
      <c r="C117" s="3" t="s">
        <v>435</v>
      </c>
      <c r="D117" s="3" t="s">
        <v>390</v>
      </c>
      <c r="E117" s="3">
        <f>3*60+46</f>
        <v>226</v>
      </c>
      <c r="F117" s="3">
        <f>7*60+43</f>
        <v>463</v>
      </c>
      <c r="G117" s="3" t="s">
        <v>83</v>
      </c>
      <c r="H117" s="3" t="s">
        <v>630</v>
      </c>
      <c r="I117" s="3">
        <v>4</v>
      </c>
      <c r="J117" s="3" t="s">
        <v>812</v>
      </c>
      <c r="K117" s="3"/>
      <c r="L117" s="3"/>
      <c r="M117" s="3">
        <f t="shared" si="12"/>
        <v>237</v>
      </c>
      <c r="N117" s="3">
        <f t="shared" si="13"/>
        <v>1</v>
      </c>
      <c r="O117" s="3">
        <f t="shared" si="14"/>
        <v>237</v>
      </c>
      <c r="P117" s="3">
        <f t="shared" si="15"/>
        <v>3.95</v>
      </c>
      <c r="Q117" s="1">
        <v>1</v>
      </c>
      <c r="R117" s="1" t="s">
        <v>630</v>
      </c>
    </row>
    <row r="118" spans="1:19" ht="15" customHeight="1" x14ac:dyDescent="0.25">
      <c r="A118" s="3">
        <v>12017</v>
      </c>
      <c r="B118" s="3" t="s">
        <v>844</v>
      </c>
      <c r="C118" s="3" t="s">
        <v>437</v>
      </c>
      <c r="D118" s="3" t="s">
        <v>390</v>
      </c>
      <c r="E118" s="3">
        <v>11</v>
      </c>
      <c r="F118" s="3">
        <f>4*60+8</f>
        <v>248</v>
      </c>
      <c r="G118" s="3" t="s">
        <v>60</v>
      </c>
      <c r="H118" s="3" t="s">
        <v>630</v>
      </c>
      <c r="I118" s="3">
        <v>4</v>
      </c>
      <c r="J118" s="3" t="s">
        <v>812</v>
      </c>
      <c r="K118" s="3"/>
      <c r="L118" s="3"/>
      <c r="M118" s="3">
        <f t="shared" si="12"/>
        <v>237</v>
      </c>
      <c r="N118" s="3">
        <f t="shared" si="13"/>
        <v>1</v>
      </c>
      <c r="O118" s="3">
        <f t="shared" si="14"/>
        <v>237</v>
      </c>
      <c r="P118" s="3">
        <f t="shared" si="15"/>
        <v>3.95</v>
      </c>
      <c r="Q118" s="1">
        <v>1</v>
      </c>
      <c r="R118" s="1" t="s">
        <v>630</v>
      </c>
      <c r="S118" s="1" t="s">
        <v>845</v>
      </c>
    </row>
    <row r="119" spans="1:19" ht="15" customHeight="1" x14ac:dyDescent="0.25">
      <c r="A119" s="3">
        <v>12018</v>
      </c>
      <c r="B119" s="3" t="s">
        <v>846</v>
      </c>
      <c r="C119" s="3" t="s">
        <v>439</v>
      </c>
      <c r="D119" s="3" t="s">
        <v>390</v>
      </c>
      <c r="E119" s="3">
        <f>5*60+5</f>
        <v>305</v>
      </c>
      <c r="F119" s="3">
        <f>13*60+14</f>
        <v>794</v>
      </c>
      <c r="G119" s="3" t="s">
        <v>443</v>
      </c>
      <c r="H119" s="3" t="s">
        <v>630</v>
      </c>
      <c r="I119" s="3">
        <v>0</v>
      </c>
      <c r="J119" s="3" t="s">
        <v>847</v>
      </c>
      <c r="K119" s="3"/>
      <c r="L119" s="3"/>
      <c r="M119" s="3">
        <f t="shared" si="12"/>
        <v>489</v>
      </c>
      <c r="N119" s="3">
        <f t="shared" si="13"/>
        <v>1</v>
      </c>
      <c r="O119" s="3">
        <f t="shared" si="14"/>
        <v>489</v>
      </c>
      <c r="P119" s="3">
        <f t="shared" si="15"/>
        <v>8.15</v>
      </c>
      <c r="Q119" s="1">
        <v>1</v>
      </c>
      <c r="R119" s="1" t="s">
        <v>630</v>
      </c>
      <c r="S119" s="1" t="s">
        <v>848</v>
      </c>
    </row>
    <row r="120" spans="1:19" ht="15" customHeight="1" x14ac:dyDescent="0.25">
      <c r="A120" s="3">
        <v>12019</v>
      </c>
      <c r="B120" s="3" t="s">
        <v>849</v>
      </c>
      <c r="C120" s="3" t="s">
        <v>444</v>
      </c>
      <c r="D120" s="3" t="s">
        <v>390</v>
      </c>
      <c r="E120" s="3">
        <f>60+48</f>
        <v>108</v>
      </c>
      <c r="F120" s="3">
        <f>7*60+8</f>
        <v>428</v>
      </c>
      <c r="G120" s="3" t="s">
        <v>412</v>
      </c>
      <c r="H120" s="3" t="s">
        <v>630</v>
      </c>
      <c r="I120" s="3">
        <v>4</v>
      </c>
      <c r="J120" s="3" t="s">
        <v>850</v>
      </c>
      <c r="K120" s="3" t="s">
        <v>851</v>
      </c>
      <c r="L120" s="3"/>
      <c r="M120" s="3">
        <f t="shared" si="12"/>
        <v>320</v>
      </c>
      <c r="N120" s="3">
        <f t="shared" si="13"/>
        <v>1</v>
      </c>
      <c r="O120" s="3">
        <f t="shared" si="14"/>
        <v>320</v>
      </c>
      <c r="P120" s="3">
        <f t="shared" si="15"/>
        <v>5.333333333333333</v>
      </c>
      <c r="Q120" s="1">
        <v>1</v>
      </c>
      <c r="R120" s="1" t="s">
        <v>630</v>
      </c>
      <c r="S120" s="1" t="s">
        <v>848</v>
      </c>
    </row>
    <row r="121" spans="1:19" ht="15" customHeight="1" x14ac:dyDescent="0.25">
      <c r="A121" s="3">
        <v>12020</v>
      </c>
      <c r="B121" s="3" t="s">
        <v>852</v>
      </c>
      <c r="C121" s="3" t="s">
        <v>446</v>
      </c>
      <c r="D121" s="3" t="s">
        <v>390</v>
      </c>
      <c r="E121" s="3">
        <v>5</v>
      </c>
      <c r="F121" s="3">
        <f>5*60+30</f>
        <v>330</v>
      </c>
      <c r="G121" s="3" t="s">
        <v>448</v>
      </c>
      <c r="H121" s="3" t="s">
        <v>630</v>
      </c>
      <c r="I121" s="3">
        <v>0</v>
      </c>
      <c r="J121" s="3" t="s">
        <v>853</v>
      </c>
      <c r="K121" s="3"/>
      <c r="L121" s="3"/>
      <c r="M121" s="3">
        <f t="shared" si="12"/>
        <v>325</v>
      </c>
      <c r="N121" s="3">
        <f t="shared" si="13"/>
        <v>1</v>
      </c>
      <c r="O121" s="3">
        <f t="shared" si="14"/>
        <v>325</v>
      </c>
      <c r="P121" s="3">
        <f t="shared" si="15"/>
        <v>5.416666666666667</v>
      </c>
      <c r="Q121" s="1">
        <v>1</v>
      </c>
      <c r="R121" s="1" t="s">
        <v>630</v>
      </c>
    </row>
    <row r="122" spans="1:19" ht="15" customHeight="1" x14ac:dyDescent="0.25">
      <c r="A122" s="3">
        <v>12021</v>
      </c>
      <c r="B122" s="3" t="s">
        <v>854</v>
      </c>
      <c r="C122" s="3" t="s">
        <v>449</v>
      </c>
      <c r="D122" s="3" t="s">
        <v>390</v>
      </c>
      <c r="E122" s="3">
        <f>3*60+36</f>
        <v>216</v>
      </c>
      <c r="F122" s="3">
        <f>11*60</f>
        <v>660</v>
      </c>
      <c r="G122" s="3" t="s">
        <v>415</v>
      </c>
      <c r="H122" s="3" t="s">
        <v>630</v>
      </c>
      <c r="I122" s="3">
        <v>4</v>
      </c>
      <c r="J122" s="3" t="s">
        <v>855</v>
      </c>
      <c r="K122" s="3"/>
      <c r="L122" s="3"/>
      <c r="M122" s="3">
        <f t="shared" si="12"/>
        <v>444</v>
      </c>
      <c r="N122" s="3">
        <f t="shared" si="13"/>
        <v>1</v>
      </c>
      <c r="O122" s="3">
        <f t="shared" si="14"/>
        <v>444</v>
      </c>
      <c r="P122" s="3">
        <f t="shared" si="15"/>
        <v>7.4</v>
      </c>
      <c r="Q122" s="1">
        <v>1</v>
      </c>
      <c r="R122" s="1" t="s">
        <v>630</v>
      </c>
    </row>
    <row r="123" spans="1:19" ht="15" customHeight="1" x14ac:dyDescent="0.25">
      <c r="A123" s="3">
        <v>12022</v>
      </c>
      <c r="B123" s="3" t="s">
        <v>856</v>
      </c>
      <c r="C123" s="3" t="s">
        <v>451</v>
      </c>
      <c r="D123" s="3" t="s">
        <v>390</v>
      </c>
      <c r="E123" s="3">
        <v>9</v>
      </c>
      <c r="F123" s="3">
        <f>4*60</f>
        <v>240</v>
      </c>
      <c r="G123" s="3" t="s">
        <v>453</v>
      </c>
      <c r="H123" s="3" t="s">
        <v>630</v>
      </c>
      <c r="I123" s="3" t="s">
        <v>836</v>
      </c>
      <c r="J123" s="3" t="s">
        <v>857</v>
      </c>
      <c r="K123" s="3"/>
      <c r="L123" s="3"/>
      <c r="M123" s="3">
        <f t="shared" si="12"/>
        <v>231</v>
      </c>
      <c r="N123" s="3">
        <f t="shared" si="13"/>
        <v>1</v>
      </c>
      <c r="O123" s="3">
        <f t="shared" si="14"/>
        <v>231</v>
      </c>
      <c r="P123" s="3">
        <f t="shared" si="15"/>
        <v>3.85</v>
      </c>
      <c r="Q123" s="1">
        <v>1</v>
      </c>
      <c r="R123" s="1" t="s">
        <v>630</v>
      </c>
    </row>
    <row r="124" spans="1:19" ht="15" customHeight="1" x14ac:dyDescent="0.25">
      <c r="A124" s="3">
        <v>12023</v>
      </c>
      <c r="B124" s="3" t="s">
        <v>858</v>
      </c>
      <c r="C124" s="3" t="s">
        <v>454</v>
      </c>
      <c r="D124" s="3" t="s">
        <v>390</v>
      </c>
      <c r="E124" s="3">
        <v>480</v>
      </c>
      <c r="F124" s="3">
        <f>22*60+8</f>
        <v>1328</v>
      </c>
      <c r="G124" s="3" t="s">
        <v>316</v>
      </c>
      <c r="H124" s="3" t="s">
        <v>630</v>
      </c>
      <c r="I124" s="3">
        <v>0</v>
      </c>
      <c r="J124" s="3" t="s">
        <v>655</v>
      </c>
      <c r="K124" s="3"/>
      <c r="L124" s="3"/>
      <c r="M124" s="3">
        <f t="shared" si="12"/>
        <v>848</v>
      </c>
      <c r="N124" s="3">
        <f t="shared" si="13"/>
        <v>1</v>
      </c>
      <c r="O124" s="3">
        <f t="shared" si="14"/>
        <v>848</v>
      </c>
      <c r="P124" s="3">
        <f t="shared" si="15"/>
        <v>14.133333333333333</v>
      </c>
      <c r="Q124" s="1">
        <v>1</v>
      </c>
      <c r="R124" s="1" t="s">
        <v>630</v>
      </c>
    </row>
    <row r="125" spans="1:19" ht="15" customHeight="1" x14ac:dyDescent="0.25">
      <c r="A125" s="3">
        <v>12024</v>
      </c>
      <c r="B125" s="3" t="s">
        <v>859</v>
      </c>
      <c r="C125" s="3" t="s">
        <v>456</v>
      </c>
      <c r="D125" s="3" t="s">
        <v>390</v>
      </c>
      <c r="E125" s="3">
        <v>1</v>
      </c>
      <c r="F125" s="3">
        <f>5*60+6</f>
        <v>306</v>
      </c>
      <c r="G125" s="3" t="s">
        <v>173</v>
      </c>
      <c r="H125" s="3" t="s">
        <v>630</v>
      </c>
      <c r="I125" s="3">
        <v>4</v>
      </c>
      <c r="J125" s="3" t="s">
        <v>655</v>
      </c>
      <c r="K125" s="3"/>
      <c r="L125" s="3"/>
      <c r="M125" s="3">
        <f t="shared" si="12"/>
        <v>305</v>
      </c>
      <c r="N125" s="3">
        <f t="shared" si="13"/>
        <v>1</v>
      </c>
      <c r="O125" s="3">
        <f t="shared" si="14"/>
        <v>305</v>
      </c>
      <c r="P125" s="3">
        <f t="shared" si="15"/>
        <v>5.083333333333333</v>
      </c>
      <c r="Q125" s="1">
        <v>1</v>
      </c>
      <c r="R125" s="1" t="s">
        <v>630</v>
      </c>
    </row>
    <row r="126" spans="1:19" ht="15" customHeight="1" x14ac:dyDescent="0.25">
      <c r="A126" s="3">
        <v>12025</v>
      </c>
      <c r="B126" s="3" t="s">
        <v>860</v>
      </c>
      <c r="C126" s="3" t="s">
        <v>459</v>
      </c>
      <c r="D126" s="3" t="s">
        <v>390</v>
      </c>
      <c r="E126" s="3">
        <v>1</v>
      </c>
      <c r="F126" s="3">
        <f>60+56</f>
        <v>116</v>
      </c>
      <c r="G126" s="3" t="s">
        <v>188</v>
      </c>
      <c r="H126" s="3" t="s">
        <v>630</v>
      </c>
      <c r="I126" s="3">
        <v>-2</v>
      </c>
      <c r="J126" s="3" t="s">
        <v>861</v>
      </c>
      <c r="K126" s="3"/>
      <c r="L126" s="3"/>
      <c r="M126" s="3">
        <f t="shared" si="12"/>
        <v>115</v>
      </c>
      <c r="N126" s="3">
        <f t="shared" si="13"/>
        <v>1</v>
      </c>
      <c r="O126" s="3">
        <f t="shared" si="14"/>
        <v>115</v>
      </c>
      <c r="P126" s="3">
        <f t="shared" si="15"/>
        <v>1.9166666666666667</v>
      </c>
      <c r="Q126" s="1">
        <v>1</v>
      </c>
      <c r="R126" s="1" t="s">
        <v>630</v>
      </c>
    </row>
    <row r="127" spans="1:19" ht="15" customHeight="1" x14ac:dyDescent="0.25">
      <c r="A127" s="3">
        <v>12026</v>
      </c>
      <c r="B127" s="3" t="s">
        <v>862</v>
      </c>
      <c r="C127" s="3" t="s">
        <v>461</v>
      </c>
      <c r="D127" s="3" t="s">
        <v>390</v>
      </c>
      <c r="E127" s="3">
        <v>1</v>
      </c>
      <c r="F127" s="3">
        <f>4*60+30</f>
        <v>270</v>
      </c>
      <c r="G127" s="3" t="s">
        <v>465</v>
      </c>
      <c r="H127" s="3" t="s">
        <v>630</v>
      </c>
      <c r="I127" s="3">
        <v>0</v>
      </c>
      <c r="J127" s="3" t="s">
        <v>657</v>
      </c>
      <c r="K127" s="3"/>
      <c r="L127" s="3"/>
      <c r="M127" s="3">
        <f t="shared" si="12"/>
        <v>269</v>
      </c>
      <c r="N127" s="3">
        <f t="shared" si="13"/>
        <v>1</v>
      </c>
      <c r="O127" s="3">
        <f t="shared" si="14"/>
        <v>269</v>
      </c>
      <c r="P127" s="3">
        <f t="shared" si="15"/>
        <v>4.4833333333333334</v>
      </c>
      <c r="Q127" s="1">
        <v>1</v>
      </c>
      <c r="R127" s="1" t="s">
        <v>630</v>
      </c>
    </row>
    <row r="128" spans="1:19" ht="15" customHeight="1" x14ac:dyDescent="0.25">
      <c r="A128" s="3">
        <v>12027</v>
      </c>
      <c r="B128" s="3" t="s">
        <v>863</v>
      </c>
      <c r="C128" s="3" t="s">
        <v>466</v>
      </c>
      <c r="D128" s="3" t="s">
        <v>390</v>
      </c>
      <c r="E128" s="3">
        <f>16*60+46</f>
        <v>1006</v>
      </c>
      <c r="F128" s="3">
        <f>23*60+6</f>
        <v>1386</v>
      </c>
      <c r="G128" s="3" t="s">
        <v>178</v>
      </c>
      <c r="H128" s="3" t="s">
        <v>630</v>
      </c>
      <c r="I128" s="3">
        <v>4</v>
      </c>
      <c r="J128" s="3" t="s">
        <v>864</v>
      </c>
      <c r="K128" s="3"/>
      <c r="L128" s="3"/>
      <c r="M128" s="3">
        <f t="shared" si="12"/>
        <v>380</v>
      </c>
      <c r="N128" s="3">
        <f t="shared" si="13"/>
        <v>1</v>
      </c>
      <c r="O128" s="3">
        <f t="shared" si="14"/>
        <v>380</v>
      </c>
      <c r="P128" s="3">
        <f t="shared" si="15"/>
        <v>6.333333333333333</v>
      </c>
      <c r="Q128" s="1">
        <v>1</v>
      </c>
      <c r="R128" s="1" t="s">
        <v>630</v>
      </c>
    </row>
    <row r="129" spans="1:19" ht="15" customHeight="1" x14ac:dyDescent="0.25">
      <c r="A129" s="3">
        <v>12028</v>
      </c>
      <c r="B129" s="3" t="s">
        <v>865</v>
      </c>
      <c r="C129" s="3" t="s">
        <v>470</v>
      </c>
      <c r="D129" s="3" t="s">
        <v>390</v>
      </c>
      <c r="E129" s="3">
        <f>13*60+39</f>
        <v>819</v>
      </c>
      <c r="F129" s="3">
        <f>22*60+48</f>
        <v>1368</v>
      </c>
      <c r="G129" s="3" t="s">
        <v>473</v>
      </c>
      <c r="H129" s="3" t="s">
        <v>630</v>
      </c>
      <c r="I129" s="3">
        <v>4</v>
      </c>
      <c r="J129" s="3" t="s">
        <v>850</v>
      </c>
      <c r="K129" s="3"/>
      <c r="L129" s="3"/>
      <c r="M129" s="3">
        <f t="shared" si="12"/>
        <v>549</v>
      </c>
      <c r="N129" s="3">
        <f t="shared" si="13"/>
        <v>1</v>
      </c>
      <c r="O129" s="3">
        <f t="shared" si="14"/>
        <v>549</v>
      </c>
      <c r="P129" s="3">
        <f t="shared" si="15"/>
        <v>9.15</v>
      </c>
      <c r="Q129" s="1">
        <v>1</v>
      </c>
      <c r="R129" s="1" t="s">
        <v>630</v>
      </c>
    </row>
    <row r="130" spans="1:19" ht="15" customHeight="1" x14ac:dyDescent="0.25">
      <c r="A130" s="3">
        <v>12029</v>
      </c>
      <c r="B130" s="3" t="s">
        <v>866</v>
      </c>
      <c r="C130" s="3" t="s">
        <v>474</v>
      </c>
      <c r="D130" s="3" t="s">
        <v>390</v>
      </c>
      <c r="E130" s="3">
        <v>54</v>
      </c>
      <c r="F130" s="3">
        <f>7*60+33</f>
        <v>453</v>
      </c>
      <c r="G130" s="3" t="s">
        <v>120</v>
      </c>
      <c r="H130" s="3" t="s">
        <v>630</v>
      </c>
      <c r="I130" s="3">
        <v>0</v>
      </c>
      <c r="J130" s="3" t="s">
        <v>867</v>
      </c>
      <c r="K130" s="3"/>
      <c r="L130" s="3"/>
      <c r="M130" s="3">
        <f t="shared" ref="M130:M161" si="16">F130-E130</f>
        <v>399</v>
      </c>
      <c r="N130" s="3">
        <f t="shared" ref="N130:N161" si="17">IF(ISBLANK(H130),0,1)</f>
        <v>1</v>
      </c>
      <c r="O130" s="3">
        <f t="shared" ref="O130:O161" si="18">M130*N130</f>
        <v>399</v>
      </c>
      <c r="P130" s="3">
        <f t="shared" ref="P130:P161" si="19">O130/60</f>
        <v>6.65</v>
      </c>
      <c r="Q130" s="1">
        <v>1</v>
      </c>
      <c r="R130" s="1" t="s">
        <v>630</v>
      </c>
    </row>
    <row r="131" spans="1:19" ht="15" customHeight="1" x14ac:dyDescent="0.25">
      <c r="A131" s="3">
        <v>12030</v>
      </c>
      <c r="B131" s="3" t="s">
        <v>868</v>
      </c>
      <c r="C131" s="3" t="s">
        <v>476</v>
      </c>
      <c r="D131" s="3" t="s">
        <v>390</v>
      </c>
      <c r="E131" s="3">
        <f>23*60+9</f>
        <v>1389</v>
      </c>
      <c r="F131" s="3">
        <f>29*60+41</f>
        <v>1781</v>
      </c>
      <c r="G131" s="3" t="s">
        <v>480</v>
      </c>
      <c r="H131" s="3" t="s">
        <v>630</v>
      </c>
      <c r="I131" s="3">
        <v>4</v>
      </c>
      <c r="J131" s="3" t="s">
        <v>869</v>
      </c>
      <c r="K131" s="3" t="s">
        <v>870</v>
      </c>
      <c r="L131" s="3"/>
      <c r="M131" s="3">
        <f t="shared" si="16"/>
        <v>392</v>
      </c>
      <c r="N131" s="3">
        <f t="shared" si="17"/>
        <v>1</v>
      </c>
      <c r="O131" s="3">
        <f t="shared" si="18"/>
        <v>392</v>
      </c>
      <c r="P131" s="3">
        <f t="shared" si="19"/>
        <v>6.5333333333333332</v>
      </c>
      <c r="Q131" s="1">
        <v>1</v>
      </c>
      <c r="R131" s="1" t="s">
        <v>630</v>
      </c>
      <c r="S131" s="1" t="s">
        <v>871</v>
      </c>
    </row>
    <row r="132" spans="1:19" ht="15" customHeight="1" x14ac:dyDescent="0.25">
      <c r="A132" s="3">
        <v>12031</v>
      </c>
      <c r="B132" s="3" t="s">
        <v>872</v>
      </c>
      <c r="C132" s="3" t="s">
        <v>481</v>
      </c>
      <c r="D132" s="3" t="s">
        <v>390</v>
      </c>
      <c r="E132" s="3">
        <v>12</v>
      </c>
      <c r="F132" s="3">
        <f>4*60+42</f>
        <v>282</v>
      </c>
      <c r="G132" s="3" t="s">
        <v>483</v>
      </c>
      <c r="H132" s="3" t="s">
        <v>630</v>
      </c>
      <c r="I132" s="3">
        <v>4</v>
      </c>
      <c r="J132" s="3" t="s">
        <v>873</v>
      </c>
      <c r="K132" s="3" t="s">
        <v>870</v>
      </c>
      <c r="L132" s="3"/>
      <c r="M132" s="3">
        <f t="shared" si="16"/>
        <v>270</v>
      </c>
      <c r="N132" s="3">
        <f t="shared" si="17"/>
        <v>1</v>
      </c>
      <c r="O132" s="3">
        <f t="shared" si="18"/>
        <v>270</v>
      </c>
      <c r="P132" s="3">
        <f t="shared" si="19"/>
        <v>4.5</v>
      </c>
      <c r="Q132" s="1">
        <v>1</v>
      </c>
      <c r="R132" s="1" t="s">
        <v>630</v>
      </c>
    </row>
    <row r="133" spans="1:19" ht="15" customHeight="1" x14ac:dyDescent="0.25">
      <c r="A133" s="3">
        <v>12032</v>
      </c>
      <c r="B133" s="3" t="s">
        <v>874</v>
      </c>
      <c r="C133" s="3" t="s">
        <v>484</v>
      </c>
      <c r="D133" s="3" t="s">
        <v>390</v>
      </c>
      <c r="E133" s="3">
        <v>72</v>
      </c>
      <c r="F133" s="3">
        <f>7*60+41</f>
        <v>461</v>
      </c>
      <c r="G133" s="3" t="s">
        <v>384</v>
      </c>
      <c r="H133" s="3" t="s">
        <v>630</v>
      </c>
      <c r="I133" s="3">
        <v>4</v>
      </c>
      <c r="J133" s="3" t="s">
        <v>655</v>
      </c>
      <c r="K133" s="3"/>
      <c r="L133" s="3"/>
      <c r="M133" s="3">
        <f t="shared" si="16"/>
        <v>389</v>
      </c>
      <c r="N133" s="3">
        <f t="shared" si="17"/>
        <v>1</v>
      </c>
      <c r="O133" s="3">
        <f t="shared" si="18"/>
        <v>389</v>
      </c>
      <c r="P133" s="3">
        <f t="shared" si="19"/>
        <v>6.4833333333333334</v>
      </c>
      <c r="Q133" s="1">
        <v>1</v>
      </c>
      <c r="R133" s="1" t="s">
        <v>630</v>
      </c>
    </row>
    <row r="134" spans="1:19" ht="15" customHeight="1" x14ac:dyDescent="0.25">
      <c r="A134" s="3">
        <v>12033</v>
      </c>
      <c r="B134" s="3" t="s">
        <v>875</v>
      </c>
      <c r="C134" s="3" t="s">
        <v>488</v>
      </c>
      <c r="D134" s="3" t="s">
        <v>390</v>
      </c>
      <c r="E134" s="3">
        <v>8</v>
      </c>
      <c r="F134" s="3">
        <f>4*60+6</f>
        <v>246</v>
      </c>
      <c r="G134" s="3" t="s">
        <v>490</v>
      </c>
      <c r="H134" s="3" t="s">
        <v>630</v>
      </c>
      <c r="I134" s="3">
        <v>4</v>
      </c>
      <c r="J134" s="3" t="s">
        <v>657</v>
      </c>
      <c r="K134" s="3" t="s">
        <v>763</v>
      </c>
      <c r="L134" s="3"/>
      <c r="M134" s="3">
        <f t="shared" si="16"/>
        <v>238</v>
      </c>
      <c r="N134" s="3">
        <f t="shared" si="17"/>
        <v>1</v>
      </c>
      <c r="O134" s="3">
        <f t="shared" si="18"/>
        <v>238</v>
      </c>
      <c r="P134" s="3">
        <f t="shared" si="19"/>
        <v>3.9666666666666668</v>
      </c>
      <c r="Q134" s="1">
        <v>1</v>
      </c>
      <c r="R134" s="1" t="s">
        <v>630</v>
      </c>
    </row>
    <row r="135" spans="1:19" ht="15" customHeight="1" x14ac:dyDescent="0.25">
      <c r="A135" s="3">
        <v>12034</v>
      </c>
      <c r="B135" s="3" t="s">
        <v>876</v>
      </c>
      <c r="C135" s="3" t="s">
        <v>491</v>
      </c>
      <c r="D135" s="3" t="s">
        <v>390</v>
      </c>
      <c r="E135" s="3">
        <f>4*60+32</f>
        <v>272</v>
      </c>
      <c r="F135" s="3">
        <f>15*60+22</f>
        <v>922</v>
      </c>
      <c r="G135" s="3" t="s">
        <v>493</v>
      </c>
      <c r="H135" s="3" t="s">
        <v>630</v>
      </c>
      <c r="I135" s="3">
        <v>0</v>
      </c>
      <c r="J135" s="3" t="s">
        <v>657</v>
      </c>
      <c r="K135" s="3" t="s">
        <v>877</v>
      </c>
      <c r="L135" s="3"/>
      <c r="M135" s="3">
        <f t="shared" si="16"/>
        <v>650</v>
      </c>
      <c r="N135" s="3">
        <f t="shared" si="17"/>
        <v>1</v>
      </c>
      <c r="O135" s="3">
        <f t="shared" si="18"/>
        <v>650</v>
      </c>
      <c r="P135" s="3">
        <f t="shared" si="19"/>
        <v>10.833333333333334</v>
      </c>
      <c r="Q135" s="1">
        <v>1</v>
      </c>
      <c r="R135" s="1" t="s">
        <v>630</v>
      </c>
    </row>
    <row r="136" spans="1:19" ht="15" customHeight="1" x14ac:dyDescent="0.25">
      <c r="A136" s="3">
        <v>12035</v>
      </c>
      <c r="B136" s="3" t="s">
        <v>878</v>
      </c>
      <c r="C136" s="3" t="s">
        <v>494</v>
      </c>
      <c r="D136" s="3" t="s">
        <v>390</v>
      </c>
      <c r="E136" s="3">
        <f>19*60+26</f>
        <v>1166</v>
      </c>
      <c r="F136" s="3">
        <f>26*60+30</f>
        <v>1590</v>
      </c>
      <c r="G136" s="3" t="s">
        <v>165</v>
      </c>
      <c r="H136" s="3" t="s">
        <v>630</v>
      </c>
      <c r="I136" s="3">
        <v>2</v>
      </c>
      <c r="J136" s="3" t="s">
        <v>879</v>
      </c>
      <c r="K136" s="3"/>
      <c r="L136" s="3"/>
      <c r="M136" s="3">
        <f t="shared" si="16"/>
        <v>424</v>
      </c>
      <c r="N136" s="3">
        <f t="shared" si="17"/>
        <v>1</v>
      </c>
      <c r="O136" s="3">
        <f t="shared" si="18"/>
        <v>424</v>
      </c>
      <c r="P136" s="3">
        <f t="shared" si="19"/>
        <v>7.0666666666666664</v>
      </c>
      <c r="Q136" s="1">
        <v>1</v>
      </c>
      <c r="R136" s="1" t="s">
        <v>630</v>
      </c>
    </row>
    <row r="137" spans="1:19" ht="15" customHeight="1" x14ac:dyDescent="0.25">
      <c r="A137" s="3">
        <v>12036</v>
      </c>
      <c r="B137" s="3" t="s">
        <v>880</v>
      </c>
      <c r="C137" s="3" t="s">
        <v>496</v>
      </c>
      <c r="D137" s="3" t="s">
        <v>390</v>
      </c>
      <c r="E137" s="3">
        <v>9</v>
      </c>
      <c r="F137" s="3">
        <f>7*60+34</f>
        <v>454</v>
      </c>
      <c r="G137" s="3" t="s">
        <v>221</v>
      </c>
      <c r="H137" s="3" t="s">
        <v>630</v>
      </c>
      <c r="I137" s="3">
        <v>2</v>
      </c>
      <c r="J137" s="3" t="s">
        <v>881</v>
      </c>
      <c r="K137" s="3"/>
      <c r="L137" s="3"/>
      <c r="M137" s="3">
        <f t="shared" si="16"/>
        <v>445</v>
      </c>
      <c r="N137" s="3">
        <f t="shared" si="17"/>
        <v>1</v>
      </c>
      <c r="O137" s="3">
        <f t="shared" si="18"/>
        <v>445</v>
      </c>
      <c r="P137" s="3">
        <f t="shared" si="19"/>
        <v>7.416666666666667</v>
      </c>
      <c r="Q137" s="1">
        <v>1</v>
      </c>
      <c r="R137" s="1" t="s">
        <v>630</v>
      </c>
    </row>
    <row r="138" spans="1:19" ht="15" customHeight="1" x14ac:dyDescent="0.25">
      <c r="A138" s="3">
        <v>12037</v>
      </c>
      <c r="B138" s="3" t="s">
        <v>882</v>
      </c>
      <c r="C138" s="3" t="s">
        <v>498</v>
      </c>
      <c r="D138" s="3" t="s">
        <v>390</v>
      </c>
      <c r="E138" s="3">
        <f>4*60+19</f>
        <v>259</v>
      </c>
      <c r="F138" s="3">
        <f>13*60+58</f>
        <v>838</v>
      </c>
      <c r="G138" s="3" t="s">
        <v>501</v>
      </c>
      <c r="H138" s="3" t="s">
        <v>630</v>
      </c>
      <c r="I138" s="3">
        <v>4</v>
      </c>
      <c r="J138" s="3" t="s">
        <v>655</v>
      </c>
      <c r="K138" s="3"/>
      <c r="L138" s="3"/>
      <c r="M138" s="3">
        <f t="shared" si="16"/>
        <v>579</v>
      </c>
      <c r="N138" s="3">
        <f t="shared" si="17"/>
        <v>1</v>
      </c>
      <c r="O138" s="3">
        <f t="shared" si="18"/>
        <v>579</v>
      </c>
      <c r="P138" s="3">
        <f t="shared" si="19"/>
        <v>9.65</v>
      </c>
      <c r="Q138" s="1">
        <v>1</v>
      </c>
      <c r="R138" s="1" t="s">
        <v>630</v>
      </c>
    </row>
    <row r="139" spans="1:19" ht="15" customHeight="1" x14ac:dyDescent="0.25">
      <c r="A139" s="3">
        <v>12038</v>
      </c>
      <c r="B139" s="3" t="s">
        <v>883</v>
      </c>
      <c r="C139" s="3" t="s">
        <v>502</v>
      </c>
      <c r="D139" s="3" t="s">
        <v>390</v>
      </c>
      <c r="E139" s="3">
        <f>5*60+3</f>
        <v>303</v>
      </c>
      <c r="F139" s="3">
        <f>14*60+20</f>
        <v>860</v>
      </c>
      <c r="G139" s="3" t="s">
        <v>504</v>
      </c>
      <c r="H139" s="3" t="s">
        <v>630</v>
      </c>
      <c r="I139" s="3">
        <v>0</v>
      </c>
      <c r="J139" s="3" t="s">
        <v>655</v>
      </c>
      <c r="K139" s="3"/>
      <c r="L139" s="3"/>
      <c r="M139" s="3">
        <f t="shared" si="16"/>
        <v>557</v>
      </c>
      <c r="N139" s="3">
        <f t="shared" si="17"/>
        <v>1</v>
      </c>
      <c r="O139" s="3">
        <f t="shared" si="18"/>
        <v>557</v>
      </c>
      <c r="P139" s="3">
        <f t="shared" si="19"/>
        <v>9.2833333333333332</v>
      </c>
      <c r="Q139" s="1">
        <v>1</v>
      </c>
      <c r="R139" s="1" t="s">
        <v>630</v>
      </c>
    </row>
    <row r="140" spans="1:19" ht="15" customHeight="1" x14ac:dyDescent="0.25">
      <c r="A140" s="3">
        <v>12039</v>
      </c>
      <c r="B140" s="3" t="s">
        <v>884</v>
      </c>
      <c r="C140" s="3" t="s">
        <v>505</v>
      </c>
      <c r="D140" s="3" t="s">
        <v>390</v>
      </c>
      <c r="E140" s="3">
        <v>2</v>
      </c>
      <c r="F140" s="3">
        <f>10*60+23</f>
        <v>623</v>
      </c>
      <c r="G140" s="3" t="s">
        <v>429</v>
      </c>
      <c r="H140" s="3" t="s">
        <v>630</v>
      </c>
      <c r="I140" s="3">
        <v>4</v>
      </c>
      <c r="J140" s="3" t="s">
        <v>885</v>
      </c>
      <c r="K140" s="3"/>
      <c r="L140" s="3"/>
      <c r="M140" s="3">
        <f t="shared" si="16"/>
        <v>621</v>
      </c>
      <c r="N140" s="3">
        <f t="shared" si="17"/>
        <v>1</v>
      </c>
      <c r="O140" s="3">
        <f t="shared" si="18"/>
        <v>621</v>
      </c>
      <c r="P140" s="3">
        <f t="shared" si="19"/>
        <v>10.35</v>
      </c>
      <c r="Q140" s="1">
        <v>1</v>
      </c>
      <c r="R140" s="1" t="s">
        <v>630</v>
      </c>
    </row>
    <row r="141" spans="1:19" ht="15" customHeight="1" x14ac:dyDescent="0.25">
      <c r="A141" s="3">
        <v>12040</v>
      </c>
      <c r="B141" s="3" t="s">
        <v>886</v>
      </c>
      <c r="C141" s="3" t="s">
        <v>508</v>
      </c>
      <c r="D141" s="3" t="s">
        <v>390</v>
      </c>
      <c r="E141" s="3">
        <f>6*60+19</f>
        <v>379</v>
      </c>
      <c r="F141" s="3">
        <f>17*60+54</f>
        <v>1074</v>
      </c>
      <c r="G141" s="3" t="s">
        <v>501</v>
      </c>
      <c r="H141" s="3" t="s">
        <v>630</v>
      </c>
      <c r="I141" s="3">
        <v>4</v>
      </c>
      <c r="J141" s="3" t="s">
        <v>655</v>
      </c>
      <c r="K141" s="3"/>
      <c r="L141" s="3"/>
      <c r="M141" s="3">
        <f t="shared" si="16"/>
        <v>695</v>
      </c>
      <c r="N141" s="3">
        <f t="shared" si="17"/>
        <v>1</v>
      </c>
      <c r="O141" s="3">
        <f t="shared" si="18"/>
        <v>695</v>
      </c>
      <c r="P141" s="3">
        <f t="shared" si="19"/>
        <v>11.583333333333334</v>
      </c>
      <c r="Q141" s="1">
        <v>1</v>
      </c>
      <c r="R141" s="1" t="s">
        <v>630</v>
      </c>
    </row>
    <row r="142" spans="1:19" ht="15" customHeight="1" x14ac:dyDescent="0.25">
      <c r="A142" s="3">
        <v>12041</v>
      </c>
      <c r="B142" s="3" t="s">
        <v>887</v>
      </c>
      <c r="C142" s="3" t="s">
        <v>511</v>
      </c>
      <c r="D142" s="3" t="s">
        <v>390</v>
      </c>
      <c r="E142" s="3">
        <f>8*60+48</f>
        <v>528</v>
      </c>
      <c r="F142" s="3">
        <f>23*60+9</f>
        <v>1389</v>
      </c>
      <c r="G142" s="3" t="s">
        <v>513</v>
      </c>
      <c r="H142" s="3" t="s">
        <v>630</v>
      </c>
      <c r="I142" s="3">
        <v>4</v>
      </c>
      <c r="J142" s="3" t="s">
        <v>657</v>
      </c>
      <c r="K142" s="3"/>
      <c r="L142" s="3"/>
      <c r="M142" s="3">
        <f t="shared" si="16"/>
        <v>861</v>
      </c>
      <c r="N142" s="3">
        <f t="shared" si="17"/>
        <v>1</v>
      </c>
      <c r="O142" s="3">
        <f t="shared" si="18"/>
        <v>861</v>
      </c>
      <c r="P142" s="3">
        <f t="shared" si="19"/>
        <v>14.35</v>
      </c>
      <c r="Q142" s="1">
        <v>1</v>
      </c>
      <c r="R142" s="1" t="s">
        <v>630</v>
      </c>
    </row>
    <row r="143" spans="1:19" ht="15" customHeight="1" x14ac:dyDescent="0.25">
      <c r="A143" s="3">
        <v>12042</v>
      </c>
      <c r="B143" s="3" t="s">
        <v>888</v>
      </c>
      <c r="C143" s="3" t="s">
        <v>514</v>
      </c>
      <c r="D143" s="3" t="s">
        <v>390</v>
      </c>
      <c r="E143" s="3">
        <v>22</v>
      </c>
      <c r="F143" s="3">
        <f>8*60+21</f>
        <v>501</v>
      </c>
      <c r="G143" s="3" t="s">
        <v>415</v>
      </c>
      <c r="H143" s="3" t="s">
        <v>630</v>
      </c>
      <c r="I143" s="3">
        <v>0</v>
      </c>
      <c r="J143" s="3" t="s">
        <v>655</v>
      </c>
      <c r="K143" s="3"/>
      <c r="L143" s="3"/>
      <c r="M143" s="3">
        <f t="shared" si="16"/>
        <v>479</v>
      </c>
      <c r="N143" s="3">
        <f t="shared" si="17"/>
        <v>1</v>
      </c>
      <c r="O143" s="3">
        <f t="shared" si="18"/>
        <v>479</v>
      </c>
      <c r="P143" s="3">
        <f t="shared" si="19"/>
        <v>7.9833333333333334</v>
      </c>
      <c r="Q143" s="1">
        <v>1</v>
      </c>
      <c r="R143" s="1" t="s">
        <v>630</v>
      </c>
    </row>
    <row r="144" spans="1:19" ht="15" customHeight="1" x14ac:dyDescent="0.25">
      <c r="A144" s="3">
        <v>12043</v>
      </c>
      <c r="B144" s="3" t="s">
        <v>889</v>
      </c>
      <c r="C144" s="3" t="s">
        <v>516</v>
      </c>
      <c r="D144" s="3" t="s">
        <v>390</v>
      </c>
      <c r="E144" s="3">
        <f>5*60+23</f>
        <v>323</v>
      </c>
      <c r="F144" s="3">
        <f>13*60+2</f>
        <v>782</v>
      </c>
      <c r="G144" s="3" t="s">
        <v>337</v>
      </c>
      <c r="H144" s="3" t="s">
        <v>630</v>
      </c>
      <c r="I144" s="3">
        <v>0</v>
      </c>
      <c r="J144" s="3" t="s">
        <v>655</v>
      </c>
      <c r="K144" s="3"/>
      <c r="L144" s="3"/>
      <c r="M144" s="3">
        <f t="shared" si="16"/>
        <v>459</v>
      </c>
      <c r="N144" s="3">
        <f t="shared" si="17"/>
        <v>1</v>
      </c>
      <c r="O144" s="3">
        <f t="shared" si="18"/>
        <v>459</v>
      </c>
      <c r="P144" s="3">
        <f t="shared" si="19"/>
        <v>7.65</v>
      </c>
      <c r="Q144" s="1">
        <v>1</v>
      </c>
      <c r="R144" s="1" t="s">
        <v>630</v>
      </c>
    </row>
    <row r="145" spans="1:21" ht="15" customHeight="1" x14ac:dyDescent="0.25">
      <c r="A145" s="3">
        <v>12044</v>
      </c>
      <c r="B145" s="3" t="s">
        <v>890</v>
      </c>
      <c r="C145" s="3" t="s">
        <v>518</v>
      </c>
      <c r="D145" s="3" t="s">
        <v>390</v>
      </c>
      <c r="E145" s="3">
        <v>16</v>
      </c>
      <c r="F145" s="3">
        <f>120+E145</f>
        <v>136</v>
      </c>
      <c r="G145" s="3" t="s">
        <v>397</v>
      </c>
      <c r="H145" s="3" t="s">
        <v>630</v>
      </c>
      <c r="I145" s="3">
        <v>4</v>
      </c>
      <c r="J145" s="3" t="s">
        <v>655</v>
      </c>
      <c r="K145" s="3"/>
      <c r="L145" s="3"/>
      <c r="M145" s="3">
        <f t="shared" si="16"/>
        <v>120</v>
      </c>
      <c r="N145" s="3">
        <f t="shared" si="17"/>
        <v>1</v>
      </c>
      <c r="O145" s="3">
        <f t="shared" si="18"/>
        <v>120</v>
      </c>
      <c r="P145" s="3">
        <f t="shared" si="19"/>
        <v>2</v>
      </c>
      <c r="Q145" s="1">
        <v>1</v>
      </c>
      <c r="R145" s="1" t="s">
        <v>630</v>
      </c>
    </row>
    <row r="146" spans="1:21" ht="15" customHeight="1" x14ac:dyDescent="0.25">
      <c r="A146" s="3">
        <v>12045</v>
      </c>
      <c r="B146" s="3" t="s">
        <v>891</v>
      </c>
      <c r="C146" s="3" t="s">
        <v>520</v>
      </c>
      <c r="D146" s="3" t="s">
        <v>390</v>
      </c>
      <c r="E146" s="3">
        <v>22</v>
      </c>
      <c r="F146" s="3">
        <f>7*60+32</f>
        <v>452</v>
      </c>
      <c r="G146" s="3" t="s">
        <v>296</v>
      </c>
      <c r="H146" s="3" t="s">
        <v>630</v>
      </c>
      <c r="I146" s="3">
        <v>4</v>
      </c>
      <c r="J146" s="3" t="s">
        <v>655</v>
      </c>
      <c r="K146" s="3" t="s">
        <v>820</v>
      </c>
      <c r="L146" s="3"/>
      <c r="M146" s="3">
        <f t="shared" si="16"/>
        <v>430</v>
      </c>
      <c r="N146" s="3">
        <f t="shared" si="17"/>
        <v>1</v>
      </c>
      <c r="O146" s="3">
        <f t="shared" si="18"/>
        <v>430</v>
      </c>
      <c r="P146" s="3">
        <f t="shared" si="19"/>
        <v>7.166666666666667</v>
      </c>
      <c r="Q146" s="1">
        <v>1</v>
      </c>
      <c r="R146" s="1" t="s">
        <v>630</v>
      </c>
    </row>
    <row r="147" spans="1:21" ht="15" customHeight="1" x14ac:dyDescent="0.25">
      <c r="A147" s="3">
        <v>12046</v>
      </c>
      <c r="B147" s="3" t="s">
        <v>892</v>
      </c>
      <c r="C147" s="3" t="s">
        <v>522</v>
      </c>
      <c r="D147" s="3" t="s">
        <v>390</v>
      </c>
      <c r="E147" s="3">
        <v>16</v>
      </c>
      <c r="F147" s="3">
        <f>6*60+1</f>
        <v>361</v>
      </c>
      <c r="G147" s="3" t="s">
        <v>60</v>
      </c>
      <c r="H147" s="3" t="s">
        <v>630</v>
      </c>
      <c r="I147" s="3">
        <v>4</v>
      </c>
      <c r="J147" s="3" t="s">
        <v>655</v>
      </c>
      <c r="K147" s="3"/>
      <c r="L147" s="3"/>
      <c r="M147" s="3">
        <f t="shared" si="16"/>
        <v>345</v>
      </c>
      <c r="N147" s="3">
        <f t="shared" si="17"/>
        <v>1</v>
      </c>
      <c r="O147" s="3">
        <f t="shared" si="18"/>
        <v>345</v>
      </c>
      <c r="P147" s="3">
        <f t="shared" si="19"/>
        <v>5.75</v>
      </c>
      <c r="Q147" s="1">
        <v>1</v>
      </c>
      <c r="R147" s="1" t="s">
        <v>630</v>
      </c>
    </row>
    <row r="148" spans="1:21" ht="15" customHeight="1" x14ac:dyDescent="0.25">
      <c r="A148" s="3">
        <v>12047</v>
      </c>
      <c r="B148" s="3" t="s">
        <v>893</v>
      </c>
      <c r="C148" s="3" t="s">
        <v>525</v>
      </c>
      <c r="D148" s="3" t="s">
        <v>390</v>
      </c>
      <c r="E148" s="3">
        <v>1</v>
      </c>
      <c r="F148" s="3">
        <f>4*60+48</f>
        <v>288</v>
      </c>
      <c r="G148" s="3" t="s">
        <v>384</v>
      </c>
      <c r="H148" s="3" t="s">
        <v>630</v>
      </c>
      <c r="I148" s="3">
        <v>0</v>
      </c>
      <c r="J148" s="3" t="s">
        <v>655</v>
      </c>
      <c r="K148" s="3"/>
      <c r="L148" s="3"/>
      <c r="M148" s="3">
        <f t="shared" si="16"/>
        <v>287</v>
      </c>
      <c r="N148" s="3">
        <f t="shared" si="17"/>
        <v>1</v>
      </c>
      <c r="O148" s="3">
        <f t="shared" si="18"/>
        <v>287</v>
      </c>
      <c r="P148" s="3">
        <f t="shared" si="19"/>
        <v>4.7833333333333332</v>
      </c>
      <c r="Q148" s="1">
        <v>1</v>
      </c>
      <c r="R148" s="1" t="s">
        <v>630</v>
      </c>
    </row>
    <row r="149" spans="1:21" ht="15" customHeight="1" x14ac:dyDescent="0.25">
      <c r="A149" s="4">
        <v>12048</v>
      </c>
      <c r="B149" s="4" t="s">
        <v>894</v>
      </c>
      <c r="C149" s="4" t="s">
        <v>527</v>
      </c>
      <c r="D149" s="4" t="s">
        <v>390</v>
      </c>
      <c r="E149" s="4">
        <f>19*60+14</f>
        <v>1154</v>
      </c>
      <c r="F149" s="4">
        <f>31*60+55</f>
        <v>1915</v>
      </c>
      <c r="G149" s="4" t="s">
        <v>531</v>
      </c>
      <c r="H149" s="4" t="s">
        <v>630</v>
      </c>
      <c r="I149" s="4">
        <v>0</v>
      </c>
      <c r="J149" s="4" t="s">
        <v>655</v>
      </c>
      <c r="K149" s="4"/>
      <c r="L149" s="4"/>
      <c r="M149" s="4">
        <f t="shared" si="16"/>
        <v>761</v>
      </c>
      <c r="N149" s="4">
        <f t="shared" si="17"/>
        <v>1</v>
      </c>
      <c r="O149" s="4">
        <f t="shared" si="18"/>
        <v>761</v>
      </c>
      <c r="P149" s="4">
        <f t="shared" si="19"/>
        <v>12.683333333333334</v>
      </c>
      <c r="Q149" s="6">
        <v>1</v>
      </c>
      <c r="R149" s="6" t="s">
        <v>630</v>
      </c>
      <c r="S149" s="6" t="s">
        <v>895</v>
      </c>
      <c r="T149" s="6"/>
      <c r="U149" s="6"/>
    </row>
    <row r="150" spans="1:21" ht="15" customHeight="1" x14ac:dyDescent="0.25">
      <c r="A150" s="7">
        <v>13001</v>
      </c>
      <c r="B150" s="7" t="s">
        <v>896</v>
      </c>
      <c r="C150" s="7" t="s">
        <v>532</v>
      </c>
      <c r="D150" s="7" t="s">
        <v>535</v>
      </c>
      <c r="E150" s="7">
        <f>4*60+46</f>
        <v>286</v>
      </c>
      <c r="F150" s="7">
        <f>12*60+50</f>
        <v>770</v>
      </c>
      <c r="G150" s="7" t="s">
        <v>536</v>
      </c>
      <c r="H150" s="7" t="s">
        <v>630</v>
      </c>
      <c r="I150" s="7">
        <v>2</v>
      </c>
      <c r="J150" s="7" t="s">
        <v>641</v>
      </c>
      <c r="K150" s="7" t="s">
        <v>763</v>
      </c>
      <c r="L150" s="7"/>
      <c r="M150" s="7">
        <f t="shared" si="16"/>
        <v>484</v>
      </c>
      <c r="N150" s="7">
        <f t="shared" si="17"/>
        <v>1</v>
      </c>
      <c r="O150" s="7">
        <f t="shared" si="18"/>
        <v>484</v>
      </c>
      <c r="P150" s="7">
        <f t="shared" si="19"/>
        <v>8.0666666666666664</v>
      </c>
      <c r="Q150" s="9">
        <v>1</v>
      </c>
      <c r="R150" s="9" t="s">
        <v>630</v>
      </c>
      <c r="S150" s="9" t="s">
        <v>897</v>
      </c>
      <c r="T150" s="9"/>
      <c r="U150" s="9"/>
    </row>
    <row r="151" spans="1:21" ht="15" customHeight="1" x14ac:dyDescent="0.25">
      <c r="A151" s="3">
        <v>13002</v>
      </c>
      <c r="B151" s="3" t="s">
        <v>898</v>
      </c>
      <c r="C151" s="3" t="s">
        <v>537</v>
      </c>
      <c r="D151" s="3" t="s">
        <v>535</v>
      </c>
      <c r="E151" s="3">
        <v>66</v>
      </c>
      <c r="F151" s="3">
        <f>7*60+47</f>
        <v>467</v>
      </c>
      <c r="G151" s="3" t="s">
        <v>188</v>
      </c>
      <c r="H151" s="3" t="s">
        <v>630</v>
      </c>
      <c r="I151" s="3">
        <v>0</v>
      </c>
      <c r="J151" s="3" t="s">
        <v>655</v>
      </c>
      <c r="K151" s="3"/>
      <c r="L151" s="3"/>
      <c r="M151" s="3">
        <f t="shared" si="16"/>
        <v>401</v>
      </c>
      <c r="N151" s="3">
        <f t="shared" si="17"/>
        <v>1</v>
      </c>
      <c r="O151" s="3">
        <f t="shared" si="18"/>
        <v>401</v>
      </c>
      <c r="P151" s="3">
        <f t="shared" si="19"/>
        <v>6.6833333333333336</v>
      </c>
      <c r="Q151" s="1">
        <v>1</v>
      </c>
      <c r="R151" s="1" t="s">
        <v>630</v>
      </c>
      <c r="S151" s="1" t="s">
        <v>899</v>
      </c>
    </row>
    <row r="152" spans="1:21" ht="15" customHeight="1" x14ac:dyDescent="0.25">
      <c r="A152" s="3">
        <v>13003</v>
      </c>
      <c r="B152" s="3" t="s">
        <v>900</v>
      </c>
      <c r="C152" s="3" t="s">
        <v>540</v>
      </c>
      <c r="D152" s="3" t="s">
        <v>535</v>
      </c>
      <c r="E152" s="3">
        <v>2</v>
      </c>
      <c r="F152" s="3">
        <f>3*60+27</f>
        <v>207</v>
      </c>
      <c r="G152" s="3" t="s">
        <v>542</v>
      </c>
      <c r="H152" s="3" t="s">
        <v>630</v>
      </c>
      <c r="I152" s="3" t="s">
        <v>836</v>
      </c>
      <c r="J152" s="3" t="s">
        <v>901</v>
      </c>
      <c r="K152" s="3"/>
      <c r="L152" s="3"/>
      <c r="M152" s="3">
        <f t="shared" si="16"/>
        <v>205</v>
      </c>
      <c r="N152" s="3">
        <f t="shared" si="17"/>
        <v>1</v>
      </c>
      <c r="O152" s="3">
        <f t="shared" si="18"/>
        <v>205</v>
      </c>
      <c r="P152" s="3">
        <f t="shared" si="19"/>
        <v>3.4166666666666665</v>
      </c>
      <c r="Q152" s="1">
        <v>1</v>
      </c>
      <c r="R152" s="1" t="s">
        <v>630</v>
      </c>
      <c r="S152" s="1" t="s">
        <v>902</v>
      </c>
    </row>
    <row r="153" spans="1:21" ht="15" customHeight="1" x14ac:dyDescent="0.25">
      <c r="A153" s="3">
        <v>13004</v>
      </c>
      <c r="B153" s="3" t="s">
        <v>903</v>
      </c>
      <c r="C153" s="3" t="s">
        <v>543</v>
      </c>
      <c r="D153" s="3" t="s">
        <v>535</v>
      </c>
      <c r="E153" s="3">
        <v>56</v>
      </c>
      <c r="F153" s="3">
        <f>9*60+17</f>
        <v>557</v>
      </c>
      <c r="G153" s="3" t="s">
        <v>38</v>
      </c>
      <c r="H153" s="3" t="s">
        <v>630</v>
      </c>
      <c r="I153" s="3">
        <v>2</v>
      </c>
      <c r="J153" s="3" t="s">
        <v>655</v>
      </c>
      <c r="K153" s="3"/>
      <c r="L153" s="3"/>
      <c r="M153" s="3">
        <f t="shared" si="16"/>
        <v>501</v>
      </c>
      <c r="N153" s="3">
        <f t="shared" si="17"/>
        <v>1</v>
      </c>
      <c r="O153" s="3">
        <f t="shared" si="18"/>
        <v>501</v>
      </c>
      <c r="P153" s="3">
        <f t="shared" si="19"/>
        <v>8.35</v>
      </c>
      <c r="Q153" s="1">
        <v>1</v>
      </c>
      <c r="R153" s="1" t="s">
        <v>630</v>
      </c>
    </row>
    <row r="154" spans="1:21" ht="15" customHeight="1" x14ac:dyDescent="0.25">
      <c r="A154" s="3">
        <v>13005</v>
      </c>
      <c r="B154" s="3" t="s">
        <v>904</v>
      </c>
      <c r="C154" s="3" t="s">
        <v>545</v>
      </c>
      <c r="D154" s="3" t="s">
        <v>535</v>
      </c>
      <c r="E154" s="3">
        <f>11*60+8</f>
        <v>668</v>
      </c>
      <c r="F154" s="3">
        <f>18*60+14</f>
        <v>1094</v>
      </c>
      <c r="G154" s="3" t="s">
        <v>395</v>
      </c>
      <c r="H154" s="3" t="s">
        <v>630</v>
      </c>
      <c r="I154" s="3">
        <v>2</v>
      </c>
      <c r="J154" s="3" t="s">
        <v>905</v>
      </c>
      <c r="K154" s="3"/>
      <c r="L154" s="3"/>
      <c r="M154" s="3">
        <f t="shared" si="16"/>
        <v>426</v>
      </c>
      <c r="N154" s="3">
        <f t="shared" si="17"/>
        <v>1</v>
      </c>
      <c r="O154" s="3">
        <f t="shared" si="18"/>
        <v>426</v>
      </c>
      <c r="P154" s="3">
        <f t="shared" si="19"/>
        <v>7.1</v>
      </c>
      <c r="Q154" s="1">
        <v>1</v>
      </c>
      <c r="R154" s="1" t="s">
        <v>630</v>
      </c>
    </row>
    <row r="155" spans="1:21" ht="15" customHeight="1" x14ac:dyDescent="0.25">
      <c r="A155" s="3">
        <v>13006</v>
      </c>
      <c r="B155" s="3" t="s">
        <v>906</v>
      </c>
      <c r="C155" s="3" t="s">
        <v>547</v>
      </c>
      <c r="D155" s="3" t="s">
        <v>535</v>
      </c>
      <c r="E155" s="3">
        <f>60+18</f>
        <v>78</v>
      </c>
      <c r="F155" s="3">
        <f>3*60+14</f>
        <v>194</v>
      </c>
      <c r="G155" s="3" t="s">
        <v>549</v>
      </c>
      <c r="H155" s="3" t="s">
        <v>630</v>
      </c>
      <c r="I155" s="3" t="s">
        <v>907</v>
      </c>
      <c r="J155" s="3" t="s">
        <v>908</v>
      </c>
      <c r="K155" s="3" t="s">
        <v>909</v>
      </c>
      <c r="L155" s="3"/>
      <c r="M155" s="3">
        <f t="shared" si="16"/>
        <v>116</v>
      </c>
      <c r="N155" s="3">
        <f t="shared" si="17"/>
        <v>1</v>
      </c>
      <c r="O155" s="3">
        <f t="shared" si="18"/>
        <v>116</v>
      </c>
      <c r="P155" s="3">
        <f t="shared" si="19"/>
        <v>1.9333333333333333</v>
      </c>
      <c r="Q155" s="1">
        <v>1</v>
      </c>
      <c r="R155" s="1" t="s">
        <v>630</v>
      </c>
    </row>
    <row r="156" spans="1:21" ht="15" customHeight="1" x14ac:dyDescent="0.25">
      <c r="A156" s="3">
        <v>13007</v>
      </c>
      <c r="B156" s="3" t="s">
        <v>910</v>
      </c>
      <c r="C156" s="3" t="s">
        <v>550</v>
      </c>
      <c r="D156" s="3" t="s">
        <v>535</v>
      </c>
      <c r="E156" s="3">
        <v>3</v>
      </c>
      <c r="F156" s="3">
        <f>5*60+5</f>
        <v>305</v>
      </c>
      <c r="G156" s="3" t="s">
        <v>552</v>
      </c>
      <c r="H156" s="3" t="s">
        <v>630</v>
      </c>
      <c r="I156" s="3">
        <v>0</v>
      </c>
      <c r="J156" s="3" t="s">
        <v>657</v>
      </c>
      <c r="K156" s="3"/>
      <c r="L156" s="3"/>
      <c r="M156" s="3">
        <f t="shared" si="16"/>
        <v>302</v>
      </c>
      <c r="N156" s="3">
        <f t="shared" si="17"/>
        <v>1</v>
      </c>
      <c r="O156" s="3">
        <f t="shared" si="18"/>
        <v>302</v>
      </c>
      <c r="P156" s="3">
        <f t="shared" si="19"/>
        <v>5.0333333333333332</v>
      </c>
      <c r="Q156" s="1">
        <v>1</v>
      </c>
      <c r="R156" s="1" t="s">
        <v>630</v>
      </c>
    </row>
    <row r="157" spans="1:21" ht="15" customHeight="1" x14ac:dyDescent="0.25">
      <c r="A157" s="3">
        <v>13008</v>
      </c>
      <c r="B157" s="3" t="s">
        <v>911</v>
      </c>
      <c r="C157" s="3" t="s">
        <v>553</v>
      </c>
      <c r="D157" s="3" t="s">
        <v>535</v>
      </c>
      <c r="E157" s="3">
        <v>1</v>
      </c>
      <c r="F157" s="3">
        <f>3*60+2</f>
        <v>182</v>
      </c>
      <c r="G157" s="3" t="s">
        <v>38</v>
      </c>
      <c r="H157" s="3" t="s">
        <v>630</v>
      </c>
      <c r="I157" s="3">
        <v>0</v>
      </c>
      <c r="J157" s="3" t="s">
        <v>912</v>
      </c>
      <c r="K157" s="3"/>
      <c r="L157" s="3"/>
      <c r="M157" s="3">
        <f t="shared" si="16"/>
        <v>181</v>
      </c>
      <c r="N157" s="3">
        <f t="shared" si="17"/>
        <v>1</v>
      </c>
      <c r="O157" s="3">
        <f t="shared" si="18"/>
        <v>181</v>
      </c>
      <c r="P157" s="3">
        <f t="shared" si="19"/>
        <v>3.0166666666666666</v>
      </c>
      <c r="Q157" s="1">
        <v>1</v>
      </c>
      <c r="R157" s="1" t="s">
        <v>630</v>
      </c>
    </row>
    <row r="158" spans="1:21" ht="15" customHeight="1" x14ac:dyDescent="0.25">
      <c r="A158" s="3">
        <v>13009</v>
      </c>
      <c r="B158" s="3" t="s">
        <v>913</v>
      </c>
      <c r="C158" s="3" t="s">
        <v>556</v>
      </c>
      <c r="D158" s="3" t="s">
        <v>535</v>
      </c>
      <c r="E158" s="3">
        <f>1*60+16</f>
        <v>76</v>
      </c>
      <c r="F158" s="3">
        <f>6*60+2</f>
        <v>362</v>
      </c>
      <c r="G158" s="3" t="s">
        <v>558</v>
      </c>
      <c r="H158" s="3" t="s">
        <v>630</v>
      </c>
      <c r="I158" s="3">
        <v>0</v>
      </c>
      <c r="J158" s="3" t="s">
        <v>914</v>
      </c>
      <c r="K158" s="3"/>
      <c r="L158" s="3"/>
      <c r="M158" s="3">
        <f t="shared" si="16"/>
        <v>286</v>
      </c>
      <c r="N158" s="3">
        <f t="shared" si="17"/>
        <v>1</v>
      </c>
      <c r="O158" s="3">
        <f t="shared" si="18"/>
        <v>286</v>
      </c>
      <c r="P158" s="3">
        <f t="shared" si="19"/>
        <v>4.7666666666666666</v>
      </c>
      <c r="Q158" s="1">
        <v>1</v>
      </c>
      <c r="R158" s="1" t="s">
        <v>630</v>
      </c>
    </row>
    <row r="159" spans="1:21" ht="15" customHeight="1" x14ac:dyDescent="0.25">
      <c r="A159" s="3">
        <v>13010</v>
      </c>
      <c r="B159" s="3" t="s">
        <v>915</v>
      </c>
      <c r="C159" s="3" t="s">
        <v>559</v>
      </c>
      <c r="D159" s="3" t="s">
        <v>535</v>
      </c>
      <c r="E159" s="3">
        <v>7</v>
      </c>
      <c r="F159" s="3">
        <f>3*60+49</f>
        <v>229</v>
      </c>
      <c r="G159" s="3" t="s">
        <v>561</v>
      </c>
      <c r="H159" s="3" t="s">
        <v>630</v>
      </c>
      <c r="I159" s="3">
        <v>2</v>
      </c>
      <c r="J159" s="3" t="s">
        <v>649</v>
      </c>
      <c r="K159" s="3" t="s">
        <v>916</v>
      </c>
      <c r="L159" s="3"/>
      <c r="M159" s="3">
        <f t="shared" si="16"/>
        <v>222</v>
      </c>
      <c r="N159" s="3">
        <f t="shared" si="17"/>
        <v>1</v>
      </c>
      <c r="O159" s="3">
        <f t="shared" si="18"/>
        <v>222</v>
      </c>
      <c r="P159" s="3">
        <f t="shared" si="19"/>
        <v>3.7</v>
      </c>
      <c r="Q159" s="1">
        <v>1</v>
      </c>
      <c r="R159" s="1" t="s">
        <v>630</v>
      </c>
      <c r="S159" s="1" t="s">
        <v>917</v>
      </c>
    </row>
    <row r="160" spans="1:21" ht="15" customHeight="1" x14ac:dyDescent="0.25">
      <c r="A160" s="3">
        <v>13011</v>
      </c>
      <c r="B160" s="3" t="s">
        <v>918</v>
      </c>
      <c r="C160" s="3" t="s">
        <v>562</v>
      </c>
      <c r="D160" s="3" t="s">
        <v>535</v>
      </c>
      <c r="E160" s="3">
        <f>4*60+4</f>
        <v>244</v>
      </c>
      <c r="F160" s="3">
        <f>12*60+57</f>
        <v>777</v>
      </c>
      <c r="G160" s="3" t="s">
        <v>542</v>
      </c>
      <c r="H160" s="3" t="s">
        <v>630</v>
      </c>
      <c r="I160" s="3">
        <v>0</v>
      </c>
      <c r="J160" s="3" t="s">
        <v>641</v>
      </c>
      <c r="K160" s="3"/>
      <c r="L160" s="3"/>
      <c r="M160" s="3">
        <f t="shared" si="16"/>
        <v>533</v>
      </c>
      <c r="N160" s="3">
        <f t="shared" si="17"/>
        <v>1</v>
      </c>
      <c r="O160" s="3">
        <f t="shared" si="18"/>
        <v>533</v>
      </c>
      <c r="P160" s="3">
        <f t="shared" si="19"/>
        <v>8.8833333333333329</v>
      </c>
      <c r="Q160" s="1">
        <v>1</v>
      </c>
      <c r="R160" s="1" t="s">
        <v>630</v>
      </c>
      <c r="S160" s="1" t="s">
        <v>919</v>
      </c>
    </row>
    <row r="161" spans="1:18" ht="15" customHeight="1" x14ac:dyDescent="0.25">
      <c r="A161" s="3">
        <v>13012</v>
      </c>
      <c r="B161" s="3" t="s">
        <v>920</v>
      </c>
      <c r="C161" s="3" t="s">
        <v>564</v>
      </c>
      <c r="D161" s="3" t="s">
        <v>535</v>
      </c>
      <c r="E161" s="3">
        <v>3</v>
      </c>
      <c r="F161" s="3">
        <f>5*60+45</f>
        <v>345</v>
      </c>
      <c r="G161" s="3" t="s">
        <v>38</v>
      </c>
      <c r="H161" s="3" t="s">
        <v>630</v>
      </c>
      <c r="I161" s="3">
        <v>0</v>
      </c>
      <c r="J161" s="3" t="s">
        <v>655</v>
      </c>
      <c r="K161" s="3"/>
      <c r="L161" s="3"/>
      <c r="M161" s="3">
        <f t="shared" si="16"/>
        <v>342</v>
      </c>
      <c r="N161" s="3">
        <f t="shared" si="17"/>
        <v>1</v>
      </c>
      <c r="O161" s="3">
        <f t="shared" si="18"/>
        <v>342</v>
      </c>
      <c r="P161" s="3">
        <f t="shared" si="19"/>
        <v>5.7</v>
      </c>
      <c r="Q161" s="1">
        <v>1</v>
      </c>
      <c r="R161" s="1" t="s">
        <v>630</v>
      </c>
    </row>
    <row r="162" spans="1:18" ht="15" customHeight="1" x14ac:dyDescent="0.25">
      <c r="A162" s="3">
        <v>13013</v>
      </c>
      <c r="B162" s="3" t="s">
        <v>921</v>
      </c>
      <c r="C162" s="3" t="s">
        <v>566</v>
      </c>
      <c r="D162" s="3" t="s">
        <v>535</v>
      </c>
      <c r="E162" s="3">
        <v>5</v>
      </c>
      <c r="F162" s="3">
        <f>8*60+20</f>
        <v>500</v>
      </c>
      <c r="G162" s="3" t="s">
        <v>284</v>
      </c>
      <c r="H162" s="3" t="s">
        <v>630</v>
      </c>
      <c r="I162" s="3">
        <v>2</v>
      </c>
      <c r="J162" s="3" t="s">
        <v>922</v>
      </c>
      <c r="K162" s="3"/>
      <c r="L162" s="3"/>
      <c r="M162" s="3">
        <f t="shared" ref="M162:M177" si="20">F162-E162</f>
        <v>495</v>
      </c>
      <c r="N162" s="3">
        <f t="shared" ref="N162:N177" si="21">IF(ISBLANK(H162),0,1)</f>
        <v>1</v>
      </c>
      <c r="O162" s="3">
        <f t="shared" ref="O162:O177" si="22">M162*N162</f>
        <v>495</v>
      </c>
      <c r="P162" s="3">
        <f t="shared" ref="P162:P177" si="23">O162/60</f>
        <v>8.25</v>
      </c>
      <c r="Q162" s="1">
        <v>1</v>
      </c>
      <c r="R162" s="1" t="s">
        <v>630</v>
      </c>
    </row>
    <row r="163" spans="1:18" ht="15" customHeight="1" x14ac:dyDescent="0.25">
      <c r="A163" s="3">
        <v>13014</v>
      </c>
      <c r="B163" s="3" t="s">
        <v>923</v>
      </c>
      <c r="C163" s="3" t="s">
        <v>568</v>
      </c>
      <c r="D163" s="3" t="s">
        <v>535</v>
      </c>
      <c r="E163" s="3">
        <v>5</v>
      </c>
      <c r="F163" s="3">
        <f>5*60+36</f>
        <v>336</v>
      </c>
      <c r="G163" s="3" t="s">
        <v>480</v>
      </c>
      <c r="H163" s="3" t="s">
        <v>630</v>
      </c>
      <c r="I163" s="3">
        <v>0</v>
      </c>
      <c r="J163" s="3" t="s">
        <v>641</v>
      </c>
      <c r="K163" s="3" t="s">
        <v>924</v>
      </c>
      <c r="L163" s="3"/>
      <c r="M163" s="3">
        <f t="shared" si="20"/>
        <v>331</v>
      </c>
      <c r="N163" s="3">
        <f t="shared" si="21"/>
        <v>1</v>
      </c>
      <c r="O163" s="3">
        <f t="shared" si="22"/>
        <v>331</v>
      </c>
      <c r="P163" s="3">
        <f t="shared" si="23"/>
        <v>5.5166666666666666</v>
      </c>
      <c r="Q163" s="1">
        <v>1</v>
      </c>
      <c r="R163" s="1" t="s">
        <v>630</v>
      </c>
    </row>
    <row r="164" spans="1:18" ht="15" customHeight="1" x14ac:dyDescent="0.25">
      <c r="A164" s="3">
        <v>13015</v>
      </c>
      <c r="B164" s="3" t="s">
        <v>925</v>
      </c>
      <c r="C164" s="3" t="s">
        <v>571</v>
      </c>
      <c r="D164" s="3" t="s">
        <v>535</v>
      </c>
      <c r="E164" s="3">
        <v>2</v>
      </c>
      <c r="F164" s="3">
        <f>3*60+46</f>
        <v>226</v>
      </c>
      <c r="G164" s="3" t="s">
        <v>397</v>
      </c>
      <c r="H164" s="3" t="s">
        <v>630</v>
      </c>
      <c r="I164" s="3">
        <v>2</v>
      </c>
      <c r="J164" s="3" t="s">
        <v>926</v>
      </c>
      <c r="K164" s="3"/>
      <c r="L164" s="3"/>
      <c r="M164" s="3">
        <f t="shared" si="20"/>
        <v>224</v>
      </c>
      <c r="N164" s="3">
        <f t="shared" si="21"/>
        <v>1</v>
      </c>
      <c r="O164" s="3">
        <f t="shared" si="22"/>
        <v>224</v>
      </c>
      <c r="P164" s="3">
        <f t="shared" si="23"/>
        <v>3.7333333333333334</v>
      </c>
      <c r="Q164" s="1">
        <v>1</v>
      </c>
      <c r="R164" s="1" t="s">
        <v>630</v>
      </c>
    </row>
    <row r="165" spans="1:18" ht="15" customHeight="1" x14ac:dyDescent="0.25">
      <c r="A165" s="3">
        <v>13016</v>
      </c>
      <c r="B165" s="3" t="s">
        <v>927</v>
      </c>
      <c r="C165" s="3" t="s">
        <v>573</v>
      </c>
      <c r="D165" s="3" t="s">
        <v>535</v>
      </c>
      <c r="E165" s="3">
        <f>8*60+16</f>
        <v>496</v>
      </c>
      <c r="F165" s="3">
        <f>13*60+28</f>
        <v>808</v>
      </c>
      <c r="G165" s="3" t="s">
        <v>677</v>
      </c>
      <c r="H165" s="3" t="s">
        <v>630</v>
      </c>
      <c r="I165" s="3">
        <v>0</v>
      </c>
      <c r="J165" s="3" t="s">
        <v>655</v>
      </c>
      <c r="K165" s="3" t="s">
        <v>928</v>
      </c>
      <c r="L165" s="3"/>
      <c r="M165" s="3">
        <f t="shared" si="20"/>
        <v>312</v>
      </c>
      <c r="N165" s="3">
        <f t="shared" si="21"/>
        <v>1</v>
      </c>
      <c r="O165" s="3">
        <f t="shared" si="22"/>
        <v>312</v>
      </c>
      <c r="P165" s="3">
        <f t="shared" si="23"/>
        <v>5.2</v>
      </c>
      <c r="Q165" s="1">
        <v>1</v>
      </c>
      <c r="R165" s="1" t="s">
        <v>630</v>
      </c>
    </row>
    <row r="166" spans="1:18" ht="15" customHeight="1" x14ac:dyDescent="0.25">
      <c r="A166" s="3">
        <v>13017</v>
      </c>
      <c r="B166" s="3" t="s">
        <v>929</v>
      </c>
      <c r="C166" s="3" t="s">
        <v>576</v>
      </c>
      <c r="D166" s="3" t="s">
        <v>535</v>
      </c>
      <c r="E166" s="3">
        <v>10</v>
      </c>
      <c r="F166" s="3">
        <f>2*60+54</f>
        <v>174</v>
      </c>
      <c r="G166" s="3" t="s">
        <v>578</v>
      </c>
      <c r="H166" s="3" t="s">
        <v>630</v>
      </c>
      <c r="I166" s="3">
        <v>2</v>
      </c>
      <c r="J166" s="3" t="s">
        <v>930</v>
      </c>
      <c r="K166" s="3" t="s">
        <v>931</v>
      </c>
      <c r="L166" s="3"/>
      <c r="M166" s="3">
        <f t="shared" si="20"/>
        <v>164</v>
      </c>
      <c r="N166" s="3">
        <f t="shared" si="21"/>
        <v>1</v>
      </c>
      <c r="O166" s="3">
        <f t="shared" si="22"/>
        <v>164</v>
      </c>
      <c r="P166" s="3">
        <f t="shared" si="23"/>
        <v>2.7333333333333334</v>
      </c>
      <c r="Q166" s="1">
        <v>1</v>
      </c>
      <c r="R166" s="1" t="s">
        <v>630</v>
      </c>
    </row>
    <row r="167" spans="1:18" ht="15" customHeight="1" x14ac:dyDescent="0.25">
      <c r="A167" s="3">
        <v>13018</v>
      </c>
      <c r="B167" s="3" t="s">
        <v>932</v>
      </c>
      <c r="C167" s="3" t="s">
        <v>579</v>
      </c>
      <c r="D167" s="3" t="s">
        <v>535</v>
      </c>
      <c r="E167" s="3">
        <v>9</v>
      </c>
      <c r="F167" s="3">
        <f>2*60+17</f>
        <v>137</v>
      </c>
      <c r="G167" s="3" t="s">
        <v>337</v>
      </c>
      <c r="H167" s="3" t="s">
        <v>630</v>
      </c>
      <c r="I167" s="3">
        <v>0</v>
      </c>
      <c r="J167" s="3" t="s">
        <v>933</v>
      </c>
      <c r="K167" s="3" t="s">
        <v>931</v>
      </c>
      <c r="L167" s="3"/>
      <c r="M167" s="3">
        <f t="shared" si="20"/>
        <v>128</v>
      </c>
      <c r="N167" s="3">
        <f t="shared" si="21"/>
        <v>1</v>
      </c>
      <c r="O167" s="3">
        <f t="shared" si="22"/>
        <v>128</v>
      </c>
      <c r="P167" s="3">
        <f t="shared" si="23"/>
        <v>2.1333333333333333</v>
      </c>
      <c r="Q167" s="1">
        <v>1</v>
      </c>
      <c r="R167" s="1" t="s">
        <v>630</v>
      </c>
    </row>
    <row r="168" spans="1:18" ht="15" customHeight="1" x14ac:dyDescent="0.25">
      <c r="A168" s="3">
        <v>13019</v>
      </c>
      <c r="B168" s="3" t="s">
        <v>934</v>
      </c>
      <c r="C168" s="3" t="s">
        <v>581</v>
      </c>
      <c r="D168" s="3" t="s">
        <v>535</v>
      </c>
      <c r="E168" s="3">
        <v>26</v>
      </c>
      <c r="F168" s="3">
        <f>4*60+30</f>
        <v>270</v>
      </c>
      <c r="G168" s="3" t="s">
        <v>583</v>
      </c>
      <c r="H168" s="3" t="s">
        <v>630</v>
      </c>
      <c r="I168" s="3">
        <v>2</v>
      </c>
      <c r="J168" s="3" t="s">
        <v>655</v>
      </c>
      <c r="K168" s="3" t="s">
        <v>931</v>
      </c>
      <c r="L168" s="3"/>
      <c r="M168" s="3">
        <f t="shared" si="20"/>
        <v>244</v>
      </c>
      <c r="N168" s="3">
        <f t="shared" si="21"/>
        <v>1</v>
      </c>
      <c r="O168" s="3">
        <f t="shared" si="22"/>
        <v>244</v>
      </c>
      <c r="P168" s="3">
        <f t="shared" si="23"/>
        <v>4.0666666666666664</v>
      </c>
      <c r="Q168" s="1">
        <v>1</v>
      </c>
      <c r="R168" s="1" t="s">
        <v>630</v>
      </c>
    </row>
    <row r="169" spans="1:18" ht="15" customHeight="1" x14ac:dyDescent="0.25">
      <c r="A169" s="3">
        <v>13020</v>
      </c>
      <c r="B169" s="3" t="s">
        <v>935</v>
      </c>
      <c r="C169" s="3" t="s">
        <v>584</v>
      </c>
      <c r="D169" s="3" t="s">
        <v>535</v>
      </c>
      <c r="E169" s="3">
        <v>21</v>
      </c>
      <c r="F169" s="3">
        <f>3*60+40</f>
        <v>220</v>
      </c>
      <c r="G169" s="3" t="s">
        <v>586</v>
      </c>
      <c r="H169" s="3" t="s">
        <v>630</v>
      </c>
      <c r="I169" s="3">
        <v>2</v>
      </c>
      <c r="J169" s="3" t="s">
        <v>655</v>
      </c>
      <c r="K169" s="3" t="s">
        <v>931</v>
      </c>
      <c r="L169" s="3"/>
      <c r="M169" s="3">
        <f t="shared" si="20"/>
        <v>199</v>
      </c>
      <c r="N169" s="3">
        <f t="shared" si="21"/>
        <v>1</v>
      </c>
      <c r="O169" s="3">
        <f t="shared" si="22"/>
        <v>199</v>
      </c>
      <c r="P169" s="3">
        <f t="shared" si="23"/>
        <v>3.3166666666666669</v>
      </c>
      <c r="Q169" s="1">
        <v>1</v>
      </c>
      <c r="R169" s="1" t="s">
        <v>630</v>
      </c>
    </row>
    <row r="170" spans="1:18" ht="15" customHeight="1" x14ac:dyDescent="0.25">
      <c r="A170" s="3">
        <v>13021</v>
      </c>
      <c r="B170" s="3" t="s">
        <v>936</v>
      </c>
      <c r="C170" s="3" t="s">
        <v>587</v>
      </c>
      <c r="D170" s="3" t="s">
        <v>535</v>
      </c>
      <c r="E170" s="3">
        <v>11</v>
      </c>
      <c r="F170" s="3">
        <f>2*60+55</f>
        <v>175</v>
      </c>
      <c r="G170" s="3" t="s">
        <v>589</v>
      </c>
      <c r="H170" s="3" t="s">
        <v>630</v>
      </c>
      <c r="I170" s="3">
        <v>2</v>
      </c>
      <c r="J170" s="3" t="s">
        <v>655</v>
      </c>
      <c r="K170" s="3" t="s">
        <v>931</v>
      </c>
      <c r="L170" s="3"/>
      <c r="M170" s="3">
        <f t="shared" si="20"/>
        <v>164</v>
      </c>
      <c r="N170" s="3">
        <f t="shared" si="21"/>
        <v>1</v>
      </c>
      <c r="O170" s="3">
        <f t="shared" si="22"/>
        <v>164</v>
      </c>
      <c r="P170" s="3">
        <f t="shared" si="23"/>
        <v>2.7333333333333334</v>
      </c>
      <c r="Q170" s="1">
        <v>1</v>
      </c>
      <c r="R170" s="1" t="s">
        <v>630</v>
      </c>
    </row>
    <row r="171" spans="1:18" ht="15" customHeight="1" x14ac:dyDescent="0.25">
      <c r="A171" s="3">
        <v>13022</v>
      </c>
      <c r="B171" s="3" t="s">
        <v>937</v>
      </c>
      <c r="C171" s="3" t="s">
        <v>590</v>
      </c>
      <c r="D171" s="3" t="s">
        <v>535</v>
      </c>
      <c r="E171" s="3">
        <v>17</v>
      </c>
      <c r="F171" s="3">
        <f>5*60+8</f>
        <v>308</v>
      </c>
      <c r="G171" s="3" t="s">
        <v>592</v>
      </c>
      <c r="H171" s="3" t="s">
        <v>630</v>
      </c>
      <c r="I171" s="3">
        <v>2</v>
      </c>
      <c r="J171" s="3" t="s">
        <v>655</v>
      </c>
      <c r="K171" s="3" t="s">
        <v>931</v>
      </c>
      <c r="L171" s="3"/>
      <c r="M171" s="3">
        <f t="shared" si="20"/>
        <v>291</v>
      </c>
      <c r="N171" s="3">
        <f t="shared" si="21"/>
        <v>1</v>
      </c>
      <c r="O171" s="3">
        <f t="shared" si="22"/>
        <v>291</v>
      </c>
      <c r="P171" s="3">
        <f t="shared" si="23"/>
        <v>4.8499999999999996</v>
      </c>
      <c r="Q171" s="1">
        <v>1</v>
      </c>
      <c r="R171" s="1" t="s">
        <v>630</v>
      </c>
    </row>
    <row r="172" spans="1:18" ht="15" customHeight="1" x14ac:dyDescent="0.25">
      <c r="A172" s="3">
        <v>13023</v>
      </c>
      <c r="B172" s="3" t="s">
        <v>938</v>
      </c>
      <c r="C172" s="3" t="s">
        <v>593</v>
      </c>
      <c r="D172" s="3" t="s">
        <v>535</v>
      </c>
      <c r="E172" s="3">
        <v>17</v>
      </c>
      <c r="F172" s="3">
        <f>4*60+41</f>
        <v>281</v>
      </c>
      <c r="G172" s="3" t="s">
        <v>595</v>
      </c>
      <c r="H172" s="3" t="s">
        <v>630</v>
      </c>
      <c r="I172" s="3">
        <v>2</v>
      </c>
      <c r="J172" s="3" t="s">
        <v>655</v>
      </c>
      <c r="K172" s="3" t="s">
        <v>931</v>
      </c>
      <c r="L172" s="3"/>
      <c r="M172" s="3">
        <f t="shared" si="20"/>
        <v>264</v>
      </c>
      <c r="N172" s="3">
        <f t="shared" si="21"/>
        <v>1</v>
      </c>
      <c r="O172" s="3">
        <f t="shared" si="22"/>
        <v>264</v>
      </c>
      <c r="P172" s="3">
        <f t="shared" si="23"/>
        <v>4.4000000000000004</v>
      </c>
      <c r="Q172" s="1">
        <v>1</v>
      </c>
      <c r="R172" s="1" t="s">
        <v>630</v>
      </c>
    </row>
    <row r="173" spans="1:18" ht="15" customHeight="1" x14ac:dyDescent="0.25">
      <c r="A173" s="3">
        <v>13024</v>
      </c>
      <c r="B173" s="3" t="s">
        <v>939</v>
      </c>
      <c r="C173" s="3" t="s">
        <v>596</v>
      </c>
      <c r="D173" s="3" t="s">
        <v>535</v>
      </c>
      <c r="E173" s="3">
        <v>61</v>
      </c>
      <c r="F173" s="3">
        <f>5*60+16</f>
        <v>316</v>
      </c>
      <c r="G173" s="3" t="s">
        <v>599</v>
      </c>
      <c r="H173" s="3" t="s">
        <v>630</v>
      </c>
      <c r="I173" s="3">
        <v>0</v>
      </c>
      <c r="J173" s="3" t="s">
        <v>940</v>
      </c>
      <c r="K173" s="3"/>
      <c r="L173" s="3"/>
      <c r="M173" s="3">
        <f t="shared" si="20"/>
        <v>255</v>
      </c>
      <c r="N173" s="3">
        <f t="shared" si="21"/>
        <v>1</v>
      </c>
      <c r="O173" s="3">
        <f t="shared" si="22"/>
        <v>255</v>
      </c>
      <c r="P173" s="3">
        <f t="shared" si="23"/>
        <v>4.25</v>
      </c>
      <c r="Q173" s="1">
        <v>1</v>
      </c>
      <c r="R173" s="1" t="s">
        <v>630</v>
      </c>
    </row>
    <row r="174" spans="1:18" ht="15" customHeight="1" x14ac:dyDescent="0.25">
      <c r="A174" s="3">
        <v>13025</v>
      </c>
      <c r="B174" s="3" t="s">
        <v>941</v>
      </c>
      <c r="C174" s="3" t="s">
        <v>600</v>
      </c>
      <c r="D174" s="3" t="s">
        <v>535</v>
      </c>
      <c r="E174" s="3">
        <f>13*60+35</f>
        <v>815</v>
      </c>
      <c r="F174" s="3">
        <f>20*60+30</f>
        <v>1230</v>
      </c>
      <c r="G174" s="3" t="s">
        <v>165</v>
      </c>
      <c r="H174" s="3" t="s">
        <v>630</v>
      </c>
      <c r="I174" s="3">
        <v>0</v>
      </c>
      <c r="J174" s="3" t="s">
        <v>942</v>
      </c>
      <c r="K174" s="3"/>
      <c r="L174" s="3"/>
      <c r="M174" s="3">
        <f t="shared" si="20"/>
        <v>415</v>
      </c>
      <c r="N174" s="3">
        <f t="shared" si="21"/>
        <v>1</v>
      </c>
      <c r="O174" s="3">
        <f t="shared" si="22"/>
        <v>415</v>
      </c>
      <c r="P174" s="3">
        <f t="shared" si="23"/>
        <v>6.916666666666667</v>
      </c>
      <c r="Q174" s="1">
        <v>1</v>
      </c>
      <c r="R174" s="1" t="s">
        <v>630</v>
      </c>
    </row>
    <row r="175" spans="1:18" ht="15" customHeight="1" x14ac:dyDescent="0.25">
      <c r="A175" s="3">
        <v>13026</v>
      </c>
      <c r="B175" s="3" t="s">
        <v>943</v>
      </c>
      <c r="C175" s="3" t="s">
        <v>602</v>
      </c>
      <c r="D175" s="3" t="s">
        <v>535</v>
      </c>
      <c r="E175" s="3">
        <f>1*60+9</f>
        <v>69</v>
      </c>
      <c r="F175" s="3">
        <f>3*60+18</f>
        <v>198</v>
      </c>
      <c r="G175" s="3" t="s">
        <v>604</v>
      </c>
      <c r="H175" s="3" t="s">
        <v>630</v>
      </c>
      <c r="I175" s="3">
        <v>0</v>
      </c>
      <c r="J175" s="3" t="s">
        <v>944</v>
      </c>
      <c r="K175" s="3"/>
      <c r="L175" s="3"/>
      <c r="M175" s="3">
        <f t="shared" si="20"/>
        <v>129</v>
      </c>
      <c r="N175" s="3">
        <f t="shared" si="21"/>
        <v>1</v>
      </c>
      <c r="O175" s="3">
        <f t="shared" si="22"/>
        <v>129</v>
      </c>
      <c r="P175" s="3">
        <f t="shared" si="23"/>
        <v>2.15</v>
      </c>
      <c r="Q175" s="1">
        <v>1</v>
      </c>
      <c r="R175" s="1" t="s">
        <v>630</v>
      </c>
    </row>
    <row r="176" spans="1:18" ht="15" customHeight="1" x14ac:dyDescent="0.25">
      <c r="A176" s="3">
        <v>13027</v>
      </c>
      <c r="B176" s="3" t="s">
        <v>945</v>
      </c>
      <c r="C176" s="3" t="s">
        <v>605</v>
      </c>
      <c r="D176" s="3" t="s">
        <v>535</v>
      </c>
      <c r="E176" s="3">
        <v>3</v>
      </c>
      <c r="F176" s="3">
        <f>4*60+28</f>
        <v>268</v>
      </c>
      <c r="G176" s="3" t="s">
        <v>607</v>
      </c>
      <c r="H176" s="3" t="s">
        <v>630</v>
      </c>
      <c r="I176" s="3">
        <v>0</v>
      </c>
      <c r="J176" s="3" t="s">
        <v>655</v>
      </c>
      <c r="K176" s="3"/>
      <c r="L176" s="3"/>
      <c r="M176" s="3">
        <f t="shared" si="20"/>
        <v>265</v>
      </c>
      <c r="N176" s="3">
        <f t="shared" si="21"/>
        <v>1</v>
      </c>
      <c r="O176" s="3">
        <f t="shared" si="22"/>
        <v>265</v>
      </c>
      <c r="P176" s="3">
        <f t="shared" si="23"/>
        <v>4.416666666666667</v>
      </c>
      <c r="Q176" s="1">
        <v>1</v>
      </c>
      <c r="R176" s="1" t="s">
        <v>630</v>
      </c>
    </row>
    <row r="177" spans="1:18" ht="15" customHeight="1" x14ac:dyDescent="0.25">
      <c r="A177" s="3">
        <v>13028</v>
      </c>
      <c r="B177" s="3" t="s">
        <v>946</v>
      </c>
      <c r="C177" s="3" t="s">
        <v>608</v>
      </c>
      <c r="D177" s="3" t="s">
        <v>535</v>
      </c>
      <c r="E177" s="3">
        <v>2</v>
      </c>
      <c r="F177" s="3">
        <f>3*60+20</f>
        <v>200</v>
      </c>
      <c r="G177" s="3" t="s">
        <v>604</v>
      </c>
      <c r="H177" s="3" t="s">
        <v>630</v>
      </c>
      <c r="I177" s="3">
        <v>2</v>
      </c>
      <c r="J177" s="3" t="s">
        <v>655</v>
      </c>
      <c r="K177" s="3" t="s">
        <v>916</v>
      </c>
      <c r="L177" s="3"/>
      <c r="M177" s="3">
        <f t="shared" si="20"/>
        <v>198</v>
      </c>
      <c r="N177" s="3">
        <f t="shared" si="21"/>
        <v>1</v>
      </c>
      <c r="O177" s="3">
        <f t="shared" si="22"/>
        <v>198</v>
      </c>
      <c r="P177" s="3">
        <f t="shared" si="23"/>
        <v>3.3</v>
      </c>
      <c r="Q177" s="1">
        <v>1</v>
      </c>
      <c r="R177" s="1" t="s">
        <v>630</v>
      </c>
    </row>
    <row r="178" spans="1:18" ht="1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>
        <f>SUM(M2:M177)/3600</f>
        <v>16.616388888888888</v>
      </c>
      <c r="N178" s="3">
        <f>SUM(N2:N177)</f>
        <v>176</v>
      </c>
      <c r="O178" s="3">
        <f>SUM(O2:O177)/(60*60)</f>
        <v>16.616388888888888</v>
      </c>
      <c r="P178" s="3">
        <f>AVERAGE(P2:P177)</f>
        <v>5.6646780303030306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1"/>
  <sheetViews>
    <sheetView zoomScaleNormal="100" workbookViewId="0"/>
  </sheetViews>
  <sheetFormatPr defaultRowHeight="13.2" x14ac:dyDescent="0.25"/>
  <cols>
    <col min="1" max="1" width="10.109375" customWidth="1"/>
    <col min="2" max="2" width="70" customWidth="1"/>
    <col min="3" max="3" width="9.5546875" customWidth="1"/>
    <col min="4" max="4" width="10.6640625" customWidth="1"/>
    <col min="5" max="5" width="9.88671875" customWidth="1"/>
    <col min="6" max="6" width="10" customWidth="1"/>
    <col min="7" max="7" width="9.33203125" customWidth="1"/>
    <col min="8" max="8" width="14.109375" customWidth="1"/>
    <col min="9" max="9" width="8.6640625" customWidth="1"/>
    <col min="10" max="10" width="9" customWidth="1"/>
    <col min="11" max="11" width="5.33203125" customWidth="1"/>
    <col min="12" max="12" width="23.88671875" customWidth="1"/>
    <col min="13" max="13" width="12.44140625" customWidth="1"/>
    <col min="14" max="1025" width="14.44140625" customWidth="1"/>
  </cols>
  <sheetData>
    <row r="1" spans="1:13" ht="15" customHeight="1" x14ac:dyDescent="0.25">
      <c r="A1" s="3" t="s">
        <v>0</v>
      </c>
      <c r="B1" s="3" t="s">
        <v>610</v>
      </c>
      <c r="C1" s="3" t="s">
        <v>611</v>
      </c>
      <c r="D1" s="3" t="s">
        <v>2</v>
      </c>
      <c r="E1" s="3" t="s">
        <v>947</v>
      </c>
      <c r="F1" s="3" t="s">
        <v>948</v>
      </c>
      <c r="G1" s="3" t="s">
        <v>949</v>
      </c>
      <c r="H1" s="3" t="s">
        <v>950</v>
      </c>
      <c r="I1" s="3" t="s">
        <v>951</v>
      </c>
      <c r="J1" s="3" t="s">
        <v>952</v>
      </c>
      <c r="K1" s="3" t="s">
        <v>953</v>
      </c>
      <c r="L1" s="3" t="s">
        <v>954</v>
      </c>
      <c r="M1" s="3"/>
    </row>
    <row r="2" spans="1:13" ht="15" customHeight="1" x14ac:dyDescent="0.25">
      <c r="A2" s="3">
        <v>20001</v>
      </c>
      <c r="B2" s="3" t="s">
        <v>955</v>
      </c>
      <c r="C2" s="3" t="s">
        <v>956</v>
      </c>
      <c r="D2" s="3" t="s">
        <v>957</v>
      </c>
      <c r="E2" s="3" t="s">
        <v>958</v>
      </c>
      <c r="F2" s="3">
        <v>36</v>
      </c>
      <c r="G2" s="3">
        <f t="shared" ref="G2:G33" si="0">F2+120</f>
        <v>156</v>
      </c>
      <c r="H2" s="3" t="s">
        <v>959</v>
      </c>
      <c r="I2" s="3">
        <v>0</v>
      </c>
      <c r="J2" s="3" t="s">
        <v>960</v>
      </c>
      <c r="K2" s="3" t="s">
        <v>961</v>
      </c>
      <c r="L2" s="3" t="s">
        <v>962</v>
      </c>
      <c r="M2" s="3"/>
    </row>
    <row r="3" spans="1:13" ht="15" customHeight="1" x14ac:dyDescent="0.25">
      <c r="A3" s="3">
        <v>20002</v>
      </c>
      <c r="B3" s="3" t="s">
        <v>963</v>
      </c>
      <c r="C3" s="3" t="s">
        <v>964</v>
      </c>
      <c r="D3" s="3" t="s">
        <v>965</v>
      </c>
      <c r="E3" s="3" t="s">
        <v>958</v>
      </c>
      <c r="F3" s="3">
        <v>48</v>
      </c>
      <c r="G3" s="3">
        <f t="shared" si="0"/>
        <v>168</v>
      </c>
      <c r="H3" s="3" t="s">
        <v>966</v>
      </c>
      <c r="I3" s="3">
        <v>0</v>
      </c>
      <c r="J3" s="3" t="s">
        <v>960</v>
      </c>
      <c r="K3" s="3" t="s">
        <v>961</v>
      </c>
      <c r="L3" s="3" t="s">
        <v>962</v>
      </c>
      <c r="M3" s="3"/>
    </row>
    <row r="4" spans="1:13" ht="15" customHeight="1" x14ac:dyDescent="0.25">
      <c r="A4" s="3">
        <v>20003</v>
      </c>
      <c r="B4" s="3" t="s">
        <v>967</v>
      </c>
      <c r="C4" s="3" t="s">
        <v>968</v>
      </c>
      <c r="D4" s="3" t="s">
        <v>969</v>
      </c>
      <c r="E4" s="3" t="s">
        <v>958</v>
      </c>
      <c r="F4" s="3">
        <v>110</v>
      </c>
      <c r="G4" s="3">
        <f t="shared" si="0"/>
        <v>230</v>
      </c>
      <c r="H4" s="3" t="s">
        <v>970</v>
      </c>
      <c r="I4" s="3">
        <v>0</v>
      </c>
      <c r="J4" s="3" t="s">
        <v>960</v>
      </c>
      <c r="K4" s="3" t="s">
        <v>961</v>
      </c>
      <c r="L4" s="3" t="s">
        <v>962</v>
      </c>
      <c r="M4" s="3"/>
    </row>
    <row r="5" spans="1:13" ht="15" customHeight="1" x14ac:dyDescent="0.25">
      <c r="A5" s="3">
        <v>20004</v>
      </c>
      <c r="B5" s="3" t="s">
        <v>971</v>
      </c>
      <c r="C5" s="3" t="s">
        <v>972</v>
      </c>
      <c r="D5" s="3" t="s">
        <v>973</v>
      </c>
      <c r="E5" s="3" t="s">
        <v>958</v>
      </c>
      <c r="F5" s="3">
        <f>12*60+14</f>
        <v>734</v>
      </c>
      <c r="G5" s="3">
        <f t="shared" si="0"/>
        <v>854</v>
      </c>
      <c r="H5" s="3" t="s">
        <v>974</v>
      </c>
      <c r="I5" s="3">
        <v>0</v>
      </c>
      <c r="J5" s="3" t="s">
        <v>960</v>
      </c>
      <c r="K5" s="3" t="s">
        <v>961</v>
      </c>
      <c r="L5" s="3" t="s">
        <v>975</v>
      </c>
      <c r="M5" s="3"/>
    </row>
    <row r="6" spans="1:13" ht="15" customHeight="1" x14ac:dyDescent="0.25">
      <c r="A6" s="3">
        <v>20005</v>
      </c>
      <c r="B6" s="3" t="s">
        <v>976</v>
      </c>
      <c r="C6" s="3" t="s">
        <v>977</v>
      </c>
      <c r="D6" s="3" t="s">
        <v>978</v>
      </c>
      <c r="E6" s="3" t="s">
        <v>958</v>
      </c>
      <c r="F6" s="3">
        <f>8*60+40</f>
        <v>520</v>
      </c>
      <c r="G6" s="3">
        <f t="shared" si="0"/>
        <v>640</v>
      </c>
      <c r="H6" s="3" t="s">
        <v>979</v>
      </c>
      <c r="I6" s="3">
        <v>0</v>
      </c>
      <c r="J6" s="3" t="s">
        <v>960</v>
      </c>
      <c r="K6" s="3" t="s">
        <v>18</v>
      </c>
      <c r="L6" s="3"/>
      <c r="M6" s="3"/>
    </row>
    <row r="7" spans="1:13" ht="15" customHeight="1" x14ac:dyDescent="0.25">
      <c r="A7" s="3">
        <v>20006</v>
      </c>
      <c r="B7" s="3" t="s">
        <v>980</v>
      </c>
      <c r="C7" s="3" t="s">
        <v>981</v>
      </c>
      <c r="D7" s="3" t="s">
        <v>982</v>
      </c>
      <c r="E7" s="3" t="s">
        <v>958</v>
      </c>
      <c r="F7" s="3">
        <f>23*60+25</f>
        <v>1405</v>
      </c>
      <c r="G7" s="3">
        <f t="shared" si="0"/>
        <v>1525</v>
      </c>
      <c r="H7" s="3" t="s">
        <v>983</v>
      </c>
      <c r="I7" s="3">
        <v>0</v>
      </c>
      <c r="J7" s="3" t="s">
        <v>960</v>
      </c>
      <c r="K7" s="3" t="s">
        <v>18</v>
      </c>
      <c r="L7" s="3"/>
      <c r="M7" s="3"/>
    </row>
    <row r="8" spans="1:13" ht="15" customHeight="1" x14ac:dyDescent="0.25">
      <c r="A8" s="3">
        <v>20007</v>
      </c>
      <c r="B8" s="3" t="s">
        <v>984</v>
      </c>
      <c r="C8" s="3" t="s">
        <v>985</v>
      </c>
      <c r="D8" s="3"/>
      <c r="E8" s="3" t="s">
        <v>958</v>
      </c>
      <c r="F8" s="3">
        <v>26</v>
      </c>
      <c r="G8" s="3">
        <f t="shared" si="0"/>
        <v>146</v>
      </c>
      <c r="H8" s="3" t="s">
        <v>986</v>
      </c>
      <c r="I8" s="3"/>
      <c r="J8" s="3" t="s">
        <v>960</v>
      </c>
      <c r="K8" s="3" t="s">
        <v>18</v>
      </c>
      <c r="L8" s="3"/>
      <c r="M8" s="3"/>
    </row>
    <row r="9" spans="1:13" ht="15" customHeight="1" x14ac:dyDescent="0.25">
      <c r="A9" s="3">
        <v>20008</v>
      </c>
      <c r="B9" s="3" t="s">
        <v>987</v>
      </c>
      <c r="C9" s="3" t="s">
        <v>988</v>
      </c>
      <c r="D9" s="3"/>
      <c r="E9" s="3" t="s">
        <v>958</v>
      </c>
      <c r="F9" s="3">
        <v>78</v>
      </c>
      <c r="G9" s="3">
        <f t="shared" si="0"/>
        <v>198</v>
      </c>
      <c r="H9" s="3" t="s">
        <v>989</v>
      </c>
      <c r="I9" s="3"/>
      <c r="J9" s="3" t="s">
        <v>960</v>
      </c>
      <c r="K9" s="3" t="s">
        <v>18</v>
      </c>
      <c r="L9" s="3"/>
      <c r="M9" s="3"/>
    </row>
    <row r="10" spans="1:13" ht="15" customHeight="1" x14ac:dyDescent="0.25">
      <c r="A10" s="3">
        <v>20009</v>
      </c>
      <c r="B10" s="3" t="s">
        <v>990</v>
      </c>
      <c r="C10" s="3" t="s">
        <v>991</v>
      </c>
      <c r="D10" s="3"/>
      <c r="E10" s="3" t="s">
        <v>958</v>
      </c>
      <c r="F10" s="3">
        <f>14*60</f>
        <v>840</v>
      </c>
      <c r="G10" s="3">
        <f t="shared" si="0"/>
        <v>960</v>
      </c>
      <c r="H10" s="3" t="s">
        <v>989</v>
      </c>
      <c r="I10" s="3"/>
      <c r="J10" s="3" t="s">
        <v>960</v>
      </c>
      <c r="K10" s="3" t="s">
        <v>18</v>
      </c>
      <c r="L10" s="3"/>
      <c r="M10" s="3"/>
    </row>
    <row r="11" spans="1:13" ht="15" customHeight="1" x14ac:dyDescent="0.25">
      <c r="A11" s="3">
        <v>20010</v>
      </c>
      <c r="B11" s="3" t="s">
        <v>992</v>
      </c>
      <c r="C11" s="3" t="s">
        <v>993</v>
      </c>
      <c r="D11" s="3"/>
      <c r="E11" s="3" t="s">
        <v>958</v>
      </c>
      <c r="F11" s="3">
        <f>16*60+20</f>
        <v>980</v>
      </c>
      <c r="G11" s="3">
        <f t="shared" si="0"/>
        <v>1100</v>
      </c>
      <c r="H11" s="3" t="s">
        <v>994</v>
      </c>
      <c r="I11" s="3"/>
      <c r="J11" s="3" t="s">
        <v>960</v>
      </c>
      <c r="K11" s="3" t="s">
        <v>18</v>
      </c>
      <c r="L11" s="3"/>
      <c r="M11" s="3"/>
    </row>
    <row r="12" spans="1:13" ht="15" customHeight="1" x14ac:dyDescent="0.25">
      <c r="A12" s="3">
        <v>20011</v>
      </c>
      <c r="B12" s="3" t="s">
        <v>995</v>
      </c>
      <c r="C12" s="3" t="s">
        <v>996</v>
      </c>
      <c r="D12" s="3"/>
      <c r="E12" s="3" t="s">
        <v>958</v>
      </c>
      <c r="F12" s="3">
        <f>15*60+45</f>
        <v>945</v>
      </c>
      <c r="G12" s="3">
        <f t="shared" si="0"/>
        <v>1065</v>
      </c>
      <c r="H12" s="3" t="s">
        <v>997</v>
      </c>
      <c r="I12" s="3"/>
      <c r="J12" s="3" t="s">
        <v>960</v>
      </c>
      <c r="K12" s="3" t="s">
        <v>18</v>
      </c>
      <c r="L12" s="3"/>
      <c r="M12" s="3"/>
    </row>
    <row r="13" spans="1:13" ht="15" customHeight="1" x14ac:dyDescent="0.25">
      <c r="A13" s="3">
        <v>20012</v>
      </c>
      <c r="B13" s="3" t="s">
        <v>998</v>
      </c>
      <c r="C13" s="3" t="s">
        <v>999</v>
      </c>
      <c r="D13" s="3"/>
      <c r="E13" s="3" t="s">
        <v>958</v>
      </c>
      <c r="F13" s="3">
        <v>165</v>
      </c>
      <c r="G13" s="3">
        <f t="shared" si="0"/>
        <v>285</v>
      </c>
      <c r="H13" s="3" t="s">
        <v>1000</v>
      </c>
      <c r="I13" s="3"/>
      <c r="J13" s="3" t="s">
        <v>960</v>
      </c>
      <c r="K13" s="3" t="s">
        <v>18</v>
      </c>
      <c r="L13" s="3"/>
      <c r="M13" s="3"/>
    </row>
    <row r="14" spans="1:13" ht="15" customHeight="1" x14ac:dyDescent="0.25">
      <c r="A14" s="3">
        <v>20013</v>
      </c>
      <c r="B14" s="3" t="s">
        <v>1001</v>
      </c>
      <c r="C14" s="3" t="s">
        <v>1002</v>
      </c>
      <c r="D14" s="3"/>
      <c r="E14" s="3" t="s">
        <v>958</v>
      </c>
      <c r="F14" s="3">
        <f>20*60+10</f>
        <v>1210</v>
      </c>
      <c r="G14" s="3">
        <f t="shared" si="0"/>
        <v>1330</v>
      </c>
      <c r="H14" s="3" t="s">
        <v>1003</v>
      </c>
      <c r="I14" s="3"/>
      <c r="J14" s="3" t="s">
        <v>960</v>
      </c>
      <c r="K14" s="3" t="s">
        <v>18</v>
      </c>
      <c r="L14" s="3"/>
      <c r="M14" s="3"/>
    </row>
    <row r="15" spans="1:13" ht="15" customHeight="1" x14ac:dyDescent="0.25">
      <c r="A15" s="3">
        <v>20014</v>
      </c>
      <c r="B15" s="3" t="s">
        <v>1004</v>
      </c>
      <c r="C15" s="3" t="s">
        <v>1005</v>
      </c>
      <c r="D15" s="3"/>
      <c r="E15" s="3" t="s">
        <v>958</v>
      </c>
      <c r="F15" s="3">
        <f>16*60+16</f>
        <v>976</v>
      </c>
      <c r="G15" s="3">
        <f t="shared" si="0"/>
        <v>1096</v>
      </c>
      <c r="H15" s="3" t="s">
        <v>1006</v>
      </c>
      <c r="I15" s="3"/>
      <c r="J15" s="3" t="s">
        <v>960</v>
      </c>
      <c r="K15" s="3" t="s">
        <v>18</v>
      </c>
      <c r="L15" s="3" t="s">
        <v>1007</v>
      </c>
      <c r="M15" s="3"/>
    </row>
    <row r="16" spans="1:13" ht="15" customHeight="1" x14ac:dyDescent="0.25">
      <c r="A16" s="3">
        <v>20015</v>
      </c>
      <c r="B16" s="3" t="s">
        <v>1008</v>
      </c>
      <c r="C16" s="3" t="s">
        <v>1009</v>
      </c>
      <c r="D16" s="3"/>
      <c r="E16" s="3" t="s">
        <v>958</v>
      </c>
      <c r="F16" s="3">
        <f>15*60+20</f>
        <v>920</v>
      </c>
      <c r="G16" s="3">
        <f t="shared" si="0"/>
        <v>1040</v>
      </c>
      <c r="H16" s="3" t="s">
        <v>1010</v>
      </c>
      <c r="I16" s="3"/>
      <c r="J16" s="3" t="s">
        <v>960</v>
      </c>
      <c r="K16" s="3" t="s">
        <v>18</v>
      </c>
      <c r="L16" s="3"/>
      <c r="M16" s="3"/>
    </row>
    <row r="17" spans="1:13" ht="15" customHeight="1" x14ac:dyDescent="0.25">
      <c r="A17" s="3">
        <v>20016</v>
      </c>
      <c r="B17" s="3" t="s">
        <v>1011</v>
      </c>
      <c r="C17" s="3" t="s">
        <v>1012</v>
      </c>
      <c r="D17" s="3"/>
      <c r="E17" s="3" t="s">
        <v>958</v>
      </c>
      <c r="F17" s="3">
        <v>84</v>
      </c>
      <c r="G17" s="3">
        <f t="shared" si="0"/>
        <v>204</v>
      </c>
      <c r="H17" s="3" t="s">
        <v>1013</v>
      </c>
      <c r="I17" s="3"/>
      <c r="J17" s="3" t="s">
        <v>960</v>
      </c>
      <c r="K17" s="3" t="s">
        <v>18</v>
      </c>
      <c r="L17" s="3" t="s">
        <v>1014</v>
      </c>
      <c r="M17" s="3"/>
    </row>
    <row r="18" spans="1:13" ht="15" customHeight="1" x14ac:dyDescent="0.25">
      <c r="A18" s="3">
        <v>20017</v>
      </c>
      <c r="B18" s="3" t="s">
        <v>1015</v>
      </c>
      <c r="C18" s="3" t="s">
        <v>1016</v>
      </c>
      <c r="D18" s="3"/>
      <c r="E18" s="3" t="s">
        <v>958</v>
      </c>
      <c r="F18" s="3">
        <f>21*60+45</f>
        <v>1305</v>
      </c>
      <c r="G18" s="3">
        <f t="shared" si="0"/>
        <v>1425</v>
      </c>
      <c r="H18" s="3" t="s">
        <v>1017</v>
      </c>
      <c r="I18" s="3"/>
      <c r="J18" s="3" t="s">
        <v>960</v>
      </c>
      <c r="K18" s="3" t="s">
        <v>961</v>
      </c>
      <c r="L18" s="3" t="s">
        <v>1018</v>
      </c>
      <c r="M18" s="3"/>
    </row>
    <row r="19" spans="1:13" ht="15" customHeight="1" x14ac:dyDescent="0.25">
      <c r="A19" s="3">
        <v>20018</v>
      </c>
      <c r="B19" s="3" t="s">
        <v>1019</v>
      </c>
      <c r="C19" s="3" t="s">
        <v>1020</v>
      </c>
      <c r="D19" s="3"/>
      <c r="E19" s="3" t="s">
        <v>958</v>
      </c>
      <c r="F19" s="3">
        <f>19*60+10</f>
        <v>1150</v>
      </c>
      <c r="G19" s="3">
        <f t="shared" si="0"/>
        <v>1270</v>
      </c>
      <c r="H19" s="3" t="s">
        <v>1021</v>
      </c>
      <c r="I19" s="3"/>
      <c r="J19" s="3" t="s">
        <v>960</v>
      </c>
      <c r="K19" s="3" t="s">
        <v>961</v>
      </c>
      <c r="L19" s="3" t="s">
        <v>975</v>
      </c>
      <c r="M19" s="3"/>
    </row>
    <row r="20" spans="1:13" ht="15" customHeight="1" x14ac:dyDescent="0.25">
      <c r="A20" s="3">
        <v>20019</v>
      </c>
      <c r="B20" s="3" t="s">
        <v>1022</v>
      </c>
      <c r="C20" s="3" t="s">
        <v>1023</v>
      </c>
      <c r="D20" s="3"/>
      <c r="E20" s="3" t="s">
        <v>958</v>
      </c>
      <c r="F20" s="3">
        <f>39*60+34</f>
        <v>2374</v>
      </c>
      <c r="G20" s="3">
        <f t="shared" si="0"/>
        <v>2494</v>
      </c>
      <c r="H20" s="3" t="s">
        <v>1024</v>
      </c>
      <c r="I20" s="3"/>
      <c r="J20" s="3" t="s">
        <v>960</v>
      </c>
      <c r="K20" s="3" t="s">
        <v>18</v>
      </c>
      <c r="L20" s="3"/>
      <c r="M20" s="3"/>
    </row>
    <row r="21" spans="1:13" ht="15" customHeight="1" x14ac:dyDescent="0.25">
      <c r="A21" s="3">
        <v>20020</v>
      </c>
      <c r="B21" s="3" t="s">
        <v>1025</v>
      </c>
      <c r="C21" s="3" t="s">
        <v>1026</v>
      </c>
      <c r="D21" s="3"/>
      <c r="E21" s="3" t="s">
        <v>958</v>
      </c>
      <c r="F21" s="3">
        <f>12*60+5</f>
        <v>725</v>
      </c>
      <c r="G21" s="3">
        <f t="shared" si="0"/>
        <v>845</v>
      </c>
      <c r="H21" s="3" t="s">
        <v>1027</v>
      </c>
      <c r="I21" s="3"/>
      <c r="J21" s="3" t="s">
        <v>960</v>
      </c>
      <c r="K21" s="3" t="s">
        <v>18</v>
      </c>
      <c r="L21" s="3"/>
      <c r="M21" s="3"/>
    </row>
    <row r="22" spans="1:13" ht="15" customHeight="1" x14ac:dyDescent="0.25">
      <c r="A22" s="3">
        <v>20021</v>
      </c>
      <c r="B22" s="3" t="s">
        <v>1028</v>
      </c>
      <c r="C22" s="3" t="s">
        <v>1029</v>
      </c>
      <c r="D22" s="3"/>
      <c r="E22" s="3" t="s">
        <v>958</v>
      </c>
      <c r="F22" s="3">
        <f>19*60+50</f>
        <v>1190</v>
      </c>
      <c r="G22" s="3">
        <f t="shared" si="0"/>
        <v>1310</v>
      </c>
      <c r="H22" s="3" t="s">
        <v>1030</v>
      </c>
      <c r="I22" s="3"/>
      <c r="J22" s="3" t="s">
        <v>960</v>
      </c>
      <c r="K22" s="3" t="s">
        <v>18</v>
      </c>
      <c r="L22" s="3" t="s">
        <v>1031</v>
      </c>
      <c r="M22" s="3"/>
    </row>
    <row r="23" spans="1:13" ht="15" customHeight="1" x14ac:dyDescent="0.25">
      <c r="A23" s="3">
        <v>20022</v>
      </c>
      <c r="B23" s="3" t="s">
        <v>1032</v>
      </c>
      <c r="C23" s="3" t="s">
        <v>1033</v>
      </c>
      <c r="D23" s="3"/>
      <c r="E23" s="3" t="s">
        <v>958</v>
      </c>
      <c r="F23" s="3">
        <f>16*60+25</f>
        <v>985</v>
      </c>
      <c r="G23" s="3">
        <f t="shared" si="0"/>
        <v>1105</v>
      </c>
      <c r="H23" s="3" t="s">
        <v>1034</v>
      </c>
      <c r="I23" s="3"/>
      <c r="J23" s="3" t="s">
        <v>960</v>
      </c>
      <c r="K23" s="3" t="s">
        <v>18</v>
      </c>
      <c r="L23" s="3"/>
      <c r="M23" s="3"/>
    </row>
    <row r="24" spans="1:13" ht="15" customHeight="1" x14ac:dyDescent="0.25">
      <c r="A24" s="3">
        <v>20023</v>
      </c>
      <c r="B24" s="3" t="s">
        <v>1035</v>
      </c>
      <c r="C24" s="3" t="s">
        <v>1036</v>
      </c>
      <c r="D24" s="3"/>
      <c r="E24" s="3" t="s">
        <v>958</v>
      </c>
      <c r="F24" s="3">
        <f>25*60+18</f>
        <v>1518</v>
      </c>
      <c r="G24" s="3">
        <f t="shared" si="0"/>
        <v>1638</v>
      </c>
      <c r="H24" s="3" t="s">
        <v>1037</v>
      </c>
      <c r="I24" s="3"/>
      <c r="J24" s="3" t="s">
        <v>960</v>
      </c>
      <c r="K24" s="3" t="s">
        <v>18</v>
      </c>
      <c r="L24" s="3" t="s">
        <v>1031</v>
      </c>
      <c r="M24" s="3"/>
    </row>
    <row r="25" spans="1:13" ht="15" customHeight="1" x14ac:dyDescent="0.25">
      <c r="A25" s="3">
        <v>20024</v>
      </c>
      <c r="B25" s="3" t="s">
        <v>1038</v>
      </c>
      <c r="C25" s="3" t="s">
        <v>1039</v>
      </c>
      <c r="D25" s="3"/>
      <c r="E25" s="3" t="s">
        <v>958</v>
      </c>
      <c r="F25" s="3">
        <v>215</v>
      </c>
      <c r="G25" s="3">
        <f t="shared" si="0"/>
        <v>335</v>
      </c>
      <c r="H25" s="3" t="s">
        <v>1040</v>
      </c>
      <c r="I25" s="3"/>
      <c r="J25" s="3" t="s">
        <v>960</v>
      </c>
      <c r="K25" s="3" t="s">
        <v>18</v>
      </c>
      <c r="L25" s="3" t="s">
        <v>1041</v>
      </c>
      <c r="M25" s="3"/>
    </row>
    <row r="26" spans="1:13" ht="15" customHeight="1" x14ac:dyDescent="0.25">
      <c r="A26" s="3">
        <v>20025</v>
      </c>
      <c r="B26" s="3" t="s">
        <v>1042</v>
      </c>
      <c r="C26" s="3" t="s">
        <v>1043</v>
      </c>
      <c r="D26" s="3"/>
      <c r="E26" s="3" t="s">
        <v>958</v>
      </c>
      <c r="F26" s="3">
        <v>30</v>
      </c>
      <c r="G26" s="3">
        <f t="shared" si="0"/>
        <v>150</v>
      </c>
      <c r="H26" s="3" t="s">
        <v>1044</v>
      </c>
      <c r="I26" s="3"/>
      <c r="J26" s="3" t="s">
        <v>960</v>
      </c>
      <c r="K26" s="3" t="s">
        <v>18</v>
      </c>
      <c r="L26" s="3"/>
      <c r="M26" s="3"/>
    </row>
    <row r="27" spans="1:13" ht="15" customHeight="1" x14ac:dyDescent="0.25">
      <c r="A27" s="3">
        <v>20026</v>
      </c>
      <c r="B27" s="3" t="s">
        <v>1045</v>
      </c>
      <c r="C27" s="3" t="s">
        <v>1046</v>
      </c>
      <c r="D27" s="3"/>
      <c r="E27" s="3" t="s">
        <v>958</v>
      </c>
      <c r="F27" s="3">
        <v>45</v>
      </c>
      <c r="G27" s="3">
        <f t="shared" si="0"/>
        <v>165</v>
      </c>
      <c r="H27" s="3" t="s">
        <v>1047</v>
      </c>
      <c r="I27" s="3"/>
      <c r="J27" s="3" t="s">
        <v>960</v>
      </c>
      <c r="K27" s="3" t="s">
        <v>18</v>
      </c>
      <c r="L27" s="3" t="s">
        <v>1048</v>
      </c>
      <c r="M27" s="3"/>
    </row>
    <row r="28" spans="1:13" ht="15" customHeight="1" x14ac:dyDescent="0.25">
      <c r="A28" s="3">
        <v>20027</v>
      </c>
      <c r="B28" s="3" t="s">
        <v>1049</v>
      </c>
      <c r="C28" s="3" t="s">
        <v>1050</v>
      </c>
      <c r="D28" s="3"/>
      <c r="E28" s="3" t="s">
        <v>958</v>
      </c>
      <c r="F28" s="3">
        <v>313</v>
      </c>
      <c r="G28" s="3">
        <f t="shared" si="0"/>
        <v>433</v>
      </c>
      <c r="H28" s="3" t="s">
        <v>1051</v>
      </c>
      <c r="I28" s="3"/>
      <c r="J28" s="3" t="s">
        <v>960</v>
      </c>
      <c r="K28" s="3" t="s">
        <v>18</v>
      </c>
      <c r="L28" s="3" t="s">
        <v>1052</v>
      </c>
      <c r="M28" s="3"/>
    </row>
    <row r="29" spans="1:13" ht="15" customHeight="1" x14ac:dyDescent="0.25">
      <c r="A29" s="3">
        <v>20028</v>
      </c>
      <c r="B29" s="3" t="s">
        <v>1053</v>
      </c>
      <c r="C29" s="3" t="s">
        <v>1054</v>
      </c>
      <c r="D29" s="3"/>
      <c r="E29" s="3" t="s">
        <v>958</v>
      </c>
      <c r="F29" s="3">
        <v>362</v>
      </c>
      <c r="G29" s="3">
        <f t="shared" si="0"/>
        <v>482</v>
      </c>
      <c r="H29" s="3" t="s">
        <v>1055</v>
      </c>
      <c r="I29" s="3"/>
      <c r="J29" s="3" t="s">
        <v>960</v>
      </c>
      <c r="K29" s="3" t="s">
        <v>18</v>
      </c>
      <c r="L29" s="3"/>
      <c r="M29" s="3"/>
    </row>
    <row r="30" spans="1:13" ht="15" customHeight="1" x14ac:dyDescent="0.25">
      <c r="A30" s="3">
        <v>20029</v>
      </c>
      <c r="B30" s="3" t="s">
        <v>1056</v>
      </c>
      <c r="C30" s="3" t="s">
        <v>1057</v>
      </c>
      <c r="D30" s="3"/>
      <c r="E30" s="3" t="s">
        <v>958</v>
      </c>
      <c r="F30" s="3">
        <f>23*60+51</f>
        <v>1431</v>
      </c>
      <c r="G30" s="3">
        <f t="shared" si="0"/>
        <v>1551</v>
      </c>
      <c r="H30" s="3" t="s">
        <v>1058</v>
      </c>
      <c r="I30" s="3"/>
      <c r="J30" s="3" t="s">
        <v>960</v>
      </c>
      <c r="K30" s="3" t="s">
        <v>961</v>
      </c>
      <c r="L30" s="3" t="s">
        <v>975</v>
      </c>
      <c r="M30" s="3"/>
    </row>
    <row r="31" spans="1:13" ht="15" customHeight="1" x14ac:dyDescent="0.25">
      <c r="A31" s="3">
        <v>20030</v>
      </c>
      <c r="B31" s="3" t="s">
        <v>1059</v>
      </c>
      <c r="C31" s="3" t="s">
        <v>1060</v>
      </c>
      <c r="D31" s="3"/>
      <c r="E31" s="3" t="s">
        <v>958</v>
      </c>
      <c r="F31" s="3">
        <f>25*60+38</f>
        <v>1538</v>
      </c>
      <c r="G31" s="3">
        <f t="shared" si="0"/>
        <v>1658</v>
      </c>
      <c r="H31" s="3" t="s">
        <v>1061</v>
      </c>
      <c r="I31" s="3"/>
      <c r="J31" s="3" t="s">
        <v>960</v>
      </c>
      <c r="K31" s="3" t="s">
        <v>961</v>
      </c>
      <c r="L31" s="3" t="s">
        <v>975</v>
      </c>
      <c r="M31" s="3"/>
    </row>
    <row r="32" spans="1:13" ht="15" customHeight="1" x14ac:dyDescent="0.25">
      <c r="A32" s="3">
        <v>20031</v>
      </c>
      <c r="B32" s="3" t="s">
        <v>1062</v>
      </c>
      <c r="C32" s="3" t="s">
        <v>1063</v>
      </c>
      <c r="D32" s="3" t="s">
        <v>1064</v>
      </c>
      <c r="E32" s="3" t="s">
        <v>958</v>
      </c>
      <c r="F32" s="3">
        <v>102</v>
      </c>
      <c r="G32" s="3">
        <f t="shared" si="0"/>
        <v>222</v>
      </c>
      <c r="H32" s="3" t="s">
        <v>1065</v>
      </c>
      <c r="I32" s="3">
        <v>0</v>
      </c>
      <c r="J32" s="3" t="s">
        <v>1066</v>
      </c>
      <c r="K32" s="3" t="s">
        <v>961</v>
      </c>
      <c r="L32" s="3" t="s">
        <v>155</v>
      </c>
      <c r="M32" s="3"/>
    </row>
    <row r="33" spans="1:13" ht="15" customHeight="1" x14ac:dyDescent="0.25">
      <c r="A33" s="3">
        <v>20032</v>
      </c>
      <c r="B33" s="3" t="s">
        <v>1067</v>
      </c>
      <c r="C33" s="3" t="s">
        <v>1068</v>
      </c>
      <c r="D33" s="3" t="s">
        <v>1069</v>
      </c>
      <c r="E33" s="3" t="s">
        <v>958</v>
      </c>
      <c r="F33" s="3">
        <v>110</v>
      </c>
      <c r="G33" s="3">
        <f t="shared" si="0"/>
        <v>230</v>
      </c>
      <c r="H33" s="3" t="s">
        <v>1070</v>
      </c>
      <c r="I33" s="3">
        <v>0</v>
      </c>
      <c r="J33" s="3" t="s">
        <v>1066</v>
      </c>
      <c r="K33" s="3" t="s">
        <v>961</v>
      </c>
      <c r="L33" s="3" t="s">
        <v>1071</v>
      </c>
      <c r="M33" s="3"/>
    </row>
    <row r="34" spans="1:13" ht="15" customHeight="1" x14ac:dyDescent="0.25">
      <c r="A34" s="3">
        <v>20033</v>
      </c>
      <c r="B34" s="3" t="s">
        <v>1072</v>
      </c>
      <c r="C34" s="3" t="s">
        <v>1073</v>
      </c>
      <c r="D34" s="3" t="s">
        <v>1074</v>
      </c>
      <c r="E34" s="3" t="s">
        <v>958</v>
      </c>
      <c r="F34" s="3">
        <v>128</v>
      </c>
      <c r="G34" s="3">
        <f t="shared" ref="G34:G65" si="1">F34+120</f>
        <v>248</v>
      </c>
      <c r="H34" s="3" t="s">
        <v>1075</v>
      </c>
      <c r="I34" s="3">
        <v>0</v>
      </c>
      <c r="J34" s="3" t="s">
        <v>1066</v>
      </c>
      <c r="K34" s="3" t="s">
        <v>961</v>
      </c>
      <c r="L34" s="3" t="s">
        <v>975</v>
      </c>
      <c r="M34" s="3"/>
    </row>
    <row r="35" spans="1:13" ht="15" customHeight="1" x14ac:dyDescent="0.25">
      <c r="A35" s="3">
        <v>20034</v>
      </c>
      <c r="B35" s="3" t="s">
        <v>1076</v>
      </c>
      <c r="C35" s="3" t="s">
        <v>1077</v>
      </c>
      <c r="D35" s="3"/>
      <c r="E35" s="3" t="s">
        <v>958</v>
      </c>
      <c r="F35" s="3">
        <f>14*60+13</f>
        <v>853</v>
      </c>
      <c r="G35" s="3">
        <f t="shared" si="1"/>
        <v>973</v>
      </c>
      <c r="H35" s="3" t="s">
        <v>1078</v>
      </c>
      <c r="I35" s="3">
        <v>0</v>
      </c>
      <c r="J35" s="3" t="s">
        <v>1066</v>
      </c>
      <c r="K35" s="3" t="s">
        <v>961</v>
      </c>
      <c r="L35" s="3" t="s">
        <v>1018</v>
      </c>
      <c r="M35" s="3"/>
    </row>
    <row r="36" spans="1:13" ht="15" customHeight="1" x14ac:dyDescent="0.25">
      <c r="A36" s="3">
        <v>20035</v>
      </c>
      <c r="B36" s="3" t="s">
        <v>1079</v>
      </c>
      <c r="C36" s="3" t="s">
        <v>1080</v>
      </c>
      <c r="D36" s="3"/>
      <c r="E36" s="3" t="s">
        <v>958</v>
      </c>
      <c r="F36" s="3">
        <f>12*60</f>
        <v>720</v>
      </c>
      <c r="G36" s="3">
        <f t="shared" si="1"/>
        <v>840</v>
      </c>
      <c r="H36" s="3" t="s">
        <v>986</v>
      </c>
      <c r="I36" s="3"/>
      <c r="J36" s="3" t="s">
        <v>1066</v>
      </c>
      <c r="K36" s="3" t="s">
        <v>18</v>
      </c>
      <c r="L36" s="3"/>
      <c r="M36" s="3"/>
    </row>
    <row r="37" spans="1:13" ht="15" customHeight="1" x14ac:dyDescent="0.25">
      <c r="A37" s="3">
        <v>20036</v>
      </c>
      <c r="B37" s="3" t="s">
        <v>1081</v>
      </c>
      <c r="C37" s="3" t="s">
        <v>1082</v>
      </c>
      <c r="D37" s="3"/>
      <c r="E37" s="3" t="s">
        <v>958</v>
      </c>
      <c r="F37" s="3">
        <v>307</v>
      </c>
      <c r="G37" s="3">
        <f t="shared" si="1"/>
        <v>427</v>
      </c>
      <c r="H37" s="3" t="s">
        <v>1083</v>
      </c>
      <c r="I37" s="3"/>
      <c r="J37" s="3" t="s">
        <v>1066</v>
      </c>
      <c r="K37" s="3" t="s">
        <v>18</v>
      </c>
      <c r="L37" s="3"/>
      <c r="M37" s="3"/>
    </row>
    <row r="38" spans="1:13" ht="15" customHeight="1" x14ac:dyDescent="0.25">
      <c r="A38" s="3">
        <v>20037</v>
      </c>
      <c r="B38" s="3" t="s">
        <v>1084</v>
      </c>
      <c r="C38" s="3" t="s">
        <v>1085</v>
      </c>
      <c r="D38" s="3"/>
      <c r="E38" s="3" t="s">
        <v>958</v>
      </c>
      <c r="F38" s="3">
        <v>34</v>
      </c>
      <c r="G38" s="3">
        <f t="shared" si="1"/>
        <v>154</v>
      </c>
      <c r="H38" s="3" t="s">
        <v>1078</v>
      </c>
      <c r="I38" s="3"/>
      <c r="J38" s="3" t="s">
        <v>1066</v>
      </c>
      <c r="K38" s="3" t="s">
        <v>18</v>
      </c>
      <c r="L38" s="3"/>
      <c r="M38" s="3"/>
    </row>
    <row r="39" spans="1:13" ht="15" customHeight="1" x14ac:dyDescent="0.25">
      <c r="A39" s="3">
        <v>20038</v>
      </c>
      <c r="B39" s="3" t="s">
        <v>1086</v>
      </c>
      <c r="C39" s="3" t="s">
        <v>1087</v>
      </c>
      <c r="D39" s="3"/>
      <c r="E39" s="3" t="s">
        <v>958</v>
      </c>
      <c r="F39" s="3">
        <f>15*60+20</f>
        <v>920</v>
      </c>
      <c r="G39" s="3">
        <f t="shared" si="1"/>
        <v>1040</v>
      </c>
      <c r="H39" s="3" t="s">
        <v>1088</v>
      </c>
      <c r="I39" s="3"/>
      <c r="J39" s="3" t="s">
        <v>1066</v>
      </c>
      <c r="K39" s="3" t="s">
        <v>18</v>
      </c>
      <c r="L39" s="3"/>
      <c r="M39" s="3"/>
    </row>
    <row r="40" spans="1:13" ht="15" customHeight="1" x14ac:dyDescent="0.25">
      <c r="A40" s="3">
        <v>20039</v>
      </c>
      <c r="B40" s="3" t="s">
        <v>1089</v>
      </c>
      <c r="C40" s="3" t="s">
        <v>1090</v>
      </c>
      <c r="D40" s="3"/>
      <c r="E40" s="3" t="s">
        <v>958</v>
      </c>
      <c r="F40" s="3">
        <f>6*60+50</f>
        <v>410</v>
      </c>
      <c r="G40" s="3">
        <f t="shared" si="1"/>
        <v>530</v>
      </c>
      <c r="H40" s="3" t="s">
        <v>1091</v>
      </c>
      <c r="I40" s="3"/>
      <c r="J40" s="3" t="s">
        <v>1066</v>
      </c>
      <c r="K40" s="3" t="s">
        <v>18</v>
      </c>
      <c r="L40" s="3"/>
      <c r="M40" s="3"/>
    </row>
    <row r="41" spans="1:13" ht="15" customHeight="1" x14ac:dyDescent="0.25">
      <c r="A41" s="3">
        <v>20040</v>
      </c>
      <c r="B41" s="3" t="s">
        <v>1092</v>
      </c>
      <c r="C41" s="3" t="s">
        <v>1093</v>
      </c>
      <c r="D41" s="3"/>
      <c r="E41" s="3" t="s">
        <v>958</v>
      </c>
      <c r="F41" s="3">
        <v>84</v>
      </c>
      <c r="G41" s="3">
        <f t="shared" si="1"/>
        <v>204</v>
      </c>
      <c r="H41" s="3" t="s">
        <v>1094</v>
      </c>
      <c r="I41" s="3"/>
      <c r="J41" s="3" t="s">
        <v>1066</v>
      </c>
      <c r="K41" s="3" t="s">
        <v>18</v>
      </c>
      <c r="L41" s="3"/>
      <c r="M41" s="3"/>
    </row>
    <row r="42" spans="1:13" ht="15" customHeight="1" x14ac:dyDescent="0.25">
      <c r="A42" s="3">
        <v>20041</v>
      </c>
      <c r="B42" s="3" t="s">
        <v>1095</v>
      </c>
      <c r="C42" s="3" t="s">
        <v>1096</v>
      </c>
      <c r="D42" s="3"/>
      <c r="E42" s="3" t="s">
        <v>958</v>
      </c>
      <c r="F42" s="3">
        <f>25*60+31</f>
        <v>1531</v>
      </c>
      <c r="G42" s="3">
        <f t="shared" si="1"/>
        <v>1651</v>
      </c>
      <c r="H42" s="3" t="s">
        <v>1097</v>
      </c>
      <c r="I42" s="3"/>
      <c r="J42" s="3" t="s">
        <v>1066</v>
      </c>
      <c r="K42" s="3" t="s">
        <v>18</v>
      </c>
      <c r="L42" s="3"/>
      <c r="M42" s="3"/>
    </row>
    <row r="43" spans="1:13" ht="15" customHeight="1" x14ac:dyDescent="0.25">
      <c r="A43" s="3">
        <v>20042</v>
      </c>
      <c r="B43" s="3" t="s">
        <v>1098</v>
      </c>
      <c r="C43" s="3" t="s">
        <v>1099</v>
      </c>
      <c r="D43" s="3"/>
      <c r="E43" s="3" t="s">
        <v>958</v>
      </c>
      <c r="F43" s="3">
        <v>1200</v>
      </c>
      <c r="G43" s="3">
        <f t="shared" si="1"/>
        <v>1320</v>
      </c>
      <c r="H43" s="3" t="s">
        <v>1100</v>
      </c>
      <c r="I43" s="3">
        <v>0</v>
      </c>
      <c r="J43" s="3" t="s">
        <v>1066</v>
      </c>
      <c r="K43" s="3" t="s">
        <v>18</v>
      </c>
      <c r="L43" s="3"/>
      <c r="M43" s="3"/>
    </row>
    <row r="44" spans="1:13" ht="15" customHeight="1" x14ac:dyDescent="0.25">
      <c r="A44" s="3">
        <v>20043</v>
      </c>
      <c r="B44" s="3" t="s">
        <v>1101</v>
      </c>
      <c r="C44" s="3" t="s">
        <v>1102</v>
      </c>
      <c r="D44" s="3"/>
      <c r="E44" s="3" t="s">
        <v>958</v>
      </c>
      <c r="F44" s="3">
        <v>83</v>
      </c>
      <c r="G44" s="3">
        <f t="shared" si="1"/>
        <v>203</v>
      </c>
      <c r="H44" s="3" t="s">
        <v>1103</v>
      </c>
      <c r="I44" s="3"/>
      <c r="J44" s="3" t="s">
        <v>1066</v>
      </c>
      <c r="K44" s="3" t="s">
        <v>18</v>
      </c>
      <c r="L44" s="3"/>
      <c r="M44" s="3"/>
    </row>
    <row r="45" spans="1:13" ht="15" customHeight="1" x14ac:dyDescent="0.25">
      <c r="A45" s="3">
        <v>20044</v>
      </c>
      <c r="B45" s="3" t="s">
        <v>1104</v>
      </c>
      <c r="C45" s="3" t="s">
        <v>1105</v>
      </c>
      <c r="D45" s="3"/>
      <c r="E45" s="3" t="s">
        <v>958</v>
      </c>
      <c r="F45" s="3">
        <v>608</v>
      </c>
      <c r="G45" s="3">
        <f t="shared" si="1"/>
        <v>728</v>
      </c>
      <c r="H45" s="3" t="s">
        <v>1106</v>
      </c>
      <c r="I45" s="3"/>
      <c r="J45" s="3" t="s">
        <v>1066</v>
      </c>
      <c r="K45" s="3" t="s">
        <v>18</v>
      </c>
      <c r="L45" s="3"/>
      <c r="M45" s="3"/>
    </row>
    <row r="46" spans="1:13" ht="15" customHeight="1" x14ac:dyDescent="0.25">
      <c r="A46" s="3">
        <v>20045</v>
      </c>
      <c r="B46" s="3" t="s">
        <v>1107</v>
      </c>
      <c r="C46" s="3" t="s">
        <v>1108</v>
      </c>
      <c r="D46" s="3"/>
      <c r="E46" s="3" t="s">
        <v>958</v>
      </c>
      <c r="F46" s="3">
        <v>111</v>
      </c>
      <c r="G46" s="3">
        <f t="shared" si="1"/>
        <v>231</v>
      </c>
      <c r="H46" s="3" t="s">
        <v>1109</v>
      </c>
      <c r="I46" s="3"/>
      <c r="J46" s="3" t="s">
        <v>1066</v>
      </c>
      <c r="K46" s="3" t="s">
        <v>18</v>
      </c>
      <c r="L46" s="3" t="s">
        <v>1110</v>
      </c>
      <c r="M46" s="3"/>
    </row>
    <row r="47" spans="1:13" ht="15" customHeight="1" x14ac:dyDescent="0.25">
      <c r="A47" s="3">
        <v>20046</v>
      </c>
      <c r="B47" s="3" t="s">
        <v>1111</v>
      </c>
      <c r="C47" s="3" t="s">
        <v>1112</v>
      </c>
      <c r="D47" s="3"/>
      <c r="E47" s="3" t="s">
        <v>958</v>
      </c>
      <c r="F47" s="3">
        <v>9</v>
      </c>
      <c r="G47" s="3">
        <f t="shared" si="1"/>
        <v>129</v>
      </c>
      <c r="H47" s="3" t="s">
        <v>1003</v>
      </c>
      <c r="I47" s="3"/>
      <c r="J47" s="3" t="s">
        <v>1066</v>
      </c>
      <c r="K47" s="3" t="s">
        <v>18</v>
      </c>
      <c r="L47" s="3"/>
      <c r="M47" s="3"/>
    </row>
    <row r="48" spans="1:13" ht="15" customHeight="1" x14ac:dyDescent="0.25">
      <c r="A48" s="3">
        <v>20047</v>
      </c>
      <c r="B48" s="3" t="s">
        <v>1113</v>
      </c>
      <c r="C48" s="3" t="s">
        <v>1114</v>
      </c>
      <c r="D48" s="3" t="s">
        <v>1115</v>
      </c>
      <c r="E48" s="3" t="s">
        <v>958</v>
      </c>
      <c r="F48" s="3">
        <v>247</v>
      </c>
      <c r="G48" s="3">
        <f t="shared" si="1"/>
        <v>367</v>
      </c>
      <c r="H48" s="3" t="s">
        <v>959</v>
      </c>
      <c r="I48" s="3">
        <v>0</v>
      </c>
      <c r="J48" s="3" t="s">
        <v>1116</v>
      </c>
      <c r="K48" s="3" t="s">
        <v>961</v>
      </c>
      <c r="L48" s="3" t="s">
        <v>962</v>
      </c>
      <c r="M48" s="3"/>
    </row>
    <row r="49" spans="1:13" ht="15" customHeight="1" x14ac:dyDescent="0.25">
      <c r="A49" s="3">
        <v>20048</v>
      </c>
      <c r="B49" s="3" t="s">
        <v>1117</v>
      </c>
      <c r="C49" s="3" t="s">
        <v>1118</v>
      </c>
      <c r="D49" s="3"/>
      <c r="E49" s="3" t="s">
        <v>958</v>
      </c>
      <c r="F49" s="3">
        <v>200</v>
      </c>
      <c r="G49" s="3">
        <f t="shared" si="1"/>
        <v>320</v>
      </c>
      <c r="H49" s="3" t="s">
        <v>1119</v>
      </c>
      <c r="I49" s="3"/>
      <c r="J49" s="3" t="s">
        <v>1116</v>
      </c>
      <c r="K49" s="3" t="s">
        <v>18</v>
      </c>
      <c r="L49" s="3"/>
      <c r="M49" s="3"/>
    </row>
    <row r="50" spans="1:13" ht="15" customHeight="1" x14ac:dyDescent="0.25">
      <c r="A50" s="3">
        <v>20049</v>
      </c>
      <c r="B50" s="3" t="s">
        <v>1120</v>
      </c>
      <c r="C50" s="3" t="s">
        <v>1121</v>
      </c>
      <c r="D50" s="3"/>
      <c r="E50" s="3" t="s">
        <v>958</v>
      </c>
      <c r="F50" s="3">
        <f>25*60+43</f>
        <v>1543</v>
      </c>
      <c r="G50" s="3">
        <f t="shared" si="1"/>
        <v>1663</v>
      </c>
      <c r="H50" s="3" t="s">
        <v>1122</v>
      </c>
      <c r="I50" s="3"/>
      <c r="J50" s="3" t="s">
        <v>1116</v>
      </c>
      <c r="K50" s="3" t="s">
        <v>18</v>
      </c>
      <c r="L50" s="3"/>
      <c r="M50" s="3"/>
    </row>
    <row r="51" spans="1:13" ht="15" customHeight="1" x14ac:dyDescent="0.25">
      <c r="A51" s="3">
        <v>20050</v>
      </c>
      <c r="B51" s="3" t="s">
        <v>1123</v>
      </c>
      <c r="C51" s="3" t="s">
        <v>1124</v>
      </c>
      <c r="D51" s="3"/>
      <c r="E51" s="3" t="s">
        <v>958</v>
      </c>
      <c r="F51" s="3">
        <f>7*60+8</f>
        <v>428</v>
      </c>
      <c r="G51" s="3">
        <f t="shared" si="1"/>
        <v>548</v>
      </c>
      <c r="H51" s="3" t="s">
        <v>1125</v>
      </c>
      <c r="I51" s="3"/>
      <c r="J51" s="3" t="s">
        <v>1116</v>
      </c>
      <c r="K51" s="3" t="s">
        <v>18</v>
      </c>
      <c r="L51" s="3"/>
      <c r="M51" s="3"/>
    </row>
    <row r="52" spans="1:13" ht="15" customHeight="1" x14ac:dyDescent="0.25">
      <c r="A52" s="3">
        <v>20051</v>
      </c>
      <c r="B52" s="3" t="s">
        <v>1126</v>
      </c>
      <c r="C52" s="3" t="s">
        <v>1127</v>
      </c>
      <c r="D52" s="3"/>
      <c r="E52" s="3" t="s">
        <v>958</v>
      </c>
      <c r="F52" s="3">
        <f>24*55</f>
        <v>1320</v>
      </c>
      <c r="G52" s="3">
        <f t="shared" si="1"/>
        <v>1440</v>
      </c>
      <c r="H52" s="3" t="s">
        <v>1055</v>
      </c>
      <c r="I52" s="3"/>
      <c r="J52" s="3" t="s">
        <v>1116</v>
      </c>
      <c r="K52" s="3" t="s">
        <v>18</v>
      </c>
      <c r="L52" s="3"/>
      <c r="M52" s="3"/>
    </row>
    <row r="53" spans="1:13" ht="15" customHeight="1" x14ac:dyDescent="0.25">
      <c r="A53" s="3">
        <v>20052</v>
      </c>
      <c r="B53" s="3" t="s">
        <v>1128</v>
      </c>
      <c r="C53" s="3" t="s">
        <v>1129</v>
      </c>
      <c r="D53" s="3"/>
      <c r="E53" s="3" t="s">
        <v>958</v>
      </c>
      <c r="F53" s="3">
        <f>16*60+42</f>
        <v>1002</v>
      </c>
      <c r="G53" s="3">
        <f t="shared" si="1"/>
        <v>1122</v>
      </c>
      <c r="H53" s="3" t="s">
        <v>1130</v>
      </c>
      <c r="I53" s="3"/>
      <c r="J53" s="3" t="s">
        <v>1116</v>
      </c>
      <c r="K53" s="3" t="s">
        <v>18</v>
      </c>
      <c r="L53" s="3"/>
      <c r="M53" s="3"/>
    </row>
    <row r="54" spans="1:13" ht="15" customHeight="1" x14ac:dyDescent="0.25">
      <c r="A54" s="3">
        <v>20053</v>
      </c>
      <c r="B54" s="3" t="s">
        <v>1131</v>
      </c>
      <c r="C54" s="3" t="s">
        <v>1132</v>
      </c>
      <c r="D54" s="3"/>
      <c r="E54" s="3" t="s">
        <v>958</v>
      </c>
      <c r="F54" s="3">
        <f>14*60+29</f>
        <v>869</v>
      </c>
      <c r="G54" s="3">
        <f t="shared" si="1"/>
        <v>989</v>
      </c>
      <c r="H54" s="3" t="s">
        <v>1055</v>
      </c>
      <c r="I54" s="3"/>
      <c r="J54" s="3" t="s">
        <v>1116</v>
      </c>
      <c r="K54" s="3" t="s">
        <v>18</v>
      </c>
      <c r="L54" s="3"/>
      <c r="M54" s="3"/>
    </row>
    <row r="55" spans="1:13" ht="15" customHeight="1" x14ac:dyDescent="0.25">
      <c r="A55" s="3">
        <v>20054</v>
      </c>
      <c r="B55" s="3" t="s">
        <v>1133</v>
      </c>
      <c r="C55" s="3" t="s">
        <v>1134</v>
      </c>
      <c r="D55" s="3"/>
      <c r="E55" s="3" t="s">
        <v>958</v>
      </c>
      <c r="F55" s="3">
        <f>3*60+58</f>
        <v>238</v>
      </c>
      <c r="G55" s="3">
        <f t="shared" si="1"/>
        <v>358</v>
      </c>
      <c r="H55" s="3" t="s">
        <v>1055</v>
      </c>
      <c r="I55" s="3"/>
      <c r="J55" s="3" t="s">
        <v>1116</v>
      </c>
      <c r="K55" s="3" t="s">
        <v>18</v>
      </c>
      <c r="L55" s="3"/>
      <c r="M55" s="3"/>
    </row>
    <row r="56" spans="1:13" ht="15" customHeight="1" x14ac:dyDescent="0.25">
      <c r="A56" s="3">
        <v>20055</v>
      </c>
      <c r="B56" s="3" t="s">
        <v>1135</v>
      </c>
      <c r="C56" s="3" t="s">
        <v>1136</v>
      </c>
      <c r="D56" s="3"/>
      <c r="E56" s="3" t="s">
        <v>958</v>
      </c>
      <c r="F56" s="3">
        <v>69</v>
      </c>
      <c r="G56" s="3">
        <f t="shared" si="1"/>
        <v>189</v>
      </c>
      <c r="H56" s="3" t="s">
        <v>1137</v>
      </c>
      <c r="I56" s="3"/>
      <c r="J56" s="3" t="s">
        <v>1116</v>
      </c>
      <c r="K56" s="3" t="s">
        <v>961</v>
      </c>
      <c r="L56" s="3" t="s">
        <v>975</v>
      </c>
      <c r="M56" s="3"/>
    </row>
    <row r="57" spans="1:13" ht="15" customHeight="1" x14ac:dyDescent="0.25">
      <c r="A57" s="3">
        <v>20056</v>
      </c>
      <c r="B57" s="3" t="s">
        <v>1138</v>
      </c>
      <c r="C57" s="3" t="s">
        <v>1139</v>
      </c>
      <c r="D57" s="3"/>
      <c r="E57" s="3" t="s">
        <v>958</v>
      </c>
      <c r="F57" s="3">
        <f>13*60+9</f>
        <v>789</v>
      </c>
      <c r="G57" s="3">
        <f t="shared" si="1"/>
        <v>909</v>
      </c>
      <c r="H57" s="3" t="s">
        <v>1140</v>
      </c>
      <c r="I57" s="3"/>
      <c r="J57" s="3" t="s">
        <v>1116</v>
      </c>
      <c r="K57" s="3" t="s">
        <v>961</v>
      </c>
      <c r="L57" s="3" t="s">
        <v>975</v>
      </c>
      <c r="M57" s="3"/>
    </row>
    <row r="58" spans="1:13" ht="15" customHeight="1" x14ac:dyDescent="0.25">
      <c r="A58" s="3">
        <v>20057</v>
      </c>
      <c r="B58" s="3" t="s">
        <v>1141</v>
      </c>
      <c r="C58" s="3" t="s">
        <v>1142</v>
      </c>
      <c r="D58" s="3"/>
      <c r="E58" s="3" t="s">
        <v>958</v>
      </c>
      <c r="F58" s="3">
        <f>3*60</f>
        <v>180</v>
      </c>
      <c r="G58" s="3">
        <f t="shared" si="1"/>
        <v>300</v>
      </c>
      <c r="H58" s="3" t="s">
        <v>1143</v>
      </c>
      <c r="I58" s="3"/>
      <c r="J58" s="3" t="s">
        <v>1116</v>
      </c>
      <c r="K58" s="3" t="s">
        <v>961</v>
      </c>
      <c r="L58" s="3" t="s">
        <v>975</v>
      </c>
      <c r="M58" s="3"/>
    </row>
    <row r="59" spans="1:13" ht="15" customHeight="1" x14ac:dyDescent="0.25">
      <c r="A59" s="3">
        <v>20058</v>
      </c>
      <c r="B59" s="3" t="s">
        <v>1144</v>
      </c>
      <c r="C59" s="3" t="s">
        <v>1145</v>
      </c>
      <c r="D59" s="3"/>
      <c r="E59" s="3" t="s">
        <v>958</v>
      </c>
      <c r="F59" s="3">
        <v>284</v>
      </c>
      <c r="G59" s="3">
        <f t="shared" si="1"/>
        <v>404</v>
      </c>
      <c r="H59" s="3" t="s">
        <v>1146</v>
      </c>
      <c r="I59" s="3"/>
      <c r="J59" s="3" t="s">
        <v>1116</v>
      </c>
      <c r="K59" s="3" t="s">
        <v>18</v>
      </c>
      <c r="L59" s="3"/>
      <c r="M59" s="3"/>
    </row>
    <row r="60" spans="1:13" ht="15" customHeight="1" x14ac:dyDescent="0.25">
      <c r="A60" s="3">
        <v>20059</v>
      </c>
      <c r="B60" s="3" t="s">
        <v>1147</v>
      </c>
      <c r="C60" s="3" t="s">
        <v>1148</v>
      </c>
      <c r="D60" s="3"/>
      <c r="E60" s="3" t="s">
        <v>958</v>
      </c>
      <c r="F60" s="3">
        <v>204</v>
      </c>
      <c r="G60" s="3">
        <f t="shared" si="1"/>
        <v>324</v>
      </c>
      <c r="H60" s="3" t="s">
        <v>1149</v>
      </c>
      <c r="I60" s="3"/>
      <c r="J60" s="3" t="s">
        <v>1116</v>
      </c>
      <c r="K60" s="3" t="s">
        <v>18</v>
      </c>
      <c r="L60" s="3"/>
      <c r="M60" s="3"/>
    </row>
    <row r="61" spans="1:13" ht="15" customHeight="1" x14ac:dyDescent="0.25">
      <c r="A61" s="3">
        <v>20060</v>
      </c>
      <c r="B61" s="3" t="s">
        <v>1150</v>
      </c>
      <c r="C61" s="3" t="s">
        <v>1151</v>
      </c>
      <c r="D61" s="3"/>
      <c r="E61" s="3" t="s">
        <v>958</v>
      </c>
      <c r="F61" s="3">
        <f>20*60+4</f>
        <v>1204</v>
      </c>
      <c r="G61" s="3">
        <f t="shared" si="1"/>
        <v>1324</v>
      </c>
      <c r="H61" s="3" t="s">
        <v>1152</v>
      </c>
      <c r="I61" s="3"/>
      <c r="J61" s="3" t="s">
        <v>1116</v>
      </c>
      <c r="K61" s="3" t="s">
        <v>18</v>
      </c>
      <c r="L61" s="3"/>
      <c r="M61" s="3"/>
    </row>
    <row r="62" spans="1:13" ht="15" customHeight="1" x14ac:dyDescent="0.25">
      <c r="A62" s="3">
        <v>20061</v>
      </c>
      <c r="B62" s="3" t="s">
        <v>1153</v>
      </c>
      <c r="C62" s="3" t="s">
        <v>1154</v>
      </c>
      <c r="D62" s="3"/>
      <c r="E62" s="3" t="s">
        <v>958</v>
      </c>
      <c r="F62" s="3">
        <f>12*60+20</f>
        <v>740</v>
      </c>
      <c r="G62" s="3">
        <f t="shared" si="1"/>
        <v>860</v>
      </c>
      <c r="H62" s="3" t="s">
        <v>1051</v>
      </c>
      <c r="I62" s="3"/>
      <c r="J62" s="3" t="s">
        <v>1116</v>
      </c>
      <c r="K62" s="3" t="s">
        <v>18</v>
      </c>
      <c r="L62" s="3"/>
      <c r="M62" s="3"/>
    </row>
    <row r="63" spans="1:13" ht="15" customHeight="1" x14ac:dyDescent="0.25">
      <c r="A63" s="3">
        <v>20062</v>
      </c>
      <c r="B63" s="3" t="s">
        <v>1155</v>
      </c>
      <c r="C63" s="3" t="s">
        <v>1156</v>
      </c>
      <c r="D63" s="3"/>
      <c r="E63" s="3" t="s">
        <v>958</v>
      </c>
      <c r="F63" s="3">
        <v>282</v>
      </c>
      <c r="G63" s="3">
        <f t="shared" si="1"/>
        <v>402</v>
      </c>
      <c r="H63" s="3" t="s">
        <v>1157</v>
      </c>
      <c r="I63" s="3"/>
      <c r="J63" s="3" t="s">
        <v>1116</v>
      </c>
      <c r="K63" s="3" t="s">
        <v>18</v>
      </c>
      <c r="L63" s="3"/>
      <c r="M63" s="3"/>
    </row>
    <row r="64" spans="1:13" ht="15" customHeight="1" x14ac:dyDescent="0.25">
      <c r="A64" s="3">
        <v>21001</v>
      </c>
      <c r="B64" s="3" t="s">
        <v>1158</v>
      </c>
      <c r="C64" s="3" t="s">
        <v>1159</v>
      </c>
      <c r="D64" s="3"/>
      <c r="E64" s="3" t="s">
        <v>1160</v>
      </c>
      <c r="F64" s="3">
        <v>281</v>
      </c>
      <c r="G64" s="3">
        <f t="shared" si="1"/>
        <v>401</v>
      </c>
      <c r="H64" s="3" t="s">
        <v>1161</v>
      </c>
      <c r="I64" s="3"/>
      <c r="J64" s="3" t="s">
        <v>960</v>
      </c>
      <c r="K64" s="3"/>
      <c r="L64" s="3"/>
      <c r="M64" s="3"/>
    </row>
    <row r="65" spans="1:13" ht="15" customHeight="1" x14ac:dyDescent="0.25">
      <c r="A65" s="3">
        <v>21002</v>
      </c>
      <c r="B65" s="3" t="s">
        <v>1162</v>
      </c>
      <c r="C65" s="3" t="s">
        <v>1163</v>
      </c>
      <c r="D65" s="3"/>
      <c r="E65" s="3" t="s">
        <v>1160</v>
      </c>
      <c r="F65" s="3">
        <f>17*60+10</f>
        <v>1030</v>
      </c>
      <c r="G65" s="3">
        <f t="shared" si="1"/>
        <v>1150</v>
      </c>
      <c r="H65" s="3" t="s">
        <v>1164</v>
      </c>
      <c r="I65" s="3"/>
      <c r="J65" s="3" t="s">
        <v>960</v>
      </c>
      <c r="K65" s="3"/>
      <c r="L65" s="3"/>
      <c r="M65" s="3"/>
    </row>
    <row r="66" spans="1:13" ht="15" customHeight="1" x14ac:dyDescent="0.25">
      <c r="A66" s="3">
        <v>21003</v>
      </c>
      <c r="B66" s="3" t="s">
        <v>1165</v>
      </c>
      <c r="C66" s="3" t="s">
        <v>1166</v>
      </c>
      <c r="D66" s="3" t="s">
        <v>1167</v>
      </c>
      <c r="E66" s="3" t="s">
        <v>1160</v>
      </c>
      <c r="F66" s="3">
        <v>580</v>
      </c>
      <c r="G66" s="3">
        <f t="shared" ref="G66:G97" si="2">F66+120</f>
        <v>700</v>
      </c>
      <c r="H66" s="3" t="s">
        <v>1168</v>
      </c>
      <c r="I66" s="3">
        <v>0</v>
      </c>
      <c r="J66" s="3" t="s">
        <v>960</v>
      </c>
      <c r="K66" s="3" t="s">
        <v>961</v>
      </c>
      <c r="L66" s="3" t="s">
        <v>975</v>
      </c>
      <c r="M66" s="3"/>
    </row>
    <row r="67" spans="1:13" ht="15" customHeight="1" x14ac:dyDescent="0.25">
      <c r="A67" s="3">
        <v>21004</v>
      </c>
      <c r="B67" s="3" t="s">
        <v>1169</v>
      </c>
      <c r="C67" s="3" t="s">
        <v>1170</v>
      </c>
      <c r="D67" s="3"/>
      <c r="E67" s="3" t="s">
        <v>1160</v>
      </c>
      <c r="F67" s="3">
        <v>145</v>
      </c>
      <c r="G67" s="3">
        <f t="shared" si="2"/>
        <v>265</v>
      </c>
      <c r="H67" s="3" t="s">
        <v>1171</v>
      </c>
      <c r="I67" s="3"/>
      <c r="J67" s="3" t="s">
        <v>960</v>
      </c>
      <c r="K67" s="3" t="s">
        <v>18</v>
      </c>
      <c r="L67" s="3"/>
      <c r="M67" s="3"/>
    </row>
    <row r="68" spans="1:13" ht="15" customHeight="1" x14ac:dyDescent="0.25">
      <c r="A68" s="3">
        <v>21005</v>
      </c>
      <c r="B68" s="3" t="s">
        <v>1172</v>
      </c>
      <c r="C68" s="3" t="s">
        <v>1173</v>
      </c>
      <c r="D68" s="3"/>
      <c r="E68" s="3" t="s">
        <v>1160</v>
      </c>
      <c r="F68" s="3">
        <f>21*60+55</f>
        <v>1315</v>
      </c>
      <c r="G68" s="3">
        <f t="shared" si="2"/>
        <v>1435</v>
      </c>
      <c r="H68" s="3" t="s">
        <v>1174</v>
      </c>
      <c r="I68" s="3"/>
      <c r="J68" s="3" t="s">
        <v>960</v>
      </c>
      <c r="K68" s="3" t="s">
        <v>18</v>
      </c>
      <c r="L68" s="3"/>
      <c r="M68" s="3"/>
    </row>
    <row r="69" spans="1:13" ht="15" customHeight="1" x14ac:dyDescent="0.25">
      <c r="A69" s="3">
        <v>21006</v>
      </c>
      <c r="B69" s="3" t="s">
        <v>1175</v>
      </c>
      <c r="C69" s="3" t="s">
        <v>1176</v>
      </c>
      <c r="D69" s="3"/>
      <c r="E69" s="3" t="s">
        <v>1160</v>
      </c>
      <c r="F69" s="3">
        <f>16*60+3</f>
        <v>963</v>
      </c>
      <c r="G69" s="3">
        <f t="shared" si="2"/>
        <v>1083</v>
      </c>
      <c r="H69" s="3" t="s">
        <v>1177</v>
      </c>
      <c r="I69" s="3"/>
      <c r="J69" s="3" t="s">
        <v>960</v>
      </c>
      <c r="K69" s="3" t="s">
        <v>18</v>
      </c>
      <c r="L69" s="3"/>
      <c r="M69" s="3"/>
    </row>
    <row r="70" spans="1:13" ht="15" customHeight="1" x14ac:dyDescent="0.25">
      <c r="A70" s="3">
        <v>21007</v>
      </c>
      <c r="B70" s="3" t="s">
        <v>1178</v>
      </c>
      <c r="C70" s="3" t="s">
        <v>1179</v>
      </c>
      <c r="D70" s="3"/>
      <c r="E70" s="3" t="s">
        <v>1160</v>
      </c>
      <c r="F70" s="3">
        <f>54*60+37</f>
        <v>3277</v>
      </c>
      <c r="G70" s="3">
        <f t="shared" si="2"/>
        <v>3397</v>
      </c>
      <c r="H70" s="3" t="s">
        <v>1177</v>
      </c>
      <c r="I70" s="3"/>
      <c r="J70" s="3" t="s">
        <v>960</v>
      </c>
      <c r="K70" s="3" t="s">
        <v>18</v>
      </c>
      <c r="L70" s="3"/>
      <c r="M70" s="3"/>
    </row>
    <row r="71" spans="1:13" ht="15" customHeight="1" x14ac:dyDescent="0.25">
      <c r="A71" s="3">
        <v>21008</v>
      </c>
      <c r="B71" s="3" t="s">
        <v>1180</v>
      </c>
      <c r="C71" s="3" t="s">
        <v>1181</v>
      </c>
      <c r="D71" s="3"/>
      <c r="E71" s="3" t="s">
        <v>1160</v>
      </c>
      <c r="F71" s="3">
        <f>43*60+9</f>
        <v>2589</v>
      </c>
      <c r="G71" s="3">
        <f t="shared" si="2"/>
        <v>2709</v>
      </c>
      <c r="H71" s="3" t="s">
        <v>1182</v>
      </c>
      <c r="I71" s="3"/>
      <c r="J71" s="3" t="s">
        <v>960</v>
      </c>
      <c r="K71" s="3" t="s">
        <v>18</v>
      </c>
      <c r="L71" s="3"/>
      <c r="M71" s="3"/>
    </row>
    <row r="72" spans="1:13" ht="15" customHeight="1" x14ac:dyDescent="0.25">
      <c r="A72" s="3">
        <v>21009</v>
      </c>
      <c r="B72" s="3" t="s">
        <v>1183</v>
      </c>
      <c r="C72" s="3" t="s">
        <v>1184</v>
      </c>
      <c r="D72" s="3"/>
      <c r="E72" s="3" t="s">
        <v>1160</v>
      </c>
      <c r="F72" s="3">
        <f>14*60+47</f>
        <v>887</v>
      </c>
      <c r="G72" s="3">
        <f t="shared" si="2"/>
        <v>1007</v>
      </c>
      <c r="H72" s="3" t="s">
        <v>1185</v>
      </c>
      <c r="I72" s="3"/>
      <c r="J72" s="3" t="s">
        <v>960</v>
      </c>
      <c r="K72" s="3" t="s">
        <v>18</v>
      </c>
      <c r="L72" s="3"/>
      <c r="M72" s="3"/>
    </row>
    <row r="73" spans="1:13" ht="15" customHeight="1" x14ac:dyDescent="0.25">
      <c r="A73" s="3">
        <v>21010</v>
      </c>
      <c r="B73" s="3" t="s">
        <v>1186</v>
      </c>
      <c r="C73" s="3" t="s">
        <v>1187</v>
      </c>
      <c r="D73" s="3"/>
      <c r="E73" s="3" t="s">
        <v>1160</v>
      </c>
      <c r="F73" s="3">
        <f>16*60</f>
        <v>960</v>
      </c>
      <c r="G73" s="3">
        <f t="shared" si="2"/>
        <v>1080</v>
      </c>
      <c r="H73" s="3" t="s">
        <v>1188</v>
      </c>
      <c r="I73" s="3"/>
      <c r="J73" s="3" t="s">
        <v>960</v>
      </c>
      <c r="K73" s="3" t="s">
        <v>18</v>
      </c>
      <c r="L73" s="3"/>
      <c r="M73" s="3"/>
    </row>
    <row r="74" spans="1:13" ht="15" customHeight="1" x14ac:dyDescent="0.25">
      <c r="A74" s="3">
        <v>21011</v>
      </c>
      <c r="B74" s="3" t="s">
        <v>1189</v>
      </c>
      <c r="C74" s="3" t="s">
        <v>1190</v>
      </c>
      <c r="D74" s="3"/>
      <c r="E74" s="3" t="s">
        <v>1160</v>
      </c>
      <c r="F74" s="3">
        <f>21*60+48</f>
        <v>1308</v>
      </c>
      <c r="G74" s="3">
        <f t="shared" si="2"/>
        <v>1428</v>
      </c>
      <c r="H74" s="3" t="s">
        <v>1191</v>
      </c>
      <c r="I74" s="3"/>
      <c r="J74" s="3" t="s">
        <v>960</v>
      </c>
      <c r="K74" s="3" t="s">
        <v>18</v>
      </c>
      <c r="L74" s="3"/>
      <c r="M74" s="3"/>
    </row>
    <row r="75" spans="1:13" ht="15" customHeight="1" x14ac:dyDescent="0.25">
      <c r="A75" s="3">
        <v>21012</v>
      </c>
      <c r="B75" s="3" t="s">
        <v>1192</v>
      </c>
      <c r="C75" s="3" t="s">
        <v>1193</v>
      </c>
      <c r="D75" s="3"/>
      <c r="E75" s="3" t="s">
        <v>1160</v>
      </c>
      <c r="F75" s="3">
        <f>23*60+24</f>
        <v>1404</v>
      </c>
      <c r="G75" s="3">
        <f t="shared" si="2"/>
        <v>1524</v>
      </c>
      <c r="H75" s="3" t="s">
        <v>1030</v>
      </c>
      <c r="I75" s="3"/>
      <c r="J75" s="3" t="s">
        <v>960</v>
      </c>
      <c r="K75" s="3" t="s">
        <v>18</v>
      </c>
      <c r="L75" s="3"/>
      <c r="M75" s="3"/>
    </row>
    <row r="76" spans="1:13" ht="15" customHeight="1" x14ac:dyDescent="0.25">
      <c r="A76" s="3">
        <v>21013</v>
      </c>
      <c r="B76" s="3" t="s">
        <v>1194</v>
      </c>
      <c r="C76" s="3" t="s">
        <v>1195</v>
      </c>
      <c r="D76" s="3"/>
      <c r="E76" s="3" t="s">
        <v>1160</v>
      </c>
      <c r="F76" s="3">
        <v>100</v>
      </c>
      <c r="G76" s="3">
        <f t="shared" si="2"/>
        <v>220</v>
      </c>
      <c r="H76" s="3" t="s">
        <v>1091</v>
      </c>
      <c r="I76" s="3"/>
      <c r="J76" s="3" t="s">
        <v>960</v>
      </c>
      <c r="K76" s="3" t="s">
        <v>18</v>
      </c>
      <c r="L76" s="3"/>
      <c r="M76" s="3"/>
    </row>
    <row r="77" spans="1:13" ht="15" customHeight="1" x14ac:dyDescent="0.25">
      <c r="A77" s="3">
        <v>21014</v>
      </c>
      <c r="B77" s="3" t="s">
        <v>1196</v>
      </c>
      <c r="C77" s="3" t="s">
        <v>1197</v>
      </c>
      <c r="D77" s="3"/>
      <c r="E77" s="3" t="s">
        <v>1160</v>
      </c>
      <c r="F77" s="3">
        <v>7</v>
      </c>
      <c r="G77" s="3">
        <f t="shared" si="2"/>
        <v>127</v>
      </c>
      <c r="H77" s="3" t="s">
        <v>986</v>
      </c>
      <c r="I77" s="3"/>
      <c r="J77" s="3" t="s">
        <v>960</v>
      </c>
      <c r="K77" s="3" t="s">
        <v>18</v>
      </c>
      <c r="L77" s="3"/>
      <c r="M77" s="3"/>
    </row>
    <row r="78" spans="1:13" ht="15" customHeight="1" x14ac:dyDescent="0.25">
      <c r="A78" s="3">
        <v>21015</v>
      </c>
      <c r="B78" s="3" t="s">
        <v>1198</v>
      </c>
      <c r="C78" s="3" t="s">
        <v>1199</v>
      </c>
      <c r="D78" s="3"/>
      <c r="E78" s="3" t="s">
        <v>1160</v>
      </c>
      <c r="F78" s="3">
        <f>25*60+5</f>
        <v>1505</v>
      </c>
      <c r="G78" s="3">
        <f t="shared" si="2"/>
        <v>1625</v>
      </c>
      <c r="H78" s="3" t="s">
        <v>1200</v>
      </c>
      <c r="I78" s="3"/>
      <c r="J78" s="3" t="s">
        <v>960</v>
      </c>
      <c r="K78" s="3" t="s">
        <v>18</v>
      </c>
      <c r="L78" s="3"/>
      <c r="M78" s="3"/>
    </row>
    <row r="79" spans="1:13" ht="15" customHeight="1" x14ac:dyDescent="0.25">
      <c r="A79" s="3">
        <v>21016</v>
      </c>
      <c r="B79" s="3" t="s">
        <v>1201</v>
      </c>
      <c r="C79" s="3" t="s">
        <v>1202</v>
      </c>
      <c r="D79" s="3"/>
      <c r="E79" s="3" t="s">
        <v>1160</v>
      </c>
      <c r="F79" s="3">
        <v>5</v>
      </c>
      <c r="G79" s="3">
        <f t="shared" si="2"/>
        <v>125</v>
      </c>
      <c r="H79" s="3" t="s">
        <v>1203</v>
      </c>
      <c r="I79" s="3"/>
      <c r="J79" s="3" t="s">
        <v>960</v>
      </c>
      <c r="K79" s="3" t="s">
        <v>18</v>
      </c>
      <c r="L79" s="3"/>
      <c r="M79" s="3"/>
    </row>
    <row r="80" spans="1:13" ht="15" customHeight="1" x14ac:dyDescent="0.25">
      <c r="A80" s="3">
        <v>21017</v>
      </c>
      <c r="B80" s="3" t="s">
        <v>1204</v>
      </c>
      <c r="C80" s="3" t="s">
        <v>1205</v>
      </c>
      <c r="D80" s="3" t="s">
        <v>1206</v>
      </c>
      <c r="E80" s="3" t="s">
        <v>1160</v>
      </c>
      <c r="F80" s="3">
        <v>346</v>
      </c>
      <c r="G80" s="3">
        <f t="shared" si="2"/>
        <v>466</v>
      </c>
      <c r="H80" s="3" t="s">
        <v>1207</v>
      </c>
      <c r="I80" s="3">
        <v>0</v>
      </c>
      <c r="J80" s="3" t="s">
        <v>1066</v>
      </c>
      <c r="K80" s="3" t="s">
        <v>961</v>
      </c>
      <c r="L80" s="3" t="s">
        <v>975</v>
      </c>
      <c r="M80" s="3"/>
    </row>
    <row r="81" spans="1:13" ht="15" customHeight="1" x14ac:dyDescent="0.25">
      <c r="A81" s="3">
        <v>21018</v>
      </c>
      <c r="B81" s="3" t="s">
        <v>1208</v>
      </c>
      <c r="C81" s="3" t="s">
        <v>1209</v>
      </c>
      <c r="D81" s="3"/>
      <c r="E81" s="3" t="s">
        <v>1160</v>
      </c>
      <c r="F81" s="3">
        <v>118</v>
      </c>
      <c r="G81" s="3">
        <f t="shared" si="2"/>
        <v>238</v>
      </c>
      <c r="H81" s="3" t="s">
        <v>1210</v>
      </c>
      <c r="I81" s="3"/>
      <c r="J81" s="3" t="s">
        <v>1066</v>
      </c>
      <c r="K81" s="3" t="s">
        <v>18</v>
      </c>
      <c r="L81" s="3"/>
      <c r="M81" s="3"/>
    </row>
    <row r="82" spans="1:13" ht="15" customHeight="1" x14ac:dyDescent="0.25">
      <c r="A82" s="3">
        <v>21019</v>
      </c>
      <c r="B82" s="3" t="s">
        <v>1211</v>
      </c>
      <c r="C82" s="3" t="s">
        <v>1212</v>
      </c>
      <c r="D82" s="3"/>
      <c r="E82" s="3" t="s">
        <v>1160</v>
      </c>
      <c r="F82" s="3">
        <f>5*60+55</f>
        <v>355</v>
      </c>
      <c r="G82" s="3">
        <f t="shared" si="2"/>
        <v>475</v>
      </c>
      <c r="H82" s="3" t="s">
        <v>1003</v>
      </c>
      <c r="I82" s="3"/>
      <c r="J82" s="3" t="s">
        <v>1066</v>
      </c>
      <c r="K82" s="3" t="s">
        <v>18</v>
      </c>
      <c r="L82" s="3"/>
      <c r="M82" s="3"/>
    </row>
    <row r="83" spans="1:13" ht="15" customHeight="1" x14ac:dyDescent="0.25">
      <c r="A83" s="3">
        <v>21020</v>
      </c>
      <c r="B83" s="3" t="s">
        <v>1213</v>
      </c>
      <c r="C83" s="3" t="s">
        <v>1214</v>
      </c>
      <c r="D83" s="3"/>
      <c r="E83" s="3" t="s">
        <v>1160</v>
      </c>
      <c r="F83" s="3">
        <v>213</v>
      </c>
      <c r="G83" s="3">
        <f t="shared" si="2"/>
        <v>333</v>
      </c>
      <c r="H83" s="3" t="s">
        <v>1215</v>
      </c>
      <c r="I83" s="3"/>
      <c r="J83" s="3" t="s">
        <v>1066</v>
      </c>
      <c r="K83" s="3"/>
      <c r="L83" s="3"/>
      <c r="M83" s="3"/>
    </row>
    <row r="84" spans="1:13" ht="15" customHeight="1" x14ac:dyDescent="0.25">
      <c r="A84" s="3">
        <v>21021</v>
      </c>
      <c r="B84" s="3" t="s">
        <v>1216</v>
      </c>
      <c r="C84" s="3" t="s">
        <v>1217</v>
      </c>
      <c r="D84" s="3"/>
      <c r="E84" s="3" t="s">
        <v>1160</v>
      </c>
      <c r="F84" s="3">
        <v>148</v>
      </c>
      <c r="G84" s="3">
        <f t="shared" si="2"/>
        <v>268</v>
      </c>
      <c r="H84" s="3" t="s">
        <v>1210</v>
      </c>
      <c r="I84" s="3"/>
      <c r="J84" s="3" t="s">
        <v>1066</v>
      </c>
      <c r="K84" s="3" t="s">
        <v>18</v>
      </c>
      <c r="L84" s="3"/>
      <c r="M84" s="3"/>
    </row>
    <row r="85" spans="1:13" ht="15" customHeight="1" x14ac:dyDescent="0.25">
      <c r="A85" s="3">
        <v>21022</v>
      </c>
      <c r="B85" s="3" t="s">
        <v>1218</v>
      </c>
      <c r="C85" s="3" t="s">
        <v>1219</v>
      </c>
      <c r="D85" s="3"/>
      <c r="E85" s="3" t="s">
        <v>1160</v>
      </c>
      <c r="F85" s="3">
        <v>499</v>
      </c>
      <c r="G85" s="3">
        <f t="shared" si="2"/>
        <v>619</v>
      </c>
      <c r="H85" s="3" t="s">
        <v>1122</v>
      </c>
      <c r="I85" s="3"/>
      <c r="J85" s="3" t="s">
        <v>1116</v>
      </c>
      <c r="K85" s="3" t="s">
        <v>18</v>
      </c>
      <c r="L85" s="3"/>
      <c r="M85" s="3"/>
    </row>
    <row r="86" spans="1:13" ht="15" customHeight="1" x14ac:dyDescent="0.25">
      <c r="A86" s="3">
        <v>21023</v>
      </c>
      <c r="B86" s="3" t="s">
        <v>1220</v>
      </c>
      <c r="C86" s="3" t="s">
        <v>1221</v>
      </c>
      <c r="D86" s="3"/>
      <c r="E86" s="3" t="s">
        <v>1160</v>
      </c>
      <c r="F86" s="3">
        <v>338</v>
      </c>
      <c r="G86" s="3">
        <f t="shared" si="2"/>
        <v>458</v>
      </c>
      <c r="H86" s="3" t="s">
        <v>1222</v>
      </c>
      <c r="I86" s="3"/>
      <c r="J86" s="3" t="s">
        <v>1116</v>
      </c>
      <c r="K86" s="3" t="s">
        <v>18</v>
      </c>
      <c r="L86" s="3"/>
      <c r="M86" s="3"/>
    </row>
    <row r="87" spans="1:13" ht="15" customHeight="1" x14ac:dyDescent="0.25">
      <c r="A87" s="3">
        <v>21024</v>
      </c>
      <c r="B87" s="3" t="s">
        <v>1223</v>
      </c>
      <c r="C87" s="3" t="s">
        <v>1224</v>
      </c>
      <c r="D87" s="3"/>
      <c r="E87" s="3" t="s">
        <v>1160</v>
      </c>
      <c r="F87" s="3">
        <v>430</v>
      </c>
      <c r="G87" s="3">
        <f t="shared" si="2"/>
        <v>550</v>
      </c>
      <c r="H87" s="3" t="s">
        <v>974</v>
      </c>
      <c r="I87" s="3"/>
      <c r="J87" s="3" t="s">
        <v>1116</v>
      </c>
      <c r="K87" s="3" t="s">
        <v>18</v>
      </c>
      <c r="L87" s="3"/>
      <c r="M87" s="3"/>
    </row>
    <row r="88" spans="1:13" ht="15" customHeight="1" x14ac:dyDescent="0.25">
      <c r="A88" s="3">
        <v>21025</v>
      </c>
      <c r="B88" s="3" t="s">
        <v>1225</v>
      </c>
      <c r="C88" s="3" t="s">
        <v>1226</v>
      </c>
      <c r="D88" s="3"/>
      <c r="E88" s="3" t="s">
        <v>1160</v>
      </c>
      <c r="F88" s="3">
        <f>14*60</f>
        <v>840</v>
      </c>
      <c r="G88" s="3">
        <f t="shared" si="2"/>
        <v>960</v>
      </c>
      <c r="H88" s="3" t="s">
        <v>1003</v>
      </c>
      <c r="I88" s="3"/>
      <c r="J88" s="3" t="s">
        <v>1116</v>
      </c>
      <c r="K88" s="3"/>
      <c r="L88" s="3"/>
      <c r="M88" s="3"/>
    </row>
    <row r="89" spans="1:13" ht="15" customHeight="1" x14ac:dyDescent="0.25">
      <c r="A89" s="3">
        <v>21026</v>
      </c>
      <c r="B89" s="3" t="s">
        <v>1227</v>
      </c>
      <c r="C89" s="3" t="s">
        <v>1228</v>
      </c>
      <c r="D89" s="3"/>
      <c r="E89" s="3" t="s">
        <v>1160</v>
      </c>
      <c r="F89" s="3">
        <v>473</v>
      </c>
      <c r="G89" s="3">
        <f t="shared" si="2"/>
        <v>593</v>
      </c>
      <c r="H89" s="3" t="s">
        <v>1119</v>
      </c>
      <c r="I89" s="3"/>
      <c r="J89" s="3" t="s">
        <v>1116</v>
      </c>
      <c r="K89" s="3"/>
      <c r="L89" s="3"/>
      <c r="M89" s="3"/>
    </row>
    <row r="90" spans="1:13" ht="15" customHeight="1" x14ac:dyDescent="0.25">
      <c r="A90" s="3">
        <v>21027</v>
      </c>
      <c r="B90" s="3" t="s">
        <v>1229</v>
      </c>
      <c r="C90" s="3" t="s">
        <v>1230</v>
      </c>
      <c r="D90" s="3"/>
      <c r="E90" s="3" t="s">
        <v>1160</v>
      </c>
      <c r="F90" s="3">
        <v>622</v>
      </c>
      <c r="G90" s="3">
        <f t="shared" si="2"/>
        <v>742</v>
      </c>
      <c r="H90" s="3" t="s">
        <v>1055</v>
      </c>
      <c r="I90" s="3"/>
      <c r="J90" s="3" t="s">
        <v>1116</v>
      </c>
      <c r="K90" s="3"/>
      <c r="L90" s="3"/>
      <c r="M90" s="3"/>
    </row>
    <row r="91" spans="1:13" ht="15" customHeight="1" x14ac:dyDescent="0.25">
      <c r="A91" s="3">
        <v>21028</v>
      </c>
      <c r="B91" s="3" t="s">
        <v>1231</v>
      </c>
      <c r="C91" s="3" t="s">
        <v>1232</v>
      </c>
      <c r="D91" s="3"/>
      <c r="E91" s="3" t="s">
        <v>1160</v>
      </c>
      <c r="F91" s="3">
        <v>190</v>
      </c>
      <c r="G91" s="3">
        <f t="shared" si="2"/>
        <v>310</v>
      </c>
      <c r="H91" s="3" t="s">
        <v>1233</v>
      </c>
      <c r="I91" s="3"/>
      <c r="J91" s="3" t="s">
        <v>1116</v>
      </c>
      <c r="K91" s="3"/>
      <c r="L91" s="3"/>
      <c r="M91" s="3"/>
    </row>
    <row r="92" spans="1:13" ht="15" customHeight="1" x14ac:dyDescent="0.25">
      <c r="A92" s="3">
        <v>21029</v>
      </c>
      <c r="B92" s="3" t="s">
        <v>1234</v>
      </c>
      <c r="C92" s="3" t="s">
        <v>1235</v>
      </c>
      <c r="D92" s="3" t="s">
        <v>1236</v>
      </c>
      <c r="E92" s="3" t="s">
        <v>1160</v>
      </c>
      <c r="F92" s="3">
        <v>340</v>
      </c>
      <c r="G92" s="3">
        <f t="shared" si="2"/>
        <v>460</v>
      </c>
      <c r="H92" s="3" t="s">
        <v>1237</v>
      </c>
      <c r="I92" s="3">
        <v>0</v>
      </c>
      <c r="J92" s="3" t="s">
        <v>1116</v>
      </c>
      <c r="K92" s="3" t="s">
        <v>961</v>
      </c>
      <c r="L92" s="3" t="s">
        <v>975</v>
      </c>
      <c r="M92" s="3"/>
    </row>
    <row r="93" spans="1:13" ht="15" customHeight="1" x14ac:dyDescent="0.25">
      <c r="A93" s="3">
        <v>21030</v>
      </c>
      <c r="B93" s="3" t="s">
        <v>1238</v>
      </c>
      <c r="C93" s="3" t="s">
        <v>1239</v>
      </c>
      <c r="D93" s="3" t="s">
        <v>1240</v>
      </c>
      <c r="E93" s="3" t="s">
        <v>1160</v>
      </c>
      <c r="F93" s="3">
        <v>220</v>
      </c>
      <c r="G93" s="3">
        <f t="shared" si="2"/>
        <v>340</v>
      </c>
      <c r="H93" s="3" t="s">
        <v>1241</v>
      </c>
      <c r="I93" s="3">
        <v>0</v>
      </c>
      <c r="J93" s="3" t="s">
        <v>1116</v>
      </c>
      <c r="K93" s="3" t="s">
        <v>961</v>
      </c>
      <c r="L93" s="3" t="s">
        <v>975</v>
      </c>
      <c r="M93" s="3"/>
    </row>
    <row r="94" spans="1:13" ht="15" customHeight="1" x14ac:dyDescent="0.25">
      <c r="A94" s="3">
        <v>21031</v>
      </c>
      <c r="B94" s="3" t="s">
        <v>1242</v>
      </c>
      <c r="C94" s="3" t="s">
        <v>1243</v>
      </c>
      <c r="D94" s="3"/>
      <c r="E94" s="3" t="s">
        <v>1160</v>
      </c>
      <c r="F94" s="3">
        <v>620</v>
      </c>
      <c r="G94" s="3">
        <f t="shared" si="2"/>
        <v>740</v>
      </c>
      <c r="H94" s="3" t="s">
        <v>979</v>
      </c>
      <c r="I94" s="3"/>
      <c r="J94" s="3" t="s">
        <v>1116</v>
      </c>
      <c r="K94" s="3" t="s">
        <v>18</v>
      </c>
      <c r="L94" s="3"/>
      <c r="M94" s="3"/>
    </row>
    <row r="95" spans="1:13" ht="15" customHeight="1" x14ac:dyDescent="0.25">
      <c r="A95" s="3">
        <v>21032</v>
      </c>
      <c r="B95" s="3" t="s">
        <v>1244</v>
      </c>
      <c r="C95" s="3" t="s">
        <v>1245</v>
      </c>
      <c r="D95" s="3"/>
      <c r="E95" s="3" t="s">
        <v>1160</v>
      </c>
      <c r="F95" s="3">
        <v>168</v>
      </c>
      <c r="G95" s="3">
        <f t="shared" si="2"/>
        <v>288</v>
      </c>
      <c r="H95" s="3" t="s">
        <v>1246</v>
      </c>
      <c r="I95" s="3"/>
      <c r="J95" s="3" t="s">
        <v>1116</v>
      </c>
      <c r="K95" s="3" t="s">
        <v>18</v>
      </c>
      <c r="L95" s="3"/>
      <c r="M95" s="3"/>
    </row>
    <row r="96" spans="1:13" ht="15" customHeight="1" x14ac:dyDescent="0.25">
      <c r="A96" s="3">
        <v>21033</v>
      </c>
      <c r="B96" s="3" t="s">
        <v>1247</v>
      </c>
      <c r="C96" s="3" t="s">
        <v>1248</v>
      </c>
      <c r="D96" s="3"/>
      <c r="E96" s="3" t="s">
        <v>1160</v>
      </c>
      <c r="F96" s="3">
        <v>245</v>
      </c>
      <c r="G96" s="3">
        <f t="shared" si="2"/>
        <v>365</v>
      </c>
      <c r="H96" s="3" t="s">
        <v>1249</v>
      </c>
      <c r="I96" s="3"/>
      <c r="J96" s="3" t="s">
        <v>1116</v>
      </c>
      <c r="K96" s="3" t="s">
        <v>18</v>
      </c>
      <c r="L96" s="3"/>
      <c r="M96" s="3"/>
    </row>
    <row r="97" spans="1:13" ht="15" customHeight="1" x14ac:dyDescent="0.25">
      <c r="A97" s="3">
        <v>21034</v>
      </c>
      <c r="B97" s="3" t="s">
        <v>1250</v>
      </c>
      <c r="C97" s="3" t="s">
        <v>1251</v>
      </c>
      <c r="D97" s="3"/>
      <c r="E97" s="3" t="s">
        <v>1160</v>
      </c>
      <c r="F97" s="3">
        <f>13*60</f>
        <v>780</v>
      </c>
      <c r="G97" s="3">
        <f t="shared" si="2"/>
        <v>900</v>
      </c>
      <c r="H97" s="3" t="s">
        <v>1061</v>
      </c>
      <c r="I97" s="3"/>
      <c r="J97" s="3" t="s">
        <v>1116</v>
      </c>
      <c r="K97" s="3" t="s">
        <v>18</v>
      </c>
      <c r="L97" s="3"/>
      <c r="M97" s="3"/>
    </row>
    <row r="98" spans="1:13" ht="15" customHeight="1" x14ac:dyDescent="0.25">
      <c r="A98" s="3">
        <v>21035</v>
      </c>
      <c r="B98" s="3" t="s">
        <v>1252</v>
      </c>
      <c r="C98" s="3" t="s">
        <v>1253</v>
      </c>
      <c r="D98" s="3"/>
      <c r="E98" s="3" t="s">
        <v>1160</v>
      </c>
      <c r="F98" s="3">
        <v>419</v>
      </c>
      <c r="G98" s="3">
        <f t="shared" ref="G98:G129" si="3">F98+120</f>
        <v>539</v>
      </c>
      <c r="H98" s="3" t="s">
        <v>1237</v>
      </c>
      <c r="I98" s="3"/>
      <c r="J98" s="3" t="s">
        <v>1116</v>
      </c>
      <c r="K98" s="3" t="s">
        <v>18</v>
      </c>
      <c r="L98" s="3"/>
      <c r="M98" s="3"/>
    </row>
    <row r="99" spans="1:13" ht="15" customHeight="1" x14ac:dyDescent="0.25">
      <c r="A99" s="3">
        <v>21036</v>
      </c>
      <c r="B99" s="3" t="s">
        <v>1254</v>
      </c>
      <c r="C99" s="3" t="s">
        <v>1255</v>
      </c>
      <c r="D99" s="3"/>
      <c r="E99" s="3" t="s">
        <v>1160</v>
      </c>
      <c r="F99" s="3">
        <f>120+58</f>
        <v>178</v>
      </c>
      <c r="G99" s="3">
        <f t="shared" si="3"/>
        <v>298</v>
      </c>
      <c r="H99" s="3" t="s">
        <v>1256</v>
      </c>
      <c r="I99" s="3"/>
      <c r="J99" s="3" t="s">
        <v>1116</v>
      </c>
      <c r="K99" s="3" t="s">
        <v>18</v>
      </c>
      <c r="L99" s="3"/>
      <c r="M99" s="3"/>
    </row>
    <row r="100" spans="1:13" ht="15" customHeight="1" x14ac:dyDescent="0.25">
      <c r="A100" s="3">
        <v>21037</v>
      </c>
      <c r="B100" s="3" t="s">
        <v>1257</v>
      </c>
      <c r="C100" s="3" t="s">
        <v>1258</v>
      </c>
      <c r="D100" s="3"/>
      <c r="E100" s="3" t="s">
        <v>1160</v>
      </c>
      <c r="F100" s="3">
        <v>298</v>
      </c>
      <c r="G100" s="3">
        <f t="shared" si="3"/>
        <v>418</v>
      </c>
      <c r="H100" s="3" t="s">
        <v>1203</v>
      </c>
      <c r="I100" s="3"/>
      <c r="J100" s="3" t="s">
        <v>1116</v>
      </c>
      <c r="K100" s="3" t="s">
        <v>18</v>
      </c>
      <c r="L100" s="3"/>
      <c r="M100" s="3"/>
    </row>
    <row r="101" spans="1:13" ht="15" customHeight="1" x14ac:dyDescent="0.25">
      <c r="A101" s="3">
        <v>21038</v>
      </c>
      <c r="B101" s="3" t="s">
        <v>1259</v>
      </c>
      <c r="C101" s="3" t="s">
        <v>1260</v>
      </c>
      <c r="D101" s="3"/>
      <c r="E101" s="3" t="s">
        <v>1160</v>
      </c>
      <c r="F101" s="3">
        <v>329</v>
      </c>
      <c r="G101" s="3">
        <f t="shared" si="3"/>
        <v>449</v>
      </c>
      <c r="H101" s="3" t="s">
        <v>1249</v>
      </c>
      <c r="I101" s="3"/>
      <c r="J101" s="3" t="s">
        <v>1116</v>
      </c>
      <c r="K101" s="3" t="s">
        <v>18</v>
      </c>
      <c r="L101" s="3"/>
      <c r="M101" s="3"/>
    </row>
    <row r="102" spans="1:13" ht="15" customHeight="1" x14ac:dyDescent="0.25">
      <c r="A102" s="3">
        <v>21039</v>
      </c>
      <c r="B102" s="3" t="s">
        <v>1261</v>
      </c>
      <c r="C102" s="3" t="s">
        <v>1262</v>
      </c>
      <c r="D102" s="3"/>
      <c r="E102" s="3" t="s">
        <v>1160</v>
      </c>
      <c r="F102" s="3">
        <f>240+35</f>
        <v>275</v>
      </c>
      <c r="G102" s="3">
        <f t="shared" si="3"/>
        <v>395</v>
      </c>
      <c r="H102" s="3" t="s">
        <v>1040</v>
      </c>
      <c r="I102" s="3"/>
      <c r="J102" s="3" t="s">
        <v>1116</v>
      </c>
      <c r="K102" s="3" t="s">
        <v>18</v>
      </c>
      <c r="L102" s="3" t="s">
        <v>1263</v>
      </c>
      <c r="M102" s="3"/>
    </row>
    <row r="103" spans="1:13" ht="15" customHeight="1" x14ac:dyDescent="0.25">
      <c r="A103" s="3">
        <v>21040</v>
      </c>
      <c r="B103" s="3" t="s">
        <v>1264</v>
      </c>
      <c r="C103" s="3" t="s">
        <v>1265</v>
      </c>
      <c r="D103" s="3"/>
      <c r="E103" s="3" t="s">
        <v>1160</v>
      </c>
      <c r="F103" s="3">
        <v>150</v>
      </c>
      <c r="G103" s="3">
        <f t="shared" si="3"/>
        <v>270</v>
      </c>
      <c r="H103" s="3" t="s">
        <v>1266</v>
      </c>
      <c r="I103" s="3"/>
      <c r="J103" s="3" t="s">
        <v>1116</v>
      </c>
      <c r="K103" s="3" t="s">
        <v>18</v>
      </c>
      <c r="L103" s="3"/>
      <c r="M103" s="3"/>
    </row>
    <row r="104" spans="1:13" ht="15" customHeight="1" x14ac:dyDescent="0.25">
      <c r="A104" s="3">
        <v>21041</v>
      </c>
      <c r="B104" s="3" t="s">
        <v>1267</v>
      </c>
      <c r="C104" s="3" t="s">
        <v>1268</v>
      </c>
      <c r="D104" s="3"/>
      <c r="E104" s="3" t="s">
        <v>1160</v>
      </c>
      <c r="F104" s="3">
        <v>213</v>
      </c>
      <c r="G104" s="3">
        <f t="shared" si="3"/>
        <v>333</v>
      </c>
      <c r="H104" s="3" t="s">
        <v>1269</v>
      </c>
      <c r="I104" s="3"/>
      <c r="J104" s="3" t="s">
        <v>1116</v>
      </c>
      <c r="K104" s="3" t="s">
        <v>18</v>
      </c>
      <c r="L104" s="3"/>
      <c r="M104" s="3"/>
    </row>
    <row r="105" spans="1:13" ht="15" customHeight="1" x14ac:dyDescent="0.25">
      <c r="A105" s="3">
        <v>21042</v>
      </c>
      <c r="B105" s="3" t="s">
        <v>1270</v>
      </c>
      <c r="C105" s="3" t="s">
        <v>1271</v>
      </c>
      <c r="D105" s="3"/>
      <c r="E105" s="3" t="s">
        <v>1160</v>
      </c>
      <c r="F105" s="3">
        <v>368</v>
      </c>
      <c r="G105" s="3">
        <f t="shared" si="3"/>
        <v>488</v>
      </c>
      <c r="H105" s="3" t="s">
        <v>1034</v>
      </c>
      <c r="I105" s="3"/>
      <c r="J105" s="3" t="s">
        <v>1116</v>
      </c>
      <c r="K105" s="3" t="s">
        <v>18</v>
      </c>
      <c r="L105" s="3"/>
      <c r="M105" s="3"/>
    </row>
    <row r="106" spans="1:13" ht="15" customHeight="1" x14ac:dyDescent="0.25">
      <c r="A106" s="3">
        <v>21043</v>
      </c>
      <c r="B106" s="3" t="s">
        <v>1272</v>
      </c>
      <c r="C106" s="3" t="s">
        <v>1273</v>
      </c>
      <c r="D106" s="3"/>
      <c r="E106" s="3" t="s">
        <v>1160</v>
      </c>
      <c r="F106" s="3">
        <v>158</v>
      </c>
      <c r="G106" s="3">
        <f t="shared" si="3"/>
        <v>278</v>
      </c>
      <c r="H106" s="3" t="s">
        <v>1065</v>
      </c>
      <c r="I106" s="3"/>
      <c r="J106" s="3" t="s">
        <v>1116</v>
      </c>
      <c r="K106" s="3" t="s">
        <v>18</v>
      </c>
      <c r="L106" s="3"/>
      <c r="M106" s="3"/>
    </row>
    <row r="107" spans="1:13" ht="15" customHeight="1" x14ac:dyDescent="0.25">
      <c r="A107" s="3">
        <v>21044</v>
      </c>
      <c r="B107" s="3" t="s">
        <v>1274</v>
      </c>
      <c r="C107" s="3" t="s">
        <v>1275</v>
      </c>
      <c r="D107" s="3"/>
      <c r="E107" s="3" t="s">
        <v>1160</v>
      </c>
      <c r="F107" s="3">
        <v>143</v>
      </c>
      <c r="G107" s="3">
        <f t="shared" si="3"/>
        <v>263</v>
      </c>
      <c r="H107" s="3" t="s">
        <v>1276</v>
      </c>
      <c r="I107" s="3"/>
      <c r="J107" s="3" t="s">
        <v>1116</v>
      </c>
      <c r="K107" s="3" t="s">
        <v>18</v>
      </c>
      <c r="L107" s="3"/>
      <c r="M107" s="3"/>
    </row>
    <row r="108" spans="1:13" ht="15" customHeight="1" x14ac:dyDescent="0.25">
      <c r="A108" s="3">
        <v>21045</v>
      </c>
      <c r="B108" s="3" t="s">
        <v>1277</v>
      </c>
      <c r="C108" s="3" t="s">
        <v>1278</v>
      </c>
      <c r="D108" s="3"/>
      <c r="E108" s="3" t="s">
        <v>1160</v>
      </c>
      <c r="F108" s="3">
        <f>24+45</f>
        <v>69</v>
      </c>
      <c r="G108" s="3">
        <f t="shared" si="3"/>
        <v>189</v>
      </c>
      <c r="H108" s="3" t="s">
        <v>1119</v>
      </c>
      <c r="I108" s="3"/>
      <c r="J108" s="3" t="s">
        <v>1116</v>
      </c>
      <c r="K108" s="3" t="s">
        <v>18</v>
      </c>
      <c r="L108" s="3"/>
      <c r="M108" s="3"/>
    </row>
    <row r="109" spans="1:13" ht="15" customHeight="1" x14ac:dyDescent="0.25">
      <c r="A109" s="3">
        <v>21046</v>
      </c>
      <c r="B109" s="3" t="s">
        <v>1279</v>
      </c>
      <c r="C109" s="3" t="s">
        <v>1280</v>
      </c>
      <c r="D109" s="3"/>
      <c r="E109" s="3" t="s">
        <v>1160</v>
      </c>
      <c r="F109" s="3">
        <v>240</v>
      </c>
      <c r="G109" s="3">
        <f t="shared" si="3"/>
        <v>360</v>
      </c>
      <c r="H109" s="3" t="s">
        <v>983</v>
      </c>
      <c r="I109" s="3"/>
      <c r="J109" s="3" t="s">
        <v>1116</v>
      </c>
      <c r="K109" s="3" t="s">
        <v>18</v>
      </c>
      <c r="L109" s="3"/>
      <c r="M109" s="3"/>
    </row>
    <row r="110" spans="1:13" ht="15" customHeight="1" x14ac:dyDescent="0.25">
      <c r="A110" s="3">
        <v>21047</v>
      </c>
      <c r="B110" s="3" t="s">
        <v>1281</v>
      </c>
      <c r="C110" s="3" t="s">
        <v>1282</v>
      </c>
      <c r="D110" s="3"/>
      <c r="E110" s="3" t="s">
        <v>1160</v>
      </c>
      <c r="F110" s="3">
        <v>181</v>
      </c>
      <c r="G110" s="3">
        <f t="shared" si="3"/>
        <v>301</v>
      </c>
      <c r="H110" s="3" t="s">
        <v>1283</v>
      </c>
      <c r="I110" s="3"/>
      <c r="J110" s="3" t="s">
        <v>1116</v>
      </c>
      <c r="K110" s="3" t="s">
        <v>18</v>
      </c>
      <c r="L110" s="3"/>
      <c r="M110" s="3"/>
    </row>
    <row r="111" spans="1:13" ht="15" customHeight="1" x14ac:dyDescent="0.25">
      <c r="A111" s="3">
        <v>21048</v>
      </c>
      <c r="B111" s="3" t="s">
        <v>1284</v>
      </c>
      <c r="C111" s="3" t="s">
        <v>1285</v>
      </c>
      <c r="D111" s="3"/>
      <c r="E111" s="3" t="s">
        <v>1160</v>
      </c>
      <c r="F111" s="3">
        <f>3*60+14</f>
        <v>194</v>
      </c>
      <c r="G111" s="3">
        <f t="shared" si="3"/>
        <v>314</v>
      </c>
      <c r="H111" s="3" t="s">
        <v>1286</v>
      </c>
      <c r="I111" s="3"/>
      <c r="J111" s="3" t="s">
        <v>1116</v>
      </c>
      <c r="K111" s="3" t="s">
        <v>18</v>
      </c>
      <c r="L111" s="3"/>
      <c r="M111" s="3"/>
    </row>
    <row r="112" spans="1:13" ht="15" customHeight="1" x14ac:dyDescent="0.25">
      <c r="A112" s="3">
        <v>21049</v>
      </c>
      <c r="B112" s="3" t="s">
        <v>1287</v>
      </c>
      <c r="C112" s="3" t="s">
        <v>1288</v>
      </c>
      <c r="D112" s="3"/>
      <c r="E112" s="3" t="s">
        <v>1160</v>
      </c>
      <c r="F112" s="3">
        <v>108</v>
      </c>
      <c r="G112" s="3">
        <f t="shared" si="3"/>
        <v>228</v>
      </c>
      <c r="H112" s="3" t="s">
        <v>966</v>
      </c>
      <c r="I112" s="3"/>
      <c r="J112" s="3" t="s">
        <v>1116</v>
      </c>
      <c r="K112" s="3" t="s">
        <v>18</v>
      </c>
      <c r="L112" s="3"/>
      <c r="M112" s="3"/>
    </row>
    <row r="113" spans="1:13" ht="15" customHeight="1" x14ac:dyDescent="0.25">
      <c r="A113" s="3">
        <v>21050</v>
      </c>
      <c r="B113" s="3" t="s">
        <v>1289</v>
      </c>
      <c r="C113" s="3" t="s">
        <v>1290</v>
      </c>
      <c r="D113" s="3"/>
      <c r="E113" s="3" t="s">
        <v>1160</v>
      </c>
      <c r="F113" s="3">
        <v>246</v>
      </c>
      <c r="G113" s="3">
        <f t="shared" si="3"/>
        <v>366</v>
      </c>
      <c r="H113" s="3" t="s">
        <v>1119</v>
      </c>
      <c r="I113" s="3"/>
      <c r="J113" s="3" t="s">
        <v>1116</v>
      </c>
      <c r="K113" s="3" t="s">
        <v>18</v>
      </c>
      <c r="L113" s="3"/>
      <c r="M113" s="3"/>
    </row>
    <row r="114" spans="1:13" ht="15" customHeight="1" x14ac:dyDescent="0.25">
      <c r="A114" s="3">
        <v>21051</v>
      </c>
      <c r="B114" s="3" t="s">
        <v>1291</v>
      </c>
      <c r="C114" s="3" t="s">
        <v>1292</v>
      </c>
      <c r="D114" s="3"/>
      <c r="E114" s="3" t="s">
        <v>1160</v>
      </c>
      <c r="F114" s="3">
        <f>3*60+7</f>
        <v>187</v>
      </c>
      <c r="G114" s="3">
        <f t="shared" si="3"/>
        <v>307</v>
      </c>
      <c r="H114" s="3" t="s">
        <v>1293</v>
      </c>
      <c r="I114" s="3"/>
      <c r="J114" s="3" t="s">
        <v>1116</v>
      </c>
      <c r="K114" s="3" t="s">
        <v>18</v>
      </c>
      <c r="L114" s="3"/>
      <c r="M114" s="3"/>
    </row>
    <row r="115" spans="1:13" ht="15" customHeight="1" x14ac:dyDescent="0.25">
      <c r="A115" s="3">
        <v>21052</v>
      </c>
      <c r="B115" s="3" t="s">
        <v>1294</v>
      </c>
      <c r="C115" s="3" t="s">
        <v>1295</v>
      </c>
      <c r="D115" s="3"/>
      <c r="E115" s="3" t="s">
        <v>1160</v>
      </c>
      <c r="F115" s="3">
        <v>267</v>
      </c>
      <c r="G115" s="3">
        <f t="shared" si="3"/>
        <v>387</v>
      </c>
      <c r="H115" s="3" t="s">
        <v>1296</v>
      </c>
      <c r="I115" s="3"/>
      <c r="J115" s="3" t="s">
        <v>1116</v>
      </c>
      <c r="K115" s="3" t="s">
        <v>961</v>
      </c>
      <c r="L115" s="3" t="s">
        <v>133</v>
      </c>
      <c r="M115" s="3"/>
    </row>
    <row r="116" spans="1:13" ht="15" customHeight="1" x14ac:dyDescent="0.25">
      <c r="A116" s="3">
        <v>21053</v>
      </c>
      <c r="B116" s="3" t="s">
        <v>1297</v>
      </c>
      <c r="C116" s="3" t="s">
        <v>1298</v>
      </c>
      <c r="D116" s="3"/>
      <c r="E116" s="3" t="s">
        <v>1160</v>
      </c>
      <c r="F116" s="3">
        <v>416</v>
      </c>
      <c r="G116" s="3">
        <f t="shared" si="3"/>
        <v>536</v>
      </c>
      <c r="H116" s="3" t="s">
        <v>1040</v>
      </c>
      <c r="I116" s="3"/>
      <c r="J116" s="3" t="s">
        <v>1116</v>
      </c>
      <c r="K116" s="3" t="s">
        <v>18</v>
      </c>
      <c r="L116" s="3" t="s">
        <v>1041</v>
      </c>
      <c r="M116" s="3"/>
    </row>
    <row r="117" spans="1:13" ht="15" customHeight="1" x14ac:dyDescent="0.25">
      <c r="A117" s="3">
        <v>21054</v>
      </c>
      <c r="B117" s="3" t="s">
        <v>1299</v>
      </c>
      <c r="C117" s="3" t="s">
        <v>1300</v>
      </c>
      <c r="D117" s="3"/>
      <c r="E117" s="3" t="s">
        <v>1160</v>
      </c>
      <c r="F117" s="3">
        <f>4*60+43</f>
        <v>283</v>
      </c>
      <c r="G117" s="3">
        <f t="shared" si="3"/>
        <v>403</v>
      </c>
      <c r="H117" s="3" t="s">
        <v>1301</v>
      </c>
      <c r="I117" s="3"/>
      <c r="J117" s="3" t="s">
        <v>1116</v>
      </c>
      <c r="K117" s="3" t="s">
        <v>18</v>
      </c>
      <c r="L117" s="3"/>
      <c r="M117" s="3"/>
    </row>
    <row r="118" spans="1:13" ht="15" customHeight="1" x14ac:dyDescent="0.25">
      <c r="A118" s="3">
        <v>21055</v>
      </c>
      <c r="B118" s="3" t="s">
        <v>1302</v>
      </c>
      <c r="C118" s="3" t="s">
        <v>1303</v>
      </c>
      <c r="D118" s="3"/>
      <c r="E118" s="3" t="s">
        <v>1160</v>
      </c>
      <c r="F118" s="3">
        <v>109</v>
      </c>
      <c r="G118" s="3">
        <f t="shared" si="3"/>
        <v>229</v>
      </c>
      <c r="H118" s="3" t="s">
        <v>1304</v>
      </c>
      <c r="I118" s="3"/>
      <c r="J118" s="3" t="s">
        <v>1116</v>
      </c>
      <c r="K118" s="3" t="s">
        <v>18</v>
      </c>
      <c r="L118" s="3" t="s">
        <v>1305</v>
      </c>
      <c r="M118" s="3"/>
    </row>
    <row r="119" spans="1:13" ht="15" customHeight="1" x14ac:dyDescent="0.25">
      <c r="A119" s="3">
        <v>21056</v>
      </c>
      <c r="B119" s="3" t="s">
        <v>1306</v>
      </c>
      <c r="C119" s="3" t="s">
        <v>1307</v>
      </c>
      <c r="D119" s="3"/>
      <c r="E119" s="3" t="s">
        <v>1160</v>
      </c>
      <c r="F119" s="3">
        <f>7*60+37</f>
        <v>457</v>
      </c>
      <c r="G119" s="3">
        <f t="shared" si="3"/>
        <v>577</v>
      </c>
      <c r="H119" s="3" t="s">
        <v>1058</v>
      </c>
      <c r="I119" s="3"/>
      <c r="J119" s="3" t="s">
        <v>1116</v>
      </c>
      <c r="K119" s="3" t="s">
        <v>18</v>
      </c>
      <c r="L119" s="3"/>
      <c r="M119" s="3"/>
    </row>
    <row r="120" spans="1:13" ht="15" customHeight="1" x14ac:dyDescent="0.25">
      <c r="A120" s="3">
        <v>21057</v>
      </c>
      <c r="B120" s="3" t="s">
        <v>1308</v>
      </c>
      <c r="C120" s="3" t="s">
        <v>1309</v>
      </c>
      <c r="D120" s="3"/>
      <c r="E120" s="3" t="s">
        <v>1160</v>
      </c>
      <c r="F120" s="3">
        <v>178</v>
      </c>
      <c r="G120" s="3">
        <f t="shared" si="3"/>
        <v>298</v>
      </c>
      <c r="H120" s="3" t="s">
        <v>1310</v>
      </c>
      <c r="I120" s="3"/>
      <c r="J120" s="3" t="s">
        <v>1116</v>
      </c>
      <c r="K120" s="3" t="s">
        <v>18</v>
      </c>
      <c r="L120" s="3"/>
      <c r="M120" s="3"/>
    </row>
    <row r="121" spans="1:13" ht="15" customHeight="1" x14ac:dyDescent="0.25">
      <c r="A121" s="3">
        <v>21058</v>
      </c>
      <c r="B121" s="3" t="s">
        <v>1311</v>
      </c>
      <c r="C121" s="3" t="s">
        <v>1312</v>
      </c>
      <c r="D121" s="3"/>
      <c r="E121" s="3" t="s">
        <v>1160</v>
      </c>
      <c r="F121" s="3">
        <v>162</v>
      </c>
      <c r="G121" s="3">
        <f t="shared" si="3"/>
        <v>282</v>
      </c>
      <c r="H121" s="3" t="s">
        <v>1097</v>
      </c>
      <c r="I121" s="3"/>
      <c r="J121" s="3" t="s">
        <v>1116</v>
      </c>
      <c r="K121" s="3" t="s">
        <v>18</v>
      </c>
      <c r="L121" s="3"/>
      <c r="M121" s="3"/>
    </row>
    <row r="122" spans="1:13" ht="15" customHeight="1" x14ac:dyDescent="0.25">
      <c r="A122" s="3">
        <v>21059</v>
      </c>
      <c r="B122" s="3" t="s">
        <v>1313</v>
      </c>
      <c r="C122" s="3" t="s">
        <v>1314</v>
      </c>
      <c r="D122" s="3"/>
      <c r="E122" s="3" t="s">
        <v>1160</v>
      </c>
      <c r="F122" s="3">
        <v>180</v>
      </c>
      <c r="G122" s="3">
        <f t="shared" si="3"/>
        <v>300</v>
      </c>
      <c r="H122" s="3" t="s">
        <v>1315</v>
      </c>
      <c r="I122" s="3"/>
      <c r="J122" s="3" t="s">
        <v>1116</v>
      </c>
      <c r="K122" s="3" t="s">
        <v>18</v>
      </c>
      <c r="L122" s="3"/>
      <c r="M122" s="3"/>
    </row>
    <row r="123" spans="1:13" ht="15" customHeight="1" x14ac:dyDescent="0.25">
      <c r="A123" s="3">
        <v>21060</v>
      </c>
      <c r="B123" s="3" t="s">
        <v>1316</v>
      </c>
      <c r="C123" s="3" t="s">
        <v>1317</v>
      </c>
      <c r="D123" s="3"/>
      <c r="E123" s="3" t="s">
        <v>1160</v>
      </c>
      <c r="F123" s="3">
        <f>8*60+7</f>
        <v>487</v>
      </c>
      <c r="G123" s="3">
        <f t="shared" si="3"/>
        <v>607</v>
      </c>
      <c r="H123" s="3" t="s">
        <v>1003</v>
      </c>
      <c r="I123" s="3"/>
      <c r="J123" s="3" t="s">
        <v>1116</v>
      </c>
      <c r="K123" s="3" t="s">
        <v>18</v>
      </c>
      <c r="L123" s="3"/>
      <c r="M123" s="3"/>
    </row>
    <row r="124" spans="1:13" ht="15" customHeight="1" x14ac:dyDescent="0.25">
      <c r="A124" s="3">
        <v>21061</v>
      </c>
      <c r="B124" s="3" t="s">
        <v>1318</v>
      </c>
      <c r="C124" s="3" t="s">
        <v>1319</v>
      </c>
      <c r="D124" s="3"/>
      <c r="E124" s="3" t="s">
        <v>1160</v>
      </c>
      <c r="F124" s="3">
        <v>488</v>
      </c>
      <c r="G124" s="3">
        <f t="shared" si="3"/>
        <v>608</v>
      </c>
      <c r="H124" s="3" t="s">
        <v>1203</v>
      </c>
      <c r="I124" s="3"/>
      <c r="J124" s="3" t="s">
        <v>1116</v>
      </c>
      <c r="K124" s="3" t="s">
        <v>18</v>
      </c>
      <c r="L124" s="3"/>
      <c r="M124" s="3"/>
    </row>
    <row r="125" spans="1:13" ht="15" customHeight="1" x14ac:dyDescent="0.25">
      <c r="A125" s="3">
        <v>22001</v>
      </c>
      <c r="B125" s="3" t="s">
        <v>1320</v>
      </c>
      <c r="C125" s="3" t="s">
        <v>1321</v>
      </c>
      <c r="D125" s="3"/>
      <c r="E125" s="3" t="s">
        <v>1322</v>
      </c>
      <c r="F125" s="3">
        <v>1200</v>
      </c>
      <c r="G125" s="3">
        <f t="shared" si="3"/>
        <v>1320</v>
      </c>
      <c r="H125" s="3" t="s">
        <v>1091</v>
      </c>
      <c r="I125" s="3">
        <v>0</v>
      </c>
      <c r="J125" s="3" t="s">
        <v>960</v>
      </c>
      <c r="K125" s="3" t="s">
        <v>18</v>
      </c>
      <c r="L125" s="3"/>
      <c r="M125" s="3"/>
    </row>
    <row r="126" spans="1:13" ht="15" customHeight="1" x14ac:dyDescent="0.25">
      <c r="A126" s="3">
        <v>22002</v>
      </c>
      <c r="B126" s="3" t="s">
        <v>1323</v>
      </c>
      <c r="C126" s="3" t="s">
        <v>1324</v>
      </c>
      <c r="D126" s="3"/>
      <c r="E126" s="3" t="s">
        <v>1322</v>
      </c>
      <c r="F126" s="3">
        <f>16*60</f>
        <v>960</v>
      </c>
      <c r="G126" s="3">
        <f t="shared" si="3"/>
        <v>1080</v>
      </c>
      <c r="H126" s="3" t="s">
        <v>1325</v>
      </c>
      <c r="I126" s="3">
        <v>0</v>
      </c>
      <c r="J126" s="3" t="s">
        <v>960</v>
      </c>
      <c r="K126" s="3" t="s">
        <v>18</v>
      </c>
      <c r="L126" s="3"/>
      <c r="M126" s="3"/>
    </row>
    <row r="127" spans="1:13" ht="15" customHeight="1" x14ac:dyDescent="0.25">
      <c r="A127" s="3">
        <v>22003</v>
      </c>
      <c r="B127" s="3" t="s">
        <v>1326</v>
      </c>
      <c r="C127" s="3" t="s">
        <v>1327</v>
      </c>
      <c r="D127" s="3"/>
      <c r="E127" s="3" t="s">
        <v>1322</v>
      </c>
      <c r="F127" s="3">
        <f>240+5</f>
        <v>245</v>
      </c>
      <c r="G127" s="3">
        <f t="shared" si="3"/>
        <v>365</v>
      </c>
      <c r="H127" s="3" t="s">
        <v>989</v>
      </c>
      <c r="I127" s="3">
        <v>0</v>
      </c>
      <c r="J127" s="3" t="s">
        <v>1066</v>
      </c>
      <c r="K127" s="3" t="s">
        <v>18</v>
      </c>
      <c r="L127" s="3"/>
      <c r="M127" s="3"/>
    </row>
    <row r="128" spans="1:13" ht="15" customHeight="1" x14ac:dyDescent="0.25">
      <c r="A128" s="3">
        <v>22004</v>
      </c>
      <c r="B128" s="3" t="s">
        <v>1328</v>
      </c>
      <c r="C128" s="3" t="s">
        <v>1329</v>
      </c>
      <c r="D128" s="3"/>
      <c r="E128" s="3" t="s">
        <v>1322</v>
      </c>
      <c r="F128" s="3">
        <v>173</v>
      </c>
      <c r="G128" s="3">
        <f t="shared" si="3"/>
        <v>293</v>
      </c>
      <c r="H128" s="3" t="s">
        <v>1109</v>
      </c>
      <c r="I128" s="3">
        <v>0</v>
      </c>
      <c r="J128" s="3" t="s">
        <v>1066</v>
      </c>
      <c r="K128" s="3" t="s">
        <v>18</v>
      </c>
      <c r="L128" s="3"/>
      <c r="M128" s="3"/>
    </row>
    <row r="129" spans="1:13" ht="15" customHeight="1" x14ac:dyDescent="0.25">
      <c r="A129" s="3">
        <v>22005</v>
      </c>
      <c r="B129" s="3" t="s">
        <v>1330</v>
      </c>
      <c r="C129" s="3" t="s">
        <v>1331</v>
      </c>
      <c r="D129" s="3"/>
      <c r="E129" s="3" t="s">
        <v>1322</v>
      </c>
      <c r="F129" s="3">
        <v>155</v>
      </c>
      <c r="G129" s="3">
        <f t="shared" si="3"/>
        <v>275</v>
      </c>
      <c r="H129" s="3" t="s">
        <v>986</v>
      </c>
      <c r="I129" s="3">
        <v>0</v>
      </c>
      <c r="J129" s="3" t="s">
        <v>1066</v>
      </c>
      <c r="K129" s="3" t="s">
        <v>18</v>
      </c>
      <c r="L129" s="3" t="s">
        <v>1332</v>
      </c>
      <c r="M129" s="3"/>
    </row>
    <row r="130" spans="1:13" ht="15" customHeight="1" x14ac:dyDescent="0.25">
      <c r="A130" s="3">
        <v>22006</v>
      </c>
      <c r="B130" s="3" t="s">
        <v>1333</v>
      </c>
      <c r="C130" s="3" t="s">
        <v>1334</v>
      </c>
      <c r="D130" s="3"/>
      <c r="E130" s="3" t="s">
        <v>1322</v>
      </c>
      <c r="F130" s="3">
        <v>148</v>
      </c>
      <c r="G130" s="3">
        <f t="shared" ref="G130:G158" si="4">F130+120</f>
        <v>268</v>
      </c>
      <c r="H130" s="3" t="s">
        <v>1097</v>
      </c>
      <c r="I130" s="3"/>
      <c r="J130" s="3" t="s">
        <v>1066</v>
      </c>
      <c r="K130" s="3" t="s">
        <v>18</v>
      </c>
      <c r="L130" s="3"/>
      <c r="M130" s="3"/>
    </row>
    <row r="131" spans="1:13" ht="15" customHeight="1" x14ac:dyDescent="0.25">
      <c r="A131" s="3">
        <v>22007</v>
      </c>
      <c r="B131" s="3" t="s">
        <v>1335</v>
      </c>
      <c r="C131" s="3" t="s">
        <v>1336</v>
      </c>
      <c r="D131" s="3"/>
      <c r="E131" s="3" t="s">
        <v>1322</v>
      </c>
      <c r="F131" s="3">
        <f>7*60+28</f>
        <v>448</v>
      </c>
      <c r="G131" s="3">
        <f t="shared" si="4"/>
        <v>568</v>
      </c>
      <c r="H131" s="3" t="s">
        <v>1122</v>
      </c>
      <c r="I131" s="3"/>
      <c r="J131" s="3" t="s">
        <v>1066</v>
      </c>
      <c r="K131" s="3" t="s">
        <v>18</v>
      </c>
      <c r="L131" s="3"/>
      <c r="M131" s="3"/>
    </row>
    <row r="132" spans="1:13" ht="15" customHeight="1" x14ac:dyDescent="0.25">
      <c r="A132" s="3">
        <v>22008</v>
      </c>
      <c r="B132" s="3" t="s">
        <v>1337</v>
      </c>
      <c r="C132" s="3" t="s">
        <v>1338</v>
      </c>
      <c r="D132" s="3"/>
      <c r="E132" s="3" t="s">
        <v>1322</v>
      </c>
      <c r="F132" s="3">
        <v>182</v>
      </c>
      <c r="G132" s="3">
        <f t="shared" si="4"/>
        <v>302</v>
      </c>
      <c r="H132" s="3" t="s">
        <v>1339</v>
      </c>
      <c r="I132" s="3"/>
      <c r="J132" s="3" t="s">
        <v>1116</v>
      </c>
      <c r="K132" s="3"/>
      <c r="L132" s="3"/>
      <c r="M132" s="3"/>
    </row>
    <row r="133" spans="1:13" ht="15" customHeight="1" x14ac:dyDescent="0.25">
      <c r="A133" s="3">
        <v>22009</v>
      </c>
      <c r="B133" s="3" t="s">
        <v>1340</v>
      </c>
      <c r="C133" s="3" t="s">
        <v>1341</v>
      </c>
      <c r="D133" s="3"/>
      <c r="E133" s="3" t="s">
        <v>1322</v>
      </c>
      <c r="F133" s="3">
        <v>280</v>
      </c>
      <c r="G133" s="3">
        <f t="shared" si="4"/>
        <v>400</v>
      </c>
      <c r="H133" s="3" t="s">
        <v>1342</v>
      </c>
      <c r="I133" s="3"/>
      <c r="J133" s="3" t="s">
        <v>1116</v>
      </c>
      <c r="K133" s="3" t="s">
        <v>18</v>
      </c>
      <c r="L133" s="3"/>
      <c r="M133" s="3"/>
    </row>
    <row r="134" spans="1:13" ht="15" customHeight="1" x14ac:dyDescent="0.25">
      <c r="A134" s="3">
        <v>22010</v>
      </c>
      <c r="B134" s="3" t="s">
        <v>1343</v>
      </c>
      <c r="C134" s="3" t="s">
        <v>1344</v>
      </c>
      <c r="D134" s="3"/>
      <c r="E134" s="3" t="s">
        <v>1322</v>
      </c>
      <c r="F134" s="3">
        <v>248</v>
      </c>
      <c r="G134" s="3">
        <f t="shared" si="4"/>
        <v>368</v>
      </c>
      <c r="H134" s="3" t="s">
        <v>1345</v>
      </c>
      <c r="I134" s="3"/>
      <c r="J134" s="3" t="s">
        <v>1116</v>
      </c>
      <c r="K134" s="3" t="s">
        <v>18</v>
      </c>
      <c r="L134" s="3"/>
      <c r="M134" s="3"/>
    </row>
    <row r="135" spans="1:13" ht="15" customHeight="1" x14ac:dyDescent="0.25">
      <c r="A135" s="3">
        <v>22011</v>
      </c>
      <c r="B135" s="3" t="s">
        <v>1343</v>
      </c>
      <c r="C135" s="3" t="s">
        <v>1344</v>
      </c>
      <c r="D135" s="3"/>
      <c r="E135" s="3" t="s">
        <v>1322</v>
      </c>
      <c r="F135" s="3">
        <v>457</v>
      </c>
      <c r="G135" s="3">
        <f t="shared" si="4"/>
        <v>577</v>
      </c>
      <c r="H135" s="3" t="s">
        <v>1345</v>
      </c>
      <c r="I135" s="3"/>
      <c r="J135" s="3" t="s">
        <v>1116</v>
      </c>
      <c r="K135" s="3" t="s">
        <v>18</v>
      </c>
      <c r="L135" s="3" t="s">
        <v>1346</v>
      </c>
      <c r="M135" s="3"/>
    </row>
    <row r="136" spans="1:13" ht="15" customHeight="1" x14ac:dyDescent="0.25">
      <c r="A136" s="3">
        <v>22012</v>
      </c>
      <c r="B136" s="3" t="s">
        <v>1347</v>
      </c>
      <c r="C136" s="3" t="s">
        <v>1348</v>
      </c>
      <c r="D136" s="3"/>
      <c r="E136" s="3" t="s">
        <v>1322</v>
      </c>
      <c r="F136" s="3">
        <v>119</v>
      </c>
      <c r="G136" s="3">
        <f t="shared" si="4"/>
        <v>239</v>
      </c>
      <c r="H136" s="3" t="s">
        <v>979</v>
      </c>
      <c r="I136" s="3">
        <v>0</v>
      </c>
      <c r="J136" s="3" t="s">
        <v>1116</v>
      </c>
      <c r="K136" s="3" t="s">
        <v>18</v>
      </c>
      <c r="L136" s="3"/>
      <c r="M136" s="3"/>
    </row>
    <row r="137" spans="1:13" ht="15" customHeight="1" x14ac:dyDescent="0.25">
      <c r="A137" s="3">
        <v>22013</v>
      </c>
      <c r="B137" s="3" t="s">
        <v>1349</v>
      </c>
      <c r="C137" s="3" t="s">
        <v>1350</v>
      </c>
      <c r="D137" s="3"/>
      <c r="E137" s="3" t="s">
        <v>1322</v>
      </c>
      <c r="F137" s="3">
        <f>240+57</f>
        <v>297</v>
      </c>
      <c r="G137" s="3">
        <f t="shared" si="4"/>
        <v>417</v>
      </c>
      <c r="H137" s="3" t="s">
        <v>1351</v>
      </c>
      <c r="I137" s="3">
        <v>0</v>
      </c>
      <c r="J137" s="3" t="s">
        <v>1116</v>
      </c>
      <c r="K137" s="3" t="s">
        <v>18</v>
      </c>
      <c r="L137" s="3"/>
      <c r="M137" s="3"/>
    </row>
    <row r="138" spans="1:13" ht="15" customHeight="1" x14ac:dyDescent="0.25">
      <c r="A138" s="3">
        <v>22014</v>
      </c>
      <c r="B138" s="3" t="s">
        <v>1352</v>
      </c>
      <c r="C138" s="3" t="s">
        <v>1353</v>
      </c>
      <c r="D138" s="3"/>
      <c r="E138" s="3" t="s">
        <v>1322</v>
      </c>
      <c r="F138" s="3">
        <v>80</v>
      </c>
      <c r="G138" s="3">
        <f t="shared" si="4"/>
        <v>200</v>
      </c>
      <c r="H138" s="3" t="s">
        <v>1075</v>
      </c>
      <c r="I138" s="3">
        <v>0</v>
      </c>
      <c r="J138" s="3" t="s">
        <v>1116</v>
      </c>
      <c r="K138" s="3" t="s">
        <v>18</v>
      </c>
      <c r="L138" s="3" t="s">
        <v>763</v>
      </c>
      <c r="M138" s="3"/>
    </row>
    <row r="139" spans="1:13" ht="15" customHeight="1" x14ac:dyDescent="0.25">
      <c r="A139" s="3">
        <v>22015</v>
      </c>
      <c r="B139" s="3" t="s">
        <v>1354</v>
      </c>
      <c r="C139" s="3" t="s">
        <v>1355</v>
      </c>
      <c r="D139" s="3"/>
      <c r="E139" s="3" t="s">
        <v>1322</v>
      </c>
      <c r="F139" s="3">
        <v>128</v>
      </c>
      <c r="G139" s="3">
        <f t="shared" si="4"/>
        <v>248</v>
      </c>
      <c r="H139" s="3" t="s">
        <v>1356</v>
      </c>
      <c r="I139" s="3">
        <v>0</v>
      </c>
      <c r="J139" s="3" t="s">
        <v>1116</v>
      </c>
      <c r="K139" s="3" t="s">
        <v>18</v>
      </c>
      <c r="L139" s="3"/>
      <c r="M139" s="3"/>
    </row>
    <row r="140" spans="1:13" ht="15" customHeight="1" x14ac:dyDescent="0.25">
      <c r="A140" s="3">
        <v>23001</v>
      </c>
      <c r="B140" s="3" t="s">
        <v>1357</v>
      </c>
      <c r="C140" s="3" t="s">
        <v>1358</v>
      </c>
      <c r="D140" s="3"/>
      <c r="E140" s="3" t="s">
        <v>1359</v>
      </c>
      <c r="F140" s="3">
        <f>14*60+39</f>
        <v>879</v>
      </c>
      <c r="G140" s="3">
        <f t="shared" si="4"/>
        <v>999</v>
      </c>
      <c r="H140" s="3" t="s">
        <v>1091</v>
      </c>
      <c r="I140" s="3">
        <v>0</v>
      </c>
      <c r="J140" s="3" t="s">
        <v>960</v>
      </c>
      <c r="K140" s="3" t="s">
        <v>18</v>
      </c>
      <c r="L140" s="3"/>
      <c r="M140" s="3"/>
    </row>
    <row r="141" spans="1:13" ht="15" customHeight="1" x14ac:dyDescent="0.25">
      <c r="A141" s="3">
        <v>23002</v>
      </c>
      <c r="B141" s="3" t="s">
        <v>1360</v>
      </c>
      <c r="C141" s="3" t="s">
        <v>1361</v>
      </c>
      <c r="D141" s="3"/>
      <c r="E141" s="3" t="s">
        <v>1359</v>
      </c>
      <c r="F141" s="3">
        <f>17*40+39</f>
        <v>719</v>
      </c>
      <c r="G141" s="3">
        <f t="shared" si="4"/>
        <v>839</v>
      </c>
      <c r="H141" s="3" t="s">
        <v>1362</v>
      </c>
      <c r="I141" s="3">
        <v>0</v>
      </c>
      <c r="J141" s="3" t="s">
        <v>1066</v>
      </c>
      <c r="K141" s="3" t="s">
        <v>961</v>
      </c>
      <c r="L141" s="3" t="s">
        <v>155</v>
      </c>
      <c r="M141" s="3"/>
    </row>
    <row r="142" spans="1:13" ht="15" customHeight="1" x14ac:dyDescent="0.25">
      <c r="A142" s="3">
        <v>23003</v>
      </c>
      <c r="B142" s="3" t="s">
        <v>1363</v>
      </c>
      <c r="C142" s="3" t="s">
        <v>1364</v>
      </c>
      <c r="D142" s="3"/>
      <c r="E142" s="3" t="s">
        <v>1359</v>
      </c>
      <c r="F142" s="3">
        <v>208</v>
      </c>
      <c r="G142" s="3">
        <f t="shared" si="4"/>
        <v>328</v>
      </c>
      <c r="H142" s="3" t="s">
        <v>1365</v>
      </c>
      <c r="I142" s="3">
        <v>0</v>
      </c>
      <c r="J142" s="3" t="s">
        <v>1066</v>
      </c>
      <c r="K142" s="3" t="s">
        <v>18</v>
      </c>
      <c r="L142" s="3" t="s">
        <v>763</v>
      </c>
      <c r="M142" s="3"/>
    </row>
    <row r="143" spans="1:13" ht="15" customHeight="1" x14ac:dyDescent="0.25">
      <c r="A143" s="3">
        <v>23004</v>
      </c>
      <c r="B143" s="3" t="s">
        <v>1366</v>
      </c>
      <c r="C143" s="3" t="s">
        <v>1367</v>
      </c>
      <c r="D143" s="3"/>
      <c r="E143" s="3" t="s">
        <v>1359</v>
      </c>
      <c r="F143" s="3">
        <v>115</v>
      </c>
      <c r="G143" s="3">
        <f t="shared" si="4"/>
        <v>235</v>
      </c>
      <c r="H143" s="3" t="s">
        <v>1368</v>
      </c>
      <c r="I143" s="3">
        <v>0</v>
      </c>
      <c r="J143" s="3" t="s">
        <v>1066</v>
      </c>
      <c r="K143" s="3" t="s">
        <v>18</v>
      </c>
      <c r="L143" s="3" t="s">
        <v>763</v>
      </c>
      <c r="M143" s="3"/>
    </row>
    <row r="144" spans="1:13" ht="15" customHeight="1" x14ac:dyDescent="0.25">
      <c r="A144" s="3">
        <v>23005</v>
      </c>
      <c r="B144" s="3" t="s">
        <v>1369</v>
      </c>
      <c r="C144" s="3" t="s">
        <v>1370</v>
      </c>
      <c r="D144" s="3"/>
      <c r="E144" s="3" t="s">
        <v>1359</v>
      </c>
      <c r="F144" s="3">
        <v>41</v>
      </c>
      <c r="G144" s="3">
        <f t="shared" si="4"/>
        <v>161</v>
      </c>
      <c r="H144" s="3" t="s">
        <v>1371</v>
      </c>
      <c r="I144" s="3">
        <v>0</v>
      </c>
      <c r="J144" s="3" t="s">
        <v>1066</v>
      </c>
      <c r="K144" s="3" t="s">
        <v>18</v>
      </c>
      <c r="L144" s="3" t="s">
        <v>763</v>
      </c>
      <c r="M144" s="3"/>
    </row>
    <row r="145" spans="1:13" ht="15" customHeight="1" x14ac:dyDescent="0.25">
      <c r="A145" s="3">
        <v>23006</v>
      </c>
      <c r="B145" s="3" t="s">
        <v>1372</v>
      </c>
      <c r="C145" s="3" t="s">
        <v>1373</v>
      </c>
      <c r="D145" s="3"/>
      <c r="E145" s="3" t="s">
        <v>1359</v>
      </c>
      <c r="F145" s="3">
        <f>300+10</f>
        <v>310</v>
      </c>
      <c r="G145" s="3">
        <f t="shared" si="4"/>
        <v>430</v>
      </c>
      <c r="H145" s="3" t="s">
        <v>1374</v>
      </c>
      <c r="I145" s="3">
        <v>0</v>
      </c>
      <c r="J145" s="3" t="s">
        <v>1066</v>
      </c>
      <c r="K145" s="3" t="s">
        <v>18</v>
      </c>
      <c r="L145" s="3"/>
      <c r="M145" s="3"/>
    </row>
    <row r="146" spans="1:13" ht="15" customHeight="1" x14ac:dyDescent="0.25">
      <c r="A146" s="3">
        <v>23007</v>
      </c>
      <c r="B146" s="3" t="s">
        <v>1375</v>
      </c>
      <c r="C146" s="3" t="s">
        <v>1376</v>
      </c>
      <c r="D146" s="3"/>
      <c r="E146" s="3" t="s">
        <v>1359</v>
      </c>
      <c r="F146" s="3">
        <v>27</v>
      </c>
      <c r="G146" s="3">
        <f t="shared" si="4"/>
        <v>147</v>
      </c>
      <c r="H146" s="3" t="s">
        <v>1377</v>
      </c>
      <c r="I146" s="3"/>
      <c r="J146" s="3" t="s">
        <v>1066</v>
      </c>
      <c r="K146" s="3" t="s">
        <v>18</v>
      </c>
      <c r="L146" s="3"/>
      <c r="M146" s="3"/>
    </row>
    <row r="147" spans="1:13" ht="15" customHeight="1" x14ac:dyDescent="0.25">
      <c r="A147" s="3">
        <v>23008</v>
      </c>
      <c r="B147" s="3" t="s">
        <v>1378</v>
      </c>
      <c r="C147" s="3" t="s">
        <v>1379</v>
      </c>
      <c r="D147" s="3"/>
      <c r="E147" s="3" t="s">
        <v>1359</v>
      </c>
      <c r="F147" s="3">
        <v>245</v>
      </c>
      <c r="G147" s="3">
        <f t="shared" si="4"/>
        <v>365</v>
      </c>
      <c r="H147" s="3" t="s">
        <v>1380</v>
      </c>
      <c r="I147" s="3"/>
      <c r="J147" s="3" t="s">
        <v>1066</v>
      </c>
      <c r="K147" s="3" t="s">
        <v>1381</v>
      </c>
      <c r="L147" s="3" t="s">
        <v>1382</v>
      </c>
      <c r="M147" s="3"/>
    </row>
    <row r="148" spans="1:13" ht="15" customHeight="1" x14ac:dyDescent="0.25">
      <c r="A148" s="3">
        <v>23009</v>
      </c>
      <c r="B148" s="3" t="s">
        <v>1383</v>
      </c>
      <c r="C148" s="3" t="s">
        <v>1384</v>
      </c>
      <c r="D148" s="3"/>
      <c r="E148" s="3" t="s">
        <v>1359</v>
      </c>
      <c r="F148" s="3">
        <v>180</v>
      </c>
      <c r="G148" s="3">
        <f t="shared" si="4"/>
        <v>300</v>
      </c>
      <c r="H148" s="3" t="s">
        <v>986</v>
      </c>
      <c r="I148" s="3"/>
      <c r="J148" s="3" t="s">
        <v>1066</v>
      </c>
      <c r="K148" s="3" t="s">
        <v>961</v>
      </c>
      <c r="L148" s="3" t="s">
        <v>1385</v>
      </c>
      <c r="M148" s="3"/>
    </row>
    <row r="149" spans="1:13" ht="15" customHeight="1" x14ac:dyDescent="0.25">
      <c r="A149" s="3">
        <v>23010</v>
      </c>
      <c r="B149" s="3" t="s">
        <v>1386</v>
      </c>
      <c r="C149" s="3" t="s">
        <v>1387</v>
      </c>
      <c r="D149" s="3"/>
      <c r="E149" s="3" t="s">
        <v>1359</v>
      </c>
      <c r="F149" s="3">
        <v>420</v>
      </c>
      <c r="G149" s="3">
        <f t="shared" si="4"/>
        <v>540</v>
      </c>
      <c r="H149" s="3" t="s">
        <v>1388</v>
      </c>
      <c r="I149" s="3"/>
      <c r="J149" s="3" t="s">
        <v>1066</v>
      </c>
      <c r="K149" s="3" t="s">
        <v>961</v>
      </c>
      <c r="L149" s="3" t="s">
        <v>133</v>
      </c>
      <c r="M149" s="3"/>
    </row>
    <row r="150" spans="1:13" ht="15" customHeight="1" x14ac:dyDescent="0.25">
      <c r="A150" s="3">
        <v>23011</v>
      </c>
      <c r="B150" s="3" t="s">
        <v>1389</v>
      </c>
      <c r="C150" s="3" t="s">
        <v>1390</v>
      </c>
      <c r="D150" s="3" t="s">
        <v>1391</v>
      </c>
      <c r="E150" s="3" t="s">
        <v>1359</v>
      </c>
      <c r="F150" s="3">
        <v>117</v>
      </c>
      <c r="G150" s="3">
        <f t="shared" si="4"/>
        <v>237</v>
      </c>
      <c r="H150" s="3" t="s">
        <v>1392</v>
      </c>
      <c r="I150" s="3">
        <v>0</v>
      </c>
      <c r="J150" s="3" t="s">
        <v>1116</v>
      </c>
      <c r="K150" s="3" t="s">
        <v>961</v>
      </c>
      <c r="L150" s="3" t="s">
        <v>975</v>
      </c>
      <c r="M150" s="3"/>
    </row>
    <row r="151" spans="1:13" ht="15" customHeight="1" x14ac:dyDescent="0.25">
      <c r="A151" s="3">
        <v>23012</v>
      </c>
      <c r="B151" s="3" t="s">
        <v>1393</v>
      </c>
      <c r="C151" s="3" t="s">
        <v>1394</v>
      </c>
      <c r="D151" s="3" t="s">
        <v>1395</v>
      </c>
      <c r="E151" s="3" t="s">
        <v>1359</v>
      </c>
      <c r="F151" s="3">
        <v>420</v>
      </c>
      <c r="G151" s="3">
        <f t="shared" si="4"/>
        <v>540</v>
      </c>
      <c r="H151" s="3" t="s">
        <v>1396</v>
      </c>
      <c r="I151" s="3">
        <v>0</v>
      </c>
      <c r="J151" s="3" t="s">
        <v>1116</v>
      </c>
      <c r="K151" s="3" t="s">
        <v>18</v>
      </c>
      <c r="L151" s="3"/>
      <c r="M151" s="3"/>
    </row>
    <row r="152" spans="1:13" ht="15" customHeight="1" x14ac:dyDescent="0.25">
      <c r="A152" s="3">
        <v>23013</v>
      </c>
      <c r="B152" s="3" t="s">
        <v>1397</v>
      </c>
      <c r="C152" s="3" t="s">
        <v>1398</v>
      </c>
      <c r="D152" s="3"/>
      <c r="E152" s="3" t="s">
        <v>1359</v>
      </c>
      <c r="F152" s="3">
        <v>480</v>
      </c>
      <c r="G152" s="3">
        <f t="shared" si="4"/>
        <v>600</v>
      </c>
      <c r="H152" s="3" t="s">
        <v>974</v>
      </c>
      <c r="I152" s="3"/>
      <c r="J152" s="3" t="s">
        <v>1116</v>
      </c>
      <c r="K152" s="3"/>
      <c r="L152" s="3"/>
      <c r="M152" s="3"/>
    </row>
    <row r="153" spans="1:13" ht="15" customHeight="1" x14ac:dyDescent="0.25">
      <c r="A153" s="3">
        <v>23014</v>
      </c>
      <c r="B153" s="3" t="s">
        <v>1399</v>
      </c>
      <c r="C153" s="3" t="s">
        <v>1400</v>
      </c>
      <c r="D153" s="3"/>
      <c r="E153" s="3" t="s">
        <v>1359</v>
      </c>
      <c r="F153" s="3">
        <v>157</v>
      </c>
      <c r="G153" s="3">
        <f t="shared" si="4"/>
        <v>277</v>
      </c>
      <c r="H153" s="3" t="s">
        <v>1401</v>
      </c>
      <c r="I153" s="3">
        <v>0</v>
      </c>
      <c r="J153" s="3" t="s">
        <v>1116</v>
      </c>
      <c r="K153" s="3" t="s">
        <v>961</v>
      </c>
      <c r="L153" s="3" t="s">
        <v>1018</v>
      </c>
      <c r="M153" s="3"/>
    </row>
    <row r="154" spans="1:13" ht="15" customHeight="1" x14ac:dyDescent="0.25">
      <c r="A154" s="3">
        <v>23015</v>
      </c>
      <c r="B154" s="3" t="s">
        <v>1402</v>
      </c>
      <c r="C154" s="3" t="s">
        <v>1403</v>
      </c>
      <c r="D154" s="3"/>
      <c r="E154" s="3" t="s">
        <v>1359</v>
      </c>
      <c r="F154" s="3">
        <v>130</v>
      </c>
      <c r="G154" s="3">
        <f t="shared" si="4"/>
        <v>250</v>
      </c>
      <c r="H154" s="3" t="s">
        <v>1404</v>
      </c>
      <c r="I154" s="3">
        <v>0</v>
      </c>
      <c r="J154" s="3" t="s">
        <v>1116</v>
      </c>
      <c r="K154" s="3" t="s">
        <v>18</v>
      </c>
      <c r="L154" s="3"/>
      <c r="M154" s="3"/>
    </row>
    <row r="155" spans="1:13" ht="15" customHeight="1" x14ac:dyDescent="0.25">
      <c r="A155" s="3">
        <v>23016</v>
      </c>
      <c r="B155" s="3" t="s">
        <v>1405</v>
      </c>
      <c r="C155" s="3" t="s">
        <v>1406</v>
      </c>
      <c r="D155" s="3"/>
      <c r="E155" s="3" t="s">
        <v>1359</v>
      </c>
      <c r="F155" s="3">
        <v>125</v>
      </c>
      <c r="G155" s="3">
        <f t="shared" si="4"/>
        <v>245</v>
      </c>
      <c r="H155" s="3" t="s">
        <v>1407</v>
      </c>
      <c r="I155" s="3">
        <v>0</v>
      </c>
      <c r="J155" s="3" t="s">
        <v>1116</v>
      </c>
      <c r="K155" s="3" t="s">
        <v>18</v>
      </c>
      <c r="L155" s="3" t="s">
        <v>763</v>
      </c>
      <c r="M155" s="3"/>
    </row>
    <row r="156" spans="1:13" ht="15" customHeight="1" x14ac:dyDescent="0.25">
      <c r="A156" s="3">
        <v>23017</v>
      </c>
      <c r="B156" s="3" t="s">
        <v>1408</v>
      </c>
      <c r="C156" s="3" t="s">
        <v>1409</v>
      </c>
      <c r="D156" s="3"/>
      <c r="E156" s="3" t="s">
        <v>1359</v>
      </c>
      <c r="F156" s="3">
        <f>7*60+60</f>
        <v>480</v>
      </c>
      <c r="G156" s="3">
        <f t="shared" si="4"/>
        <v>600</v>
      </c>
      <c r="H156" s="3" t="s">
        <v>1410</v>
      </c>
      <c r="I156" s="3">
        <v>0</v>
      </c>
      <c r="J156" s="3" t="s">
        <v>1116</v>
      </c>
      <c r="K156" s="3" t="s">
        <v>18</v>
      </c>
      <c r="L156" s="3"/>
      <c r="M156" s="3"/>
    </row>
    <row r="157" spans="1:13" ht="15" customHeight="1" x14ac:dyDescent="0.25">
      <c r="A157" s="3">
        <v>23018</v>
      </c>
      <c r="B157" s="3" t="s">
        <v>1411</v>
      </c>
      <c r="C157" s="3" t="s">
        <v>1412</v>
      </c>
      <c r="D157" s="3"/>
      <c r="E157" s="3" t="s">
        <v>1359</v>
      </c>
      <c r="F157" s="3">
        <v>200</v>
      </c>
      <c r="G157" s="3">
        <f t="shared" si="4"/>
        <v>320</v>
      </c>
      <c r="H157" s="3" t="s">
        <v>1413</v>
      </c>
      <c r="I157" s="3">
        <v>0</v>
      </c>
      <c r="J157" s="3" t="s">
        <v>1116</v>
      </c>
      <c r="K157" s="3" t="s">
        <v>18</v>
      </c>
      <c r="L157" s="3"/>
      <c r="M157" s="3"/>
    </row>
    <row r="158" spans="1:13" ht="15" customHeight="1" x14ac:dyDescent="0.25">
      <c r="A158" s="3">
        <v>23019</v>
      </c>
      <c r="B158" s="3" t="s">
        <v>1414</v>
      </c>
      <c r="C158" s="3" t="s">
        <v>1415</v>
      </c>
      <c r="D158" s="3"/>
      <c r="E158" s="3" t="s">
        <v>1359</v>
      </c>
      <c r="F158" s="3">
        <v>70</v>
      </c>
      <c r="G158" s="3">
        <f t="shared" si="4"/>
        <v>190</v>
      </c>
      <c r="H158" s="3" t="s">
        <v>1413</v>
      </c>
      <c r="I158" s="3">
        <v>0</v>
      </c>
      <c r="J158" s="3" t="s">
        <v>1116</v>
      </c>
      <c r="K158" s="3" t="s">
        <v>18</v>
      </c>
      <c r="L158" s="3" t="s">
        <v>1416</v>
      </c>
      <c r="M158" s="3"/>
    </row>
    <row r="161" ht="12" customHeight="1" x14ac:dyDescent="0.25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Carnatic</vt:lpstr>
      <vt:lpstr>Carnatic_working</vt:lpstr>
      <vt:lpstr>Hindustani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MY BOOK</cp:lastModifiedBy>
  <cp:revision>1</cp:revision>
  <dcterms:modified xsi:type="dcterms:W3CDTF">2021-01-02T17:58:37Z</dcterms:modified>
  <dc:language>en-GB</dc:language>
</cp:coreProperties>
</file>