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esktop\python\spider\house_information_searching\redfin_information_searching_scrapy\redfin_information_searching_scrapy\spiders\"/>
    </mc:Choice>
  </mc:AlternateContent>
  <xr:revisionPtr revIDLastSave="0" documentId="13_ncr:1_{AE6EB0AD-9829-47E9-8096-E7283D659435}" xr6:coauthVersionLast="45" xr6:coauthVersionMax="45" xr10:uidLastSave="{00000000-0000-0000-0000-000000000000}"/>
  <bookViews>
    <workbookView xWindow="-27480" yWindow="1950" windowWidth="21600" windowHeight="11385" activeTab="2" xr2:uid="{00000000-000D-0000-FFFF-FFFF00000000}"/>
  </bookViews>
  <sheets>
    <sheet name="Research Analysis" sheetId="1" r:id="rId1"/>
    <sheet name="BOE Model" sheetId="2" r:id="rId2"/>
    <sheet name="Data Base" sheetId="3" r:id="rId3"/>
    <sheet name="Import" sheetId="4" r:id="rId4"/>
    <sheet name="Back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7" i="3" l="1"/>
  <c r="AB57" i="3"/>
  <c r="AC56" i="3"/>
  <c r="AB56" i="3"/>
  <c r="AB55" i="3"/>
  <c r="AC55" i="3" s="1"/>
  <c r="AB54" i="3"/>
  <c r="AC54" i="3" s="1"/>
  <c r="AC53" i="3"/>
  <c r="AB53" i="3"/>
  <c r="AB52" i="3"/>
  <c r="AC52" i="3" s="1"/>
  <c r="AB51" i="3"/>
  <c r="AC51" i="3" s="1"/>
  <c r="AC50" i="3"/>
  <c r="AB50" i="3"/>
  <c r="AB49" i="3"/>
  <c r="AC49" i="3" s="1"/>
  <c r="AC48" i="3"/>
  <c r="AB48" i="3"/>
  <c r="AB47" i="3"/>
  <c r="AC47" i="3" s="1"/>
  <c r="AB46" i="3"/>
  <c r="AC46" i="3" s="1"/>
  <c r="AB45" i="3"/>
  <c r="AC45" i="3" s="1"/>
  <c r="AC44" i="3"/>
  <c r="AB44" i="3"/>
  <c r="AB43" i="3"/>
  <c r="AC43" i="3" s="1"/>
  <c r="AC42" i="3"/>
  <c r="AB42" i="3"/>
  <c r="AC41" i="3"/>
  <c r="AB41" i="3"/>
  <c r="AB40" i="3"/>
  <c r="AC40" i="3" s="1"/>
  <c r="AD39" i="3"/>
  <c r="AB39" i="3"/>
  <c r="AC39" i="3" s="1"/>
  <c r="AD38" i="3"/>
  <c r="AC38" i="3"/>
  <c r="AB38" i="3"/>
  <c r="AD37" i="3"/>
  <c r="AB37" i="3"/>
  <c r="AC37" i="3" s="1"/>
  <c r="AD36" i="3"/>
  <c r="AB36" i="3"/>
  <c r="AC36" i="3" s="1"/>
  <c r="C3" i="1" s="1" a="1"/>
  <c r="C3" i="1" s="1"/>
  <c r="AD35" i="3"/>
  <c r="AB35" i="3"/>
  <c r="AC35" i="3" s="1"/>
  <c r="AB34" i="3"/>
  <c r="AC34" i="3" s="1"/>
  <c r="AB33" i="3"/>
  <c r="AC33" i="3" s="1"/>
  <c r="AB32" i="3"/>
  <c r="AC32" i="3" s="1"/>
  <c r="AB31" i="3"/>
  <c r="AC31" i="3" s="1"/>
  <c r="AB30" i="3"/>
  <c r="AC30" i="3" s="1"/>
  <c r="AB29" i="3"/>
  <c r="AC29" i="3" s="1"/>
  <c r="AB28" i="3"/>
  <c r="AC28" i="3" s="1"/>
  <c r="AB27" i="3"/>
  <c r="AC27" i="3" s="1"/>
  <c r="AB26" i="3"/>
  <c r="AC26" i="3" s="1"/>
  <c r="AC25" i="3"/>
  <c r="AB25" i="3"/>
  <c r="AB24" i="3"/>
  <c r="AC24" i="3" s="1"/>
  <c r="AB23" i="3"/>
  <c r="AC23" i="3" s="1"/>
  <c r="AB22" i="3"/>
  <c r="AC22" i="3" s="1"/>
  <c r="AB21" i="3"/>
  <c r="AC21" i="3" s="1"/>
  <c r="AB20" i="3"/>
  <c r="AC20" i="3" s="1"/>
  <c r="AB19" i="3"/>
  <c r="AC19" i="3" s="1"/>
  <c r="AB18" i="3"/>
  <c r="AC18" i="3" s="1"/>
  <c r="AC17" i="3"/>
  <c r="AB17" i="3"/>
  <c r="AB16" i="3"/>
  <c r="AC16" i="3" s="1"/>
  <c r="AB15" i="3"/>
  <c r="AC15" i="3" s="1"/>
  <c r="AB14" i="3"/>
  <c r="AC14" i="3" s="1"/>
  <c r="AC13" i="3"/>
  <c r="AB13" i="3"/>
  <c r="AB12" i="3"/>
  <c r="AC12" i="3" s="1"/>
  <c r="AB11" i="3"/>
  <c r="AC11" i="3" s="1"/>
  <c r="D3" i="1" s="1" a="1"/>
  <c r="D3" i="1" s="1"/>
  <c r="AB10" i="3"/>
  <c r="AC10" i="3" s="1"/>
  <c r="AC9" i="3"/>
  <c r="AB9" i="3"/>
  <c r="AB8" i="3"/>
  <c r="AC8" i="3" s="1"/>
  <c r="AB7" i="3"/>
  <c r="AC7" i="3" s="1"/>
  <c r="AB6" i="3"/>
  <c r="AC6" i="3" s="1"/>
  <c r="AB5" i="3"/>
  <c r="AC5" i="3" s="1"/>
  <c r="B3" i="1" s="1" a="1"/>
  <c r="B3" i="1" s="1"/>
  <c r="AB4" i="3"/>
  <c r="AC4" i="3" s="1"/>
  <c r="AB3" i="3"/>
  <c r="AC3" i="3" s="1"/>
  <c r="AD2" i="3"/>
  <c r="AB2" i="3"/>
  <c r="AC2" i="3" s="1"/>
  <c r="B48" i="2"/>
  <c r="B46" i="2"/>
  <c r="C41" i="2"/>
  <c r="D41" i="2" s="1"/>
  <c r="I37" i="2"/>
  <c r="B37" i="2"/>
  <c r="B39" i="2" s="1"/>
  <c r="I36" i="2"/>
  <c r="C33" i="2"/>
  <c r="D33" i="2" s="1"/>
  <c r="E33" i="2" s="1"/>
  <c r="F33" i="2" s="1"/>
  <c r="G33" i="2" s="1"/>
  <c r="H33" i="2" s="1"/>
  <c r="I33" i="2" s="1"/>
  <c r="C32" i="2"/>
  <c r="D32" i="2" s="1"/>
  <c r="E32" i="2" s="1"/>
  <c r="F32" i="2" s="1"/>
  <c r="G32" i="2" s="1"/>
  <c r="H32" i="2" s="1"/>
  <c r="I32" i="2" s="1"/>
  <c r="C31" i="2"/>
  <c r="D31" i="2" s="1"/>
  <c r="E31" i="2" s="1"/>
  <c r="F31" i="2" s="1"/>
  <c r="G31" i="2" s="1"/>
  <c r="H31" i="2" s="1"/>
  <c r="I31" i="2" s="1"/>
  <c r="C29" i="2"/>
  <c r="E27" i="2"/>
  <c r="D27" i="2"/>
  <c r="D29" i="2" s="1"/>
  <c r="C27" i="2"/>
  <c r="B13" i="2"/>
  <c r="C12" i="2"/>
  <c r="B4" i="2"/>
  <c r="C30" i="2" s="1"/>
  <c r="J95" i="1"/>
  <c r="I95" i="1"/>
  <c r="J93" i="1"/>
  <c r="I93" i="1"/>
  <c r="J92" i="1"/>
  <c r="I92" i="1"/>
  <c r="I89" i="1"/>
  <c r="I87" i="1"/>
  <c r="I86" i="1"/>
  <c r="I85" i="1"/>
  <c r="I84" i="1"/>
  <c r="I76" i="1"/>
  <c r="H75" i="1"/>
  <c r="G75" i="1"/>
  <c r="F75" i="1"/>
  <c r="E75" i="1"/>
  <c r="D75" i="1"/>
  <c r="C75" i="1"/>
  <c r="B75" i="1"/>
  <c r="I75" i="1" s="1"/>
  <c r="I74" i="1"/>
  <c r="K74" i="1" s="1"/>
  <c r="H73" i="1"/>
  <c r="G73" i="1"/>
  <c r="F73" i="1"/>
  <c r="E73" i="1"/>
  <c r="D73" i="1"/>
  <c r="C73" i="1"/>
  <c r="B73" i="1"/>
  <c r="I73" i="1" s="1"/>
  <c r="K73" i="1" s="1"/>
  <c r="I72" i="1"/>
  <c r="K72" i="1" s="1"/>
  <c r="H71" i="1"/>
  <c r="G71" i="1"/>
  <c r="I71" i="1" s="1"/>
  <c r="K71" i="1" s="1"/>
  <c r="F71" i="1"/>
  <c r="E71" i="1"/>
  <c r="D71" i="1"/>
  <c r="C71" i="1"/>
  <c r="B71" i="1"/>
  <c r="I70" i="1"/>
  <c r="K70" i="1" s="1"/>
  <c r="H70" i="1"/>
  <c r="G70" i="1"/>
  <c r="F70" i="1"/>
  <c r="E70" i="1"/>
  <c r="D70" i="1"/>
  <c r="C70" i="1"/>
  <c r="B70" i="1"/>
  <c r="H69" i="1"/>
  <c r="G69" i="1"/>
  <c r="F69" i="1"/>
  <c r="E69" i="1"/>
  <c r="D69" i="1"/>
  <c r="C69" i="1"/>
  <c r="B69" i="1"/>
  <c r="I69" i="1" s="1"/>
  <c r="K69" i="1" s="1"/>
  <c r="H68" i="1"/>
  <c r="G68" i="1"/>
  <c r="F68" i="1"/>
  <c r="E68" i="1"/>
  <c r="D68" i="1"/>
  <c r="I68" i="1" s="1"/>
  <c r="C68" i="1"/>
  <c r="H67" i="1"/>
  <c r="G67" i="1"/>
  <c r="F67" i="1"/>
  <c r="E67" i="1"/>
  <c r="D67" i="1"/>
  <c r="C67" i="1"/>
  <c r="B67" i="1"/>
  <c r="I67" i="1" s="1"/>
  <c r="K67" i="1" s="1"/>
  <c r="I66" i="1"/>
  <c r="K66" i="1" s="1"/>
  <c r="K65" i="1"/>
  <c r="K64" i="1"/>
  <c r="E63" i="1"/>
  <c r="D63" i="1"/>
  <c r="K62" i="1"/>
  <c r="H62" i="1" a="1"/>
  <c r="H62" i="1"/>
  <c r="G62" i="1" a="1"/>
  <c r="G62" i="1"/>
  <c r="F62" i="1" a="1"/>
  <c r="F62" i="1" s="1"/>
  <c r="E62" i="1" a="1"/>
  <c r="E62" i="1" s="1"/>
  <c r="D62" i="1" a="1"/>
  <c r="D62" i="1"/>
  <c r="C62" i="1" a="1"/>
  <c r="C62" i="1"/>
  <c r="B62" i="1" a="1"/>
  <c r="B62" i="1" s="1"/>
  <c r="H61" i="1" a="1"/>
  <c r="H61" i="1"/>
  <c r="G61" i="1" a="1"/>
  <c r="G61" i="1"/>
  <c r="F61" i="1" a="1"/>
  <c r="F61" i="1"/>
  <c r="E61" i="1" a="1"/>
  <c r="E61" i="1"/>
  <c r="D61" i="1" a="1"/>
  <c r="D61" i="1"/>
  <c r="C61" i="1" a="1"/>
  <c r="C61" i="1"/>
  <c r="B61" i="1" a="1"/>
  <c r="B61" i="1" s="1"/>
  <c r="I61" i="1" s="1"/>
  <c r="K61" i="1" s="1"/>
  <c r="K60" i="1"/>
  <c r="H59" i="1" a="1"/>
  <c r="H59" i="1"/>
  <c r="G59" i="1" a="1"/>
  <c r="G59" i="1" s="1"/>
  <c r="F59" i="1" a="1"/>
  <c r="F59" i="1"/>
  <c r="E59" i="1" a="1"/>
  <c r="E59" i="1"/>
  <c r="D59" i="1" a="1"/>
  <c r="D59" i="1"/>
  <c r="C59" i="1" a="1"/>
  <c r="C59" i="1" s="1"/>
  <c r="I59" i="1" s="1"/>
  <c r="K59" i="1" s="1"/>
  <c r="B59" i="1" a="1"/>
  <c r="B59" i="1"/>
  <c r="K58" i="1"/>
  <c r="H57" i="1" a="1"/>
  <c r="H57" i="1" s="1"/>
  <c r="G57" i="1" a="1"/>
  <c r="G57" i="1" s="1"/>
  <c r="F57" i="1" a="1"/>
  <c r="F57" i="1"/>
  <c r="E57" i="1" a="1"/>
  <c r="E57" i="1"/>
  <c r="D57" i="1" a="1"/>
  <c r="D57" i="1" s="1"/>
  <c r="C57" i="1" a="1"/>
  <c r="C57" i="1" s="1"/>
  <c r="I57" i="1" s="1"/>
  <c r="K57" i="1" s="1"/>
  <c r="B57" i="1" a="1"/>
  <c r="B57" i="1"/>
  <c r="H56" i="1" a="1"/>
  <c r="H56" i="1"/>
  <c r="G56" i="1" a="1"/>
  <c r="G56" i="1"/>
  <c r="F56" i="1" a="1"/>
  <c r="F56" i="1"/>
  <c r="E56" i="1" a="1"/>
  <c r="E56" i="1" s="1"/>
  <c r="D56" i="1" a="1"/>
  <c r="D56" i="1"/>
  <c r="C56" i="1" a="1"/>
  <c r="C56" i="1"/>
  <c r="B56" i="1" a="1"/>
  <c r="B56" i="1"/>
  <c r="H55" i="1" a="1"/>
  <c r="H55" i="1" s="1"/>
  <c r="G55" i="1" a="1"/>
  <c r="G55" i="1"/>
  <c r="F55" i="1" a="1"/>
  <c r="F55" i="1"/>
  <c r="E55" i="1" a="1"/>
  <c r="E55" i="1" s="1"/>
  <c r="D55" i="1" a="1"/>
  <c r="D55" i="1" s="1"/>
  <c r="C55" i="1" a="1"/>
  <c r="C55" i="1"/>
  <c r="B55" i="1" a="1"/>
  <c r="B55" i="1"/>
  <c r="H54" i="1" a="1"/>
  <c r="H54" i="1"/>
  <c r="H63" i="1" s="1"/>
  <c r="G54" i="1" a="1"/>
  <c r="G54" i="1"/>
  <c r="G63" i="1" s="1"/>
  <c r="F54" i="1" a="1"/>
  <c r="F54" i="1" s="1"/>
  <c r="F63" i="1" s="1"/>
  <c r="E54" i="1" a="1"/>
  <c r="E54" i="1"/>
  <c r="D54" i="1" a="1"/>
  <c r="D54" i="1"/>
  <c r="C54" i="1" a="1"/>
  <c r="C54" i="1"/>
  <c r="C63" i="1" s="1"/>
  <c r="B54" i="1" a="1"/>
  <c r="B54" i="1" s="1"/>
  <c r="H50" i="1" a="1"/>
  <c r="H50" i="1" s="1"/>
  <c r="G50" i="1" a="1"/>
  <c r="G50" i="1"/>
  <c r="F50" i="1" a="1"/>
  <c r="F50" i="1"/>
  <c r="E50" i="1" a="1"/>
  <c r="E50" i="1" s="1"/>
  <c r="D50" i="1" a="1"/>
  <c r="D50" i="1" s="1"/>
  <c r="C50" i="1" a="1"/>
  <c r="C50" i="1"/>
  <c r="B50" i="1" a="1"/>
  <c r="B50" i="1"/>
  <c r="H49" i="1" a="1"/>
  <c r="H49" i="1" s="1"/>
  <c r="G49" i="1" a="1"/>
  <c r="G49" i="1" s="1"/>
  <c r="F49" i="1" a="1"/>
  <c r="F49" i="1"/>
  <c r="E49" i="1" a="1"/>
  <c r="E49" i="1"/>
  <c r="D49" i="1" a="1"/>
  <c r="D49" i="1" s="1"/>
  <c r="D47" i="1" s="1"/>
  <c r="C49" i="1" a="1"/>
  <c r="C49" i="1" s="1"/>
  <c r="B49" i="1" a="1"/>
  <c r="B49" i="1"/>
  <c r="H48" i="1" a="1"/>
  <c r="H48" i="1"/>
  <c r="H47" i="1" s="1"/>
  <c r="G48" i="1" a="1"/>
  <c r="G48" i="1" s="1"/>
  <c r="F48" i="1" a="1"/>
  <c r="F48" i="1" s="1"/>
  <c r="F47" i="1" s="1"/>
  <c r="E48" i="1" a="1"/>
  <c r="E48" i="1"/>
  <c r="D48" i="1" a="1"/>
  <c r="D48" i="1"/>
  <c r="C48" i="1" a="1"/>
  <c r="C48" i="1" s="1"/>
  <c r="C47" i="1" s="1"/>
  <c r="B48" i="1" a="1"/>
  <c r="B48" i="1" s="1"/>
  <c r="B47" i="1" s="1"/>
  <c r="E47" i="1"/>
  <c r="H46" i="1" a="1"/>
  <c r="H46" i="1"/>
  <c r="G46" i="1" a="1"/>
  <c r="G46" i="1"/>
  <c r="F46" i="1" a="1"/>
  <c r="F46" i="1"/>
  <c r="E46" i="1" a="1"/>
  <c r="E46" i="1"/>
  <c r="D46" i="1" a="1"/>
  <c r="D46" i="1"/>
  <c r="C46" i="1" a="1"/>
  <c r="C46" i="1"/>
  <c r="B46" i="1" a="1"/>
  <c r="B46" i="1"/>
  <c r="H45" i="1" a="1"/>
  <c r="H45" i="1" s="1"/>
  <c r="G45" i="1" a="1"/>
  <c r="G45" i="1"/>
  <c r="F45" i="1" a="1"/>
  <c r="F45" i="1"/>
  <c r="E45" i="1" a="1"/>
  <c r="E45" i="1"/>
  <c r="D45" i="1" a="1"/>
  <c r="D45" i="1" s="1"/>
  <c r="C45" i="1" a="1"/>
  <c r="C45" i="1"/>
  <c r="B45" i="1" a="1"/>
  <c r="B45" i="1"/>
  <c r="H44" i="1" a="1"/>
  <c r="H44" i="1"/>
  <c r="G44" i="1" a="1"/>
  <c r="G44" i="1" s="1"/>
  <c r="F44" i="1" a="1"/>
  <c r="F44" i="1" s="1"/>
  <c r="E44" i="1" a="1"/>
  <c r="E44" i="1"/>
  <c r="D44" i="1" a="1"/>
  <c r="D44" i="1"/>
  <c r="C44" i="1" a="1"/>
  <c r="C44" i="1" s="1"/>
  <c r="B44" i="1" a="1"/>
  <c r="B44" i="1" s="1"/>
  <c r="I39" i="1"/>
  <c r="J74" i="1" s="1"/>
  <c r="H38" i="1"/>
  <c r="G38" i="1"/>
  <c r="I38" i="1" s="1"/>
  <c r="J73" i="1" s="1"/>
  <c r="F38" i="1"/>
  <c r="E38" i="1"/>
  <c r="D38" i="1"/>
  <c r="C38" i="1"/>
  <c r="B38" i="1"/>
  <c r="I37" i="1"/>
  <c r="J72" i="1" s="1"/>
  <c r="H36" i="1"/>
  <c r="I36" i="1" s="1"/>
  <c r="J71" i="1" s="1"/>
  <c r="G36" i="1"/>
  <c r="F36" i="1"/>
  <c r="E36" i="1"/>
  <c r="D36" i="1"/>
  <c r="C36" i="1"/>
  <c r="B36" i="1"/>
  <c r="B35" i="1"/>
  <c r="B34" i="1"/>
  <c r="H33" i="1"/>
  <c r="G33" i="1"/>
  <c r="G35" i="1" s="1"/>
  <c r="G34" i="1" s="1"/>
  <c r="F33" i="1"/>
  <c r="E33" i="1"/>
  <c r="D33" i="1"/>
  <c r="D35" i="1" s="1"/>
  <c r="D34" i="1" s="1"/>
  <c r="C33" i="1"/>
  <c r="H32" i="1"/>
  <c r="G32" i="1"/>
  <c r="F32" i="1"/>
  <c r="E32" i="1"/>
  <c r="D32" i="1"/>
  <c r="C32" i="1"/>
  <c r="I32" i="1" s="1"/>
  <c r="F31" i="1"/>
  <c r="I30" i="1"/>
  <c r="J66" i="1" s="1"/>
  <c r="E27" i="1"/>
  <c r="E26" i="1"/>
  <c r="D26" i="1"/>
  <c r="E23" i="1"/>
  <c r="H22" i="1" a="1"/>
  <c r="H22" i="1"/>
  <c r="G22" i="1" a="1"/>
  <c r="G22" i="1"/>
  <c r="F22" i="1" a="1"/>
  <c r="F22" i="1" s="1"/>
  <c r="F27" i="1" s="1"/>
  <c r="E22" i="1" a="1"/>
  <c r="E22" i="1"/>
  <c r="D22" i="1" a="1"/>
  <c r="D22" i="1" s="1"/>
  <c r="C22" i="1" a="1"/>
  <c r="C22" i="1"/>
  <c r="B22" i="1" a="1"/>
  <c r="B22" i="1" s="1"/>
  <c r="H20" i="1" a="1"/>
  <c r="H20" i="1"/>
  <c r="G20" i="1" a="1"/>
  <c r="G20" i="1"/>
  <c r="F20" i="1" a="1"/>
  <c r="F20" i="1"/>
  <c r="E20" i="1" a="1"/>
  <c r="E20" i="1" s="1"/>
  <c r="D20" i="1" a="1"/>
  <c r="D20" i="1" s="1"/>
  <c r="C20" i="1" a="1"/>
  <c r="C20" i="1" s="1"/>
  <c r="B20" i="1" a="1"/>
  <c r="B20" i="1"/>
  <c r="I20" i="1" s="1"/>
  <c r="H18" i="1" a="1"/>
  <c r="H18" i="1"/>
  <c r="G18" i="1" a="1"/>
  <c r="G18" i="1"/>
  <c r="F18" i="1" a="1"/>
  <c r="F18" i="1"/>
  <c r="E18" i="1" a="1"/>
  <c r="E18" i="1" s="1"/>
  <c r="D18" i="1" a="1"/>
  <c r="D18" i="1" s="1"/>
  <c r="C18" i="1" a="1"/>
  <c r="C18" i="1"/>
  <c r="B18" i="1" a="1"/>
  <c r="B18" i="1"/>
  <c r="H16" i="1" a="1"/>
  <c r="H16" i="1"/>
  <c r="G16" i="1" a="1"/>
  <c r="G16" i="1"/>
  <c r="F16" i="1" a="1"/>
  <c r="F16" i="1" s="1"/>
  <c r="E16" i="1" a="1"/>
  <c r="E16" i="1"/>
  <c r="D16" i="1" a="1"/>
  <c r="D16" i="1"/>
  <c r="C16" i="1" a="1"/>
  <c r="C16" i="1"/>
  <c r="B16" i="1" a="1"/>
  <c r="B16" i="1" s="1"/>
  <c r="I16" i="1" s="1"/>
  <c r="J57" i="1" s="1"/>
  <c r="J87" i="1" s="1"/>
  <c r="H15" i="1" a="1"/>
  <c r="H15" i="1" s="1"/>
  <c r="G15" i="1" a="1"/>
  <c r="G15" i="1"/>
  <c r="F15" i="1" a="1"/>
  <c r="F15" i="1"/>
  <c r="E15" i="1" a="1"/>
  <c r="E15" i="1"/>
  <c r="D15" i="1" a="1"/>
  <c r="D15" i="1" s="1"/>
  <c r="I15" i="1" s="1"/>
  <c r="J56" i="1" s="1"/>
  <c r="J86" i="1" s="1"/>
  <c r="C15" i="1" a="1"/>
  <c r="C15" i="1"/>
  <c r="B15" i="1" a="1"/>
  <c r="B15" i="1"/>
  <c r="H14" i="1" a="1"/>
  <c r="H14" i="1"/>
  <c r="G14" i="1" a="1"/>
  <c r="G14" i="1"/>
  <c r="F14" i="1" a="1"/>
  <c r="F14" i="1"/>
  <c r="E14" i="1" a="1"/>
  <c r="E14" i="1" s="1"/>
  <c r="D14" i="1" a="1"/>
  <c r="D14" i="1"/>
  <c r="C14" i="1" a="1"/>
  <c r="C14" i="1"/>
  <c r="B14" i="1" a="1"/>
  <c r="B14" i="1"/>
  <c r="H13" i="1" a="1"/>
  <c r="H13" i="1"/>
  <c r="H26" i="1" s="1"/>
  <c r="G13" i="1" a="1"/>
  <c r="G13" i="1" s="1"/>
  <c r="F13" i="1" a="1"/>
  <c r="F13" i="1"/>
  <c r="F26" i="1" s="1"/>
  <c r="E13" i="1" a="1"/>
  <c r="E13" i="1"/>
  <c r="E31" i="1" s="1"/>
  <c r="D13" i="1" a="1"/>
  <c r="D13" i="1"/>
  <c r="D31" i="1" s="1"/>
  <c r="C13" i="1" a="1"/>
  <c r="C13" i="1" s="1"/>
  <c r="B13" i="1" a="1"/>
  <c r="B13" i="1"/>
  <c r="B26" i="1" s="1"/>
  <c r="H9" i="1" a="1"/>
  <c r="H9" i="1"/>
  <c r="G9" i="1" a="1"/>
  <c r="G9" i="1"/>
  <c r="F9" i="1" a="1"/>
  <c r="F9" i="1" s="1"/>
  <c r="E9" i="1" a="1"/>
  <c r="E9" i="1"/>
  <c r="D9" i="1" a="1"/>
  <c r="D9" i="1"/>
  <c r="C9" i="1" a="1"/>
  <c r="C9" i="1"/>
  <c r="B9" i="1" a="1"/>
  <c r="B9" i="1" s="1"/>
  <c r="H8" i="1" a="1"/>
  <c r="H8" i="1"/>
  <c r="G8" i="1" a="1"/>
  <c r="G8" i="1"/>
  <c r="F8" i="1" a="1"/>
  <c r="F8" i="1"/>
  <c r="E8" i="1" a="1"/>
  <c r="E8" i="1" s="1"/>
  <c r="E6" i="1" s="1"/>
  <c r="D8" i="1" a="1"/>
  <c r="D8" i="1"/>
  <c r="C8" i="1" a="1"/>
  <c r="C8" i="1"/>
  <c r="B8" i="1" a="1"/>
  <c r="B8" i="1"/>
  <c r="L7" i="1" a="1"/>
  <c r="L7" i="1" s="1"/>
  <c r="K7" i="1" a="1"/>
  <c r="K7" i="1"/>
  <c r="J7" i="1" a="1"/>
  <c r="J7" i="1"/>
  <c r="H7" i="1" a="1"/>
  <c r="H7" i="1"/>
  <c r="H6" i="1" s="1"/>
  <c r="G7" i="1" a="1"/>
  <c r="G7" i="1" s="1"/>
  <c r="G6" i="1" s="1"/>
  <c r="F7" i="1" a="1"/>
  <c r="F7" i="1"/>
  <c r="F6" i="1" s="1"/>
  <c r="E7" i="1" a="1"/>
  <c r="E7" i="1"/>
  <c r="D7" i="1" a="1"/>
  <c r="D7" i="1"/>
  <c r="C7" i="1" a="1"/>
  <c r="C7" i="1" s="1"/>
  <c r="C6" i="1" s="1"/>
  <c r="B7" i="1" a="1"/>
  <c r="B7" i="1"/>
  <c r="B6" i="1" s="1"/>
  <c r="D6" i="1"/>
  <c r="O5" i="1" a="1"/>
  <c r="O5" i="1"/>
  <c r="N5" i="1" a="1"/>
  <c r="N5" i="1" s="1"/>
  <c r="M5" i="1" a="1"/>
  <c r="M5" i="1"/>
  <c r="L5" i="1" a="1"/>
  <c r="L5" i="1"/>
  <c r="K5" i="1" a="1"/>
  <c r="K5" i="1"/>
  <c r="J5" i="1" a="1"/>
  <c r="J5" i="1" s="1"/>
  <c r="H5" i="1" a="1"/>
  <c r="H5" i="1"/>
  <c r="G5" i="1" a="1"/>
  <c r="G5" i="1"/>
  <c r="F5" i="1" a="1"/>
  <c r="F5" i="1"/>
  <c r="E5" i="1" a="1"/>
  <c r="E5" i="1" s="1"/>
  <c r="D5" i="1" a="1"/>
  <c r="D5" i="1"/>
  <c r="C5" i="1" a="1"/>
  <c r="C5" i="1"/>
  <c r="B5" i="1" a="1"/>
  <c r="B5" i="1"/>
  <c r="H4" i="1" a="1"/>
  <c r="H4" i="1" s="1"/>
  <c r="G4" i="1" a="1"/>
  <c r="G4" i="1"/>
  <c r="F4" i="1" a="1"/>
  <c r="F4" i="1"/>
  <c r="E4" i="1" a="1"/>
  <c r="E4" i="1"/>
  <c r="D4" i="1" a="1"/>
  <c r="D4" i="1" s="1"/>
  <c r="C4" i="1" a="1"/>
  <c r="C4" i="1"/>
  <c r="B4" i="1" a="1"/>
  <c r="B4" i="1"/>
  <c r="O3" i="1" a="1"/>
  <c r="O3" i="1"/>
  <c r="N3" i="1" a="1"/>
  <c r="N3" i="1" s="1"/>
  <c r="M3" i="1" a="1"/>
  <c r="M3" i="1"/>
  <c r="L3" i="1" a="1"/>
  <c r="L3" i="1"/>
  <c r="K3" i="1" a="1"/>
  <c r="K3" i="1"/>
  <c r="J3" i="1" a="1"/>
  <c r="J3" i="1" s="1"/>
  <c r="H3" i="1" a="1"/>
  <c r="H3" i="1"/>
  <c r="G3" i="1" a="1"/>
  <c r="G3" i="1"/>
  <c r="F3" i="1" a="1"/>
  <c r="F3" i="1"/>
  <c r="E3" i="1" a="1"/>
  <c r="E3" i="1" s="1"/>
  <c r="H35" i="1" l="1"/>
  <c r="H34" i="1" s="1"/>
  <c r="C35" i="1"/>
  <c r="E35" i="1"/>
  <c r="E34" i="1" s="1"/>
  <c r="F35" i="1"/>
  <c r="F34" i="1" s="1"/>
  <c r="G26" i="1"/>
  <c r="G23" i="1"/>
  <c r="G31" i="1"/>
  <c r="C31" i="1"/>
  <c r="C26" i="1"/>
  <c r="C27" i="1" s="1"/>
  <c r="C23" i="1"/>
  <c r="I13" i="1"/>
  <c r="J54" i="1" s="1"/>
  <c r="J84" i="1" s="1"/>
  <c r="D23" i="1"/>
  <c r="D27" i="1"/>
  <c r="I14" i="1"/>
  <c r="J55" i="1" s="1"/>
  <c r="J85" i="1" s="1"/>
  <c r="G47" i="1"/>
  <c r="I54" i="1"/>
  <c r="K54" i="1" s="1"/>
  <c r="B63" i="1"/>
  <c r="I63" i="1" s="1"/>
  <c r="K63" i="1" s="1"/>
  <c r="D30" i="2"/>
  <c r="E30" i="2" s="1"/>
  <c r="F30" i="2" s="1"/>
  <c r="G30" i="2" s="1"/>
  <c r="H30" i="2" s="1"/>
  <c r="I30" i="2" s="1"/>
  <c r="C35" i="2"/>
  <c r="C39" i="2" s="1"/>
  <c r="C48" i="2" s="1"/>
  <c r="G27" i="1"/>
  <c r="B27" i="1"/>
  <c r="I22" i="1"/>
  <c r="J61" i="1" s="1"/>
  <c r="C34" i="1"/>
  <c r="I34" i="1" s="1"/>
  <c r="J69" i="1" s="1"/>
  <c r="I35" i="1"/>
  <c r="J70" i="1" s="1"/>
  <c r="I55" i="1"/>
  <c r="K55" i="1" s="1"/>
  <c r="I18" i="1"/>
  <c r="J59" i="1" s="1"/>
  <c r="H27" i="1"/>
  <c r="D35" i="2"/>
  <c r="D39" i="2" s="1"/>
  <c r="D48" i="2" s="1"/>
  <c r="E35" i="2"/>
  <c r="E39" i="2" s="1"/>
  <c r="E48" i="2" s="1"/>
  <c r="E41" i="2"/>
  <c r="I56" i="1"/>
  <c r="K56" i="1" s="1"/>
  <c r="C46" i="2"/>
  <c r="B23" i="1"/>
  <c r="E29" i="2"/>
  <c r="I33" i="1"/>
  <c r="J68" i="1" s="1"/>
  <c r="F27" i="2"/>
  <c r="C42" i="2"/>
  <c r="C43" i="2" s="1"/>
  <c r="F23" i="1"/>
  <c r="H31" i="1"/>
  <c r="H23" i="1"/>
  <c r="G27" i="2" l="1"/>
  <c r="F29" i="2"/>
  <c r="F35" i="2" s="1"/>
  <c r="F39" i="2" s="1"/>
  <c r="F41" i="2"/>
  <c r="I31" i="1"/>
  <c r="J67" i="1" s="1"/>
  <c r="I23" i="1"/>
  <c r="J63" i="1" s="1"/>
  <c r="D42" i="2"/>
  <c r="D43" i="2" s="1"/>
  <c r="D46" i="2" s="1"/>
  <c r="F48" i="2" l="1"/>
  <c r="E42" i="2"/>
  <c r="E43" i="2" s="1"/>
  <c r="E46" i="2" s="1"/>
  <c r="H27" i="2"/>
  <c r="G29" i="2"/>
  <c r="G35" i="2" s="1"/>
  <c r="G39" i="2" s="1"/>
  <c r="G41" i="2"/>
  <c r="G48" i="2" l="1"/>
  <c r="F42" i="2"/>
  <c r="F43" i="2" s="1"/>
  <c r="F46" i="2" s="1"/>
  <c r="H35" i="2"/>
  <c r="H39" i="2" s="1"/>
  <c r="H48" i="2" s="1"/>
  <c r="I27" i="2"/>
  <c r="H29" i="2"/>
  <c r="H41" i="2"/>
  <c r="G42" i="2" l="1"/>
  <c r="G43" i="2" s="1"/>
  <c r="G46" i="2" s="1"/>
  <c r="I29" i="2"/>
  <c r="I35" i="2"/>
  <c r="I39" i="2" s="1"/>
  <c r="I3" i="2"/>
  <c r="I41" i="2"/>
  <c r="H3" i="2"/>
  <c r="H4" i="2"/>
  <c r="H42" i="2" l="1"/>
  <c r="H43" i="2" s="1"/>
  <c r="H46" i="2" s="1"/>
  <c r="H2" i="2"/>
  <c r="I42" i="2" l="1"/>
  <c r="I43" i="2" s="1"/>
  <c r="I44" i="2" s="1"/>
  <c r="I48" i="2" l="1"/>
  <c r="I46" i="2"/>
  <c r="I4" i="2" l="1"/>
  <c r="I2" i="2"/>
</calcChain>
</file>

<file path=xl/sharedStrings.xml><?xml version="1.0" encoding="utf-8"?>
<sst xmlns="http://schemas.openxmlformats.org/spreadsheetml/2006/main" count="1143" uniqueCount="337">
  <si>
    <t>LISTED FOR SALE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</si>
  <si>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</si>
  <si>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</si>
  <si>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</si>
  <si>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</si>
  <si>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</si>
  <si>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</si>
  <si>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</si>
  <si>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房屋备选区域</t>
  </si>
  <si>
    <t>Status</t>
  </si>
  <si>
    <t>Nick Name</t>
  </si>
  <si>
    <t>Note</t>
  </si>
  <si>
    <t>Address</t>
  </si>
  <si>
    <t>Link</t>
  </si>
  <si>
    <t>City</t>
  </si>
  <si>
    <t>MLS#</t>
  </si>
  <si>
    <t>Include? (1 = Yes, 0 = No)</t>
  </si>
  <si>
    <t>Avg of Listed</t>
  </si>
  <si>
    <t>Square Footage</t>
  </si>
  <si>
    <t># of rooms</t>
  </si>
  <si>
    <t>baths</t>
  </si>
  <si>
    <t>lot size</t>
  </si>
  <si>
    <t>Year built</t>
  </si>
  <si>
    <t>Days on Market</t>
  </si>
  <si>
    <t>Listing Price</t>
  </si>
  <si>
    <t>$/sf</t>
  </si>
  <si>
    <t>Adjust Basement Sf</t>
  </si>
  <si>
    <t>Adjust Basement Efficiency</t>
  </si>
  <si>
    <t>Adjusted SF</t>
  </si>
  <si>
    <t>Adjusted $/sf</t>
  </si>
  <si>
    <t>Last sold</t>
  </si>
  <si>
    <t>last sold price</t>
  </si>
  <si>
    <t>Years since last sold</t>
  </si>
  <si>
    <t>Annual Groth Rate</t>
  </si>
  <si>
    <t>%</t>
  </si>
  <si>
    <t>Estimate Price</t>
  </si>
  <si>
    <t>Redfin Estimation</t>
  </si>
  <si>
    <t>Assesed Value</t>
  </si>
  <si>
    <t xml:space="preserve">RECENTLY SOLD </t>
  </si>
  <si>
    <t>Sale Comp 1</t>
  </si>
  <si>
    <t>Sale Comp 2</t>
  </si>
  <si>
    <t>Sale Comp 3</t>
  </si>
  <si>
    <t>Sale Comp 4</t>
  </si>
  <si>
    <t>Sale Comp 5</t>
  </si>
  <si>
    <t>Sale Comp 6</t>
  </si>
  <si>
    <t>Sale Comp 7</t>
  </si>
  <si>
    <t>Avg of Recently Sold</t>
  </si>
  <si>
    <t>History sold</t>
  </si>
  <si>
    <t>History sold price</t>
  </si>
  <si>
    <t>Redfin Estimate</t>
  </si>
  <si>
    <t>RENTAL COMPS</t>
  </si>
  <si>
    <t>Rental Comp 1</t>
  </si>
  <si>
    <t>Rental Comp 2</t>
  </si>
  <si>
    <t>Rental Comp 3</t>
  </si>
  <si>
    <t>Rental Comp 4</t>
  </si>
  <si>
    <t>Rental Comp 5</t>
  </si>
  <si>
    <t>Rental Comp 6</t>
  </si>
  <si>
    <t>Rental Comp 7</t>
  </si>
  <si>
    <t>Avg. Rental Comps</t>
  </si>
  <si>
    <t>Asking Rent</t>
  </si>
  <si>
    <t>1-crap 3-avg 5- great</t>
  </si>
  <si>
    <t>Curb Appeal</t>
  </si>
  <si>
    <t>Fixtures</t>
  </si>
  <si>
    <t>Work?</t>
  </si>
  <si>
    <t>Assumptions</t>
  </si>
  <si>
    <t>Unlevered</t>
  </si>
  <si>
    <t>Levered</t>
  </si>
  <si>
    <t>Monthly Rents</t>
  </si>
  <si>
    <t>IRR</t>
  </si>
  <si>
    <t>Vacancy</t>
  </si>
  <si>
    <t>Weeks</t>
  </si>
  <si>
    <t>Yield</t>
  </si>
  <si>
    <t>Property Taxes</t>
  </si>
  <si>
    <t>Cash Multiple</t>
  </si>
  <si>
    <t>Repair &amp; Maintenance</t>
  </si>
  <si>
    <t>Monthly</t>
  </si>
  <si>
    <t>Insurance</t>
  </si>
  <si>
    <t>Year</t>
  </si>
  <si>
    <t>Utilities/monthly</t>
  </si>
  <si>
    <t>Target IRR</t>
  </si>
  <si>
    <t>8%+ unleveraged</t>
  </si>
  <si>
    <t>Purchase Price</t>
  </si>
  <si>
    <t>Target yield</t>
  </si>
  <si>
    <t>5-8%+ unleveraged</t>
  </si>
  <si>
    <t>Closing Costs</t>
  </si>
  <si>
    <t>Target Cash Multiple</t>
  </si>
  <si>
    <t>1.7x unleveraged</t>
  </si>
  <si>
    <t xml:space="preserve">Total Equity Investment </t>
  </si>
  <si>
    <t>Loan Amount</t>
  </si>
  <si>
    <t>Interest Rate</t>
  </si>
  <si>
    <t>Loan Term</t>
  </si>
  <si>
    <t>Years</t>
  </si>
  <si>
    <t>Renovations @ Purchase</t>
  </si>
  <si>
    <t>Renovations @ Exit</t>
  </si>
  <si>
    <t>ALL RIGHTS RESERVED. Symon He 2016</t>
  </si>
  <si>
    <t>Rental Growth Rate</t>
  </si>
  <si>
    <t>Annual Rate</t>
  </si>
  <si>
    <t>Udemy Instructor</t>
  </si>
  <si>
    <t>Sales Price</t>
  </si>
  <si>
    <t>Costs of Sale</t>
  </si>
  <si>
    <t>YEAR</t>
  </si>
  <si>
    <t>Investment</t>
  </si>
  <si>
    <t>Gross Rental Revenue</t>
  </si>
  <si>
    <t>Utilities</t>
  </si>
  <si>
    <t>Net Rents</t>
  </si>
  <si>
    <t>Sale Proceeds</t>
  </si>
  <si>
    <t>Renovations</t>
  </si>
  <si>
    <t>Unlevered Cashflow</t>
  </si>
  <si>
    <t>Loan Payments</t>
  </si>
  <si>
    <t>Towards Interest</t>
  </si>
  <si>
    <t>Towards Principal</t>
  </si>
  <si>
    <t>Loan Payoff</t>
  </si>
  <si>
    <t xml:space="preserve">  </t>
  </si>
  <si>
    <t>Loan Balance</t>
  </si>
  <si>
    <t>Levered Cashflow</t>
  </si>
  <si>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</si>
  <si>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</si>
  <si>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</si>
  <si>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</si>
  <si>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</si>
  <si>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</si>
  <si>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</si>
  <si>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</si>
  <si>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</si>
  <si>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</si>
  <si>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</si>
  <si>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</si>
  <si>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</si>
  <si>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</si>
  <si>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</si>
  <si>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</si>
  <si>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</si>
  <si>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</si>
  <si>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</si>
  <si>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</si>
  <si>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</si>
  <si>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</si>
  <si>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FAVORITE</t>
  </si>
  <si>
    <t>INTERESTED</t>
  </si>
  <si>
    <t>LATITUDE</t>
  </si>
  <si>
    <t>LONGITUDE</t>
  </si>
  <si>
    <t>Redfin Status (Script)</t>
  </si>
  <si>
    <t>Final Status</t>
  </si>
  <si>
    <t>Days on Redfine (Script)</t>
  </si>
  <si>
    <t>IfSold-Listing Price</t>
  </si>
  <si>
    <t>IfSold-Sold Date</t>
  </si>
  <si>
    <t>1st Floor SF</t>
  </si>
  <si>
    <t>2nd Floor SF</t>
  </si>
  <si>
    <t>2nd Adjust Rate</t>
  </si>
  <si>
    <t>Basement SF</t>
  </si>
  <si>
    <t>Basement Adjust Rate</t>
  </si>
  <si>
    <t>PAST SALE</t>
  </si>
  <si>
    <t>November-26-2008</t>
  </si>
  <si>
    <t>Single Family Residential</t>
  </si>
  <si>
    <t>1 Fairview Ave</t>
  </si>
  <si>
    <t>Bedford</t>
  </si>
  <si>
    <t>MA</t>
  </si>
  <si>
    <t>Sold</t>
  </si>
  <si>
    <t>http://www.redfin.com/MA/Bedford/1-Fairview-Ave-01730/home/11543255</t>
  </si>
  <si>
    <t>MLS PIN</t>
  </si>
  <si>
    <t>Y</t>
  </si>
  <si>
    <t>December-12-2019</t>
  </si>
  <si>
    <t>Multi-Family (2-4 Unit)</t>
  </si>
  <si>
    <t>34 Line St</t>
  </si>
  <si>
    <t>Somerville</t>
  </si>
  <si>
    <t>Inman Square</t>
  </si>
  <si>
    <t>http://www.redfin.com/MA/Somerville/34-Line-St-02143/home/8725671</t>
  </si>
  <si>
    <t>MLS Listing</t>
  </si>
  <si>
    <t>78 Harding Rd</t>
  </si>
  <si>
    <t>Lexington</t>
  </si>
  <si>
    <t>Active</t>
  </si>
  <si>
    <t>http://www.redfin.com/MA/Lexington/78-Harding-Rd-02420/home/11776390</t>
  </si>
  <si>
    <t>8 Hill St</t>
  </si>
  <si>
    <t>Winchester</t>
  </si>
  <si>
    <t>Stoneham Address/ HOUSE IN BOTH TOWNS /on town line</t>
  </si>
  <si>
    <t>http://www.redfin.com/MA/Winchester/8-Hill-St-01890/home/11468176</t>
  </si>
  <si>
    <t>93高速房</t>
  </si>
  <si>
    <t>stoneham,已经降价690k</t>
  </si>
  <si>
    <t>12 Fred St</t>
  </si>
  <si>
    <t>Burlington</t>
  </si>
  <si>
    <t>http://www.redfin.com/MA/Burlington/12-Fred-St-01803/home/11548271</t>
  </si>
  <si>
    <t>小绿门</t>
  </si>
  <si>
    <t>Townhouse</t>
  </si>
  <si>
    <t>64 Neillian St #64</t>
  </si>
  <si>
    <t>http://www.redfin.com/MA/Bedford/64-Neillian-St-01730/unit-64/home/171394554</t>
  </si>
  <si>
    <t>July-31-2020</t>
  </si>
  <si>
    <t>74 Wild Rose Dr</t>
  </si>
  <si>
    <t>Andover</t>
  </si>
  <si>
    <t>Wild Rose</t>
  </si>
  <si>
    <t>http://www.redfin.com/MA/Andover/74-Wild-Rose-Dr-01810/home/8227529</t>
  </si>
  <si>
    <t>类爷爷房w泳池</t>
  </si>
  <si>
    <t>June-30-2020</t>
  </si>
  <si>
    <t>8 Rogers Brk W</t>
  </si>
  <si>
    <t>Cul de Sac off of Summer Street - close to Downtown</t>
  </si>
  <si>
    <t>http://www.redfin.com/MA/Andover/8-Rogers-Brk-W-01810/home/8193306</t>
  </si>
  <si>
    <t>348 South Rd #1</t>
  </si>
  <si>
    <t>http://www.redfin.com/MA/Bedford/348-South-Rd-01730/unit-1/home/171557503</t>
  </si>
  <si>
    <t>12 Dover Dr #12</t>
  </si>
  <si>
    <t>Contingent</t>
  </si>
  <si>
    <t>http://www.redfin.com/MA/Burlington/12-Dover-Dr-01803/unit-12/home/113244803</t>
  </si>
  <si>
    <t>118 Lexington St</t>
  </si>
  <si>
    <t>http://www.redfin.com/MA/Burlington/118-Lexington-St-01803/home/8465799</t>
  </si>
  <si>
    <t>238 Washington St</t>
  </si>
  <si>
    <t>http://www.redfin.com/MA/Winchester/238-Washington-St-01890/home/11449196</t>
  </si>
  <si>
    <t>6 Liberty Ave</t>
  </si>
  <si>
    <t>http://www.redfin.com/MA/Burlington/6-Liberty-Ave-01803/home/8456045</t>
  </si>
  <si>
    <t>地下室有霉味</t>
  </si>
  <si>
    <t>格局不好</t>
  </si>
  <si>
    <t>154-156 Madison Ave</t>
  </si>
  <si>
    <t>Arlington</t>
  </si>
  <si>
    <t>August-22-2020 10:30 AM</t>
  </si>
  <si>
    <t>August-22-2020 11:30 AM</t>
  </si>
  <si>
    <t>http://www.redfin.com/MA/Arlington/154-Madison-Ave-02474/unit-156/home/8430373</t>
  </si>
  <si>
    <t>18 Dale St Unit 4E</t>
  </si>
  <si>
    <t>http://www.redfin.com/MA/Andover/18-Dale-St-01810/unit-4E/home/11283956</t>
  </si>
  <si>
    <t>August-20-2020</t>
  </si>
  <si>
    <t>25 Freeport Dr</t>
  </si>
  <si>
    <t>http://www.redfin.com/MA/Burlington/25-Freeport-Dr-01803/home/8444116</t>
  </si>
  <si>
    <t>16 Samos Ln</t>
  </si>
  <si>
    <t>West Andover</t>
  </si>
  <si>
    <t>http://www.redfin.com/MA/Andover/16-Samos-Ln-01810/home/8225628</t>
  </si>
  <si>
    <t>1-3 Wright St</t>
  </si>
  <si>
    <t>http://www.redfin.com/MA/Winchester/1-Wright-St-01890/home/11467781</t>
  </si>
  <si>
    <t>19 Washington St</t>
  </si>
  <si>
    <t>http://www.redfin.com/MA/Bedford/19-Washington-St-01730/home/11545440</t>
  </si>
  <si>
    <t>65 LONGFELLOW Rd</t>
  </si>
  <si>
    <t>Reading</t>
  </si>
  <si>
    <t>Birchmeadow Area</t>
  </si>
  <si>
    <t>http://www.redfin.com/MA/Reading/65-Longfellow-Rd-01867/home/8692837</t>
  </si>
  <si>
    <t>7 Oak St</t>
  </si>
  <si>
    <t>http://www.redfin.com/MA/Burlington/7-Oak-St-01803/home/8458529</t>
  </si>
  <si>
    <t>812 Main St #812</t>
  </si>
  <si>
    <t>http://www.redfin.com/MA/Winchester/812-Main-St-01890/unit-812/home/172614567</t>
  </si>
  <si>
    <t>12 Skyview Rd</t>
  </si>
  <si>
    <t>http://www.redfin.com/MA/Lexington/12-Skyview-Rd-02420/home/8587188</t>
  </si>
  <si>
    <t>460 North Rd</t>
  </si>
  <si>
    <t>http://www.redfin.com/MA/Bedford/460-North-Rd-01730/home/11537697</t>
  </si>
  <si>
    <t>8 Veranda Ave</t>
  </si>
  <si>
    <t>Wilmington</t>
  </si>
  <si>
    <t>http://www.redfin.com/MA/Wilmington/8-Veranda-Ave-01887/home/11694880</t>
  </si>
  <si>
    <t>22 Baldwin St</t>
  </si>
  <si>
    <t>http://www.redfin.com/MA/Winchester/22-Baldwin-St-01890/home/11451893</t>
  </si>
  <si>
    <t>3 Sinbad Ln</t>
  </si>
  <si>
    <t>Westford</t>
  </si>
  <si>
    <t>PAPERCLIP FOR SAFETY AGREEMENT, IMPROVEMENTS, BROCHURE, PLOT PLAN, DISCLOSURE</t>
  </si>
  <si>
    <t>Pending</t>
  </si>
  <si>
    <t>http://www.redfin.com/MA/Westford/3-Sinbad-Ln-01886/home/8761578</t>
  </si>
  <si>
    <t>16A Hampden Ave</t>
  </si>
  <si>
    <t>http://www.redfin.com/MA/Burlington/16A-Hampden-Ave-01803/home/132428873</t>
  </si>
  <si>
    <t>8 Poplar Ter</t>
  </si>
  <si>
    <t>Wild Rose Estates</t>
  </si>
  <si>
    <t>http://www.redfin.com/MA/Andover/8-Poplar-Ter-01810/home/8222443</t>
  </si>
  <si>
    <t>34 Keans Rd</t>
  </si>
  <si>
    <t>http://www.redfin.com/MA/Burlington/34-Keans-Rd-01803/home/8464100</t>
  </si>
  <si>
    <t>2 Colleen Cir</t>
  </si>
  <si>
    <t>http://www.redfin.com/MA/Burlington/2-Colleen-Cir-01803/home/8457362</t>
  </si>
  <si>
    <t>翻新房</t>
  </si>
  <si>
    <t>5 Wyman St</t>
  </si>
  <si>
    <t>http://www.redfin.com/MA/Burlington/5-Wyman-St-01803/home/8465562</t>
  </si>
  <si>
    <t>17 Shirley Rd</t>
  </si>
  <si>
    <t>August-22-2020 12:00 PM</t>
  </si>
  <si>
    <t>August-22-2020 02:00 PM</t>
  </si>
  <si>
    <t>http://www.redfin.com/MA/Andover/17-Shirley-Rd-01810/home/8217739</t>
  </si>
  <si>
    <t>29 Brooksbie Rd</t>
  </si>
  <si>
    <t>http://www.redfin.com/MA/Bedford/29-Brooksbie-Rd-01730/home/11542515</t>
  </si>
  <si>
    <t>4 Leopold St</t>
  </si>
  <si>
    <t>http://www.redfin.com/MA/Burlington/4-Leopold-St-01803/home/8446451</t>
  </si>
  <si>
    <t>//div[contains(@class,'HomeBottomStats')]</t>
  </si>
  <si>
    <t>斜坡房</t>
  </si>
  <si>
    <t>陡破上反面地下室是没有窗，没有什么后院，前院比较大</t>
  </si>
  <si>
    <t>August-31-2000</t>
  </si>
  <si>
    <t>8 Mikaila Way</t>
  </si>
  <si>
    <t>Woburn</t>
  </si>
  <si>
    <t>http://www.redfin.com/MA/Woburn/8-Mikaila-Way-01801/home/11804822</t>
  </si>
  <si>
    <t>Dream home</t>
  </si>
  <si>
    <t>723 Main St</t>
  </si>
  <si>
    <t>Wakefield</t>
  </si>
  <si>
    <t>http://www.redfin.com/MA/Wakefield/723-Main-St-01880/home/172772893</t>
  </si>
  <si>
    <t>1 Freeport Dr</t>
  </si>
  <si>
    <t>http://www.redfin.com/MA/Burlington/1-Freeport-Dr-01803/home/8444068</t>
  </si>
  <si>
    <t>October-9-1987</t>
  </si>
  <si>
    <t>28 Greenwood Rd</t>
  </si>
  <si>
    <t>http://www.redfin.com/MA/Burlington/28-Greenwood-Rd-01803/home/8455722</t>
  </si>
  <si>
    <t>June-16-2016</t>
  </si>
  <si>
    <t>4 Brooksbie Rd</t>
  </si>
  <si>
    <t>http://www.redfin.com/MA/Bedford/Unknown-01730/home/11544301</t>
  </si>
  <si>
    <t>118 Andover St</t>
  </si>
  <si>
    <t>Ballardvale</t>
  </si>
  <si>
    <t>http://www.redfin.com/MA/Andover/118-Andover-St-01810/home/11283632</t>
  </si>
  <si>
    <t>7 Christina Ave</t>
  </si>
  <si>
    <t>Billerica</t>
  </si>
  <si>
    <t>http://www.redfin.com/MA/Billerica/7-Christina-Ave-01821/home/11415591</t>
  </si>
  <si>
    <t>Condo/Co-op</t>
  </si>
  <si>
    <t>67 Edward Dr #00</t>
  </si>
  <si>
    <t>http://www.redfin.com/MA/Winchester/67-Edward-Dr-01890/unit-67/home/136880799</t>
  </si>
  <si>
    <t>32 Foster Cir</t>
  </si>
  <si>
    <t>http://www.redfin.com/MA/Andover/32-Foster-Cir-01810/home/8197278</t>
  </si>
  <si>
    <t>16 Crystal Cir</t>
  </si>
  <si>
    <t>http://www.redfin.com/MA/Burlington/16-Crystal-Cir-01803/home/8450877</t>
  </si>
  <si>
    <t>红房子</t>
  </si>
  <si>
    <t>地下室有1/2</t>
  </si>
  <si>
    <t>36 Bannister Rd</t>
  </si>
  <si>
    <t>http://www.redfin.com/MA/Andover/36-Bannister-Rd-01810/home/8228584</t>
  </si>
  <si>
    <t>38 SHERIDAN Rd</t>
  </si>
  <si>
    <t>http://www.redfin.com/MA/Andover/38-Sheridan-Rd-01810/home/8205020</t>
  </si>
  <si>
    <t>16 Blueberry Hill Rd</t>
  </si>
  <si>
    <t>http://www.redfin.com/MA/Woburn/16-Blueberry-Hill-Rd-01801/home/11821188</t>
  </si>
  <si>
    <t>34 Clark Rd</t>
  </si>
  <si>
    <t>http://www.redfin.com/MA/Andover/34-Clark-Rd-01810/home/8230949</t>
  </si>
  <si>
    <t>1 Eugene Rd</t>
  </si>
  <si>
    <t>http://www.redfin.com/MA/Burlington/1-Eugene-Rd-01803/home/8467270</t>
  </si>
  <si>
    <t>33 University Ave</t>
  </si>
  <si>
    <t>http://www.redfin.com/MA/Burlington/33-University-Ave-01803/home/8451010</t>
  </si>
  <si>
    <t>102 Hartwell Rd</t>
  </si>
  <si>
    <t>http://www.redfin.com/MA/Bedford/102-Hartwell-Rd-01730/home/11545407</t>
  </si>
  <si>
    <t>39 Lantern Ln</t>
  </si>
  <si>
    <t>http://www.redfin.com/MA/Burlington/39-Lantern-Ln-01803/home/11548155</t>
  </si>
  <si>
    <t>42 Upland Rd</t>
  </si>
  <si>
    <t>Foxhill</t>
  </si>
  <si>
    <t>http://www.redfin.com/MA/Burlington/42-Upland-Rd-01803/home/8442997</t>
  </si>
  <si>
    <t>高压线</t>
  </si>
  <si>
    <t>双黄线边上</t>
  </si>
  <si>
    <t>674 East St</t>
  </si>
  <si>
    <t>Tewksbury</t>
  </si>
  <si>
    <t>http://www.redfin.com/MA/Tewksbury/674-East-St-01876/home/8735393</t>
  </si>
  <si>
    <t>18 Dale St Unit 6H</t>
  </si>
  <si>
    <t>http://www.redfin.com/MA/Andover/18-Dale-St-01810/unit-6H/home/8243743</t>
  </si>
  <si>
    <t>mls index for all other info</t>
  </si>
  <si>
    <t>Grabing info from redfin directly</t>
  </si>
  <si>
    <t>Update data from a seperate work sheet</t>
  </si>
  <si>
    <t>Update data from google drive</t>
  </si>
  <si>
    <t>Update data automatically from redfin</t>
  </si>
  <si>
    <t>save customise field and not erase by update</t>
  </si>
  <si>
    <t>update status from active to or pending</t>
  </si>
  <si>
    <t>color coding cell backgroud according to certain condition</t>
  </si>
  <si>
    <t>Matching and updated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</si>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</sst>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  <numFmt numFmtId="166" formatCode="yyyy\-m\-d"/>
    <numFmt numFmtId="167" formatCode="[$$]#,##0.00"/>
    <numFmt numFmtId="168" formatCode="0.0%"/>
    <numFmt numFmtId="169" formatCode="_(&quot;$&quot;* #,##0_);_(&quot;$&quot;* \(#,##0\);_(&quot;$&quot;* &quot;-&quot;?_);_(@_)"/>
    <numFmt numFmtId="170" formatCode="_(&quot;$&quot;* #,##0.0_);_(&quot;$&quot;* \(#,##0.0\);_(&quot;$&quot;* &quot;-&quot;??_);_(@_)"/>
    <numFmt numFmtId="171" formatCode="_(* #,##0_);_(* \(#,##0\);_(* &quot;-&quot;??_);_(@_)"/>
  </numFmts>
  <fonts count="16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name val="Arial"/>
    </font>
    <font>
      <sz val="11"/>
      <color rgb="FF000000"/>
      <name val="Inconsolata"/>
    </font>
    <font>
      <u/>
      <sz val="12"/>
      <color rgb="FF1155CC"/>
      <name val="Arial"/>
    </font>
    <font>
      <u/>
      <sz val="12"/>
      <color rgb="FF1155CC"/>
      <name val="Calibri"/>
    </font>
    <font>
      <u/>
      <sz val="12"/>
      <color theme="1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FF"/>
      <name val="Calibri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strike/>
      <sz val="12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1" fillId="5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4" borderId="4" xfId="0" applyFont="1" applyFill="1" applyBorder="1" applyAlignment="1"/>
    <xf numFmtId="1" fontId="1" fillId="0" borderId="4" xfId="0" applyNumberFormat="1" applyFont="1" applyBorder="1"/>
    <xf numFmtId="0" fontId="1" fillId="4" borderId="4" xfId="0" applyFont="1" applyFill="1" applyBorder="1" applyAlignment="1"/>
    <xf numFmtId="164" fontId="1" fillId="0" borderId="4" xfId="0" applyNumberFormat="1" applyFont="1" applyBorder="1"/>
    <xf numFmtId="1" fontId="1" fillId="0" borderId="0" xfId="0" applyNumberFormat="1" applyFont="1" applyAlignment="1">
      <alignment horizontal="right"/>
    </xf>
    <xf numFmtId="165" fontId="9" fillId="4" borderId="4" xfId="0" applyNumberFormat="1" applyFont="1" applyFill="1" applyBorder="1" applyAlignment="1"/>
    <xf numFmtId="165" fontId="1" fillId="0" borderId="4" xfId="0" applyNumberFormat="1" applyFont="1" applyBorder="1"/>
    <xf numFmtId="165" fontId="1" fillId="2" borderId="4" xfId="0" applyNumberFormat="1" applyFont="1" applyFill="1" applyBorder="1"/>
    <xf numFmtId="44" fontId="1" fillId="0" borderId="4" xfId="0" applyNumberFormat="1" applyFont="1" applyBorder="1"/>
    <xf numFmtId="0" fontId="1" fillId="7" borderId="4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6" fontId="8" fillId="4" borderId="4" xfId="0" applyNumberFormat="1" applyFont="1" applyFill="1" applyBorder="1" applyAlignment="1"/>
    <xf numFmtId="165" fontId="8" fillId="4" borderId="4" xfId="0" applyNumberFormat="1" applyFont="1" applyFill="1" applyBorder="1" applyAlignment="1"/>
    <xf numFmtId="165" fontId="1" fillId="4" borderId="4" xfId="0" applyNumberFormat="1" applyFont="1" applyFill="1" applyBorder="1"/>
    <xf numFmtId="165" fontId="1" fillId="4" borderId="4" xfId="0" applyNumberFormat="1" applyFont="1" applyFill="1" applyBorder="1" applyAlignment="1"/>
    <xf numFmtId="165" fontId="1" fillId="8" borderId="4" xfId="0" applyNumberFormat="1" applyFont="1" applyFill="1" applyBorder="1" applyAlignment="1">
      <alignment horizontal="center"/>
    </xf>
    <xf numFmtId="44" fontId="1" fillId="0" borderId="4" xfId="0" applyNumberFormat="1" applyFont="1" applyBorder="1" applyAlignment="1">
      <alignment horizontal="right"/>
    </xf>
    <xf numFmtId="44" fontId="1" fillId="8" borderId="4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right"/>
    </xf>
    <xf numFmtId="4" fontId="1" fillId="6" borderId="0" xfId="0" applyNumberFormat="1" applyFont="1" applyFill="1" applyAlignment="1">
      <alignment horizontal="right"/>
    </xf>
    <xf numFmtId="4" fontId="1" fillId="8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center"/>
    </xf>
    <xf numFmtId="10" fontId="1" fillId="0" borderId="4" xfId="0" applyNumberFormat="1" applyFont="1" applyBorder="1" applyAlignment="1">
      <alignment horizontal="right"/>
    </xf>
    <xf numFmtId="10" fontId="1" fillId="8" borderId="4" xfId="0" applyNumberFormat="1" applyFont="1" applyFill="1" applyBorder="1" applyAlignment="1">
      <alignment horizontal="center"/>
    </xf>
    <xf numFmtId="167" fontId="1" fillId="9" borderId="4" xfId="0" applyNumberFormat="1" applyFont="1" applyFill="1" applyBorder="1" applyAlignment="1">
      <alignment horizontal="right"/>
    </xf>
    <xf numFmtId="0" fontId="9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2" fillId="4" borderId="4" xfId="0" applyNumberFormat="1" applyFont="1" applyFill="1" applyBorder="1" applyAlignment="1"/>
    <xf numFmtId="166" fontId="8" fillId="4" borderId="4" xfId="0" applyNumberFormat="1" applyFont="1" applyFill="1" applyBorder="1" applyAlignment="1">
      <alignment horizontal="right"/>
    </xf>
    <xf numFmtId="1" fontId="1" fillId="0" borderId="0" xfId="0" applyNumberFormat="1" applyFont="1"/>
    <xf numFmtId="165" fontId="1" fillId="2" borderId="4" xfId="0" applyNumberFormat="1" applyFont="1" applyFill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/>
    <xf numFmtId="165" fontId="1" fillId="0" borderId="0" xfId="0" applyNumberFormat="1" applyFont="1"/>
    <xf numFmtId="166" fontId="1" fillId="4" borderId="4" xfId="0" applyNumberFormat="1" applyFont="1" applyFill="1" applyBorder="1" applyAlignment="1"/>
    <xf numFmtId="165" fontId="1" fillId="5" borderId="4" xfId="0" applyNumberFormat="1" applyFont="1" applyFill="1" applyBorder="1"/>
    <xf numFmtId="165" fontId="1" fillId="8" borderId="4" xfId="0" applyNumberFormat="1" applyFont="1" applyFill="1" applyBorder="1"/>
    <xf numFmtId="4" fontId="1" fillId="4" borderId="0" xfId="0" applyNumberFormat="1" applyFont="1" applyFill="1" applyAlignment="1">
      <alignment horizontal="right"/>
    </xf>
    <xf numFmtId="10" fontId="1" fillId="5" borderId="4" xfId="0" applyNumberFormat="1" applyFont="1" applyFill="1" applyBorder="1" applyAlignment="1">
      <alignment horizontal="right"/>
    </xf>
    <xf numFmtId="10" fontId="1" fillId="8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10" fontId="1" fillId="3" borderId="4" xfId="0" applyNumberFormat="1" applyFont="1" applyFill="1" applyBorder="1" applyAlignment="1">
      <alignment horizontal="right"/>
    </xf>
    <xf numFmtId="167" fontId="1" fillId="5" borderId="4" xfId="0" applyNumberFormat="1" applyFont="1" applyFill="1" applyBorder="1" applyAlignment="1">
      <alignment horizontal="right"/>
    </xf>
    <xf numFmtId="165" fontId="1" fillId="8" borderId="4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9" fontId="1" fillId="0" borderId="0" xfId="0" applyNumberFormat="1" applyFont="1"/>
    <xf numFmtId="0" fontId="1" fillId="4" borderId="4" xfId="0" applyFont="1" applyFill="1" applyBorder="1"/>
    <xf numFmtId="0" fontId="2" fillId="11" borderId="5" xfId="0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right"/>
    </xf>
    <xf numFmtId="164" fontId="1" fillId="0" borderId="0" xfId="0" applyNumberFormat="1" applyFont="1"/>
    <xf numFmtId="0" fontId="1" fillId="4" borderId="4" xfId="0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5" fontId="10" fillId="0" borderId="0" xfId="0" applyNumberFormat="1" applyFont="1" applyAlignment="1"/>
    <xf numFmtId="0" fontId="2" fillId="0" borderId="0" xfId="0" applyFont="1" applyAlignment="1">
      <alignment horizontal="right"/>
    </xf>
    <xf numFmtId="168" fontId="1" fillId="0" borderId="0" xfId="0" applyNumberFormat="1" applyFont="1" applyAlignment="1">
      <alignment horizontal="center"/>
    </xf>
    <xf numFmtId="0" fontId="10" fillId="0" borderId="0" xfId="0" applyFont="1" applyAlignment="1"/>
    <xf numFmtId="169" fontId="10" fillId="0" borderId="0" xfId="0" applyNumberFormat="1" applyFont="1"/>
    <xf numFmtId="2" fontId="1" fillId="0" borderId="0" xfId="0" applyNumberFormat="1" applyFont="1" applyAlignment="1">
      <alignment horizontal="center"/>
    </xf>
    <xf numFmtId="6" fontId="10" fillId="0" borderId="0" xfId="0" applyNumberFormat="1" applyFont="1" applyAlignment="1"/>
    <xf numFmtId="170" fontId="10" fillId="0" borderId="0" xfId="0" applyNumberFormat="1" applyFont="1" applyAlignment="1"/>
    <xf numFmtId="0" fontId="10" fillId="0" borderId="0" xfId="0" applyFont="1"/>
    <xf numFmtId="0" fontId="1" fillId="0" borderId="0" xfId="0" applyFont="1" applyAlignment="1">
      <alignment horizontal="left"/>
    </xf>
    <xf numFmtId="9" fontId="10" fillId="0" borderId="0" xfId="0" applyNumberFormat="1" applyFont="1"/>
    <xf numFmtId="168" fontId="10" fillId="0" borderId="0" xfId="0" applyNumberFormat="1" applyFont="1" applyAlignment="1"/>
    <xf numFmtId="171" fontId="10" fillId="0" borderId="0" xfId="0" applyNumberFormat="1" applyFont="1" applyAlignment="1"/>
    <xf numFmtId="165" fontId="10" fillId="0" borderId="0" xfId="0" applyNumberFormat="1" applyFont="1"/>
    <xf numFmtId="0" fontId="2" fillId="12" borderId="8" xfId="0" applyFont="1" applyFill="1" applyBorder="1"/>
    <xf numFmtId="165" fontId="2" fillId="0" borderId="0" xfId="0" applyNumberFormat="1" applyFont="1"/>
    <xf numFmtId="6" fontId="1" fillId="0" borderId="0" xfId="0" applyNumberFormat="1" applyFont="1"/>
    <xf numFmtId="0" fontId="2" fillId="13" borderId="5" xfId="0" applyFont="1" applyFill="1" applyBorder="1"/>
    <xf numFmtId="6" fontId="2" fillId="13" borderId="5" xfId="0" applyNumberFormat="1" applyFont="1" applyFill="1" applyBorder="1"/>
    <xf numFmtId="0" fontId="11" fillId="0" borderId="0" xfId="0" applyFont="1" applyAlignment="1"/>
    <xf numFmtId="0" fontId="11" fillId="14" borderId="0" xfId="0" applyFont="1" applyFill="1" applyAlignment="1"/>
    <xf numFmtId="0" fontId="1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2" fillId="0" borderId="0" xfId="0" applyFont="1" applyAlignment="1"/>
    <xf numFmtId="0" fontId="11" fillId="3" borderId="0" xfId="0" applyFont="1" applyFill="1" applyAlignment="1"/>
    <xf numFmtId="0" fontId="4" fillId="3" borderId="0" xfId="0" applyFont="1" applyFill="1"/>
    <xf numFmtId="0" fontId="11" fillId="3" borderId="0" xfId="0" applyFont="1" applyFill="1"/>
    <xf numFmtId="0" fontId="13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1" fillId="15" borderId="0" xfId="0" applyFont="1" applyFill="1" applyAlignment="1"/>
    <xf numFmtId="0" fontId="15" fillId="0" borderId="0" xfId="0" applyFont="1" applyAlignment="1"/>
    <xf numFmtId="0" fontId="1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10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right"/>
    </xf>
    <xf numFmtId="0" fontId="3" fillId="0" borderId="7" xfId="0" applyFont="1" applyBorder="1"/>
    <xf numFmtId="0" fontId="2" fillId="11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dfin.com/MA/Burlington/6-Liberty-Ave-01803/home/8456045" TargetMode="External"/><Relationship Id="rId18" Type="http://schemas.openxmlformats.org/officeDocument/2006/relationships/hyperlink" Target="http://www.redfin.com/MA/Winchester/1-Wright-St-01890/home/11467781" TargetMode="External"/><Relationship Id="rId26" Type="http://schemas.openxmlformats.org/officeDocument/2006/relationships/hyperlink" Target="http://www.redfin.com/MA/Winchester/22-Baldwin-St-01890/home/11451893" TargetMode="External"/><Relationship Id="rId39" Type="http://schemas.openxmlformats.org/officeDocument/2006/relationships/hyperlink" Target="http://www.redfin.com/MA/Burlington/28-Greenwood-Rd-01803/home/8455722" TargetMode="External"/><Relationship Id="rId21" Type="http://schemas.openxmlformats.org/officeDocument/2006/relationships/hyperlink" Target="http://www.redfin.com/MA/Burlington/7-Oak-St-01803/home/8458529" TargetMode="External"/><Relationship Id="rId34" Type="http://schemas.openxmlformats.org/officeDocument/2006/relationships/hyperlink" Target="http://www.redfin.com/MA/Bedford/29-Brooksbie-Rd-01730/home/11542515" TargetMode="External"/><Relationship Id="rId42" Type="http://schemas.openxmlformats.org/officeDocument/2006/relationships/hyperlink" Target="http://www.redfin.com/MA/Billerica/7-Christina-Ave-01821/home/11415591" TargetMode="External"/><Relationship Id="rId47" Type="http://schemas.openxmlformats.org/officeDocument/2006/relationships/hyperlink" Target="http://www.redfin.com/MA/Andover/38-Sheridan-Rd-01810/home/8205020" TargetMode="External"/><Relationship Id="rId50" Type="http://schemas.openxmlformats.org/officeDocument/2006/relationships/hyperlink" Target="http://www.redfin.com/MA/Burlington/1-Eugene-Rd-01803/home/8467270" TargetMode="External"/><Relationship Id="rId55" Type="http://schemas.openxmlformats.org/officeDocument/2006/relationships/hyperlink" Target="http://www.redfin.com/MA/Tewksbury/674-East-St-01876/home/8735393" TargetMode="External"/><Relationship Id="rId7" Type="http://schemas.openxmlformats.org/officeDocument/2006/relationships/hyperlink" Target="http://www.redfin.com/MA/Andover/74-Wild-Rose-Dr-01810/home/8227529" TargetMode="External"/><Relationship Id="rId12" Type="http://schemas.openxmlformats.org/officeDocument/2006/relationships/hyperlink" Target="http://www.redfin.com/MA/Winchester/238-Washington-St-01890/home/11449196" TargetMode="External"/><Relationship Id="rId17" Type="http://schemas.openxmlformats.org/officeDocument/2006/relationships/hyperlink" Target="http://www.redfin.com/MA/Andover/16-Samos-Ln-01810/home/8225628" TargetMode="External"/><Relationship Id="rId25" Type="http://schemas.openxmlformats.org/officeDocument/2006/relationships/hyperlink" Target="http://www.redfin.com/MA/Wilmington/8-Veranda-Ave-01887/home/11694880" TargetMode="External"/><Relationship Id="rId33" Type="http://schemas.openxmlformats.org/officeDocument/2006/relationships/hyperlink" Target="http://www.redfin.com/MA/Andover/17-Shirley-Rd-01810/home/8217739" TargetMode="External"/><Relationship Id="rId38" Type="http://schemas.openxmlformats.org/officeDocument/2006/relationships/hyperlink" Target="http://www.redfin.com/MA/Burlington/1-Freeport-Dr-01803/home/8444068" TargetMode="External"/><Relationship Id="rId46" Type="http://schemas.openxmlformats.org/officeDocument/2006/relationships/hyperlink" Target="http://www.redfin.com/MA/Andover/36-Bannister-Rd-01810/home/8228584" TargetMode="External"/><Relationship Id="rId2" Type="http://schemas.openxmlformats.org/officeDocument/2006/relationships/hyperlink" Target="http://www.redfin.com/MA/Somerville/34-Line-St-02143/home/8725671" TargetMode="External"/><Relationship Id="rId16" Type="http://schemas.openxmlformats.org/officeDocument/2006/relationships/hyperlink" Target="http://www.redfin.com/MA/Burlington/25-Freeport-Dr-01803/home/8444116" TargetMode="External"/><Relationship Id="rId20" Type="http://schemas.openxmlformats.org/officeDocument/2006/relationships/hyperlink" Target="http://www.redfin.com/MA/Reading/65-Longfellow-Rd-01867/home/8692837" TargetMode="External"/><Relationship Id="rId29" Type="http://schemas.openxmlformats.org/officeDocument/2006/relationships/hyperlink" Target="http://www.redfin.com/MA/Andover/8-Poplar-Ter-01810/home/8222443" TargetMode="External"/><Relationship Id="rId41" Type="http://schemas.openxmlformats.org/officeDocument/2006/relationships/hyperlink" Target="http://www.redfin.com/MA/Andover/118-Andover-St-01810/home/11283632" TargetMode="External"/><Relationship Id="rId54" Type="http://schemas.openxmlformats.org/officeDocument/2006/relationships/hyperlink" Target="http://www.redfin.com/MA/Burlington/42-Upland-Rd-01803/home/8442997" TargetMode="External"/><Relationship Id="rId1" Type="http://schemas.openxmlformats.org/officeDocument/2006/relationships/hyperlink" Target="http://www.redfin.com/MA/Bedford/1-Fairview-Ave-01730/home/11543255" TargetMode="External"/><Relationship Id="rId6" Type="http://schemas.openxmlformats.org/officeDocument/2006/relationships/hyperlink" Target="http://www.redfin.com/MA/Bedford/64-Neillian-St-01730/unit-64/home/171394554" TargetMode="External"/><Relationship Id="rId11" Type="http://schemas.openxmlformats.org/officeDocument/2006/relationships/hyperlink" Target="http://www.redfin.com/MA/Burlington/118-Lexington-St-01803/home/8465799" TargetMode="External"/><Relationship Id="rId24" Type="http://schemas.openxmlformats.org/officeDocument/2006/relationships/hyperlink" Target="http://www.redfin.com/MA/Bedford/460-North-Rd-01730/home/11537697" TargetMode="External"/><Relationship Id="rId32" Type="http://schemas.openxmlformats.org/officeDocument/2006/relationships/hyperlink" Target="http://www.redfin.com/MA/Burlington/5-Wyman-St-01803/home/8465562" TargetMode="External"/><Relationship Id="rId37" Type="http://schemas.openxmlformats.org/officeDocument/2006/relationships/hyperlink" Target="http://www.redfin.com/MA/Wakefield/723-Main-St-01880/home/172772893" TargetMode="External"/><Relationship Id="rId40" Type="http://schemas.openxmlformats.org/officeDocument/2006/relationships/hyperlink" Target="http://www.redfin.com/MA/Bedford/Unknown-01730/home/11544301" TargetMode="External"/><Relationship Id="rId45" Type="http://schemas.openxmlformats.org/officeDocument/2006/relationships/hyperlink" Target="http://www.redfin.com/MA/Burlington/16-Crystal-Cir-01803/home/8450877" TargetMode="External"/><Relationship Id="rId53" Type="http://schemas.openxmlformats.org/officeDocument/2006/relationships/hyperlink" Target="http://www.redfin.com/MA/Burlington/39-Lantern-Ln-01803/home/11548155" TargetMode="External"/><Relationship Id="rId5" Type="http://schemas.openxmlformats.org/officeDocument/2006/relationships/hyperlink" Target="http://www.redfin.com/MA/Burlington/12-Fred-St-01803/home/11548271" TargetMode="External"/><Relationship Id="rId15" Type="http://schemas.openxmlformats.org/officeDocument/2006/relationships/hyperlink" Target="http://www.redfin.com/MA/Andover/18-Dale-St-01810/unit-4E/home/11283956" TargetMode="External"/><Relationship Id="rId23" Type="http://schemas.openxmlformats.org/officeDocument/2006/relationships/hyperlink" Target="http://www.redfin.com/MA/Lexington/12-Skyview-Rd-02420/home/8587188" TargetMode="External"/><Relationship Id="rId28" Type="http://schemas.openxmlformats.org/officeDocument/2006/relationships/hyperlink" Target="http://www.redfin.com/MA/Burlington/16A-Hampden-Ave-01803/home/132428873" TargetMode="External"/><Relationship Id="rId36" Type="http://schemas.openxmlformats.org/officeDocument/2006/relationships/hyperlink" Target="http://www.redfin.com/MA/Woburn/8-Mikaila-Way-01801/home/11804822" TargetMode="External"/><Relationship Id="rId49" Type="http://schemas.openxmlformats.org/officeDocument/2006/relationships/hyperlink" Target="http://www.redfin.com/MA/Andover/34-Clark-Rd-01810/home/8230949" TargetMode="External"/><Relationship Id="rId10" Type="http://schemas.openxmlformats.org/officeDocument/2006/relationships/hyperlink" Target="http://www.redfin.com/MA/Burlington/12-Dover-Dr-01803/unit-12/home/113244803" TargetMode="External"/><Relationship Id="rId19" Type="http://schemas.openxmlformats.org/officeDocument/2006/relationships/hyperlink" Target="http://www.redfin.com/MA/Bedford/19-Washington-St-01730/home/11545440" TargetMode="External"/><Relationship Id="rId31" Type="http://schemas.openxmlformats.org/officeDocument/2006/relationships/hyperlink" Target="http://www.redfin.com/MA/Burlington/2-Colleen-Cir-01803/home/8457362" TargetMode="External"/><Relationship Id="rId44" Type="http://schemas.openxmlformats.org/officeDocument/2006/relationships/hyperlink" Target="http://www.redfin.com/MA/Andover/32-Foster-Cir-01810/home/8197278" TargetMode="External"/><Relationship Id="rId52" Type="http://schemas.openxmlformats.org/officeDocument/2006/relationships/hyperlink" Target="http://www.redfin.com/MA/Bedford/102-Hartwell-Rd-01730/home/11545407" TargetMode="External"/><Relationship Id="rId4" Type="http://schemas.openxmlformats.org/officeDocument/2006/relationships/hyperlink" Target="http://www.redfin.com/MA/Winchester/8-Hill-St-01890/home/11468176" TargetMode="External"/><Relationship Id="rId9" Type="http://schemas.openxmlformats.org/officeDocument/2006/relationships/hyperlink" Target="http://www.redfin.com/MA/Bedford/348-South-Rd-01730/unit-1/home/171557503" TargetMode="External"/><Relationship Id="rId14" Type="http://schemas.openxmlformats.org/officeDocument/2006/relationships/hyperlink" Target="http://www.redfin.com/MA/Arlington/154-Madison-Ave-02474/unit-156/home/8430373" TargetMode="External"/><Relationship Id="rId22" Type="http://schemas.openxmlformats.org/officeDocument/2006/relationships/hyperlink" Target="http://www.redfin.com/MA/Winchester/812-Main-St-01890/unit-812/home/172614567" TargetMode="External"/><Relationship Id="rId27" Type="http://schemas.openxmlformats.org/officeDocument/2006/relationships/hyperlink" Target="http://www.redfin.com/MA/Westford/3-Sinbad-Ln-01886/home/8761578" TargetMode="External"/><Relationship Id="rId30" Type="http://schemas.openxmlformats.org/officeDocument/2006/relationships/hyperlink" Target="http://www.redfin.com/MA/Burlington/34-Keans-Rd-01803/home/8464100" TargetMode="External"/><Relationship Id="rId35" Type="http://schemas.openxmlformats.org/officeDocument/2006/relationships/hyperlink" Target="http://www.redfin.com/MA/Burlington/4-Leopold-St-01803/home/8446451" TargetMode="External"/><Relationship Id="rId43" Type="http://schemas.openxmlformats.org/officeDocument/2006/relationships/hyperlink" Target="http://www.redfin.com/MA/Winchester/67-Edward-Dr-01890/unit-67/home/136880799" TargetMode="External"/><Relationship Id="rId48" Type="http://schemas.openxmlformats.org/officeDocument/2006/relationships/hyperlink" Target="http://www.redfin.com/MA/Woburn/16-Blueberry-Hill-Rd-01801/home/11821188" TargetMode="External"/><Relationship Id="rId56" Type="http://schemas.openxmlformats.org/officeDocument/2006/relationships/hyperlink" Target="http://www.redfin.com/MA/Andover/18-Dale-St-01810/unit-6H/home/8243743" TargetMode="External"/><Relationship Id="rId8" Type="http://schemas.openxmlformats.org/officeDocument/2006/relationships/hyperlink" Target="http://www.redfin.com/MA/Andover/8-Rogers-Brk-W-01810/home/8193306" TargetMode="External"/><Relationship Id="rId51" Type="http://schemas.openxmlformats.org/officeDocument/2006/relationships/hyperlink" Target="http://www.redfin.com/MA/Burlington/33-University-Ave-01803/home/8451010" TargetMode="External"/><Relationship Id="rId3" Type="http://schemas.openxmlformats.org/officeDocument/2006/relationships/hyperlink" Target="http://www.redfin.com/MA/Lexington/78-Harding-Rd-02420/home/1177639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dfin.com/MA/Andover/17-Shirley-Rd-01810/home/8217739" TargetMode="External"/><Relationship Id="rId13" Type="http://schemas.openxmlformats.org/officeDocument/2006/relationships/hyperlink" Target="http://www.redfin.com/MA/Burlington/5-Wyman-St-01803/home/8465562" TargetMode="External"/><Relationship Id="rId18" Type="http://schemas.openxmlformats.org/officeDocument/2006/relationships/hyperlink" Target="http://www.redfin.com/MA/Burlington/2-Colleen-Cir-01803/home/8457362" TargetMode="External"/><Relationship Id="rId3" Type="http://schemas.openxmlformats.org/officeDocument/2006/relationships/hyperlink" Target="http://www.redfin.com/MA/Burlington/34-Keans-Rd-01803/home/8464100" TargetMode="External"/><Relationship Id="rId21" Type="http://schemas.openxmlformats.org/officeDocument/2006/relationships/hyperlink" Target="http://www.redfin.com/MA/Bedford/460-North-Rd-01730/home/11537697" TargetMode="External"/><Relationship Id="rId7" Type="http://schemas.openxmlformats.org/officeDocument/2006/relationships/hyperlink" Target="http://www.redfin.com/MA/Arlington/154-Madison-Ave-02474/unit-156/home/8430373" TargetMode="External"/><Relationship Id="rId12" Type="http://schemas.openxmlformats.org/officeDocument/2006/relationships/hyperlink" Target="http://www.redfin.com/MA/Burlington/6-Liberty-Ave-01803/home/8456045" TargetMode="External"/><Relationship Id="rId17" Type="http://schemas.openxmlformats.org/officeDocument/2006/relationships/hyperlink" Target="http://www.redfin.com/MA/Winchester/8-Hill-St-01890/home/11468176" TargetMode="External"/><Relationship Id="rId2" Type="http://schemas.openxmlformats.org/officeDocument/2006/relationships/hyperlink" Target="http://www.redfin.com/MA/Burlington/12-Fred-St-01803/home/11548271" TargetMode="External"/><Relationship Id="rId16" Type="http://schemas.openxmlformats.org/officeDocument/2006/relationships/hyperlink" Target="http://www.redfin.com/MA/Andover/8-Poplar-Ter-01810/home/8222443" TargetMode="External"/><Relationship Id="rId20" Type="http://schemas.openxmlformats.org/officeDocument/2006/relationships/hyperlink" Target="http://www.redfin.com/MA/Bedford/64-Neillian-St-01730/unit-64/home/171394554" TargetMode="External"/><Relationship Id="rId1" Type="http://schemas.openxmlformats.org/officeDocument/2006/relationships/hyperlink" Target="http://www.redfin.com/MA/Burlington/4-Leopold-St-01803/home/8446451" TargetMode="External"/><Relationship Id="rId6" Type="http://schemas.openxmlformats.org/officeDocument/2006/relationships/hyperlink" Target="http://www.redfin.com/MA/Winchester/238-Washington-St-01890/home/11449196" TargetMode="External"/><Relationship Id="rId11" Type="http://schemas.openxmlformats.org/officeDocument/2006/relationships/hyperlink" Target="http://www.redfin.com/MA/Bedford/29-Brooksbie-Rd-01730/home/11542515" TargetMode="External"/><Relationship Id="rId5" Type="http://schemas.openxmlformats.org/officeDocument/2006/relationships/hyperlink" Target="http://www.redfin.com/MA/Burlington/7-Oak-St-01803/home/8458529" TargetMode="External"/><Relationship Id="rId15" Type="http://schemas.openxmlformats.org/officeDocument/2006/relationships/hyperlink" Target="http://www.redfin.com/MA/Andover/16-Samos-Ln-01810/home/8225628" TargetMode="External"/><Relationship Id="rId10" Type="http://schemas.openxmlformats.org/officeDocument/2006/relationships/hyperlink" Target="http://www.redfin.com/MA/Lexington/78-Harding-Rd-02420/home/11776390" TargetMode="External"/><Relationship Id="rId19" Type="http://schemas.openxmlformats.org/officeDocument/2006/relationships/hyperlink" Target="http://www.redfin.com/MA/Reading/65-Longfellow-Rd-01867/home/8692837" TargetMode="External"/><Relationship Id="rId4" Type="http://schemas.openxmlformats.org/officeDocument/2006/relationships/hyperlink" Target="http://www.redfin.com/MA/Burlington/16A-Hampden-Ave-01803/home/132428873" TargetMode="External"/><Relationship Id="rId9" Type="http://schemas.openxmlformats.org/officeDocument/2006/relationships/hyperlink" Target="http://www.redfin.com/MA/Wilmington/8-Veranda-Ave-01887/home/11694880" TargetMode="External"/><Relationship Id="rId14" Type="http://schemas.openxmlformats.org/officeDocument/2006/relationships/hyperlink" Target="http://www.redfin.com/MA/Andover/18-Dale-St-01810/unit-4E/home/11283956" TargetMode="External"/><Relationship Id="rId22" Type="http://schemas.openxmlformats.org/officeDocument/2006/relationships/hyperlink" Target="http://www.redfin.com/MA/Winchester/1-Wright-St-01890/home/1146778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edfin.com/MA/Lexington/78-Harding-Rd-02420/home/11776390" TargetMode="External"/><Relationship Id="rId1" Type="http://schemas.openxmlformats.org/officeDocument/2006/relationships/hyperlink" Target="http://www.redfin.com/MA/Lexington/78-Harding-Rd-02420/home/1177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showGridLines="0" workbookViewId="0"/>
  </sheetViews>
  <sheetFormatPr defaultColWidth="11.21875" defaultRowHeight="15" customHeight="1"/>
  <cols>
    <col min="1" max="1" width="26.77734375" customWidth="1"/>
    <col min="2" max="2" width="19.44140625" customWidth="1"/>
    <col min="3" max="3" width="21.77734375" customWidth="1"/>
    <col min="4" max="7" width="19.44140625" customWidth="1"/>
    <col min="8" max="8" width="20.33203125" customWidth="1"/>
    <col min="9" max="9" width="18.109375" customWidth="1"/>
    <col min="10" max="10" width="16.77734375" customWidth="1"/>
    <col min="11" max="11" width="14" customWidth="1"/>
    <col min="12" max="12" width="15.33203125" customWidth="1"/>
    <col min="13" max="24" width="10.77734375" customWidth="1"/>
    <col min="25" max="26" width="10.5546875" customWidth="1"/>
  </cols>
  <sheetData>
    <row r="1" spans="1:26" ht="15.75" customHeight="1">
      <c r="A1" s="1"/>
      <c r="B1" s="114" t="s">
        <v>0</v>
      </c>
      <c r="C1" s="115"/>
      <c r="D1" s="115"/>
      <c r="E1" s="115"/>
      <c r="F1" s="115"/>
      <c r="G1" s="115"/>
      <c r="H1" s="1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2"/>
      <c r="J2" s="2"/>
      <c r="K2" s="2"/>
      <c r="L2" s="5" t="s">
        <v>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6" t="s">
        <v>9</v>
      </c>
      <c r="B3" s="7" t="e">
        <f t="array" aca="1" ref="B3" ca="1">IF(B10&gt;0,INDEX('Data Base'!$AC$2:$AC1025,MATCH(B10,'Data Base'!$W$2:$W1025,0)),"")</f>
        <v>#NAME?</v>
      </c>
      <c r="C3" s="7" t="e">
        <f t="array" aca="1" ref="C3" ca="1">IF(C10&gt;0,INDEX('Data Base'!$AC$2:$AC1025,MATCH(C10,'Data Base'!$W$2:$W1025,0)),"")</f>
        <v>#NAME?</v>
      </c>
      <c r="D3" s="7" t="e">
        <f t="array" aca="1" ref="D3" ca="1">IF(D10&gt;0,INDEX('Data Base'!$AC$2:$AC1025,MATCH(D10,'Data Base'!$W$2:$W1025,0)),"")</f>
        <v>#NAME?</v>
      </c>
      <c r="E3" s="7" t="str">
        <f t="array" ref="E3">IF(E10&gt;0,INDEX('Data Base'!$AC$2:$AC1025,MATCH(E10,'Data Base'!$W$2:$W1025,0)),"")</f>
        <v/>
      </c>
      <c r="F3" s="7" t="str">
        <f t="array" ref="F3">IF(F10&gt;0,INDEX('Data Base'!$AC$2:$AC1025,MATCH(F10,'Data Base'!$W$2:$W1025,0)),"")</f>
        <v/>
      </c>
      <c r="G3" s="7" t="str">
        <f t="array" ref="G3">IF(G10&gt;0,INDEX('Data Base'!$AC$2:$AC1025,MATCH(G10,'Data Base'!$W$2:$W1025,0)),"")</f>
        <v/>
      </c>
      <c r="H3" s="7" t="str">
        <f t="array" ref="H3">IF(H10&gt;0,INDEX('Data Base'!$AC$2:$AC1025,MATCH(H10,'Data Base'!$W$2:$W1025,0)),"")</f>
        <v/>
      </c>
      <c r="I3" s="2"/>
      <c r="J3" s="8" t="str">
        <f t="array" ref="J3">IF(J4&gt;0,INDEX('Data Base'!$AG$2:$AG1025,MATCH(J4,'Data Base'!$W$2:$W1025,0)),"")</f>
        <v/>
      </c>
      <c r="K3" s="8" t="str">
        <f t="array" ref="K3">IF(K4&gt;0,INDEX('Data Base'!$AG$2:$AG1025,MATCH(K4,'Data Base'!$W$2:$W1025,0)),"")</f>
        <v/>
      </c>
      <c r="L3" s="8" t="str">
        <f t="array" ref="L3">IF(L4&gt;0,INDEX('Data Base'!$AG$2:$AG1025,MATCH(L4,'Data Base'!$W$2:$W1025,0)),"")</f>
        <v>类爷爷房w泳池</v>
      </c>
      <c r="M3" s="8" t="str">
        <f t="array" ref="M3">IF(M4&gt;0,INDEX('Data Base'!$AG$2:$AG1025,MATCH(M4,'Data Base'!$W$2:$W1025,0)),"")</f>
        <v/>
      </c>
      <c r="N3" s="8" t="str">
        <f t="array" ref="N3">IF(N4&gt;0,INDEX('Data Base'!$AG$2:$AG1025,MATCH(N4,'Data Base'!$W$2:$W1025,0)),"")</f>
        <v/>
      </c>
      <c r="O3" s="8" t="str">
        <f t="array" ref="O3">IF(O4&gt;0,INDEX('Data Base'!$AG$2:$AG1025,MATCH(O4,'Data Base'!$W$2:$W1025,0)),"")</f>
        <v/>
      </c>
      <c r="P3" s="2"/>
      <c r="Q3" s="2"/>
      <c r="R3" s="2"/>
      <c r="S3" s="2"/>
      <c r="T3" s="2"/>
      <c r="U3" s="2"/>
      <c r="V3" s="2"/>
      <c r="W3" s="2"/>
      <c r="X3" s="9"/>
      <c r="Y3" s="2"/>
      <c r="Z3" s="2"/>
    </row>
    <row r="4" spans="1:26" ht="15.75" customHeight="1">
      <c r="A4" s="6" t="s">
        <v>10</v>
      </c>
      <c r="B4" s="7" t="str">
        <f t="array" ref="B4">IF(B10&gt;0,INDEX('Data Base'!$AG$2:$AG1025,MATCH(B10,'Data Base'!$W$2:$W1025,0)),"")</f>
        <v>93高速房</v>
      </c>
      <c r="C4" s="7" t="str">
        <f t="array" ref="C4">IF(C10&gt;0,INDEX('Data Base'!$AG$2:$AG1025,MATCH(C10,'Data Base'!$W$2:$W1025,0)),"")</f>
        <v>斜坡房</v>
      </c>
      <c r="D4" s="7">
        <f t="array" ref="D4">IF(D10&gt;0,INDEX('Data Base'!$AG$2:$AG1025,MATCH(D10,'Data Base'!$W$2:$W1025,0)),"")</f>
        <v>0</v>
      </c>
      <c r="E4" s="7" t="str">
        <f t="array" ref="E4">IF(E10&gt;0,INDEX('Data Base'!$AG$2:$AG1025,MATCH(E10,'Data Base'!$W$2:$W1025,0)),"")</f>
        <v/>
      </c>
      <c r="F4" s="7" t="str">
        <f t="array" ref="F4">IF(F10&gt;0,INDEX('Data Base'!$AG$2:$AG1025,MATCH(F10,'Data Base'!$W$2:$W1025,0)),"")</f>
        <v/>
      </c>
      <c r="G4" s="7" t="str">
        <f t="array" ref="G4">IF(G10&gt;0,INDEX('Data Base'!$AG$2:$AG1025,MATCH(G10,'Data Base'!$W$2:$W1025,0)),"")</f>
        <v/>
      </c>
      <c r="H4" s="7" t="str">
        <f t="array" ref="H4">IF(H10&gt;0,INDEX('Data Base'!$AG$2:$AG1025,MATCH(H10,'Data Base'!$W$2:$W1025,0)),"")</f>
        <v/>
      </c>
      <c r="I4" s="2"/>
      <c r="J4" s="10"/>
      <c r="K4" s="11"/>
      <c r="L4" s="10">
        <v>72649984</v>
      </c>
      <c r="M4" s="10"/>
      <c r="N4" s="10"/>
      <c r="O4" s="10"/>
      <c r="P4" s="2"/>
      <c r="Q4" s="2"/>
      <c r="R4" s="2"/>
      <c r="S4" s="2"/>
      <c r="T4" s="2"/>
      <c r="U4" s="2"/>
      <c r="V4" s="2"/>
      <c r="W4" s="2"/>
      <c r="X4" s="9"/>
      <c r="Y4" s="2"/>
      <c r="Z4" s="2"/>
    </row>
    <row r="5" spans="1:26" ht="15.75" customHeight="1">
      <c r="A5" s="6" t="s">
        <v>11</v>
      </c>
      <c r="B5" s="7" t="str">
        <f t="array" ref="B5">IF(B10&gt;0,INDEX('Data Base'!$AH$2:$AH1025,MATCH(B10,'Data Base'!$W$2:$W1025,0)),"")</f>
        <v>stoneham,已经降价690k</v>
      </c>
      <c r="C5" s="7" t="str">
        <f t="array" ref="C5">IF(C10&gt;0,INDEX('Data Base'!$AH$2:$AH1025,MATCH(C10,'Data Base'!$W$2:$W1025,0)),"")</f>
        <v>陡破上反面地下室是没有窗，没有什么后院，前院比较大</v>
      </c>
      <c r="D5" s="7">
        <f t="array" ref="D5">IF(D10&gt;0,INDEX('Data Base'!$AH$2:$AH1025,MATCH(D10,'Data Base'!$W$2:$W1025,0)),"")</f>
        <v>0</v>
      </c>
      <c r="E5" s="7" t="str">
        <f t="array" ref="E5">IF(E10&gt;0,INDEX('Data Base'!$AH$2:$AH1025,MATCH(E10,'Data Base'!$W$2:$W1025,0)),"")</f>
        <v/>
      </c>
      <c r="F5" s="7" t="str">
        <f t="array" ref="F5">IF(F10&gt;0,INDEX('Data Base'!$AH$2:$AH1025,MATCH(F10,'Data Base'!$W$2:$W1025,0)),"")</f>
        <v/>
      </c>
      <c r="G5" s="7" t="str">
        <f t="array" ref="G5">IF(G10&gt;0,INDEX('Data Base'!$AH$2:$AH1025,MATCH(G10,'Data Base'!$W$2:$W1025,0)),"")</f>
        <v/>
      </c>
      <c r="H5" s="7" t="str">
        <f t="array" ref="H5">IF(H10&gt;0,INDEX('Data Base'!$AH$2:$AH1025,MATCH(H10,'Data Base'!$W$2:$W1025,0)),"")</f>
        <v/>
      </c>
      <c r="I5" s="2"/>
      <c r="J5" s="12" t="str">
        <f t="array" ref="J5">IF(J6&gt;0,INDEX('Data Base'!$AG$2:$AG1025,MATCH(J6,'Data Base'!$W$2:$W1025,0)),"")</f>
        <v>93高速房</v>
      </c>
      <c r="K5" s="12" t="str">
        <f t="array" ref="K5">IF(K6&gt;0,INDEX('Data Base'!$AG$2:$AG1025,MATCH(K6,'Data Base'!$W$2:$W1025,0)),"")</f>
        <v/>
      </c>
      <c r="L5" s="12" t="str">
        <f t="array" ref="L5">IF(L6&gt;0,INDEX('Data Base'!$AG$2:$AG1025,MATCH(L6,'Data Base'!$W$2:$W1025,0)),"")</f>
        <v/>
      </c>
      <c r="M5" s="12" t="str">
        <f t="array" ref="M5">IF(M6&gt;0,INDEX('Data Base'!$AG$2:$AG1025,MATCH(M6,'Data Base'!$W$2:$W1025,0)),"")</f>
        <v/>
      </c>
      <c r="N5" s="12" t="str">
        <f t="array" ref="N5">IF(N6&gt;0,INDEX('Data Base'!$AG$2:$AG1025,MATCH(N6,'Data Base'!$W$2:$W1025,0)),"")</f>
        <v/>
      </c>
      <c r="O5" s="12" t="str">
        <f t="array" ref="O5">IF(O6&gt;0,INDEX('Data Base'!$AG$2:$AG1025,MATCH(O6,'Data Base'!$W$2:$W1025,0)),"")</f>
        <v/>
      </c>
      <c r="P5" s="2"/>
      <c r="Q5" s="2"/>
      <c r="R5" s="2"/>
      <c r="S5" s="2"/>
      <c r="T5" s="2"/>
      <c r="U5" s="2"/>
      <c r="V5" s="2"/>
      <c r="W5" s="2"/>
      <c r="X5" s="9"/>
      <c r="Y5" s="2"/>
      <c r="Z5" s="2"/>
    </row>
    <row r="6" spans="1:26" ht="15.75" customHeight="1">
      <c r="A6" s="6" t="s">
        <v>12</v>
      </c>
      <c r="B6" s="13" t="str">
        <f t="shared" ref="B6:H6" si="0">HYPERLINK(B7,B8)</f>
        <v>8 Hill St</v>
      </c>
      <c r="C6" s="13" t="str">
        <f t="shared" si="0"/>
        <v>4 Leopold St</v>
      </c>
      <c r="D6" s="13" t="str">
        <f t="shared" si="0"/>
        <v>12 Dover Dr #12</v>
      </c>
      <c r="E6" s="14" t="str">
        <f t="shared" si="0"/>
        <v/>
      </c>
      <c r="F6" s="14" t="str">
        <f t="shared" si="0"/>
        <v/>
      </c>
      <c r="G6" s="14" t="str">
        <f t="shared" si="0"/>
        <v/>
      </c>
      <c r="H6" s="14" t="str">
        <f t="shared" si="0"/>
        <v/>
      </c>
      <c r="I6" s="2"/>
      <c r="J6" s="10">
        <v>72634926</v>
      </c>
      <c r="K6" s="15"/>
      <c r="L6" s="15"/>
      <c r="M6" s="10"/>
      <c r="N6" s="10"/>
      <c r="O6" s="10"/>
      <c r="P6" s="2"/>
      <c r="Q6" s="2"/>
      <c r="R6" s="2"/>
      <c r="S6" s="2"/>
      <c r="T6" s="2"/>
      <c r="U6" s="2"/>
      <c r="V6" s="2"/>
      <c r="W6" s="2"/>
      <c r="X6" s="9"/>
      <c r="Y6" s="2"/>
      <c r="Z6" s="2"/>
    </row>
    <row r="7" spans="1:26" ht="15.75" hidden="1" customHeight="1">
      <c r="A7" s="6" t="s">
        <v>13</v>
      </c>
      <c r="B7" s="16" t="str">
        <f t="array" ref="B7">IF(B10&gt;0,INDEX('Data Base'!$U$2:$U1025,MATCH(B10,'Data Base'!$W$2:$W1025,0)),"")</f>
        <v>http://www.redfin.com/MA/Winchester/8-Hill-St-01890/home/11468176</v>
      </c>
      <c r="C7" s="16" t="str">
        <f t="array" ref="C7">IF(C10&gt;0,INDEX('Data Base'!$U$2:$U1025,MATCH(C10,'Data Base'!$W$2:$W1025,0)),"")</f>
        <v>http://www.redfin.com/MA/Burlington/4-Leopold-St-01803/home/8446451</v>
      </c>
      <c r="D7" s="16" t="str">
        <f t="array" ref="D7">IF(D10&gt;0,INDEX('Data Base'!$U$2:$U1025,MATCH(D10,'Data Base'!$W$2:$W1025,0)),"")</f>
        <v>http://www.redfin.com/MA/Burlington/12-Dover-Dr-01803/unit-12/home/113244803</v>
      </c>
      <c r="E7" s="7" t="str">
        <f t="array" ref="E7">IF(E10&gt;0,INDEX('Data Base'!$U$2:$U1025,MATCH(E10,'Data Base'!$W$2:$W1025,0)),"")</f>
        <v/>
      </c>
      <c r="F7" s="7" t="str">
        <f t="array" ref="F7">IF(F10&gt;0,INDEX('Data Base'!$U$2:$U1025,MATCH(F10,'Data Base'!$W$2:$W1025,0)),"")</f>
        <v/>
      </c>
      <c r="G7" s="7" t="str">
        <f t="array" ref="G7">IF(G10&gt;0,INDEX('Data Base'!$U$2:$U1025,MATCH(G10,'Data Base'!$W$2:$W1025,0)),"")</f>
        <v/>
      </c>
      <c r="H7" s="7" t="str">
        <f t="array" ref="H7">IF(H10&gt;0,INDEX('Data Base'!$U$2:$U1025,MATCH(H10,'Data Base'!$W$2:$W1025,0)),"")</f>
        <v/>
      </c>
      <c r="I7" s="2"/>
      <c r="J7" s="12" t="str">
        <f t="array" ref="J7">IF(J8&gt;0,INDEX('Data Base'!$AG$2:$AG1025,MATCH(J6,'Data Base'!$W$2:$W1025,0)),"")</f>
        <v/>
      </c>
      <c r="K7" s="12" t="str">
        <f t="array" ref="K7">IF(K8&gt;0,INDEX('Data Base'!$AG$2:$AG1025,MATCH(K6,'Data Base'!$W$2:$W1025,0)),"")</f>
        <v/>
      </c>
      <c r="L7" s="12" t="str">
        <f t="array" ref="L7">IF(L8&gt;0,INDEX('Data Base'!$AG$2:$AG1025,MATCH(L6,'Data Base'!$W$2:$W1025,0)),"")</f>
        <v/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9"/>
      <c r="Y7" s="2"/>
      <c r="Z7" s="2"/>
    </row>
    <row r="8" spans="1:26" ht="15.75" hidden="1" customHeight="1">
      <c r="A8" s="6" t="s">
        <v>12</v>
      </c>
      <c r="B8" s="7" t="str">
        <f t="array" ref="B8">IF(B10&gt;0,INDEX('Data Base'!$D$2:$D1025,MATCH(B10,'Data Base'!$W$2:$W1025,0)),"")</f>
        <v>8 Hill St</v>
      </c>
      <c r="C8" s="7" t="str">
        <f t="array" ref="C8">IF(C10&gt;0,INDEX('Data Base'!$D$2:$D1025,MATCH(C10,'Data Base'!$W$2:$W1025,0)),"")</f>
        <v>4 Leopold St</v>
      </c>
      <c r="D8" s="7" t="str">
        <f t="array" ref="D8">IF(D10&gt;0,INDEX('Data Base'!$D$2:$D1025,MATCH(D10,'Data Base'!$W$2:$W1025,0)),"")</f>
        <v>12 Dover Dr #12</v>
      </c>
      <c r="E8" s="7" t="str">
        <f t="array" ref="E8">IF(E10&gt;0,INDEX('Data Base'!$D$2:$D1025,MATCH(E10,'Data Base'!$W$2:$W1025,0)),"")</f>
        <v/>
      </c>
      <c r="F8" s="7" t="str">
        <f t="array" ref="F8">IF(F10&gt;0,INDEX('Data Base'!$D$2:$D1025,MATCH(F10,'Data Base'!$W$2:$W1025,0)),"")</f>
        <v/>
      </c>
      <c r="G8" s="7" t="str">
        <f t="array" ref="G8">IF(G10&gt;0,INDEX('Data Base'!$D$2:$D1025,MATCH(G10,'Data Base'!$W$2:$W1025,0)),"")</f>
        <v/>
      </c>
      <c r="H8" s="7" t="str">
        <f t="array" ref="H8">IF(H10&gt;0,INDEX('Data Base'!$D$2:$D1025,MATCH(H10,'Data Base'!$W$2:$W1025,0)),"")</f>
        <v/>
      </c>
      <c r="I8" s="2"/>
      <c r="J8" s="15"/>
      <c r="K8" s="15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9"/>
      <c r="Y8" s="2"/>
      <c r="Z8" s="2"/>
    </row>
    <row r="9" spans="1:26" ht="15.75" customHeight="1">
      <c r="A9" s="17" t="s">
        <v>14</v>
      </c>
      <c r="B9" s="7" t="str">
        <f t="array" ref="B9">IF(B10&gt;0,INDEX('Data Base'!$E$2:$E1025,MATCH(B10,'Data Base'!$W$2:$W1025,0)),"")</f>
        <v>Winchester</v>
      </c>
      <c r="C9" s="7" t="str">
        <f t="array" ref="C9">IF(C10&gt;0,INDEX('Data Base'!$E$2:$E1025,MATCH(C10,'Data Base'!$W$2:$W1025,0)),"")</f>
        <v>Burlington</v>
      </c>
      <c r="D9" s="7" t="str">
        <f t="array" ref="D9">IF(D10&gt;0,INDEX('Data Base'!$E$2:$E1025,MATCH(D10,'Data Base'!$W$2:$W1025,0)),"")</f>
        <v>Burlington</v>
      </c>
      <c r="E9" s="7" t="str">
        <f t="array" ref="E9">IF(E10&gt;0,INDEX('Data Base'!$E$2:$E1025,MATCH(E10,'Data Base'!$W$2:$W1025,0)),"")</f>
        <v/>
      </c>
      <c r="F9" s="7" t="str">
        <f t="array" ref="F9">IF(F10&gt;0,INDEX('Data Base'!$E$2:$E1025,MATCH(F10,'Data Base'!$W$2:$W1025,0)),"")</f>
        <v/>
      </c>
      <c r="G9" s="7" t="str">
        <f t="array" ref="G9">IF(G10&gt;0,INDEX('Data Base'!$E$2:$E1025,MATCH(G10,'Data Base'!$W$2:$W1025,0)),"")</f>
        <v/>
      </c>
      <c r="H9" s="7" t="str">
        <f t="array" ref="H9">IF(H10&gt;0,INDEX('Data Base'!$E$2:$E1025,MATCH(H10,'Data Base'!$W$2:$W1025,0)),"")</f>
        <v/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/>
      <c r="V9" s="2"/>
      <c r="W9" s="2"/>
    </row>
    <row r="10" spans="1:26" ht="15.75" customHeight="1">
      <c r="A10" s="17" t="s">
        <v>15</v>
      </c>
      <c r="B10" s="10">
        <v>72634926</v>
      </c>
      <c r="C10" s="10">
        <v>72711992</v>
      </c>
      <c r="D10" s="10">
        <v>72659511</v>
      </c>
      <c r="E10" s="10"/>
      <c r="F10" s="10"/>
      <c r="G10" s="10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2"/>
      <c r="W10" s="2"/>
    </row>
    <row r="11" spans="1:26" ht="15.75" customHeight="1">
      <c r="A11" s="1" t="s">
        <v>16</v>
      </c>
      <c r="B11" s="19"/>
      <c r="C11" s="19"/>
      <c r="D11" s="7"/>
      <c r="E11" s="7"/>
      <c r="F11" s="7"/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9"/>
      <c r="Y11" s="2"/>
      <c r="Z11" s="2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20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9"/>
      <c r="Y12" s="2"/>
      <c r="Z12" s="2"/>
    </row>
    <row r="13" spans="1:26" ht="15.75" customHeight="1">
      <c r="A13" s="1" t="s">
        <v>18</v>
      </c>
      <c r="B13" s="21">
        <f t="array" ref="B13">IF(B10&gt;0,INDEX('Data Base'!$L$2:$L1025,MATCH(B10,'Data Base'!$W$2:$W1025,0)),)</f>
        <v>2323</v>
      </c>
      <c r="C13" s="21">
        <f t="array" ref="C13">IF(C10&gt;0,INDEX('Data Base'!$L$2:$L1025,MATCH(C10,'Data Base'!$W$2:$W1025,0)),)</f>
        <v>2253</v>
      </c>
      <c r="D13" s="21">
        <f t="array" ref="D13">IF(D10&gt;0,INDEX('Data Base'!$L$2:$L1025,MATCH(D10,'Data Base'!$W$2:$W1025,0)),)</f>
        <v>2681</v>
      </c>
      <c r="E13" s="21">
        <f t="array" ref="E13">IF(E10&gt;0,INDEX('Data Base'!$L$2:$L1025,MATCH(E10,'Data Base'!$W$2:$W1025,0)),)</f>
        <v>0</v>
      </c>
      <c r="F13" s="21">
        <f t="array" ref="F13">IF(F10&gt;0,INDEX('Data Base'!$L$2:$L1025,MATCH(F10,'Data Base'!$W$2:$W1025,0)),)</f>
        <v>0</v>
      </c>
      <c r="G13" s="21">
        <f t="array" ref="G13">IF(G10&gt;0,INDEX('Data Base'!$L$2:$L1025,MATCH(G10,'Data Base'!$W$2:$W1025,0)),)</f>
        <v>0</v>
      </c>
      <c r="H13" s="21">
        <f t="array" ref="H13">IF(H10&gt;0,INDEX('Data Base'!$L$2:$L1025,MATCH(H10,'Data Base'!$W$2:$W1025,0)),)</f>
        <v>0</v>
      </c>
      <c r="I13" s="22" t="e">
        <f t="shared" ref="I13:I16" si="1">SUMPRODUCT($B13:$H13,$B$11:$H$11)/SUM($B$11:$H$11)</f>
        <v>#DIV/0!</v>
      </c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 t="s">
        <v>19</v>
      </c>
      <c r="B14" s="23">
        <f t="array" ref="B14">IF(B10&gt;0,INDEX('Data Base'!$I$2:$I1025,MATCH(B10,'Data Base'!$W$2:$W1025,0)),)</f>
        <v>3</v>
      </c>
      <c r="C14" s="23">
        <f t="array" ref="C14">IF(C10&gt;0,INDEX('Data Base'!$I$2:$I1025,MATCH(C10,'Data Base'!$W$2:$W1025,0)),)</f>
        <v>3</v>
      </c>
      <c r="D14" s="23">
        <f t="array" ref="D14">IF(D10&gt;0,INDEX('Data Base'!$I$2:$I1025,MATCH(D10,'Data Base'!$W$2:$W1025,0)),)</f>
        <v>2</v>
      </c>
      <c r="E14" s="23">
        <f t="array" ref="E14">IF(E10&gt;0,INDEX('Data Base'!$I$2:$I1025,MATCH(E10,'Data Base'!$W$2:$W1025,0)),)</f>
        <v>0</v>
      </c>
      <c r="F14" s="23">
        <f t="array" ref="F14">IF(F10&gt;0,INDEX('Data Base'!$I$2:$I1025,MATCH(F10,'Data Base'!$W$2:$W1025,0)),)</f>
        <v>0</v>
      </c>
      <c r="G14" s="23">
        <f t="array" ref="G14">IF(G10&gt;0,INDEX('Data Base'!$I$2:$I1025,MATCH(G10,'Data Base'!$W$2:$W1025,0)),)</f>
        <v>0</v>
      </c>
      <c r="H14" s="23">
        <f t="array" ref="H14">IF(H10&gt;0,INDEX('Data Base'!$I$2:$I1025,MATCH(H10,'Data Base'!$W$2:$W1025,0)),)</f>
        <v>0</v>
      </c>
      <c r="I14" s="24" t="e">
        <f t="shared" si="1"/>
        <v>#DIV/0!</v>
      </c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 t="s">
        <v>20</v>
      </c>
      <c r="B15" s="21">
        <f t="array" ref="B15">IF(B10&gt;0,INDEX('Data Base'!$J$2:$J1025,MATCH(B10,'Data Base'!$W$2:$W1025,0)),)</f>
        <v>3.5</v>
      </c>
      <c r="C15" s="21">
        <f t="array" ref="C15">IF(C10&gt;0,INDEX('Data Base'!$J$2:$J1025,MATCH(C10,'Data Base'!$W$2:$W1025,0)),)</f>
        <v>2</v>
      </c>
      <c r="D15" s="21">
        <f t="array" ref="D15">IF(D10&gt;0,INDEX('Data Base'!$J$2:$J1025,MATCH(D10,'Data Base'!$W$2:$W1025,0)),)</f>
        <v>2.5</v>
      </c>
      <c r="E15" s="21">
        <f t="array" ref="E15">IF(E10&gt;0,INDEX('Data Base'!$J$2:$J1025,MATCH(E10,'Data Base'!$W$2:$W1025,0)),)</f>
        <v>0</v>
      </c>
      <c r="F15" s="21">
        <f t="array" ref="F15">IF(F10&gt;0,INDEX('Data Base'!$J$2:$J1025,MATCH(F10,'Data Base'!$W$2:$W1025,0)),)</f>
        <v>0</v>
      </c>
      <c r="G15" s="21">
        <f t="array" ref="G15">IF(G10&gt;0,INDEX('Data Base'!$J$2:$J1025,MATCH(G10,'Data Base'!$W$2:$W1025,0)),)</f>
        <v>0</v>
      </c>
      <c r="H15" s="21">
        <f t="array" ref="H15">IF(H10&gt;0,INDEX('Data Base'!$J$2:$J1025,MATCH(H10,'Data Base'!$W$2:$W1025,0)),)</f>
        <v>0</v>
      </c>
      <c r="I15" s="24" t="e">
        <f t="shared" si="1"/>
        <v>#DIV/0!</v>
      </c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 t="s">
        <v>21</v>
      </c>
      <c r="B16" s="21">
        <f t="array" ref="B16">IF(B10&gt;0,INDEX('Data Base'!$M$2:$M1025,MATCH(B10,'Data Base'!$W$2:$W1025,0)),)</f>
        <v>7105</v>
      </c>
      <c r="C16" s="21">
        <f t="array" ref="C16">IF(C10&gt;0,INDEX('Data Base'!$M$2:$M1025,MATCH(C10,'Data Base'!$W$2:$W1025,0)),)</f>
        <v>12500</v>
      </c>
      <c r="D16" s="21">
        <f t="array" ref="D16">IF(D10&gt;0,INDEX('Data Base'!$M$2:$M1025,MATCH(D10,'Data Base'!$W$2:$W1025,0)),)</f>
        <v>0</v>
      </c>
      <c r="E16" s="21">
        <f t="array" ref="E16">IF(E10&gt;0,INDEX('Data Base'!$M$2:$M1025,MATCH(E10,'Data Base'!$W$2:$W1025,0)),)</f>
        <v>0</v>
      </c>
      <c r="F16" s="21">
        <f t="array" ref="F16">IF(F10&gt;0,INDEX('Data Base'!$M$2:$M1025,MATCH(F10,'Data Base'!$W$2:$W1025,0)),)</f>
        <v>0</v>
      </c>
      <c r="G16" s="21">
        <f t="array" ref="G16">IF(G10&gt;0,INDEX('Data Base'!$M$2:$M1025,MATCH(G10,'Data Base'!$W$2:$W1025,0)),)</f>
        <v>0</v>
      </c>
      <c r="H16" s="21">
        <f t="array" ref="H16">IF(H10&gt;0,INDEX('Data Base'!$M$2:$M1025,MATCH(H10,'Data Base'!$W$2:$W1025,0)),)</f>
        <v>0</v>
      </c>
      <c r="I16" s="22" t="e">
        <f t="shared" si="1"/>
        <v>#DIV/0!</v>
      </c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25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 t="s">
        <v>22</v>
      </c>
      <c r="B18" s="21">
        <f t="array" ref="B18">IF(B10&gt;0,INDEX('Data Base'!$N$2:$N1025,MATCH(B10,'Data Base'!$W$2:$W1025,0)),)</f>
        <v>2004</v>
      </c>
      <c r="C18" s="21">
        <f t="array" ref="C18">IF(C10&gt;0,INDEX('Data Base'!$N$2:$N1025,MATCH(C10,'Data Base'!$W$2:$W1025,0)),)</f>
        <v>1956</v>
      </c>
      <c r="D18" s="21">
        <f t="array" ref="D18">IF(D10&gt;0,INDEX('Data Base'!$N$2:$N1025,MATCH(D10,'Data Base'!$W$2:$W1025,0)),)</f>
        <v>1998</v>
      </c>
      <c r="E18" s="21">
        <f t="array" ref="E18">IF(E10&gt;0,INDEX('Data Base'!$N$2:$N1025,MATCH(E10,'Data Base'!$W$2:$W1025,0)),)</f>
        <v>0</v>
      </c>
      <c r="F18" s="21">
        <f t="array" ref="F18">IF(F10&gt;0,INDEX('Data Base'!$N$2:$N1025,MATCH(F10,'Data Base'!$W$2:$W1025,0)),)</f>
        <v>0</v>
      </c>
      <c r="G18" s="21">
        <f t="array" ref="G18">IF(G10&gt;0,INDEX('Data Base'!$N$2:$N1025,MATCH(G10,'Data Base'!$W$2:$W1025,0)),)</f>
        <v>0</v>
      </c>
      <c r="H18" s="21">
        <f t="array" ref="H18">IF(H10&gt;0,INDEX('Data Base'!$N$2:$N1025,MATCH(H10,'Data Base'!$W$2:$W1025,0)),)</f>
        <v>0</v>
      </c>
      <c r="I18" s="22" t="e">
        <f>SUMPRODUCT($B18:$H18,$B$11:$H$11)/SUM($B$11:$H$11)</f>
        <v>#DIV/0!</v>
      </c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/>
      <c r="B19" s="1"/>
      <c r="C19" s="1"/>
      <c r="D19" s="6"/>
      <c r="E19" s="6"/>
      <c r="F19" s="1"/>
      <c r="G19" s="1"/>
      <c r="H19" s="1"/>
      <c r="I19" s="25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7" t="s">
        <v>23</v>
      </c>
      <c r="B20" s="21">
        <f t="array" ref="B20">IF(B10&gt;0,INDEX('Data Base'!$O$2:$O1025,MATCH(B10,'Data Base'!$W$2:$W1025,0)),)</f>
        <v>155</v>
      </c>
      <c r="C20" s="21">
        <f t="array" ref="C20">IF(C10&gt;0,INDEX('Data Base'!$O$2:$O1025,MATCH(C10,'Data Base'!$W$2:$W1025,0)),)</f>
        <v>1</v>
      </c>
      <c r="D20" s="21">
        <f t="array" ref="D20">IF(D10&gt;0,INDEX('Data Base'!$O$2:$O1025,MATCH(D10,'Data Base'!$W$2:$W1025,0)),)</f>
        <v>110</v>
      </c>
      <c r="E20" s="21">
        <f t="array" ref="E20">IF(E10&gt;0,INDEX('Data Base'!$O$2:$O1025,MATCH(E10,'Data Base'!$W$2:$W1025,0)),)</f>
        <v>0</v>
      </c>
      <c r="F20" s="21">
        <f t="array" ref="F20">IF(F10&gt;0,INDEX('Data Base'!$O$2:$O1025,MATCH(F10,'Data Base'!$W$2:$W1025,0)),)</f>
        <v>0</v>
      </c>
      <c r="G20" s="21">
        <f t="array" ref="G20">IF(G10&gt;0,INDEX('Data Base'!$O$2:$O1025,MATCH(G10,'Data Base'!$W$2:$W1025,0)),)</f>
        <v>0</v>
      </c>
      <c r="H20" s="21">
        <f t="array" ref="H20">IF(H10&gt;0,INDEX('Data Base'!$O$2:$O1025,MATCH(H10,'Data Base'!$W$2:$W1025,0)),)</f>
        <v>0</v>
      </c>
      <c r="I20" s="22" t="e">
        <f>SUMPRODUCT($B20:$H20,$B$11:$H$11)/SUM($B$11:$H$11)</f>
        <v>#DIV/0!</v>
      </c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25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24</v>
      </c>
      <c r="B22" s="26">
        <f t="array" ref="B22">IF(B10&gt;0,INDEX('Data Base'!$H$2:$H1025,MATCH(B10,'Data Base'!$W$2:$W1025,0)),)</f>
        <v>699000</v>
      </c>
      <c r="C22" s="26">
        <f t="array" ref="C22">IF(C10&gt;0,INDEX('Data Base'!$H$2:$H1025,MATCH(C10,'Data Base'!$W$2:$W1025,0)),)</f>
        <v>575000</v>
      </c>
      <c r="D22" s="26">
        <f t="array" ref="D22">IF(D10&gt;0,INDEX('Data Base'!$H$2:$H1025,MATCH(D10,'Data Base'!$W$2:$W1025,0)),)</f>
        <v>607500</v>
      </c>
      <c r="E22" s="26">
        <f t="array" ref="E22">IF(E10&gt;0,INDEX('Data Base'!$H$2:$H1025,MATCH(E10,'Data Base'!$W$2:$W1025,0)),)</f>
        <v>0</v>
      </c>
      <c r="F22" s="26">
        <f t="array" ref="F22">IF(F10&gt;0,INDEX('Data Base'!$H$2:$H1025,MATCH(F10,'Data Base'!$W$2:$W1025,0)),)</f>
        <v>0</v>
      </c>
      <c r="G22" s="26">
        <f t="array" ref="G22">IF(G10&gt;0,INDEX('Data Base'!$H$2:$H1025,MATCH(G10,'Data Base'!$W$2:$W1025,0)),)</f>
        <v>0</v>
      </c>
      <c r="H22" s="26">
        <f t="array" ref="H22">IF(H10&gt;0,INDEX('Data Base'!$H$2:$H1025,MATCH(H10,'Data Base'!$W$2:$W1025,0)),)</f>
        <v>0</v>
      </c>
      <c r="I22" s="27" t="e">
        <f t="shared" ref="I22:I23" si="2">SUMPRODUCT($B22:$H22,$B$11:$H$11)/SUM($B$11:$H$11)</f>
        <v>#DIV/0!</v>
      </c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>
      <c r="A23" s="1" t="s">
        <v>25</v>
      </c>
      <c r="B23" s="28">
        <f t="shared" ref="B23:H23" si="3">IF(B13&gt;0,B22/B13,"")</f>
        <v>300.90400344382266</v>
      </c>
      <c r="C23" s="28">
        <f t="shared" si="3"/>
        <v>255.21526853084777</v>
      </c>
      <c r="D23" s="28">
        <f t="shared" si="3"/>
        <v>226.59455427079448</v>
      </c>
      <c r="E23" s="28" t="str">
        <f t="shared" si="3"/>
        <v/>
      </c>
      <c r="F23" s="28" t="str">
        <f t="shared" si="3"/>
        <v/>
      </c>
      <c r="G23" s="28" t="str">
        <f t="shared" si="3"/>
        <v/>
      </c>
      <c r="H23" s="28" t="str">
        <f t="shared" si="3"/>
        <v/>
      </c>
      <c r="I23" s="29" t="e">
        <f t="shared" si="2"/>
        <v>#DIV/0!</v>
      </c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hidden="1" customHeight="1">
      <c r="A24" s="6" t="s">
        <v>26</v>
      </c>
      <c r="B24" s="30">
        <v>0.5</v>
      </c>
      <c r="C24" s="30">
        <v>0</v>
      </c>
      <c r="D24" s="31"/>
      <c r="E24" s="31"/>
      <c r="F24" s="31"/>
      <c r="G24" s="31"/>
      <c r="H24" s="31"/>
      <c r="I24" s="25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hidden="1" customHeight="1">
      <c r="A25" s="6" t="s">
        <v>27</v>
      </c>
      <c r="B25" s="30">
        <v>0.5</v>
      </c>
      <c r="C25" s="30">
        <v>0</v>
      </c>
      <c r="D25" s="31"/>
      <c r="E25" s="31"/>
      <c r="F25" s="31"/>
      <c r="G25" s="31"/>
      <c r="H25" s="31"/>
      <c r="I25" s="25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>
      <c r="A26" s="6" t="s">
        <v>28</v>
      </c>
      <c r="B26" s="32">
        <f t="shared" ref="B26:H26" si="4">B13*(1+B24*B25)</f>
        <v>2903.75</v>
      </c>
      <c r="C26" s="33">
        <f t="shared" si="4"/>
        <v>2253</v>
      </c>
      <c r="D26" s="33">
        <f t="shared" si="4"/>
        <v>2681</v>
      </c>
      <c r="E26" s="33">
        <f t="shared" si="4"/>
        <v>0</v>
      </c>
      <c r="F26" s="33">
        <f t="shared" si="4"/>
        <v>0</v>
      </c>
      <c r="G26" s="33">
        <f t="shared" si="4"/>
        <v>0</v>
      </c>
      <c r="H26" s="33">
        <f t="shared" si="4"/>
        <v>0</v>
      </c>
      <c r="I26" s="25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hidden="1" customHeight="1">
      <c r="A27" s="6" t="s">
        <v>29</v>
      </c>
      <c r="B27" s="28">
        <f t="shared" ref="B27:H27" si="5">B22/B26</f>
        <v>240.72320275505811</v>
      </c>
      <c r="C27" s="28">
        <f t="shared" si="5"/>
        <v>255.21526853084777</v>
      </c>
      <c r="D27" s="28">
        <f t="shared" si="5"/>
        <v>226.59455427079448</v>
      </c>
      <c r="E27" s="28" t="e">
        <f t="shared" si="5"/>
        <v>#DIV/0!</v>
      </c>
      <c r="F27" s="28" t="e">
        <f t="shared" si="5"/>
        <v>#DIV/0!</v>
      </c>
      <c r="G27" s="28" t="e">
        <f t="shared" si="5"/>
        <v>#DIV/0!</v>
      </c>
      <c r="H27" s="28" t="e">
        <f t="shared" si="5"/>
        <v>#DIV/0!</v>
      </c>
      <c r="I27" s="2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 t="s">
        <v>30</v>
      </c>
      <c r="B29" s="34"/>
      <c r="C29" s="34"/>
      <c r="D29" s="34"/>
      <c r="E29" s="34"/>
      <c r="F29" s="34"/>
      <c r="G29" s="34"/>
      <c r="H29" s="34"/>
      <c r="I29" s="2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 t="s">
        <v>31</v>
      </c>
      <c r="B30" s="35"/>
      <c r="C30" s="35"/>
      <c r="D30" s="36"/>
      <c r="E30" s="37"/>
      <c r="F30" s="37"/>
      <c r="G30" s="36"/>
      <c r="H30" s="36"/>
      <c r="I30" s="38" t="e">
        <f t="shared" ref="I30:I39" si="6">AVERAGE(B30:H30)</f>
        <v>#DIV/0!</v>
      </c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>
      <c r="A31" s="1" t="s">
        <v>25</v>
      </c>
      <c r="B31" s="39"/>
      <c r="C31" s="39">
        <f t="shared" ref="C31:H31" si="7">IF(C13&gt;0,C30/C13,"")</f>
        <v>0</v>
      </c>
      <c r="D31" s="39">
        <f t="shared" si="7"/>
        <v>0</v>
      </c>
      <c r="E31" s="39" t="str">
        <f t="shared" si="7"/>
        <v/>
      </c>
      <c r="F31" s="39" t="str">
        <f t="shared" si="7"/>
        <v/>
      </c>
      <c r="G31" s="39" t="str">
        <f t="shared" si="7"/>
        <v/>
      </c>
      <c r="H31" s="39" t="str">
        <f t="shared" si="7"/>
        <v/>
      </c>
      <c r="I31" s="40">
        <f t="shared" si="6"/>
        <v>0</v>
      </c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>
      <c r="A32" s="17" t="s">
        <v>32</v>
      </c>
      <c r="B32" s="41"/>
      <c r="C32" s="42" t="e">
        <f t="shared" ref="C32:H32" ca="1" si="8">_xludf.DAYS(TODAY(),C29)/365</f>
        <v>#NAME?</v>
      </c>
      <c r="D32" s="41" t="e">
        <f t="shared" ca="1" si="8"/>
        <v>#NAME?</v>
      </c>
      <c r="E32" s="41" t="e">
        <f t="shared" ca="1" si="8"/>
        <v>#NAME?</v>
      </c>
      <c r="F32" s="41" t="e">
        <f t="shared" ca="1" si="8"/>
        <v>#NAME?</v>
      </c>
      <c r="G32" s="41" t="e">
        <f t="shared" ca="1" si="8"/>
        <v>#NAME?</v>
      </c>
      <c r="H32" s="41" t="e">
        <f t="shared" ca="1" si="8"/>
        <v>#NAME?</v>
      </c>
      <c r="I32" s="43" t="e">
        <f t="shared" ca="1" si="6"/>
        <v>#NAME?</v>
      </c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7" t="s">
        <v>33</v>
      </c>
      <c r="B33" s="44">
        <v>1.03</v>
      </c>
      <c r="C33" s="33">
        <f>B33</f>
        <v>1.03</v>
      </c>
      <c r="D33" s="33">
        <f>B33</f>
        <v>1.03</v>
      </c>
      <c r="E33" s="33">
        <f>B33</f>
        <v>1.03</v>
      </c>
      <c r="F33" s="33">
        <f>B33</f>
        <v>1.03</v>
      </c>
      <c r="G33" s="33">
        <f>B33</f>
        <v>1.03</v>
      </c>
      <c r="H33" s="33">
        <f>B33</f>
        <v>1.03</v>
      </c>
      <c r="I33" s="45">
        <f t="shared" si="6"/>
        <v>1.03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ht="15.75" customHeight="1">
      <c r="A34" s="6" t="s">
        <v>34</v>
      </c>
      <c r="B34" s="46" t="str">
        <f t="shared" ref="B34:H34" si="9">IF(B35&gt;0,B22/B35,"")</f>
        <v/>
      </c>
      <c r="C34" s="46" t="e">
        <f t="shared" ca="1" si="9"/>
        <v>#NAME?</v>
      </c>
      <c r="D34" s="46" t="e">
        <f t="shared" ca="1" si="9"/>
        <v>#NAME?</v>
      </c>
      <c r="E34" s="46" t="e">
        <f t="shared" ca="1" si="9"/>
        <v>#NAME?</v>
      </c>
      <c r="F34" s="46" t="e">
        <f t="shared" ca="1" si="9"/>
        <v>#NAME?</v>
      </c>
      <c r="G34" s="46" t="e">
        <f t="shared" ca="1" si="9"/>
        <v>#NAME?</v>
      </c>
      <c r="H34" s="46" t="e">
        <f t="shared" ca="1" si="9"/>
        <v>#NAME?</v>
      </c>
      <c r="I34" s="47" t="e">
        <f t="shared" ca="1" si="6"/>
        <v>#NAME?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6" ht="15.75" customHeight="1">
      <c r="A35" s="17" t="s">
        <v>35</v>
      </c>
      <c r="B35" s="48">
        <f t="shared" ref="B35:H35" si="10">B30*POWER(B33,B32)</f>
        <v>0</v>
      </c>
      <c r="C35" s="48" t="e">
        <f t="shared" ca="1" si="10"/>
        <v>#NAME?</v>
      </c>
      <c r="D35" s="48" t="e">
        <f t="shared" ca="1" si="10"/>
        <v>#NAME?</v>
      </c>
      <c r="E35" s="48" t="e">
        <f t="shared" ca="1" si="10"/>
        <v>#NAME?</v>
      </c>
      <c r="F35" s="48" t="e">
        <f t="shared" ca="1" si="10"/>
        <v>#NAME?</v>
      </c>
      <c r="G35" s="48" t="e">
        <f t="shared" ca="1" si="10"/>
        <v>#NAME?</v>
      </c>
      <c r="H35" s="48" t="e">
        <f t="shared" ca="1" si="10"/>
        <v>#NAME?</v>
      </c>
      <c r="I35" s="38" t="e">
        <f t="shared" ca="1" si="6"/>
        <v>#NAME?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6" ht="15.75" customHeight="1">
      <c r="A36" s="6" t="s">
        <v>34</v>
      </c>
      <c r="B36" s="46" t="str">
        <f t="shared" ref="B36:H36" si="11">IF(B37&gt;0,B22/B37,"")</f>
        <v/>
      </c>
      <c r="C36" s="46" t="str">
        <f t="shared" si="11"/>
        <v/>
      </c>
      <c r="D36" s="46" t="str">
        <f t="shared" si="11"/>
        <v/>
      </c>
      <c r="E36" s="46" t="str">
        <f t="shared" si="11"/>
        <v/>
      </c>
      <c r="F36" s="46" t="str">
        <f t="shared" si="11"/>
        <v/>
      </c>
      <c r="G36" s="46" t="str">
        <f t="shared" si="11"/>
        <v/>
      </c>
      <c r="H36" s="46" t="str">
        <f t="shared" si="11"/>
        <v/>
      </c>
      <c r="I36" s="47" t="e">
        <f t="shared" si="6"/>
        <v>#DIV/0!</v>
      </c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 t="s">
        <v>36</v>
      </c>
      <c r="B37" s="37"/>
      <c r="C37" s="37"/>
      <c r="D37" s="37"/>
      <c r="E37" s="37"/>
      <c r="F37" s="37"/>
      <c r="G37" s="37"/>
      <c r="H37" s="37"/>
      <c r="I37" s="38" t="e">
        <f t="shared" si="6"/>
        <v>#DIV/0!</v>
      </c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 t="s">
        <v>34</v>
      </c>
      <c r="B38" s="46" t="str">
        <f t="shared" ref="B38:H38" si="12">IF(B39&gt;0,B22/B39,"")</f>
        <v/>
      </c>
      <c r="C38" s="46" t="str">
        <f t="shared" si="12"/>
        <v/>
      </c>
      <c r="D38" s="46" t="str">
        <f t="shared" si="12"/>
        <v/>
      </c>
      <c r="E38" s="46" t="str">
        <f t="shared" si="12"/>
        <v/>
      </c>
      <c r="F38" s="46" t="str">
        <f t="shared" si="12"/>
        <v/>
      </c>
      <c r="G38" s="46" t="str">
        <f t="shared" si="12"/>
        <v/>
      </c>
      <c r="H38" s="46" t="str">
        <f t="shared" si="12"/>
        <v/>
      </c>
      <c r="I38" s="47" t="e">
        <f t="shared" si="6"/>
        <v>#DIV/0!</v>
      </c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 t="s">
        <v>37</v>
      </c>
      <c r="B39" s="37"/>
      <c r="C39" s="37"/>
      <c r="D39" s="37"/>
      <c r="E39" s="37"/>
      <c r="F39" s="37"/>
      <c r="G39" s="37"/>
      <c r="H39" s="37"/>
      <c r="I39" s="38" t="e">
        <f t="shared" si="6"/>
        <v>#DIV/0!</v>
      </c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/>
      <c r="B42" s="117" t="s">
        <v>38</v>
      </c>
      <c r="C42" s="115"/>
      <c r="D42" s="115"/>
      <c r="E42" s="115"/>
      <c r="F42" s="115"/>
      <c r="G42" s="115"/>
      <c r="H42" s="11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/>
      <c r="B43" s="3" t="s">
        <v>39</v>
      </c>
      <c r="C43" s="4" t="s">
        <v>40</v>
      </c>
      <c r="D43" s="49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 t="s">
        <v>9</v>
      </c>
      <c r="B44" s="7" t="str">
        <f t="array" ref="B44">IF(B51&gt;0,INDEX('Data Base'!$AC$2:$AC1025,MATCH(B51,'Data Base'!$W$2:$W1025,0)),"")</f>
        <v/>
      </c>
      <c r="C44" s="7" t="str">
        <f t="array" ref="C44">IF(C51&gt;0,INDEX('Data Base'!$AC$2:$AC1025,MATCH(C51,'Data Base'!$W$2:$W1025,0)),"")</f>
        <v/>
      </c>
      <c r="D44" s="7" t="str">
        <f t="array" ref="D44">IF(D51&gt;0,INDEX('Data Base'!$AC$2:$AC1025,MATCH(D51,'Data Base'!$W$2:$W1025,0)),"")</f>
        <v/>
      </c>
      <c r="E44" s="7" t="str">
        <f t="array" ref="E44">IF(E51&gt;0,INDEX('Data Base'!$AC$2:$AC1025,MATCH(E51,'Data Base'!$W$2:$W1025,0)),"")</f>
        <v/>
      </c>
      <c r="F44" s="7" t="str">
        <f t="array" ref="F44">IF(F51&gt;0,INDEX('Data Base'!$AC$2:$AC1025,MATCH(F51,'Data Base'!$W$2:$W1025,0)),"")</f>
        <v/>
      </c>
      <c r="G44" s="7" t="str">
        <f t="array" ref="G44">IF(G51&gt;0,INDEX('Data Base'!$AC$2:$AC1025,MATCH(G51,'Data Base'!$W$2:$W1025,0)),"")</f>
        <v/>
      </c>
      <c r="H44" s="7" t="str">
        <f t="array" ref="H44">IF(H51&gt;0,INDEX('Data Base'!$AC$2:$AC1025,MATCH(H51,'Data Base'!$W$2:$W1025,0)),"")</f>
        <v/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9"/>
      <c r="Y44" s="2"/>
      <c r="Z44" s="2"/>
    </row>
    <row r="45" spans="1:26" ht="15.75" customHeight="1">
      <c r="A45" s="6" t="s">
        <v>10</v>
      </c>
      <c r="B45" s="7" t="str">
        <f t="array" ref="B45">IF(B51&gt;0,INDEX('Data Base'!$AG$2:$AG1025,MATCH(B51,'Data Base'!$W$2:$W1025,0)),"")</f>
        <v/>
      </c>
      <c r="C45" s="7" t="str">
        <f t="array" ref="C45">IF(C51&gt;0,INDEX('Data Base'!$AG$2:$AG1025,MATCH(C51,'Data Base'!$W$2:$W1025,0)),"")</f>
        <v/>
      </c>
      <c r="D45" s="7" t="str">
        <f t="array" ref="D45">IF(D51&gt;0,INDEX('Data Base'!$AG$2:$AG1025,MATCH(D51,'Data Base'!$W$2:$W1025,0)),"")</f>
        <v/>
      </c>
      <c r="E45" s="7" t="str">
        <f t="array" ref="E45">IF(E51&gt;0,INDEX('Data Base'!$AG$2:$AG1025,MATCH(E51,'Data Base'!$W$2:$W1025,0)),"")</f>
        <v/>
      </c>
      <c r="F45" s="7" t="str">
        <f t="array" ref="F45">IF(F51&gt;0,INDEX('Data Base'!$AG$2:$AG1025,MATCH(F51,'Data Base'!$W$2:$W1025,0)),"")</f>
        <v/>
      </c>
      <c r="G45" s="7" t="str">
        <f t="array" ref="G45">IF(G51&gt;0,INDEX('Data Base'!$AG$2:$AG1025,MATCH(G51,'Data Base'!$W$2:$W1025,0)),"")</f>
        <v/>
      </c>
      <c r="H45" s="7" t="str">
        <f t="array" ref="H45">IF(H51&gt;0,INDEX('Data Base'!$AG$2:$AG1025,MATCH(H51,'Data Base'!$W$2:$W1025,0)),"")</f>
        <v/>
      </c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 t="s">
        <v>11</v>
      </c>
      <c r="B46" s="7">
        <f t="array" ref="B46">IF(B51&gt;0,INDEX('Data Base'!$AH$2:$AH1025,MATCH(B51,'Data Base'!$W$2:$W1025,0)),)</f>
        <v>0</v>
      </c>
      <c r="C46" s="7">
        <f t="array" ref="C46">IF(C51&gt;0,INDEX('Data Base'!$AH$2:$AH1025,MATCH(C51,'Data Base'!$W$2:$W1025,0)),)</f>
        <v>0</v>
      </c>
      <c r="D46" s="7">
        <f t="array" ref="D46">IF(D51&gt;0,INDEX('Data Base'!$AH$2:$AH1025,MATCH(D51,'Data Base'!$W$2:$W1025,0)),)</f>
        <v>0</v>
      </c>
      <c r="E46" s="7">
        <f t="array" ref="E46">IF(E51&gt;0,INDEX('Data Base'!$AH$2:$AH1025,MATCH(E51,'Data Base'!$W$2:$W1025,0)),)</f>
        <v>0</v>
      </c>
      <c r="F46" s="7">
        <f t="array" ref="F46">IF(F51&gt;0,INDEX('Data Base'!$AH$2:$AH1025,MATCH(F51,'Data Base'!$W$2:$W1025,0)),)</f>
        <v>0</v>
      </c>
      <c r="G46" s="7">
        <f t="array" ref="G46">IF(G51&gt;0,INDEX('Data Base'!$AH$2:$AH1025,MATCH(G51,'Data Base'!$W$2:$W1025,0)),)</f>
        <v>0</v>
      </c>
      <c r="H46" s="7">
        <f t="array" ref="H46">IF(H51&gt;0,INDEX('Data Base'!$AH$2:$AH1025,MATCH(H51,'Data Base'!$W$2:$W1025,0)),)</f>
        <v>0</v>
      </c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 t="s">
        <v>12</v>
      </c>
      <c r="B47" s="14" t="str">
        <f t="shared" ref="B47:H47" si="13">HYPERLINK(B48,B49)</f>
        <v/>
      </c>
      <c r="C47" s="14" t="str">
        <f t="shared" si="13"/>
        <v/>
      </c>
      <c r="D47" s="14" t="str">
        <f t="shared" si="13"/>
        <v/>
      </c>
      <c r="E47" s="14" t="str">
        <f t="shared" si="13"/>
        <v/>
      </c>
      <c r="F47" s="14" t="str">
        <f t="shared" si="13"/>
        <v/>
      </c>
      <c r="G47" s="14" t="str">
        <f t="shared" si="13"/>
        <v/>
      </c>
      <c r="H47" s="14" t="str">
        <f t="shared" si="13"/>
        <v/>
      </c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hidden="1" customHeight="1">
      <c r="A48" s="6" t="s">
        <v>13</v>
      </c>
      <c r="B48" s="7" t="str">
        <f t="array" ref="B48">IF(B51&gt;0,INDEX('Data Base'!$U$2:$U1025,MATCH(B51,'Data Base'!$W$2:$W1025,0)),"")</f>
        <v/>
      </c>
      <c r="C48" s="7" t="str">
        <f t="array" ref="C48">IF(C51&gt;0,INDEX('Data Base'!$U$2:$U1025,MATCH(C51,'Data Base'!$W$2:$W1025,0)),"")</f>
        <v/>
      </c>
      <c r="D48" s="7" t="str">
        <f t="array" ref="D48">IF(D51&gt;0,INDEX('Data Base'!$U$2:$U1025,MATCH(D51,'Data Base'!$W$2:$W1025,0)),"")</f>
        <v/>
      </c>
      <c r="E48" s="7" t="str">
        <f t="array" ref="E48">IF(E51&gt;0,INDEX('Data Base'!$U$2:$U1025,MATCH(E51,'Data Base'!$W$2:$W1025,0)),"")</f>
        <v/>
      </c>
      <c r="F48" s="7" t="str">
        <f t="array" ref="F48">IF(F51&gt;0,INDEX('Data Base'!$U$2:$U1025,MATCH(F51,'Data Base'!$W$2:$W1025,0)),"")</f>
        <v/>
      </c>
      <c r="G48" s="7" t="str">
        <f t="array" ref="G48">IF(G51&gt;0,INDEX('Data Base'!$U$2:$U1025,MATCH(G51,'Data Base'!$W$2:$W1025,0)),"")</f>
        <v/>
      </c>
      <c r="H48" s="7" t="str">
        <f t="array" ref="H48">IF(H51&gt;0,INDEX('Data Base'!$U$2:$U1025,MATCH(H51,'Data Base'!$W$2:$W1025,0)),"")</f>
        <v/>
      </c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hidden="1" customHeight="1">
      <c r="A49" s="6" t="s">
        <v>12</v>
      </c>
      <c r="B49" s="7" t="str">
        <f t="array" ref="B49">IF(B51&gt;0,INDEX('Data Base'!$D$2:$D1025,MATCH(B51,'Data Base'!$W$2:$W1025,0)),"")</f>
        <v/>
      </c>
      <c r="C49" s="7" t="str">
        <f t="array" ref="C49">IF(C51&gt;0,INDEX('Data Base'!$D$2:$D1025,MATCH(C51,'Data Base'!$W$2:$W1025,0)),"")</f>
        <v/>
      </c>
      <c r="D49" s="7" t="str">
        <f t="array" ref="D49">IF(D51&gt;0,INDEX('Data Base'!$D$2:$D1025,MATCH(D51,'Data Base'!$W$2:$W1025,0)),"")</f>
        <v/>
      </c>
      <c r="E49" s="7" t="str">
        <f t="array" ref="E49">IF(E51&gt;0,INDEX('Data Base'!$D$2:$D1025,MATCH(E51,'Data Base'!$W$2:$W1025,0)),"")</f>
        <v/>
      </c>
      <c r="F49" s="7" t="str">
        <f t="array" ref="F49">IF(F51&gt;0,INDEX('Data Base'!$D$2:$D1025,MATCH(F51,'Data Base'!$W$2:$W1025,0)),"")</f>
        <v/>
      </c>
      <c r="G49" s="7" t="str">
        <f t="array" ref="G49">IF(G51&gt;0,INDEX('Data Base'!$D$2:$D1025,MATCH(G51,'Data Base'!$W$2:$W1025,0)),"")</f>
        <v/>
      </c>
      <c r="H49" s="7" t="str">
        <f t="array" ref="H49">IF(H51&gt;0,INDEX('Data Base'!$D$2:$D1025,MATCH(H51,'Data Base'!$W$2:$W1025,0)),"")</f>
        <v/>
      </c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 t="s">
        <v>14</v>
      </c>
      <c r="B50" s="7" t="str">
        <f t="array" ref="B50">IF(B51&gt;0,INDEX('Data Base'!$E$2:$E1025,MATCH(B51,'Data Base'!$W$2:$W1025,0)),"")</f>
        <v/>
      </c>
      <c r="C50" s="7" t="str">
        <f t="array" ref="C50">IF(C51&gt;0,INDEX('Data Base'!$E$2:$E1025,MATCH(C51,'Data Base'!$W$2:$W1025,0)),"")</f>
        <v/>
      </c>
      <c r="D50" s="7" t="str">
        <f t="array" ref="D50">IF(D51&gt;0,INDEX('Data Base'!$E$2:$E1025,MATCH(D51,'Data Base'!$W$2:$W1025,0)),"")</f>
        <v/>
      </c>
      <c r="E50" s="7" t="str">
        <f t="array" ref="E50">IF(E51&gt;0,INDEX('Data Base'!$E$2:$E1025,MATCH(E51,'Data Base'!$W$2:$W1025,0)),"")</f>
        <v/>
      </c>
      <c r="F50" s="7" t="str">
        <f t="array" ref="F50">IF(F51&gt;0,INDEX('Data Base'!$E$2:$E1025,MATCH(F51,'Data Base'!$W$2:$W1025,0)),"")</f>
        <v/>
      </c>
      <c r="G50" s="7" t="str">
        <f t="array" ref="G50">IF(G51&gt;0,INDEX('Data Base'!$E$2:$E1025,MATCH(G51,'Data Base'!$W$2:$W1025,0)),"")</f>
        <v/>
      </c>
      <c r="H50" s="7" t="str">
        <f t="array" ref="H50">IF(H51&gt;0,INDEX('Data Base'!$E$2:$E1025,MATCH(H51,'Data Base'!$W$2:$W1025,0)),"")</f>
        <v/>
      </c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 t="s">
        <v>15</v>
      </c>
      <c r="B51" s="10"/>
      <c r="C51" s="10"/>
      <c r="D51" s="10"/>
      <c r="E51" s="10"/>
      <c r="F51" s="10"/>
      <c r="G51" s="10"/>
      <c r="H51" s="10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16</v>
      </c>
      <c r="B52" s="7"/>
      <c r="C52" s="7"/>
      <c r="D52" s="19"/>
      <c r="E52" s="7"/>
      <c r="F52" s="50"/>
      <c r="G52" s="7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51" t="s">
        <v>46</v>
      </c>
      <c r="J53" s="20" t="s">
        <v>17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 t="s">
        <v>18</v>
      </c>
      <c r="B54" s="23">
        <f t="array" ref="B54">IF(B51&gt;0,INDEX('Data Base'!$L$2:$L1025,MATCH(B51,'Data Base'!$W$2:$W1025,0)),)</f>
        <v>0</v>
      </c>
      <c r="C54" s="23">
        <f t="array" ref="C54">IF(C51&gt;0,INDEX('Data Base'!$L$2:$L1025,MATCH(C51,'Data Base'!$W$2:$W1025,0)),)</f>
        <v>0</v>
      </c>
      <c r="D54" s="23">
        <f t="array" ref="D54">IF(D51&gt;0,INDEX('Data Base'!$L$2:$L1025,MATCH(D51,'Data Base'!$W$2:$W1025,0)),)</f>
        <v>0</v>
      </c>
      <c r="E54" s="23">
        <f t="array" ref="E54">IF(E51&gt;0,INDEX('Data Base'!$L$2:$L1025,MATCH(E51,'Data Base'!$W$2:$W1025,0)),)</f>
        <v>0</v>
      </c>
      <c r="F54" s="23">
        <f t="array" ref="F54">IF(F51&gt;0,INDEX('Data Base'!$L$2:$L1025,MATCH(F51,'Data Base'!$W$2:$W1025,0)),)</f>
        <v>0</v>
      </c>
      <c r="G54" s="23">
        <f t="array" ref="G54">IF(G51&gt;0,INDEX('Data Base'!$L$2:$L1025,MATCH(G51,'Data Base'!$W$2:$W1025,0)),)</f>
        <v>0</v>
      </c>
      <c r="H54" s="23">
        <f t="array" ref="H54">IF(H51&gt;0,INDEX('Data Base'!$L$2:$L1025,MATCH(H51,'Data Base'!$W$2:$W1025,0)),)</f>
        <v>0</v>
      </c>
      <c r="I54" s="22" t="e">
        <f t="shared" ref="I54:I57" si="14">SUMPRODUCT($B54:$H54,$B$52:$H$52)/SUM($B$52:$H$52)</f>
        <v>#DIV/0!</v>
      </c>
      <c r="J54" s="22" t="e">
        <f t="shared" ref="J54:J57" si="15">I13</f>
        <v>#DIV/0!</v>
      </c>
      <c r="K54" s="52" t="e">
        <f t="shared" ref="K54:K67" si="16">IF(I54&gt;0,J54/I54,"")</f>
        <v>#DIV/0!</v>
      </c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19</v>
      </c>
      <c r="B55" s="23">
        <f t="array" ref="B55">IF(B51&gt;0,INDEX('Data Base'!$I$2:$I1025,MATCH(B51,'Data Base'!$W$2:$W1025,0)),)</f>
        <v>0</v>
      </c>
      <c r="C55" s="23">
        <f t="array" ref="C55">IF(C51&gt;0,INDEX('Data Base'!$I$2:$I1025,MATCH(C51,'Data Base'!$W$2:$W1025,0)),)</f>
        <v>0</v>
      </c>
      <c r="D55" s="23">
        <f t="array" ref="D55">IF(D51&gt;0,INDEX('Data Base'!$I$2:$I1025,MATCH(D51,'Data Base'!$W$2:$W1025,0)),)</f>
        <v>0</v>
      </c>
      <c r="E55" s="23">
        <f t="array" ref="E55">IF(E51&gt;0,INDEX('Data Base'!$I$2:$I1025,MATCH(E51,'Data Base'!$W$2:$W1025,0)),)</f>
        <v>0</v>
      </c>
      <c r="F55" s="23">
        <f t="array" ref="F55">IF(F51&gt;0,INDEX('Data Base'!$I$2:$I1025,MATCH(F51,'Data Base'!$W$2:$W1025,0)),)</f>
        <v>0</v>
      </c>
      <c r="G55" s="23">
        <f t="array" ref="G55">IF(G51&gt;0,INDEX('Data Base'!$I$2:$I1025,MATCH(G51,'Data Base'!$W$2:$W1025,0)),)</f>
        <v>0</v>
      </c>
      <c r="H55" s="23">
        <f t="array" ref="H55">IF(H51&gt;0,INDEX('Data Base'!$I$2:$I1025,MATCH(H51,'Data Base'!$W$2:$W1025,0)),)</f>
        <v>0</v>
      </c>
      <c r="I55" s="24" t="e">
        <f t="shared" si="14"/>
        <v>#DIV/0!</v>
      </c>
      <c r="J55" s="24" t="e">
        <f t="shared" si="15"/>
        <v>#DIV/0!</v>
      </c>
      <c r="K55" s="53" t="e">
        <f t="shared" si="16"/>
        <v>#DIV/0!</v>
      </c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20</v>
      </c>
      <c r="B56" s="23">
        <f t="array" ref="B56">IF(B51&gt;0,INDEX('Data Base'!$J$2:$J1025,MATCH(B51,'Data Base'!$W$2:$W1025,0)),)</f>
        <v>0</v>
      </c>
      <c r="C56" s="23">
        <f t="array" ref="C56">IF(C51&gt;0,INDEX('Data Base'!$J$2:$J1025,MATCH(C51,'Data Base'!$W$2:$W1025,0)),)</f>
        <v>0</v>
      </c>
      <c r="D56" s="23">
        <f t="array" ref="D56">IF(D51&gt;0,INDEX('Data Base'!$J$2:$J1025,MATCH(D51,'Data Base'!$W$2:$W1025,0)),)</f>
        <v>0</v>
      </c>
      <c r="E56" s="23">
        <f t="array" ref="E56">IF(E51&gt;0,INDEX('Data Base'!$J$2:$J1025,MATCH(E51,'Data Base'!$W$2:$W1025,0)),)</f>
        <v>0</v>
      </c>
      <c r="F56" s="23">
        <f t="array" ref="F56">IF(F51&gt;0,INDEX('Data Base'!$J$2:$J1025,MATCH(F51,'Data Base'!$W$2:$W1025,0)),)</f>
        <v>0</v>
      </c>
      <c r="G56" s="23">
        <f t="array" ref="G56">IF(G51&gt;0,INDEX('Data Base'!$J$2:$J1025,MATCH(G51,'Data Base'!$W$2:$W1025,0)),)</f>
        <v>0</v>
      </c>
      <c r="H56" s="23">
        <f t="array" ref="H56">IF(H51&gt;0,INDEX('Data Base'!$J$2:$J1025,MATCH(H51,'Data Base'!$W$2:$W1025,0)),)</f>
        <v>0</v>
      </c>
      <c r="I56" s="24" t="e">
        <f t="shared" si="14"/>
        <v>#DIV/0!</v>
      </c>
      <c r="J56" s="24" t="e">
        <f t="shared" si="15"/>
        <v>#DIV/0!</v>
      </c>
      <c r="K56" s="53" t="e">
        <f t="shared" si="16"/>
        <v>#DIV/0!</v>
      </c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21</v>
      </c>
      <c r="B57" s="23">
        <f t="array" ref="B57">IF(B51&gt;0,INDEX('Data Base'!$M$2:$M1025,MATCH(B51,'Data Base'!$W$2:$W1025,0)),)</f>
        <v>0</v>
      </c>
      <c r="C57" s="23">
        <f t="array" ref="C57">IF(C51&gt;0,INDEX('Data Base'!$M$2:$M1025,MATCH(C51,'Data Base'!$W$2:$W1025,0)),)</f>
        <v>0</v>
      </c>
      <c r="D57" s="23">
        <f t="array" ref="D57">IF(D51&gt;0,INDEX('Data Base'!$M$2:$M1025,MATCH(D51,'Data Base'!$W$2:$W1025,0)),)</f>
        <v>0</v>
      </c>
      <c r="E57" s="23">
        <f t="array" ref="E57">IF(E51&gt;0,INDEX('Data Base'!$M$2:$M1025,MATCH(E51,'Data Base'!$W$2:$W1025,0)),)</f>
        <v>0</v>
      </c>
      <c r="F57" s="23">
        <f t="array" ref="F57">IF(F51&gt;0,INDEX('Data Base'!$M$2:$M1025,MATCH(F51,'Data Base'!$W$2:$W1025,0)),)</f>
        <v>0</v>
      </c>
      <c r="G57" s="23">
        <f t="array" ref="G57">IF(G51&gt;0,INDEX('Data Base'!$M$2:$M1025,MATCH(G51,'Data Base'!$W$2:$W1025,0)),)</f>
        <v>0</v>
      </c>
      <c r="H57" s="23">
        <f t="array" ref="H57">IF(H51&gt;0,INDEX('Data Base'!$M$2:$M1025,MATCH(H51,'Data Base'!$W$2:$W1025,0)),)</f>
        <v>0</v>
      </c>
      <c r="I57" s="22" t="e">
        <f t="shared" si="14"/>
        <v>#DIV/0!</v>
      </c>
      <c r="J57" s="22" t="e">
        <f t="shared" si="15"/>
        <v>#DIV/0!</v>
      </c>
      <c r="K57" s="53" t="e">
        <f t="shared" si="16"/>
        <v>#DIV/0!</v>
      </c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25"/>
      <c r="J58" s="25"/>
      <c r="K58" s="53" t="str">
        <f t="shared" si="16"/>
        <v/>
      </c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22</v>
      </c>
      <c r="B59" s="23">
        <f t="array" ref="B59">IF(B51&gt;0,INDEX('Data Base'!$N$2:$N1025,MATCH(B51,'Data Base'!$W$2:$W1025,0)),)</f>
        <v>0</v>
      </c>
      <c r="C59" s="23">
        <f t="array" ref="C59">IF(C51&gt;0,INDEX('Data Base'!$N$2:$N1025,MATCH(C51,'Data Base'!$W$2:$W1025,0)),)</f>
        <v>0</v>
      </c>
      <c r="D59" s="23">
        <f t="array" ref="D59">IF(D51&gt;0,INDEX('Data Base'!$N$2:$N1025,MATCH(D51,'Data Base'!$W$2:$W1025,0)),)</f>
        <v>0</v>
      </c>
      <c r="E59" s="23">
        <f t="array" ref="E59">IF(E51&gt;0,INDEX('Data Base'!$N$2:$N1025,MATCH(E51,'Data Base'!$W$2:$W1025,0)),)</f>
        <v>0</v>
      </c>
      <c r="F59" s="23">
        <f t="array" ref="F59">IF(F51&gt;0,INDEX('Data Base'!$N$2:$N1025,MATCH(F51,'Data Base'!$W$2:$W1025,0)),)</f>
        <v>0</v>
      </c>
      <c r="G59" s="23">
        <f t="array" ref="G59">IF(G51&gt;0,INDEX('Data Base'!$N$2:$N1025,MATCH(G51,'Data Base'!$W$2:$W1025,0)),)</f>
        <v>0</v>
      </c>
      <c r="H59" s="23">
        <f t="array" ref="H59">IF(H51&gt;0,INDEX('Data Base'!$N$2:$N1025,MATCH(H51,'Data Base'!$W$2:$W1025,0)),)</f>
        <v>0</v>
      </c>
      <c r="I59" s="22" t="e">
        <f>SUMPRODUCT($B59:$H59,$B$52:$H$52)/SUM($B$52:$H$52)</f>
        <v>#DIV/0!</v>
      </c>
      <c r="J59" s="22" t="e">
        <f>I18</f>
        <v>#DIV/0!</v>
      </c>
      <c r="K59" s="53" t="e">
        <f t="shared" si="16"/>
        <v>#DIV/0!</v>
      </c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25"/>
      <c r="J60" s="25"/>
      <c r="K60" s="53" t="str">
        <f t="shared" si="16"/>
        <v/>
      </c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31</v>
      </c>
      <c r="B61" s="54">
        <f t="array" ref="B61">IF(B51&gt;0,INDEX('Data Base'!$H$2:$H1025,MATCH(B51,'Data Base'!$W$2:$W1025,0)),)</f>
        <v>0</v>
      </c>
      <c r="C61" s="54">
        <f t="array" ref="C61">IF(C51&gt;0,INDEX('Data Base'!$H$2:$H1025,MATCH(C51,'Data Base'!$W$2:$W1025,0)),)</f>
        <v>0</v>
      </c>
      <c r="D61" s="54">
        <f t="array" ref="D61">IF(D51&gt;0,INDEX('Data Base'!$H$2:$H1025,MATCH(D51,'Data Base'!$W$2:$W1025,0)),)</f>
        <v>0</v>
      </c>
      <c r="E61" s="54">
        <f t="array" ref="E61">IF(E51&gt;0,INDEX('Data Base'!$H$2:$H1025,MATCH(E51,'Data Base'!$W$2:$W1025,0)),)</f>
        <v>0</v>
      </c>
      <c r="F61" s="54">
        <f t="array" ref="F61">IF(F51&gt;0,INDEX('Data Base'!$H$2:$H1025,MATCH(F51,'Data Base'!$W$2:$W1025,0)),)</f>
        <v>0</v>
      </c>
      <c r="G61" s="54">
        <f t="array" ref="G61">IF(G51&gt;0,INDEX('Data Base'!$H$2:$H1025,MATCH(G51,'Data Base'!$W$2:$W1025,0)),)</f>
        <v>0</v>
      </c>
      <c r="H61" s="54">
        <f t="array" ref="H61">IF(H51&gt;0,INDEX('Data Base'!$H$2:$H1025,MATCH(H51,'Data Base'!$W$2:$W1025,0)),)</f>
        <v>0</v>
      </c>
      <c r="I61" s="27" t="e">
        <f>SUMPRODUCT($B61:$H61,$B$52:$H$52)/SUM($B$52:$H$52)</f>
        <v>#DIV/0!</v>
      </c>
      <c r="J61" s="27" t="e">
        <f>I22</f>
        <v>#DIV/0!</v>
      </c>
      <c r="K61" s="52" t="e">
        <f t="shared" si="16"/>
        <v>#DIV/0!</v>
      </c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30</v>
      </c>
      <c r="B62" s="55">
        <f t="array" ref="B62">IF(B51&gt;0,INDEX('Data Base'!$B$2:$B1025,MATCH(B51,'Data Base'!$W$2:$W1025,0)),)</f>
        <v>0</v>
      </c>
      <c r="C62" s="55">
        <f t="array" ref="C62">IF(C51&gt;0,INDEX('Data Base'!$B$2:$B1025,MATCH(C51,'Data Base'!$W$2:$W1025,0)),)</f>
        <v>0</v>
      </c>
      <c r="D62" s="55">
        <f t="array" ref="D62">IF(D51&gt;0,INDEX('Data Base'!$B$2:$B1025,MATCH(D51,'Data Base'!$W$2:$W1025,0)),)</f>
        <v>0</v>
      </c>
      <c r="E62" s="55">
        <f t="array" ref="E62">IF(E51&gt;0,INDEX('Data Base'!$B$2:$B1025,MATCH(E51,'Data Base'!$W$2:$W1025,0)),)</f>
        <v>0</v>
      </c>
      <c r="F62" s="55">
        <f t="array" ref="F62">IF(F51&gt;0,INDEX('Data Base'!$B$2:$B1025,MATCH(F51,'Data Base'!$W$2:$W1025,0)),)</f>
        <v>0</v>
      </c>
      <c r="G62" s="55">
        <f t="array" ref="G62">IF(G51&gt;0,INDEX('Data Base'!$B$2:$B1025,MATCH(G51,'Data Base'!$W$2:$W1025,0)),)</f>
        <v>0</v>
      </c>
      <c r="H62" s="55">
        <f t="array" ref="H62">IF(H51&gt;0,INDEX('Data Base'!$B$2:$B1025,MATCH(H51,'Data Base'!$W$2:$W1025,0)),)</f>
        <v>0</v>
      </c>
      <c r="I62" s="56"/>
      <c r="J62" s="56"/>
      <c r="K62" s="53" t="str">
        <f t="shared" si="16"/>
        <v/>
      </c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 t="s">
        <v>25</v>
      </c>
      <c r="B63" s="57" t="str">
        <f t="shared" ref="B63:H63" si="17">IF(B54&gt;0,B61/B54,"")</f>
        <v/>
      </c>
      <c r="C63" s="57" t="str">
        <f t="shared" si="17"/>
        <v/>
      </c>
      <c r="D63" s="57" t="str">
        <f t="shared" si="17"/>
        <v/>
      </c>
      <c r="E63" s="57" t="str">
        <f t="shared" si="17"/>
        <v/>
      </c>
      <c r="F63" s="57" t="str">
        <f t="shared" si="17"/>
        <v/>
      </c>
      <c r="G63" s="57" t="str">
        <f t="shared" si="17"/>
        <v/>
      </c>
      <c r="H63" s="57" t="str">
        <f t="shared" si="17"/>
        <v/>
      </c>
      <c r="I63" s="29" t="e">
        <f>SUMPRODUCT($B63:$H63,$B$52:$H$52)/SUM($B$52:$H$52)</f>
        <v>#DIV/0!</v>
      </c>
      <c r="J63" s="27" t="e">
        <f>I23</f>
        <v>#DIV/0!</v>
      </c>
      <c r="K63" s="53" t="e">
        <f t="shared" si="16"/>
        <v>#DIV/0!</v>
      </c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/>
      <c r="B64" s="58"/>
      <c r="C64" s="59"/>
      <c r="D64" s="59"/>
      <c r="E64" s="59"/>
      <c r="F64" s="59"/>
      <c r="G64" s="59"/>
      <c r="H64" s="59"/>
      <c r="I64" s="60"/>
      <c r="J64" s="61"/>
      <c r="K64" s="53" t="str">
        <f t="shared" si="16"/>
        <v/>
      </c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 t="s">
        <v>47</v>
      </c>
      <c r="B65" s="34"/>
      <c r="C65" s="34"/>
      <c r="D65" s="34"/>
      <c r="E65" s="34"/>
      <c r="F65" s="34"/>
      <c r="G65" s="62"/>
      <c r="H65" s="62"/>
      <c r="I65" s="56"/>
      <c r="J65" s="56"/>
      <c r="K65" s="53" t="str">
        <f t="shared" si="16"/>
        <v/>
      </c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>
      <c r="A66" s="6" t="s">
        <v>48</v>
      </c>
      <c r="B66" s="35"/>
      <c r="C66" s="35"/>
      <c r="D66" s="35"/>
      <c r="E66" s="35"/>
      <c r="F66" s="35"/>
      <c r="G66" s="37"/>
      <c r="H66" s="37"/>
      <c r="I66" s="63" t="e">
        <f t="shared" ref="I66:I68" si="18">SUMPRODUCT($B66:$H66,$B$52:$H$52)/SUM($B$52:$H$52)</f>
        <v>#DIV/0!</v>
      </c>
      <c r="J66" s="64" t="e">
        <f t="shared" ref="J66:J67" si="19">I30</f>
        <v>#DIV/0!</v>
      </c>
      <c r="K66" s="53" t="e">
        <f t="shared" si="16"/>
        <v>#DIV/0!</v>
      </c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hidden="1" customHeight="1">
      <c r="A67" s="17" t="s">
        <v>32</v>
      </c>
      <c r="B67" s="65" t="e">
        <f t="shared" ref="B67:H67" ca="1" si="20">_xludf.DAYS(TODAY(),B65)/365</f>
        <v>#NAME?</v>
      </c>
      <c r="C67" s="42" t="e">
        <f t="shared" ca="1" si="20"/>
        <v>#NAME?</v>
      </c>
      <c r="D67" s="41" t="e">
        <f t="shared" ca="1" si="20"/>
        <v>#NAME?</v>
      </c>
      <c r="E67" s="42" t="e">
        <f t="shared" ca="1" si="20"/>
        <v>#NAME?</v>
      </c>
      <c r="F67" s="41" t="e">
        <f t="shared" ca="1" si="20"/>
        <v>#NAME?</v>
      </c>
      <c r="G67" s="41" t="e">
        <f t="shared" ca="1" si="20"/>
        <v>#NAME?</v>
      </c>
      <c r="H67" s="41" t="e">
        <f t="shared" ca="1" si="20"/>
        <v>#NAME?</v>
      </c>
      <c r="I67" s="66" t="e">
        <f t="shared" ca="1" si="18"/>
        <v>#NAME?</v>
      </c>
      <c r="J67" s="67">
        <f t="shared" si="19"/>
        <v>0</v>
      </c>
      <c r="K67" s="53" t="e">
        <f t="shared" ca="1" si="16"/>
        <v>#NAME?</v>
      </c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7" t="s">
        <v>33</v>
      </c>
      <c r="B68" s="44">
        <v>1.03</v>
      </c>
      <c r="C68" s="33">
        <f>B68</f>
        <v>1.03</v>
      </c>
      <c r="D68" s="33">
        <f>B68</f>
        <v>1.03</v>
      </c>
      <c r="E68" s="33">
        <f>B68</f>
        <v>1.03</v>
      </c>
      <c r="F68" s="33">
        <f>B68</f>
        <v>1.03</v>
      </c>
      <c r="G68" s="33">
        <f>B68</f>
        <v>1.03</v>
      </c>
      <c r="H68" s="33">
        <f>B68</f>
        <v>1.03</v>
      </c>
      <c r="I68" s="68" t="e">
        <f t="shared" si="18"/>
        <v>#DIV/0!</v>
      </c>
      <c r="J68" s="69">
        <f t="shared" ref="J68:J74" si="21">I33</f>
        <v>1.03</v>
      </c>
      <c r="K68" s="53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 t="s">
        <v>34</v>
      </c>
      <c r="B69" s="70" t="str">
        <f t="shared" ref="B69:H69" si="22">IF(B65&gt;0,B61/B70,"")</f>
        <v/>
      </c>
      <c r="C69" s="70" t="str">
        <f t="shared" si="22"/>
        <v/>
      </c>
      <c r="D69" s="70" t="str">
        <f t="shared" si="22"/>
        <v/>
      </c>
      <c r="E69" s="70" t="str">
        <f t="shared" si="22"/>
        <v/>
      </c>
      <c r="F69" s="70" t="str">
        <f t="shared" si="22"/>
        <v/>
      </c>
      <c r="G69" s="70" t="str">
        <f t="shared" si="22"/>
        <v/>
      </c>
      <c r="H69" s="70" t="str">
        <f t="shared" si="22"/>
        <v/>
      </c>
      <c r="I69" s="66" t="e">
        <f t="shared" ref="I69:I76" si="23">AVERAGE(B69:H69)</f>
        <v>#DIV/0!</v>
      </c>
      <c r="J69" s="67" t="e">
        <f t="shared" ca="1" si="21"/>
        <v>#NAME?</v>
      </c>
      <c r="K69" s="53" t="e">
        <f t="shared" ref="K69:K74" si="24">IF(I69&gt;0,J69/I69,"")</f>
        <v>#DIV/0!</v>
      </c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7" t="s">
        <v>35</v>
      </c>
      <c r="B70" s="48" t="str">
        <f t="shared" ref="B70:H70" si="25">IF(B66&gt;0,B66*POWER(B68,B67),"")</f>
        <v/>
      </c>
      <c r="C70" s="48" t="str">
        <f t="shared" si="25"/>
        <v/>
      </c>
      <c r="D70" s="48" t="str">
        <f t="shared" si="25"/>
        <v/>
      </c>
      <c r="E70" s="48" t="str">
        <f t="shared" si="25"/>
        <v/>
      </c>
      <c r="F70" s="48" t="str">
        <f t="shared" si="25"/>
        <v/>
      </c>
      <c r="G70" s="48" t="str">
        <f t="shared" si="25"/>
        <v/>
      </c>
      <c r="H70" s="48" t="str">
        <f t="shared" si="25"/>
        <v/>
      </c>
      <c r="I70" s="71" t="e">
        <f t="shared" si="23"/>
        <v>#DIV/0!</v>
      </c>
      <c r="J70" s="72" t="e">
        <f t="shared" ca="1" si="21"/>
        <v>#NAME?</v>
      </c>
      <c r="K70" s="53" t="e">
        <f t="shared" si="24"/>
        <v>#DIV/0!</v>
      </c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 t="s">
        <v>34</v>
      </c>
      <c r="B71" s="46" t="str">
        <f t="shared" ref="B71:H71" si="26">IF(B72&gt;0,B61/B72,"")</f>
        <v/>
      </c>
      <c r="C71" s="46" t="str">
        <f t="shared" si="26"/>
        <v/>
      </c>
      <c r="D71" s="46" t="str">
        <f t="shared" si="26"/>
        <v/>
      </c>
      <c r="E71" s="46" t="str">
        <f t="shared" si="26"/>
        <v/>
      </c>
      <c r="F71" s="46" t="str">
        <f t="shared" si="26"/>
        <v/>
      </c>
      <c r="G71" s="46" t="str">
        <f t="shared" si="26"/>
        <v/>
      </c>
      <c r="H71" s="46" t="str">
        <f t="shared" si="26"/>
        <v/>
      </c>
      <c r="I71" s="66" t="e">
        <f t="shared" si="23"/>
        <v>#DIV/0!</v>
      </c>
      <c r="J71" s="67" t="e">
        <f t="shared" si="21"/>
        <v>#DIV/0!</v>
      </c>
      <c r="K71" s="53" t="e">
        <f t="shared" si="24"/>
        <v>#DIV/0!</v>
      </c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 t="s">
        <v>49</v>
      </c>
      <c r="B72" s="37"/>
      <c r="C72" s="37"/>
      <c r="D72" s="37"/>
      <c r="E72" s="37"/>
      <c r="F72" s="37"/>
      <c r="G72" s="37"/>
      <c r="H72" s="37"/>
      <c r="I72" s="73" t="e">
        <f t="shared" si="23"/>
        <v>#DIV/0!</v>
      </c>
      <c r="J72" s="72" t="e">
        <f t="shared" si="21"/>
        <v>#DIV/0!</v>
      </c>
      <c r="K72" s="53" t="e">
        <f t="shared" si="24"/>
        <v>#DIV/0!</v>
      </c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 t="s">
        <v>34</v>
      </c>
      <c r="B73" s="46" t="str">
        <f t="shared" ref="B73:H73" si="27">IF(B74&gt;0,B61/B74,"")</f>
        <v/>
      </c>
      <c r="C73" s="46" t="str">
        <f t="shared" si="27"/>
        <v/>
      </c>
      <c r="D73" s="46" t="str">
        <f t="shared" si="27"/>
        <v/>
      </c>
      <c r="E73" s="46" t="str">
        <f t="shared" si="27"/>
        <v/>
      </c>
      <c r="F73" s="46" t="str">
        <f t="shared" si="27"/>
        <v/>
      </c>
      <c r="G73" s="46" t="str">
        <f t="shared" si="27"/>
        <v/>
      </c>
      <c r="H73" s="46" t="str">
        <f t="shared" si="27"/>
        <v/>
      </c>
      <c r="I73" s="66" t="e">
        <f t="shared" si="23"/>
        <v>#DIV/0!</v>
      </c>
      <c r="J73" s="67" t="e">
        <f t="shared" si="21"/>
        <v>#DIV/0!</v>
      </c>
      <c r="K73" s="53" t="e">
        <f t="shared" si="24"/>
        <v>#DIV/0!</v>
      </c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 t="s">
        <v>37</v>
      </c>
      <c r="B74" s="37"/>
      <c r="C74" s="37"/>
      <c r="D74" s="37"/>
      <c r="E74" s="37"/>
      <c r="F74" s="37"/>
      <c r="G74" s="37"/>
      <c r="H74" s="37"/>
      <c r="I74" s="73" t="e">
        <f t="shared" si="23"/>
        <v>#DIV/0!</v>
      </c>
      <c r="J74" s="72" t="e">
        <f t="shared" si="21"/>
        <v>#DIV/0!</v>
      </c>
      <c r="K74" s="53" t="e">
        <f t="shared" si="24"/>
        <v>#DIV/0!</v>
      </c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 t="s">
        <v>34</v>
      </c>
      <c r="B75" s="46" t="str">
        <f t="shared" ref="B75:H75" si="28">IF(B76&gt;0,B61/B76,"")</f>
        <v/>
      </c>
      <c r="C75" s="46" t="str">
        <f t="shared" si="28"/>
        <v/>
      </c>
      <c r="D75" s="46" t="str">
        <f t="shared" si="28"/>
        <v/>
      </c>
      <c r="E75" s="46" t="str">
        <f t="shared" si="28"/>
        <v/>
      </c>
      <c r="F75" s="46" t="str">
        <f t="shared" si="28"/>
        <v/>
      </c>
      <c r="G75" s="46" t="str">
        <f t="shared" si="28"/>
        <v/>
      </c>
      <c r="H75" s="46" t="str">
        <f t="shared" si="28"/>
        <v/>
      </c>
      <c r="I75" s="66" t="e">
        <f t="shared" si="23"/>
        <v>#DIV/0!</v>
      </c>
      <c r="J75" s="118"/>
      <c r="K75" s="74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 t="s">
        <v>24</v>
      </c>
      <c r="B76" s="37"/>
      <c r="C76" s="37"/>
      <c r="D76" s="37"/>
      <c r="E76" s="37"/>
      <c r="F76" s="37"/>
      <c r="G76" s="37"/>
      <c r="H76" s="37"/>
      <c r="I76" s="73" t="e">
        <f t="shared" si="23"/>
        <v>#DIV/0!</v>
      </c>
      <c r="J76" s="119"/>
      <c r="K76" s="74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/>
      <c r="B79" s="120" t="s">
        <v>50</v>
      </c>
      <c r="C79" s="115"/>
      <c r="D79" s="115"/>
      <c r="E79" s="115"/>
      <c r="F79" s="115"/>
      <c r="G79" s="115"/>
      <c r="H79" s="11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/>
      <c r="B80" s="3" t="s">
        <v>51</v>
      </c>
      <c r="C80" s="3" t="s">
        <v>52</v>
      </c>
      <c r="D80" s="3" t="s">
        <v>53</v>
      </c>
      <c r="E80" s="3" t="s">
        <v>54</v>
      </c>
      <c r="F80" s="3" t="s">
        <v>55</v>
      </c>
      <c r="G80" s="3" t="s">
        <v>56</v>
      </c>
      <c r="H80" s="3" t="s">
        <v>57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75"/>
      <c r="C81" s="75"/>
      <c r="D81" s="75"/>
      <c r="E81" s="75"/>
      <c r="F81" s="75"/>
      <c r="G81" s="75"/>
      <c r="H81" s="75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16</v>
      </c>
      <c r="B82" s="50"/>
      <c r="C82" s="50"/>
      <c r="D82" s="50"/>
      <c r="E82" s="50"/>
      <c r="F82" s="50"/>
      <c r="G82" s="50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76" t="s">
        <v>58</v>
      </c>
      <c r="J83" s="20" t="s">
        <v>17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18</v>
      </c>
      <c r="B84" s="75"/>
      <c r="C84" s="75"/>
      <c r="D84" s="75"/>
      <c r="E84" s="75"/>
      <c r="F84" s="75"/>
      <c r="G84" s="75"/>
      <c r="H84" s="75"/>
      <c r="I84" s="22" t="e">
        <f t="shared" ref="I84:I87" si="29">SUMPRODUCT($B84:$H84,$B$82:$H$82)/SUM($B$82:$H$82)</f>
        <v>#DIV/0!</v>
      </c>
      <c r="J84" s="22" t="e">
        <f t="shared" ref="J84:J87" si="30">J54</f>
        <v>#DIV/0!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19</v>
      </c>
      <c r="B85" s="75"/>
      <c r="C85" s="75"/>
      <c r="D85" s="75"/>
      <c r="E85" s="75"/>
      <c r="F85" s="75"/>
      <c r="G85" s="75"/>
      <c r="H85" s="75"/>
      <c r="I85" s="24" t="e">
        <f t="shared" si="29"/>
        <v>#DIV/0!</v>
      </c>
      <c r="J85" s="24" t="e">
        <f t="shared" si="30"/>
        <v>#DIV/0!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20</v>
      </c>
      <c r="B86" s="75"/>
      <c r="C86" s="75"/>
      <c r="D86" s="75"/>
      <c r="E86" s="75"/>
      <c r="F86" s="75"/>
      <c r="G86" s="75"/>
      <c r="H86" s="75"/>
      <c r="I86" s="24" t="e">
        <f t="shared" si="29"/>
        <v>#DIV/0!</v>
      </c>
      <c r="J86" s="24" t="e">
        <f t="shared" si="30"/>
        <v>#DIV/0!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21</v>
      </c>
      <c r="B87" s="75"/>
      <c r="C87" s="75"/>
      <c r="D87" s="75"/>
      <c r="E87" s="75"/>
      <c r="F87" s="75"/>
      <c r="G87" s="75"/>
      <c r="H87" s="75"/>
      <c r="I87" s="22" t="e">
        <f t="shared" si="29"/>
        <v>#DIV/0!</v>
      </c>
      <c r="J87" s="22" t="e">
        <f t="shared" si="30"/>
        <v>#DIV/0!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25"/>
      <c r="J88" s="2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 t="s">
        <v>59</v>
      </c>
      <c r="B89" s="77"/>
      <c r="C89" s="77"/>
      <c r="D89" s="77"/>
      <c r="E89" s="77"/>
      <c r="F89" s="77"/>
      <c r="G89" s="77"/>
      <c r="H89" s="77"/>
      <c r="I89" s="27" t="e">
        <f>SUMPRODUCT($B89:$H89,$B$82:$H$82)/SUM($B$82:$H$82)</f>
        <v>#DIV/0!</v>
      </c>
      <c r="J89" s="2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/>
      <c r="B90" s="25"/>
      <c r="C90" s="25"/>
      <c r="D90" s="25"/>
      <c r="E90" s="25"/>
      <c r="F90" s="25"/>
      <c r="G90" s="25"/>
      <c r="H90" s="25"/>
      <c r="I90" s="78"/>
      <c r="J90" s="2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 t="s">
        <v>60</v>
      </c>
      <c r="B91" s="2"/>
      <c r="C91" s="2"/>
      <c r="D91" s="2"/>
      <c r="E91" s="2"/>
      <c r="F91" s="2"/>
      <c r="G91" s="2"/>
      <c r="H91" s="2"/>
      <c r="I91" s="78"/>
      <c r="J91" s="7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 t="s">
        <v>61</v>
      </c>
      <c r="B92" s="75"/>
      <c r="C92" s="75"/>
      <c r="D92" s="75"/>
      <c r="E92" s="75"/>
      <c r="F92" s="79"/>
      <c r="G92" s="79"/>
      <c r="H92" s="79"/>
      <c r="I92" s="24" t="e">
        <f t="shared" ref="I92:I93" si="31">SUMPRODUCT($B92:$H92,$B$82:$H$82)/SUM($B$82:$H$82)</f>
        <v>#DIV/0!</v>
      </c>
      <c r="J92" s="24" t="e">
        <f t="shared" ref="J92:J93" si="32">#REF!</f>
        <v>#REF!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 t="s">
        <v>62</v>
      </c>
      <c r="B93" s="75"/>
      <c r="C93" s="75"/>
      <c r="D93" s="75"/>
      <c r="E93" s="75"/>
      <c r="F93" s="79"/>
      <c r="G93" s="79"/>
      <c r="H93" s="79"/>
      <c r="I93" s="24" t="e">
        <f t="shared" si="31"/>
        <v>#DIV/0!</v>
      </c>
      <c r="J93" s="24" t="e">
        <f t="shared" si="32"/>
        <v>#REF!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80"/>
      <c r="J94" s="8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63</v>
      </c>
      <c r="B95" s="75"/>
      <c r="C95" s="75"/>
      <c r="D95" s="75"/>
      <c r="E95" s="75"/>
      <c r="F95" s="79"/>
      <c r="G95" s="79"/>
      <c r="H95" s="79"/>
      <c r="I95" s="24" t="e">
        <f>SUMPRODUCT($B95:$H95,$B$82:$H$82)/SUM($B$82:$H$82)</f>
        <v>#DIV/0!</v>
      </c>
      <c r="J95" s="24" t="e">
        <f>#REF!</f>
        <v>#REF!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mergeCells count="4">
    <mergeCell ref="B1:H1"/>
    <mergeCell ref="B42:H42"/>
    <mergeCell ref="J75:J76"/>
    <mergeCell ref="B79:H79"/>
  </mergeCells>
  <conditionalFormatting sqref="B2:H2">
    <cfRule type="notContainsBlanks" dxfId="4" priority="1">
      <formula>LEN(TRIM(B2))&gt;0</formula>
    </cfRule>
  </conditionalFormatting>
  <conditionalFormatting sqref="B3:H5 B44:H45">
    <cfRule type="cellIs" dxfId="3" priority="2" operator="equal">
      <formula>"Active"</formula>
    </cfRule>
  </conditionalFormatting>
  <conditionalFormatting sqref="B3:H5 B44:H45">
    <cfRule type="cellIs" dxfId="2" priority="3" operator="equal">
      <formula>"Sold"</formula>
    </cfRule>
  </conditionalFormatting>
  <conditionalFormatting sqref="B3:H5 B44:H45">
    <cfRule type="cellIs" dxfId="1" priority="4" operator="equal">
      <formula>"Pending"</formula>
    </cfRule>
  </conditionalFormatting>
  <conditionalFormatting sqref="B3:H5 B44:H45">
    <cfRule type="cellIs" dxfId="0" priority="5" operator="equal">
      <formula>"Contingent"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1.21875" defaultRowHeight="15" customHeight="1"/>
  <cols>
    <col min="1" max="1" width="26.77734375" customWidth="1"/>
    <col min="2" max="2" width="12.44140625" customWidth="1"/>
    <col min="3" max="6" width="11.44140625" customWidth="1"/>
    <col min="7" max="7" width="12.6640625" customWidth="1"/>
    <col min="8" max="8" width="15.6640625" customWidth="1"/>
    <col min="9" max="9" width="17" customWidth="1"/>
    <col min="10" max="26" width="10.77734375" customWidth="1"/>
  </cols>
  <sheetData>
    <row r="1" spans="1:26" ht="15.75" customHeight="1">
      <c r="A1" s="9" t="s">
        <v>64</v>
      </c>
      <c r="B1" s="2"/>
      <c r="C1" s="2"/>
      <c r="D1" s="2"/>
      <c r="E1" s="2"/>
      <c r="F1" s="2"/>
      <c r="G1" s="2"/>
      <c r="H1" s="3" t="s">
        <v>65</v>
      </c>
      <c r="I1" s="3" t="s">
        <v>66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9"/>
    </row>
    <row r="2" spans="1:26" ht="15.75" customHeight="1">
      <c r="A2" s="2" t="s">
        <v>67</v>
      </c>
      <c r="B2" s="81">
        <v>2750</v>
      </c>
      <c r="C2" s="2"/>
      <c r="D2" s="2"/>
      <c r="E2" s="2"/>
      <c r="F2" s="2"/>
      <c r="G2" s="82" t="s">
        <v>68</v>
      </c>
      <c r="H2" s="83">
        <f>IRR(B39:I39)</f>
        <v>6.0118015279603254E-2</v>
      </c>
      <c r="I2" s="83">
        <f>IRR(B48:I48)</f>
        <v>0.14112165339621763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69</v>
      </c>
      <c r="B3" s="84">
        <v>0</v>
      </c>
      <c r="C3" s="2" t="s">
        <v>70</v>
      </c>
      <c r="D3" s="2"/>
      <c r="E3" s="2"/>
      <c r="F3" s="2"/>
      <c r="G3" s="82" t="s">
        <v>71</v>
      </c>
      <c r="H3" s="83">
        <f>-AVERAGE(C39:H39)/B39</f>
        <v>4.7523041399837693E-2</v>
      </c>
      <c r="I3" s="83">
        <f>-AVERAGE(C48:H48)/B48</f>
        <v>3.5245270809052251E-2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72</v>
      </c>
      <c r="B4" s="85">
        <f>0.7%*B9</f>
        <v>3849.9999999999995</v>
      </c>
      <c r="C4" s="2"/>
      <c r="D4" s="2"/>
      <c r="E4" s="2"/>
      <c r="F4" s="2"/>
      <c r="G4" s="82" t="s">
        <v>73</v>
      </c>
      <c r="H4" s="86">
        <f>SUM(C39:I39)/(-B39)</f>
        <v>1.440453441838373</v>
      </c>
      <c r="I4" s="86">
        <f>SUM(C48:I48)/-B48</f>
        <v>2.4168341767551271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74</v>
      </c>
      <c r="B5" s="81">
        <v>250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76</v>
      </c>
      <c r="B6" s="87">
        <v>200</v>
      </c>
      <c r="C6" s="2" t="s">
        <v>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78</v>
      </c>
      <c r="B7" s="88">
        <v>150</v>
      </c>
      <c r="C7" s="2" t="s">
        <v>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89"/>
      <c r="C8" s="2"/>
      <c r="D8" s="2"/>
      <c r="E8" s="2"/>
      <c r="F8" s="2"/>
      <c r="G8" s="1" t="s">
        <v>79</v>
      </c>
      <c r="H8" s="90" t="s">
        <v>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81</v>
      </c>
      <c r="B9" s="81">
        <v>550000</v>
      </c>
      <c r="C9" s="2"/>
      <c r="D9" s="2"/>
      <c r="E9" s="2"/>
      <c r="F9" s="2"/>
      <c r="G9" s="1" t="s">
        <v>82</v>
      </c>
      <c r="H9" s="90" t="s">
        <v>83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84</v>
      </c>
      <c r="B10" s="81">
        <v>2000</v>
      </c>
      <c r="C10" s="2"/>
      <c r="D10" s="2"/>
      <c r="E10" s="2"/>
      <c r="F10" s="2"/>
      <c r="G10" s="1" t="s">
        <v>85</v>
      </c>
      <c r="H10" s="90" t="s">
        <v>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8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87</v>
      </c>
      <c r="B12" s="91">
        <v>0.2</v>
      </c>
      <c r="C12" s="61">
        <f>B12*(B9+B10+B17)</f>
        <v>110900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88</v>
      </c>
      <c r="B13" s="61">
        <f>SUM(B9,B10,B17,B18)-C12</f>
        <v>443600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89</v>
      </c>
      <c r="B14" s="92">
        <v>0.03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90</v>
      </c>
      <c r="B15" s="93">
        <v>30</v>
      </c>
      <c r="C15" s="2" t="s">
        <v>91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8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92</v>
      </c>
      <c r="B17" s="94">
        <v>2500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93</v>
      </c>
      <c r="B18" s="94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89"/>
      <c r="C19" s="2"/>
      <c r="D19" s="2"/>
      <c r="E19" s="2"/>
      <c r="F19" s="2"/>
      <c r="G19" s="2" t="s">
        <v>94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95</v>
      </c>
      <c r="B20" s="91">
        <v>0.03</v>
      </c>
      <c r="C20" s="2" t="s">
        <v>96</v>
      </c>
      <c r="D20" s="2"/>
      <c r="E20" s="2"/>
      <c r="F20" s="2"/>
      <c r="G20" s="2" t="s">
        <v>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8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98</v>
      </c>
      <c r="B22" s="87">
        <v>650000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 t="s">
        <v>99</v>
      </c>
      <c r="B23" s="91">
        <v>0.06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5" t="s">
        <v>100</v>
      </c>
      <c r="B26" s="95" t="s">
        <v>101</v>
      </c>
      <c r="C26" s="95">
        <v>1</v>
      </c>
      <c r="D26" s="95">
        <v>2</v>
      </c>
      <c r="E26" s="95">
        <v>3</v>
      </c>
      <c r="F26" s="95">
        <v>4</v>
      </c>
      <c r="G26" s="95">
        <v>5</v>
      </c>
      <c r="H26" s="95">
        <v>6</v>
      </c>
      <c r="I26" s="95">
        <v>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102</v>
      </c>
      <c r="B27" s="9"/>
      <c r="C27" s="96">
        <f>B2*12</f>
        <v>33000</v>
      </c>
      <c r="D27" s="96">
        <f t="shared" ref="D27:I27" si="0">C27*(1+$B$20)</f>
        <v>33990</v>
      </c>
      <c r="E27" s="96">
        <f t="shared" si="0"/>
        <v>35009.700000000004</v>
      </c>
      <c r="F27" s="96">
        <f t="shared" si="0"/>
        <v>36059.991000000002</v>
      </c>
      <c r="G27" s="96">
        <f t="shared" si="0"/>
        <v>37141.790730000001</v>
      </c>
      <c r="H27" s="96">
        <f t="shared" si="0"/>
        <v>38256.044451900001</v>
      </c>
      <c r="I27" s="96">
        <f t="shared" si="0"/>
        <v>39403.725785457005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6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 t="s">
        <v>69</v>
      </c>
      <c r="B29" s="2"/>
      <c r="C29" s="97">
        <f t="shared" ref="C29:I29" si="1">-($B$3/52)*C27</f>
        <v>0</v>
      </c>
      <c r="D29" s="97">
        <f t="shared" si="1"/>
        <v>0</v>
      </c>
      <c r="E29" s="97">
        <f t="shared" si="1"/>
        <v>0</v>
      </c>
      <c r="F29" s="97">
        <f t="shared" si="1"/>
        <v>0</v>
      </c>
      <c r="G29" s="97">
        <f t="shared" si="1"/>
        <v>0</v>
      </c>
      <c r="H29" s="97">
        <f t="shared" si="1"/>
        <v>0</v>
      </c>
      <c r="I29" s="97">
        <f t="shared" si="1"/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 t="s">
        <v>72</v>
      </c>
      <c r="B30" s="2"/>
      <c r="C30" s="97">
        <f>-B4</f>
        <v>-3849.9999999999995</v>
      </c>
      <c r="D30" s="97">
        <f t="shared" ref="D30:I30" si="2">C30</f>
        <v>-3849.9999999999995</v>
      </c>
      <c r="E30" s="97">
        <f t="shared" si="2"/>
        <v>-3849.9999999999995</v>
      </c>
      <c r="F30" s="97">
        <f t="shared" si="2"/>
        <v>-3849.9999999999995</v>
      </c>
      <c r="G30" s="97">
        <f t="shared" si="2"/>
        <v>-3849.9999999999995</v>
      </c>
      <c r="H30" s="97">
        <f t="shared" si="2"/>
        <v>-3849.9999999999995</v>
      </c>
      <c r="I30" s="97">
        <f t="shared" si="2"/>
        <v>-3849.9999999999995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74</v>
      </c>
      <c r="B31" s="2"/>
      <c r="C31" s="97">
        <f>-B5*12</f>
        <v>-3000</v>
      </c>
      <c r="D31" s="97">
        <f t="shared" ref="D31:I31" si="3">C31*(1+$B$20)</f>
        <v>-3090</v>
      </c>
      <c r="E31" s="97">
        <f t="shared" si="3"/>
        <v>-3182.7000000000003</v>
      </c>
      <c r="F31" s="97">
        <f t="shared" si="3"/>
        <v>-3278.1810000000005</v>
      </c>
      <c r="G31" s="97">
        <f t="shared" si="3"/>
        <v>-3376.5264300000008</v>
      </c>
      <c r="H31" s="97">
        <f t="shared" si="3"/>
        <v>-3477.8222229000007</v>
      </c>
      <c r="I31" s="97">
        <f t="shared" si="3"/>
        <v>-3582.1568895870009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 t="s">
        <v>76</v>
      </c>
      <c r="B32" s="2"/>
      <c r="C32" s="97">
        <f>-B6</f>
        <v>-200</v>
      </c>
      <c r="D32" s="97">
        <f t="shared" ref="D32:I32" si="4">C32</f>
        <v>-200</v>
      </c>
      <c r="E32" s="97">
        <f t="shared" si="4"/>
        <v>-200</v>
      </c>
      <c r="F32" s="97">
        <f t="shared" si="4"/>
        <v>-200</v>
      </c>
      <c r="G32" s="97">
        <f t="shared" si="4"/>
        <v>-200</v>
      </c>
      <c r="H32" s="97">
        <f t="shared" si="4"/>
        <v>-200</v>
      </c>
      <c r="I32" s="97">
        <f t="shared" si="4"/>
        <v>-200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 t="s">
        <v>103</v>
      </c>
      <c r="B33" s="2"/>
      <c r="C33" s="97">
        <f>-B7*12</f>
        <v>-1800</v>
      </c>
      <c r="D33" s="97">
        <f t="shared" ref="D33:I33" si="5">C33*(1+$B$20)</f>
        <v>-1854</v>
      </c>
      <c r="E33" s="97">
        <f t="shared" si="5"/>
        <v>-1909.6200000000001</v>
      </c>
      <c r="F33" s="97">
        <f t="shared" si="5"/>
        <v>-1966.9086000000002</v>
      </c>
      <c r="G33" s="97">
        <f t="shared" si="5"/>
        <v>-2025.9158580000003</v>
      </c>
      <c r="H33" s="97">
        <f t="shared" si="5"/>
        <v>-2086.6933337400005</v>
      </c>
      <c r="I33" s="97">
        <f t="shared" si="5"/>
        <v>-2149.2941337522007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9" t="s">
        <v>104</v>
      </c>
      <c r="B35" s="9"/>
      <c r="C35" s="96">
        <f t="shared" ref="C35:I35" si="6">C27+SUM(C29:C33)</f>
        <v>24150</v>
      </c>
      <c r="D35" s="96">
        <f t="shared" si="6"/>
        <v>24996</v>
      </c>
      <c r="E35" s="96">
        <f t="shared" si="6"/>
        <v>25867.380000000005</v>
      </c>
      <c r="F35" s="96">
        <f t="shared" si="6"/>
        <v>26764.901400000002</v>
      </c>
      <c r="G35" s="96">
        <f t="shared" si="6"/>
        <v>27689.348442000002</v>
      </c>
      <c r="H35" s="96">
        <f t="shared" si="6"/>
        <v>28641.528895260002</v>
      </c>
      <c r="I35" s="96">
        <f t="shared" si="6"/>
        <v>29622.274762117806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 t="s">
        <v>105</v>
      </c>
      <c r="B36" s="2"/>
      <c r="C36" s="61">
        <v>0</v>
      </c>
      <c r="D36" s="61">
        <v>0</v>
      </c>
      <c r="E36" s="61">
        <v>0</v>
      </c>
      <c r="F36" s="61">
        <v>0</v>
      </c>
      <c r="G36" s="61">
        <v>0</v>
      </c>
      <c r="H36" s="61">
        <v>0</v>
      </c>
      <c r="I36" s="61">
        <f>B22*(1-B23)</f>
        <v>611000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 t="s">
        <v>106</v>
      </c>
      <c r="B37" s="97">
        <f>-B17</f>
        <v>-2500</v>
      </c>
      <c r="C37" s="97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f>-B18</f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61"/>
      <c r="C38" s="61"/>
      <c r="D38" s="61"/>
      <c r="E38" s="61"/>
      <c r="F38" s="61"/>
      <c r="G38" s="61"/>
      <c r="H38" s="61"/>
      <c r="I38" s="6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98" t="s">
        <v>107</v>
      </c>
      <c r="B39" s="99">
        <f>-SUM(B9,B10)+B37</f>
        <v>-554500</v>
      </c>
      <c r="C39" s="99">
        <f t="shared" ref="C39:H39" si="7">C35</f>
        <v>24150</v>
      </c>
      <c r="D39" s="99">
        <f t="shared" si="7"/>
        <v>24996</v>
      </c>
      <c r="E39" s="99">
        <f t="shared" si="7"/>
        <v>25867.380000000005</v>
      </c>
      <c r="F39" s="99">
        <f t="shared" si="7"/>
        <v>26764.901400000002</v>
      </c>
      <c r="G39" s="99">
        <f t="shared" si="7"/>
        <v>27689.348442000002</v>
      </c>
      <c r="H39" s="99">
        <f t="shared" si="7"/>
        <v>28641.528895260002</v>
      </c>
      <c r="I39" s="99">
        <f>I35+I36+I37</f>
        <v>640622.27476211777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 t="s">
        <v>108</v>
      </c>
      <c r="B41" s="2"/>
      <c r="C41" s="97">
        <f>PMT($B$14/12,$B15*12,$B$13)*12</f>
        <v>-22442.825923486107</v>
      </c>
      <c r="D41" s="97">
        <f t="shared" ref="D41:I41" si="8">C41</f>
        <v>-22442.825923486107</v>
      </c>
      <c r="E41" s="97">
        <f t="shared" si="8"/>
        <v>-22442.825923486107</v>
      </c>
      <c r="F41" s="97">
        <f t="shared" si="8"/>
        <v>-22442.825923486107</v>
      </c>
      <c r="G41" s="97">
        <f t="shared" si="8"/>
        <v>-22442.825923486107</v>
      </c>
      <c r="H41" s="97">
        <f t="shared" si="8"/>
        <v>-22442.825923486107</v>
      </c>
      <c r="I41" s="97">
        <f t="shared" si="8"/>
        <v>-22442.825923486107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 t="s">
        <v>109</v>
      </c>
      <c r="B42" s="2"/>
      <c r="C42" s="97">
        <f t="shared" ref="C42:I42" si="9">-B46*$B$14</f>
        <v>-13308</v>
      </c>
      <c r="D42" s="97">
        <f t="shared" si="9"/>
        <v>-13033.955222295417</v>
      </c>
      <c r="E42" s="97">
        <f t="shared" si="9"/>
        <v>-12751.689101259697</v>
      </c>
      <c r="F42" s="97">
        <f t="shared" si="9"/>
        <v>-12460.954996592905</v>
      </c>
      <c r="G42" s="97">
        <f t="shared" si="9"/>
        <v>-12161.49886878611</v>
      </c>
      <c r="H42" s="97">
        <f t="shared" si="9"/>
        <v>-11853.059057145108</v>
      </c>
      <c r="I42" s="97">
        <f t="shared" si="9"/>
        <v>-11535.366051154879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 t="s">
        <v>110</v>
      </c>
      <c r="B43" s="2"/>
      <c r="C43" s="97">
        <f t="shared" ref="C43:I43" si="10">C41-C42</f>
        <v>-9134.8259234861071</v>
      </c>
      <c r="D43" s="97">
        <f t="shared" si="10"/>
        <v>-9408.8707011906899</v>
      </c>
      <c r="E43" s="97">
        <f t="shared" si="10"/>
        <v>-9691.13682222641</v>
      </c>
      <c r="F43" s="97">
        <f t="shared" si="10"/>
        <v>-9981.8709268932016</v>
      </c>
      <c r="G43" s="97">
        <f t="shared" si="10"/>
        <v>-10281.327054699997</v>
      </c>
      <c r="H43" s="97">
        <f t="shared" si="10"/>
        <v>-10589.766866340999</v>
      </c>
      <c r="I43" s="97">
        <f t="shared" si="10"/>
        <v>-10907.459872331228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 t="s">
        <v>111</v>
      </c>
      <c r="B44" s="5" t="s">
        <v>112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f>(H46+I43)</f>
        <v>373604.74183283141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 t="s">
        <v>113</v>
      </c>
      <c r="B46" s="61">
        <f>B13</f>
        <v>443600</v>
      </c>
      <c r="C46" s="61">
        <f t="shared" ref="C46:H46" si="11">B46+C43</f>
        <v>434465.17407651391</v>
      </c>
      <c r="D46" s="61">
        <f t="shared" si="11"/>
        <v>425056.30337532324</v>
      </c>
      <c r="E46" s="61">
        <f t="shared" si="11"/>
        <v>415365.16655309685</v>
      </c>
      <c r="F46" s="61">
        <f t="shared" si="11"/>
        <v>405383.29562620365</v>
      </c>
      <c r="G46" s="61">
        <f t="shared" si="11"/>
        <v>395101.96857150365</v>
      </c>
      <c r="H46" s="61">
        <f t="shared" si="11"/>
        <v>384512.20170516265</v>
      </c>
      <c r="I46" s="61">
        <f>H46+I43-I44</f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8" t="s">
        <v>114</v>
      </c>
      <c r="B48" s="99">
        <f>-C12</f>
        <v>-110900</v>
      </c>
      <c r="C48" s="99">
        <f t="shared" ref="C48:H48" si="12">C39+C41</f>
        <v>1707.1740765138929</v>
      </c>
      <c r="D48" s="99">
        <f t="shared" si="12"/>
        <v>2553.1740765138929</v>
      </c>
      <c r="E48" s="99">
        <f t="shared" si="12"/>
        <v>3424.5540765138976</v>
      </c>
      <c r="F48" s="99">
        <f t="shared" si="12"/>
        <v>4322.0754765138954</v>
      </c>
      <c r="G48" s="99">
        <f t="shared" si="12"/>
        <v>5246.5225185138952</v>
      </c>
      <c r="H48" s="99">
        <f t="shared" si="12"/>
        <v>6198.7029717738951</v>
      </c>
      <c r="I48" s="99">
        <f>I39+I41-I44</f>
        <v>244574.70700580021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9"/>
  <sheetViews>
    <sheetView tabSelected="1" topLeftCell="M1" workbookViewId="0">
      <pane ySplit="1" topLeftCell="A2" activePane="bottomLeft" state="frozen"/>
      <selection pane="bottomLeft" activeCell="W8" sqref="W8"/>
    </sheetView>
  </sheetViews>
  <sheetFormatPr defaultColWidth="11.21875" defaultRowHeight="15" customHeight="1"/>
  <cols>
    <col min="1" max="1" width="9" customWidth="1"/>
    <col min="2" max="2" width="22.6640625" customWidth="1"/>
    <col min="15" max="15" width="16.77734375" customWidth="1"/>
    <col min="19" max="20" width="11.21875" hidden="1"/>
    <col min="21" max="21" width="22.5546875" customWidth="1"/>
    <col min="22" max="22" width="11.21875" hidden="1"/>
    <col min="23" max="23" width="18.21875" customWidth="1"/>
    <col min="24" max="27" width="11.21875" hidden="1"/>
    <col min="28" max="28" width="40.44140625" customWidth="1"/>
    <col min="29" max="29" width="12.44140625" customWidth="1"/>
    <col min="30" max="30" width="45.5546875" customWidth="1"/>
    <col min="31" max="31" width="14.109375" customWidth="1"/>
    <col min="32" max="32" width="12.44140625" customWidth="1"/>
    <col min="37" max="37" width="12.33203125" customWidth="1"/>
    <col min="38" max="38" width="10.109375" customWidth="1"/>
    <col min="39" max="39" width="16.77734375" customWidth="1"/>
  </cols>
  <sheetData>
    <row r="1" spans="1:39">
      <c r="A1" s="100" t="s">
        <v>115</v>
      </c>
      <c r="B1" s="101" t="s">
        <v>116</v>
      </c>
      <c r="C1" s="100" t="s">
        <v>117</v>
      </c>
      <c r="D1" s="100" t="s">
        <v>118</v>
      </c>
      <c r="E1" s="100" t="s">
        <v>119</v>
      </c>
      <c r="F1" s="100" t="s">
        <v>120</v>
      </c>
      <c r="G1" s="100" t="s">
        <v>121</v>
      </c>
      <c r="H1" s="100" t="s">
        <v>122</v>
      </c>
      <c r="I1" s="100" t="s">
        <v>123</v>
      </c>
      <c r="J1" s="100" t="s">
        <v>124</v>
      </c>
      <c r="K1" s="100" t="s">
        <v>125</v>
      </c>
      <c r="L1" s="100" t="s">
        <v>126</v>
      </c>
      <c r="M1" s="100" t="s">
        <v>127</v>
      </c>
      <c r="N1" s="100" t="s">
        <v>128</v>
      </c>
      <c r="O1" s="101" t="s">
        <v>129</v>
      </c>
      <c r="P1" s="100" t="s">
        <v>130</v>
      </c>
      <c r="Q1" s="100" t="s">
        <v>131</v>
      </c>
      <c r="R1" s="101" t="s">
        <v>132</v>
      </c>
      <c r="S1" s="100" t="s">
        <v>133</v>
      </c>
      <c r="T1" s="100" t="s">
        <v>134</v>
      </c>
      <c r="U1" s="5" t="s">
        <v>336</v>
      </c>
      <c r="V1" s="100" t="s">
        <v>136</v>
      </c>
      <c r="W1" s="100" t="s">
        <v>15</v>
      </c>
      <c r="X1" s="100" t="s">
        <v>137</v>
      </c>
      <c r="Y1" s="100" t="s">
        <v>138</v>
      </c>
      <c r="Z1" s="100" t="s">
        <v>139</v>
      </c>
      <c r="AA1" s="100" t="s">
        <v>140</v>
      </c>
      <c r="AB1" s="102" t="s">
        <v>141</v>
      </c>
      <c r="AC1" s="102" t="s">
        <v>142</v>
      </c>
      <c r="AD1" s="102" t="s">
        <v>143</v>
      </c>
      <c r="AE1" s="102" t="s">
        <v>144</v>
      </c>
      <c r="AF1" s="102" t="s">
        <v>145</v>
      </c>
      <c r="AG1" s="103" t="s">
        <v>10</v>
      </c>
      <c r="AH1" s="103" t="s">
        <v>11</v>
      </c>
      <c r="AI1" s="103" t="s">
        <v>146</v>
      </c>
      <c r="AJ1" s="103" t="s">
        <v>147</v>
      </c>
      <c r="AK1" s="103" t="s">
        <v>148</v>
      </c>
      <c r="AL1" s="103" t="s">
        <v>149</v>
      </c>
      <c r="AM1" s="103" t="s">
        <v>150</v>
      </c>
    </row>
    <row r="2" spans="1:39">
      <c r="A2" s="100" t="s">
        <v>151</v>
      </c>
      <c r="B2" s="100" t="s">
        <v>152</v>
      </c>
      <c r="C2" s="100" t="s">
        <v>153</v>
      </c>
      <c r="D2" s="100" t="s">
        <v>154</v>
      </c>
      <c r="E2" s="100" t="s">
        <v>155</v>
      </c>
      <c r="F2" s="100" t="s">
        <v>156</v>
      </c>
      <c r="G2" s="100">
        <v>1730</v>
      </c>
      <c r="H2" s="100">
        <v>386500</v>
      </c>
      <c r="I2" s="100">
        <v>4</v>
      </c>
      <c r="J2" s="100">
        <v>2</v>
      </c>
      <c r="K2" s="100" t="s">
        <v>155</v>
      </c>
      <c r="L2" s="100">
        <v>1900</v>
      </c>
      <c r="M2" s="100">
        <v>22174</v>
      </c>
      <c r="N2" s="100">
        <v>1960</v>
      </c>
      <c r="O2" s="100">
        <v>4303</v>
      </c>
      <c r="P2" s="100">
        <v>203</v>
      </c>
      <c r="R2" s="100" t="s">
        <v>157</v>
      </c>
      <c r="U2" s="104" t="s">
        <v>158</v>
      </c>
      <c r="V2" s="100" t="s">
        <v>159</v>
      </c>
      <c r="W2" s="100">
        <v>70820179</v>
      </c>
      <c r="X2" s="100" t="s">
        <v>160</v>
      </c>
      <c r="Y2" s="100" t="s">
        <v>160</v>
      </c>
      <c r="Z2" s="100">
        <v>42.484992300000002</v>
      </c>
      <c r="AA2" s="100">
        <v>-71.3145411</v>
      </c>
      <c r="AB2" s="105" t="e">
        <f ca="1">AB3 IMPORTFROMWEB_getMeta(U2,"//*[@class='inline-block SearchButton clickable float-right']/span[@class='value']")</f>
        <v>#NAME?</v>
      </c>
      <c r="AC2" s="105" t="e">
        <f t="shared" ref="AC2:AC57" ca="1" si="0">IF(COUNTIF(AB2,"#*"),R2,AB2)</f>
        <v>#NAME?</v>
      </c>
      <c r="AD2" s="106" t="e">
        <f ca="1">'Research Analysis'!B20 IMPORTXML(U3,"/*[@id='overview-scroll']")</f>
        <v>#NAME?</v>
      </c>
      <c r="AE2" s="107"/>
      <c r="AF2" s="107"/>
      <c r="AH2" s="6"/>
      <c r="AI2" s="6"/>
      <c r="AJ2" s="6"/>
      <c r="AK2" s="6"/>
      <c r="AL2" s="6"/>
      <c r="AM2" s="6"/>
    </row>
    <row r="3" spans="1:39">
      <c r="A3" s="100" t="s">
        <v>151</v>
      </c>
      <c r="B3" s="100" t="s">
        <v>161</v>
      </c>
      <c r="C3" s="100" t="s">
        <v>162</v>
      </c>
      <c r="D3" s="100" t="s">
        <v>163</v>
      </c>
      <c r="E3" s="100" t="s">
        <v>164</v>
      </c>
      <c r="F3" s="100" t="s">
        <v>156</v>
      </c>
      <c r="G3" s="100">
        <v>2143</v>
      </c>
      <c r="H3" s="100">
        <v>1150000</v>
      </c>
      <c r="I3" s="100">
        <v>6</v>
      </c>
      <c r="J3" s="100">
        <v>2</v>
      </c>
      <c r="K3" s="100" t="s">
        <v>165</v>
      </c>
      <c r="L3" s="100">
        <v>2234</v>
      </c>
      <c r="M3" s="100">
        <v>3674</v>
      </c>
      <c r="N3" s="100">
        <v>1900</v>
      </c>
      <c r="O3" s="100">
        <v>270</v>
      </c>
      <c r="P3" s="100">
        <v>515</v>
      </c>
      <c r="R3" s="100" t="s">
        <v>157</v>
      </c>
      <c r="U3" s="108" t="s">
        <v>166</v>
      </c>
      <c r="V3" s="100" t="s">
        <v>159</v>
      </c>
      <c r="W3" s="100">
        <v>72562453</v>
      </c>
      <c r="X3" s="100" t="s">
        <v>160</v>
      </c>
      <c r="Y3" s="100" t="s">
        <v>160</v>
      </c>
      <c r="Z3" s="100">
        <v>42.377174599999996</v>
      </c>
      <c r="AA3" s="100">
        <v>-71.106114099999999</v>
      </c>
      <c r="AB3" s="105" t="str">
        <f ca="1">IFERROR(__xludf.DUMMYFUNCTION("IMPORTXML(U3,""/*[@id='overview-scroll']"")"),"#N/A")</f>
        <v>#N/A</v>
      </c>
      <c r="AC3" s="105" t="str">
        <f t="shared" ca="1" si="0"/>
        <v>Sold</v>
      </c>
      <c r="AD3" s="105"/>
      <c r="AE3" s="107"/>
      <c r="AF3" s="107"/>
    </row>
    <row r="4" spans="1:39">
      <c r="A4" s="100" t="s">
        <v>167</v>
      </c>
      <c r="C4" s="100" t="s">
        <v>153</v>
      </c>
      <c r="D4" s="100" t="s">
        <v>168</v>
      </c>
      <c r="E4" s="100" t="s">
        <v>169</v>
      </c>
      <c r="F4" s="100" t="s">
        <v>156</v>
      </c>
      <c r="G4" s="100">
        <v>2420</v>
      </c>
      <c r="H4" s="100">
        <v>789000</v>
      </c>
      <c r="I4" s="100">
        <v>3</v>
      </c>
      <c r="J4" s="100">
        <v>1.5</v>
      </c>
      <c r="K4" s="100" t="s">
        <v>169</v>
      </c>
      <c r="L4" s="100">
        <v>1941</v>
      </c>
      <c r="M4" s="100">
        <v>12078</v>
      </c>
      <c r="N4" s="100">
        <v>1951</v>
      </c>
      <c r="O4" s="100">
        <v>170</v>
      </c>
      <c r="P4" s="100">
        <v>406</v>
      </c>
      <c r="R4" s="100" t="s">
        <v>170</v>
      </c>
      <c r="U4" s="109" t="s">
        <v>171</v>
      </c>
      <c r="V4" s="100" t="s">
        <v>159</v>
      </c>
      <c r="W4" s="100">
        <v>72626342</v>
      </c>
      <c r="X4" s="100" t="s">
        <v>160</v>
      </c>
      <c r="Y4" s="100" t="s">
        <v>160</v>
      </c>
      <c r="Z4" s="100">
        <v>42.469179500000003</v>
      </c>
      <c r="AA4" s="100">
        <v>-71.243036099999998</v>
      </c>
      <c r="AB4" s="105" t="e">
        <f t="shared" ref="AB4:AB34" ca="1" si="1">IMPORTFROMWEB(U4,"//*[@id='overview-scroll']/div/div/div[2]/div[2]/span/span/span[2]/div[1]")</f>
        <v>#NAME?</v>
      </c>
      <c r="AC4" s="105" t="e">
        <f t="shared" ca="1" si="0"/>
        <v>#NAME?</v>
      </c>
      <c r="AD4" s="105"/>
      <c r="AE4" s="105"/>
      <c r="AF4" s="107"/>
    </row>
    <row r="5" spans="1:39">
      <c r="A5" s="100" t="s">
        <v>167</v>
      </c>
      <c r="C5" s="100" t="s">
        <v>153</v>
      </c>
      <c r="D5" s="100" t="s">
        <v>172</v>
      </c>
      <c r="E5" s="100" t="s">
        <v>173</v>
      </c>
      <c r="F5" s="100" t="s">
        <v>156</v>
      </c>
      <c r="G5" s="100">
        <v>1890</v>
      </c>
      <c r="H5" s="100">
        <v>699000</v>
      </c>
      <c r="I5" s="100">
        <v>3</v>
      </c>
      <c r="J5" s="100">
        <v>3.5</v>
      </c>
      <c r="K5" s="100" t="s">
        <v>174</v>
      </c>
      <c r="L5" s="100">
        <v>2323</v>
      </c>
      <c r="M5" s="110">
        <v>7105</v>
      </c>
      <c r="N5" s="100">
        <v>2004</v>
      </c>
      <c r="O5" s="100">
        <v>155</v>
      </c>
      <c r="P5" s="100">
        <v>322</v>
      </c>
      <c r="Q5" s="100"/>
      <c r="R5" s="100" t="s">
        <v>170</v>
      </c>
      <c r="U5" s="104" t="s">
        <v>175</v>
      </c>
      <c r="V5" s="100" t="s">
        <v>159</v>
      </c>
      <c r="W5" s="100">
        <v>72634926</v>
      </c>
      <c r="X5" s="100" t="s">
        <v>160</v>
      </c>
      <c r="Y5" s="100" t="s">
        <v>160</v>
      </c>
      <c r="Z5" s="100">
        <v>42.463328400000002</v>
      </c>
      <c r="AA5" s="100">
        <v>-71.141904100000005</v>
      </c>
      <c r="AB5" s="105" t="e">
        <f t="shared" ca="1" si="1"/>
        <v>#NAME?</v>
      </c>
      <c r="AC5" s="105" t="e">
        <f t="shared" ca="1" si="0"/>
        <v>#NAME?</v>
      </c>
      <c r="AD5" s="107"/>
      <c r="AE5" s="107"/>
      <c r="AF5" s="107"/>
      <c r="AG5" s="105" t="s">
        <v>176</v>
      </c>
      <c r="AH5" s="105" t="s">
        <v>177</v>
      </c>
      <c r="AI5" s="107"/>
      <c r="AJ5" s="107"/>
      <c r="AK5" s="107"/>
      <c r="AL5" s="107"/>
      <c r="AM5" s="107"/>
    </row>
    <row r="6" spans="1:39">
      <c r="A6" s="100" t="s">
        <v>167</v>
      </c>
      <c r="C6" s="100" t="s">
        <v>153</v>
      </c>
      <c r="D6" s="100" t="s">
        <v>178</v>
      </c>
      <c r="E6" s="100" t="s">
        <v>179</v>
      </c>
      <c r="F6" s="100" t="s">
        <v>156</v>
      </c>
      <c r="G6" s="100">
        <v>1803</v>
      </c>
      <c r="H6" s="100">
        <v>595000</v>
      </c>
      <c r="I6" s="100">
        <v>3</v>
      </c>
      <c r="J6" s="100">
        <v>2</v>
      </c>
      <c r="K6" s="100" t="s">
        <v>179</v>
      </c>
      <c r="L6" s="100">
        <v>1774</v>
      </c>
      <c r="M6" s="100">
        <v>23433</v>
      </c>
      <c r="N6" s="100">
        <v>1965</v>
      </c>
      <c r="O6" s="100">
        <v>139</v>
      </c>
      <c r="P6" s="100">
        <v>335</v>
      </c>
      <c r="R6" s="100" t="s">
        <v>170</v>
      </c>
      <c r="U6" s="108" t="s">
        <v>180</v>
      </c>
      <c r="V6" s="100" t="s">
        <v>159</v>
      </c>
      <c r="W6" s="100">
        <v>72640347</v>
      </c>
      <c r="X6" s="100" t="s">
        <v>160</v>
      </c>
      <c r="Y6" s="100" t="s">
        <v>160</v>
      </c>
      <c r="Z6" s="100">
        <v>42.490758</v>
      </c>
      <c r="AA6" s="100">
        <v>-71.205909399999996</v>
      </c>
      <c r="AB6" s="105" t="e">
        <f t="shared" ca="1" si="1"/>
        <v>#NAME?</v>
      </c>
      <c r="AC6" s="105" t="e">
        <f t="shared" ca="1" si="0"/>
        <v>#NAME?</v>
      </c>
      <c r="AD6" s="107"/>
      <c r="AE6" s="107"/>
      <c r="AF6" s="107"/>
      <c r="AG6" s="111" t="s">
        <v>181</v>
      </c>
    </row>
    <row r="7" spans="1:39">
      <c r="A7" s="100" t="s">
        <v>167</v>
      </c>
      <c r="C7" s="100" t="s">
        <v>182</v>
      </c>
      <c r="D7" s="100" t="s">
        <v>183</v>
      </c>
      <c r="E7" s="100" t="s">
        <v>155</v>
      </c>
      <c r="F7" s="100" t="s">
        <v>156</v>
      </c>
      <c r="G7" s="100">
        <v>1730</v>
      </c>
      <c r="H7" s="100">
        <v>699000</v>
      </c>
      <c r="I7" s="100">
        <v>3</v>
      </c>
      <c r="J7" s="100">
        <v>2.5</v>
      </c>
      <c r="K7" s="100" t="s">
        <v>155</v>
      </c>
      <c r="L7" s="100">
        <v>1711</v>
      </c>
      <c r="M7" s="100">
        <v>8965</v>
      </c>
      <c r="N7" s="100">
        <v>2019</v>
      </c>
      <c r="O7" s="100">
        <v>119</v>
      </c>
      <c r="P7" s="100">
        <v>409</v>
      </c>
      <c r="Q7" s="100">
        <v>200</v>
      </c>
      <c r="R7" s="100" t="s">
        <v>170</v>
      </c>
      <c r="U7" s="108" t="s">
        <v>184</v>
      </c>
      <c r="V7" s="100" t="s">
        <v>159</v>
      </c>
      <c r="W7" s="100">
        <v>72646469</v>
      </c>
      <c r="X7" s="100" t="s">
        <v>160</v>
      </c>
      <c r="Y7" s="100" t="s">
        <v>160</v>
      </c>
      <c r="Z7" s="100">
        <v>42.474353899999997</v>
      </c>
      <c r="AA7" s="100">
        <v>-71.2661181</v>
      </c>
      <c r="AB7" s="105" t="e">
        <f t="shared" ca="1" si="1"/>
        <v>#NAME?</v>
      </c>
      <c r="AC7" s="105" t="e">
        <f t="shared" ca="1" si="0"/>
        <v>#NAME?</v>
      </c>
      <c r="AD7" s="107"/>
      <c r="AE7" s="107"/>
      <c r="AF7" s="107"/>
    </row>
    <row r="8" spans="1:39">
      <c r="A8" s="100" t="s">
        <v>151</v>
      </c>
      <c r="B8" s="100" t="s">
        <v>185</v>
      </c>
      <c r="C8" s="100" t="s">
        <v>153</v>
      </c>
      <c r="D8" s="100" t="s">
        <v>186</v>
      </c>
      <c r="E8" s="100" t="s">
        <v>187</v>
      </c>
      <c r="F8" s="100" t="s">
        <v>156</v>
      </c>
      <c r="G8" s="100">
        <v>1810</v>
      </c>
      <c r="H8" s="100">
        <v>623500</v>
      </c>
      <c r="I8" s="100">
        <v>4</v>
      </c>
      <c r="J8" s="100">
        <v>2.5</v>
      </c>
      <c r="K8" s="100" t="s">
        <v>188</v>
      </c>
      <c r="L8" s="100">
        <v>2800</v>
      </c>
      <c r="M8" s="100">
        <v>30056</v>
      </c>
      <c r="N8" s="100">
        <v>1969</v>
      </c>
      <c r="O8" s="100">
        <v>38</v>
      </c>
      <c r="P8" s="100">
        <v>223</v>
      </c>
      <c r="R8" s="100" t="s">
        <v>157</v>
      </c>
      <c r="U8" s="108" t="s">
        <v>189</v>
      </c>
      <c r="V8" s="100" t="s">
        <v>159</v>
      </c>
      <c r="W8" s="100">
        <v>72649984</v>
      </c>
      <c r="X8" s="100" t="s">
        <v>160</v>
      </c>
      <c r="Y8" s="100" t="s">
        <v>160</v>
      </c>
      <c r="Z8" s="100">
        <v>42.646825200000002</v>
      </c>
      <c r="AA8" s="100">
        <v>-71.176808899999997</v>
      </c>
      <c r="AB8" s="105" t="e">
        <f t="shared" ca="1" si="1"/>
        <v>#NAME?</v>
      </c>
      <c r="AC8" s="105" t="e">
        <f t="shared" ca="1" si="0"/>
        <v>#NAME?</v>
      </c>
      <c r="AD8" s="107"/>
      <c r="AE8" s="107"/>
      <c r="AF8" s="107"/>
      <c r="AG8" s="111" t="s">
        <v>190</v>
      </c>
      <c r="AH8" s="6"/>
      <c r="AI8" s="6"/>
      <c r="AJ8" s="6"/>
      <c r="AK8" s="6"/>
      <c r="AL8" s="6"/>
      <c r="AM8" s="6"/>
    </row>
    <row r="9" spans="1:39">
      <c r="A9" s="100" t="s">
        <v>151</v>
      </c>
      <c r="B9" s="100" t="s">
        <v>191</v>
      </c>
      <c r="C9" s="100" t="s">
        <v>153</v>
      </c>
      <c r="D9" s="100" t="s">
        <v>192</v>
      </c>
      <c r="E9" s="100" t="s">
        <v>187</v>
      </c>
      <c r="F9" s="100" t="s">
        <v>156</v>
      </c>
      <c r="G9" s="100">
        <v>1810</v>
      </c>
      <c r="H9" s="100">
        <v>735000</v>
      </c>
      <c r="I9" s="100">
        <v>4</v>
      </c>
      <c r="J9" s="100">
        <v>2.5</v>
      </c>
      <c r="K9" s="100" t="s">
        <v>193</v>
      </c>
      <c r="L9" s="100">
        <v>2900</v>
      </c>
      <c r="M9" s="100">
        <v>17222</v>
      </c>
      <c r="N9" s="100">
        <v>1986</v>
      </c>
      <c r="O9" s="100">
        <v>69</v>
      </c>
      <c r="P9" s="100">
        <v>253</v>
      </c>
      <c r="R9" s="100" t="s">
        <v>157</v>
      </c>
      <c r="U9" s="108" t="s">
        <v>194</v>
      </c>
      <c r="V9" s="100" t="s">
        <v>159</v>
      </c>
      <c r="W9" s="100">
        <v>72652220</v>
      </c>
      <c r="X9" s="100" t="s">
        <v>160</v>
      </c>
      <c r="Y9" s="100" t="s">
        <v>160</v>
      </c>
      <c r="Z9" s="100">
        <v>42.659917999999998</v>
      </c>
      <c r="AA9" s="100">
        <v>-71.123336399999999</v>
      </c>
      <c r="AB9" s="105" t="e">
        <f t="shared" ca="1" si="1"/>
        <v>#NAME?</v>
      </c>
      <c r="AC9" s="105" t="e">
        <f t="shared" ca="1" si="0"/>
        <v>#NAME?</v>
      </c>
      <c r="AD9" s="107"/>
      <c r="AE9" s="107"/>
      <c r="AF9" s="107"/>
      <c r="AH9" s="6"/>
      <c r="AI9" s="6"/>
      <c r="AJ9" s="6"/>
      <c r="AK9" s="6"/>
      <c r="AL9" s="6"/>
      <c r="AM9" s="6"/>
    </row>
    <row r="10" spans="1:39">
      <c r="A10" s="100" t="s">
        <v>167</v>
      </c>
      <c r="C10" s="100" t="s">
        <v>182</v>
      </c>
      <c r="D10" s="100" t="s">
        <v>195</v>
      </c>
      <c r="E10" s="100" t="s">
        <v>155</v>
      </c>
      <c r="F10" s="100" t="s">
        <v>156</v>
      </c>
      <c r="G10" s="100">
        <v>1730</v>
      </c>
      <c r="H10" s="100">
        <v>685000</v>
      </c>
      <c r="I10" s="100">
        <v>3</v>
      </c>
      <c r="J10" s="100">
        <v>2.5</v>
      </c>
      <c r="K10" s="100" t="s">
        <v>155</v>
      </c>
      <c r="L10" s="100">
        <v>2376</v>
      </c>
      <c r="M10" s="100">
        <v>9626</v>
      </c>
      <c r="N10" s="100">
        <v>2019</v>
      </c>
      <c r="O10" s="100">
        <v>123</v>
      </c>
      <c r="P10" s="100">
        <v>288</v>
      </c>
      <c r="Q10" s="100">
        <v>150</v>
      </c>
      <c r="R10" s="100" t="s">
        <v>170</v>
      </c>
      <c r="U10" s="108" t="s">
        <v>196</v>
      </c>
      <c r="V10" s="100" t="s">
        <v>159</v>
      </c>
      <c r="W10" s="100">
        <v>72653229</v>
      </c>
      <c r="X10" s="100" t="s">
        <v>160</v>
      </c>
      <c r="Y10" s="100" t="s">
        <v>160</v>
      </c>
      <c r="Z10" s="100">
        <v>42.474226899999998</v>
      </c>
      <c r="AA10" s="100">
        <v>-71.271806799999993</v>
      </c>
      <c r="AB10" s="105" t="e">
        <f t="shared" ca="1" si="1"/>
        <v>#NAME?</v>
      </c>
      <c r="AC10" s="105" t="e">
        <f t="shared" ca="1" si="0"/>
        <v>#NAME?</v>
      </c>
      <c r="AD10" s="107"/>
      <c r="AE10" s="107"/>
      <c r="AF10" s="107"/>
      <c r="AH10" s="6"/>
      <c r="AI10" s="6"/>
      <c r="AJ10" s="6"/>
      <c r="AK10" s="6"/>
      <c r="AL10" s="6"/>
      <c r="AM10" s="6"/>
    </row>
    <row r="11" spans="1:39">
      <c r="A11" s="100" t="s">
        <v>167</v>
      </c>
      <c r="C11" s="100" t="s">
        <v>182</v>
      </c>
      <c r="D11" s="100" t="s">
        <v>197</v>
      </c>
      <c r="E11" s="100" t="s">
        <v>179</v>
      </c>
      <c r="F11" s="100" t="s">
        <v>156</v>
      </c>
      <c r="G11" s="100">
        <v>1803</v>
      </c>
      <c r="H11" s="100">
        <v>607500</v>
      </c>
      <c r="I11" s="100">
        <v>2</v>
      </c>
      <c r="J11" s="100">
        <v>2.5</v>
      </c>
      <c r="K11" s="100" t="s">
        <v>179</v>
      </c>
      <c r="L11" s="100">
        <v>2681</v>
      </c>
      <c r="N11" s="100">
        <v>1998</v>
      </c>
      <c r="O11" s="100">
        <v>110</v>
      </c>
      <c r="P11" s="100">
        <v>227</v>
      </c>
      <c r="Q11" s="100">
        <v>425</v>
      </c>
      <c r="R11" s="100" t="s">
        <v>198</v>
      </c>
      <c r="U11" s="108" t="s">
        <v>199</v>
      </c>
      <c r="V11" s="100" t="s">
        <v>159</v>
      </c>
      <c r="W11" s="100">
        <v>72659511</v>
      </c>
      <c r="X11" s="100" t="s">
        <v>160</v>
      </c>
      <c r="Y11" s="100" t="s">
        <v>160</v>
      </c>
      <c r="Z11" s="100">
        <v>42.497627000000001</v>
      </c>
      <c r="AA11" s="100">
        <v>-71.1715564</v>
      </c>
      <c r="AB11" s="105" t="e">
        <f t="shared" ca="1" si="1"/>
        <v>#NAME?</v>
      </c>
      <c r="AC11" s="105" t="e">
        <f t="shared" ca="1" si="0"/>
        <v>#NAME?</v>
      </c>
      <c r="AD11" s="107"/>
      <c r="AE11" s="107"/>
      <c r="AF11" s="107"/>
      <c r="AH11" s="6"/>
      <c r="AI11" s="6"/>
      <c r="AJ11" s="6"/>
      <c r="AK11" s="6"/>
      <c r="AL11" s="6"/>
      <c r="AM11" s="6"/>
    </row>
    <row r="12" spans="1:39">
      <c r="A12" s="100" t="s">
        <v>167</v>
      </c>
      <c r="C12" s="100" t="s">
        <v>153</v>
      </c>
      <c r="D12" s="100" t="s">
        <v>200</v>
      </c>
      <c r="E12" s="100" t="s">
        <v>179</v>
      </c>
      <c r="F12" s="100" t="s">
        <v>156</v>
      </c>
      <c r="G12" s="100">
        <v>1803</v>
      </c>
      <c r="H12" s="100">
        <v>849900</v>
      </c>
      <c r="I12" s="100">
        <v>4</v>
      </c>
      <c r="J12" s="100">
        <v>4</v>
      </c>
      <c r="K12" s="100" t="s">
        <v>179</v>
      </c>
      <c r="L12" s="100">
        <v>4062</v>
      </c>
      <c r="M12" s="100">
        <v>20096</v>
      </c>
      <c r="N12" s="100">
        <v>1987</v>
      </c>
      <c r="O12" s="100">
        <v>109</v>
      </c>
      <c r="P12" s="100">
        <v>209</v>
      </c>
      <c r="R12" s="100" t="s">
        <v>170</v>
      </c>
      <c r="U12" s="108" t="s">
        <v>201</v>
      </c>
      <c r="V12" s="100" t="s">
        <v>159</v>
      </c>
      <c r="W12" s="100">
        <v>72659610</v>
      </c>
      <c r="X12" s="100" t="s">
        <v>160</v>
      </c>
      <c r="Y12" s="100" t="s">
        <v>160</v>
      </c>
      <c r="Z12" s="100">
        <v>42.488011800000002</v>
      </c>
      <c r="AA12" s="100">
        <v>-71.210689700000003</v>
      </c>
      <c r="AB12" s="105" t="e">
        <f t="shared" ca="1" si="1"/>
        <v>#NAME?</v>
      </c>
      <c r="AC12" s="105" t="e">
        <f t="shared" ca="1" si="0"/>
        <v>#NAME?</v>
      </c>
      <c r="AD12" s="107"/>
      <c r="AE12" s="107"/>
      <c r="AF12" s="107"/>
      <c r="AH12" s="6"/>
      <c r="AI12" s="6"/>
      <c r="AJ12" s="6"/>
      <c r="AK12" s="6"/>
      <c r="AL12" s="6"/>
      <c r="AM12" s="6"/>
    </row>
    <row r="13" spans="1:39">
      <c r="A13" s="100" t="s">
        <v>167</v>
      </c>
      <c r="C13" s="100" t="s">
        <v>162</v>
      </c>
      <c r="D13" s="100" t="s">
        <v>202</v>
      </c>
      <c r="E13" s="100" t="s">
        <v>173</v>
      </c>
      <c r="F13" s="100" t="s">
        <v>156</v>
      </c>
      <c r="G13" s="100">
        <v>1890</v>
      </c>
      <c r="H13" s="100">
        <v>945000</v>
      </c>
      <c r="I13" s="100">
        <v>4</v>
      </c>
      <c r="J13" s="100">
        <v>2</v>
      </c>
      <c r="K13" s="100" t="s">
        <v>173</v>
      </c>
      <c r="L13" s="100">
        <v>2160</v>
      </c>
      <c r="M13" s="110">
        <v>5741</v>
      </c>
      <c r="N13" s="100">
        <v>1927</v>
      </c>
      <c r="O13" s="100">
        <v>78</v>
      </c>
      <c r="P13" s="100">
        <v>438</v>
      </c>
      <c r="Q13" s="100"/>
      <c r="R13" s="100" t="s">
        <v>170</v>
      </c>
      <c r="U13" s="108" t="s">
        <v>203</v>
      </c>
      <c r="V13" s="100" t="s">
        <v>159</v>
      </c>
      <c r="W13" s="100">
        <v>72665760</v>
      </c>
      <c r="X13" s="100" t="s">
        <v>160</v>
      </c>
      <c r="Y13" s="100" t="s">
        <v>160</v>
      </c>
      <c r="Z13" s="100">
        <v>42.4570893</v>
      </c>
      <c r="AA13" s="100">
        <v>-71.130717099999998</v>
      </c>
      <c r="AB13" s="105" t="e">
        <f t="shared" ca="1" si="1"/>
        <v>#NAME?</v>
      </c>
      <c r="AC13" s="105" t="e">
        <f t="shared" ca="1" si="0"/>
        <v>#NAME?</v>
      </c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</row>
    <row r="14" spans="1:39">
      <c r="A14" s="100" t="s">
        <v>167</v>
      </c>
      <c r="C14" s="100" t="s">
        <v>153</v>
      </c>
      <c r="D14" s="100" t="s">
        <v>204</v>
      </c>
      <c r="E14" s="100" t="s">
        <v>179</v>
      </c>
      <c r="F14" s="100" t="s">
        <v>156</v>
      </c>
      <c r="G14" s="100">
        <v>1803</v>
      </c>
      <c r="H14" s="100">
        <v>599900</v>
      </c>
      <c r="I14" s="100">
        <v>3</v>
      </c>
      <c r="J14" s="100">
        <v>1.5</v>
      </c>
      <c r="K14" s="100" t="s">
        <v>179</v>
      </c>
      <c r="L14" s="100">
        <v>1740</v>
      </c>
      <c r="M14" s="110">
        <v>21809</v>
      </c>
      <c r="N14" s="100">
        <v>1957</v>
      </c>
      <c r="O14" s="100">
        <v>78</v>
      </c>
      <c r="P14" s="100">
        <v>345</v>
      </c>
      <c r="Q14" s="100"/>
      <c r="R14" s="100" t="s">
        <v>170</v>
      </c>
      <c r="U14" s="108" t="s">
        <v>205</v>
      </c>
      <c r="V14" s="100" t="s">
        <v>159</v>
      </c>
      <c r="W14" s="100">
        <v>72666341</v>
      </c>
      <c r="X14" s="100" t="s">
        <v>160</v>
      </c>
      <c r="Y14" s="100" t="s">
        <v>160</v>
      </c>
      <c r="Z14" s="100">
        <v>42.503569599999999</v>
      </c>
      <c r="AA14" s="100">
        <v>-71.225122900000002</v>
      </c>
      <c r="AB14" s="105" t="e">
        <f t="shared" ca="1" si="1"/>
        <v>#NAME?</v>
      </c>
      <c r="AC14" s="105" t="e">
        <f t="shared" ca="1" si="0"/>
        <v>#NAME?</v>
      </c>
      <c r="AD14" s="107"/>
      <c r="AE14" s="107"/>
      <c r="AF14" s="107"/>
      <c r="AG14" s="111" t="s">
        <v>206</v>
      </c>
      <c r="AH14" s="111" t="s">
        <v>207</v>
      </c>
      <c r="AI14" s="107"/>
      <c r="AJ14" s="107"/>
      <c r="AK14" s="107"/>
      <c r="AL14" s="107"/>
      <c r="AM14" s="107"/>
    </row>
    <row r="15" spans="1:39">
      <c r="A15" s="100" t="s">
        <v>167</v>
      </c>
      <c r="C15" s="100" t="s">
        <v>162</v>
      </c>
      <c r="D15" s="100" t="s">
        <v>208</v>
      </c>
      <c r="E15" s="100" t="s">
        <v>209</v>
      </c>
      <c r="F15" s="100" t="s">
        <v>156</v>
      </c>
      <c r="G15" s="100">
        <v>2476</v>
      </c>
      <c r="H15" s="100">
        <v>809000</v>
      </c>
      <c r="I15" s="100">
        <v>4</v>
      </c>
      <c r="J15" s="100">
        <v>2</v>
      </c>
      <c r="K15" s="100" t="s">
        <v>209</v>
      </c>
      <c r="L15" s="100">
        <v>2496</v>
      </c>
      <c r="M15" s="110">
        <v>6098</v>
      </c>
      <c r="N15" s="100">
        <v>1966</v>
      </c>
      <c r="O15" s="100">
        <v>76</v>
      </c>
      <c r="P15" s="100">
        <v>324</v>
      </c>
      <c r="Q15" s="100"/>
      <c r="R15" s="100" t="s">
        <v>170</v>
      </c>
      <c r="S15" s="100" t="s">
        <v>210</v>
      </c>
      <c r="T15" s="100" t="s">
        <v>211</v>
      </c>
      <c r="U15" s="108" t="s">
        <v>212</v>
      </c>
      <c r="V15" s="100" t="s">
        <v>159</v>
      </c>
      <c r="W15" s="100">
        <v>72667970</v>
      </c>
      <c r="X15" s="100" t="s">
        <v>160</v>
      </c>
      <c r="Y15" s="100" t="s">
        <v>160</v>
      </c>
      <c r="Z15" s="100">
        <v>42.4323063</v>
      </c>
      <c r="AA15" s="100">
        <v>-71.185028700000004</v>
      </c>
      <c r="AB15" s="105" t="e">
        <f t="shared" ca="1" si="1"/>
        <v>#NAME?</v>
      </c>
      <c r="AC15" s="105" t="e">
        <f t="shared" ca="1" si="0"/>
        <v>#NAME?</v>
      </c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</row>
    <row r="16" spans="1:39">
      <c r="A16" s="100" t="s">
        <v>167</v>
      </c>
      <c r="C16" s="100" t="s">
        <v>182</v>
      </c>
      <c r="D16" s="100" t="s">
        <v>213</v>
      </c>
      <c r="E16" s="100" t="s">
        <v>187</v>
      </c>
      <c r="F16" s="100" t="s">
        <v>156</v>
      </c>
      <c r="G16" s="100">
        <v>1810</v>
      </c>
      <c r="H16" s="100">
        <v>405000</v>
      </c>
      <c r="I16" s="100">
        <v>2</v>
      </c>
      <c r="J16" s="100">
        <v>1.5</v>
      </c>
      <c r="K16" s="100" t="s">
        <v>187</v>
      </c>
      <c r="L16" s="100">
        <v>1855</v>
      </c>
      <c r="N16" s="100">
        <v>2004</v>
      </c>
      <c r="O16" s="100">
        <v>68</v>
      </c>
      <c r="P16" s="100">
        <v>218</v>
      </c>
      <c r="Q16" s="100">
        <v>323</v>
      </c>
      <c r="R16" s="100" t="s">
        <v>170</v>
      </c>
      <c r="U16" s="108" t="s">
        <v>214</v>
      </c>
      <c r="V16" s="100" t="s">
        <v>159</v>
      </c>
      <c r="W16" s="100">
        <v>72672923</v>
      </c>
      <c r="X16" s="100" t="s">
        <v>160</v>
      </c>
      <c r="Y16" s="100" t="s">
        <v>160</v>
      </c>
      <c r="Z16" s="100">
        <v>42.628115200000003</v>
      </c>
      <c r="AA16" s="100">
        <v>-71.158566899999997</v>
      </c>
      <c r="AB16" s="105" t="e">
        <f t="shared" ca="1" si="1"/>
        <v>#NAME?</v>
      </c>
      <c r="AC16" s="105" t="e">
        <f t="shared" ca="1" si="0"/>
        <v>#NAME?</v>
      </c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</row>
    <row r="17" spans="1:39">
      <c r="A17" s="100" t="s">
        <v>151</v>
      </c>
      <c r="B17" s="100" t="s">
        <v>215</v>
      </c>
      <c r="C17" s="100" t="s">
        <v>153</v>
      </c>
      <c r="D17" s="100" t="s">
        <v>216</v>
      </c>
      <c r="E17" s="100" t="s">
        <v>179</v>
      </c>
      <c r="F17" s="100" t="s">
        <v>156</v>
      </c>
      <c r="G17" s="100">
        <v>1803</v>
      </c>
      <c r="H17" s="100">
        <v>637500</v>
      </c>
      <c r="I17" s="100">
        <v>3</v>
      </c>
      <c r="J17" s="100">
        <v>1.5</v>
      </c>
      <c r="K17" s="100" t="s">
        <v>179</v>
      </c>
      <c r="L17" s="100">
        <v>2207</v>
      </c>
      <c r="M17" s="100">
        <v>30400</v>
      </c>
      <c r="N17" s="100">
        <v>1971</v>
      </c>
      <c r="O17" s="100">
        <v>18</v>
      </c>
      <c r="P17" s="100">
        <v>289</v>
      </c>
      <c r="R17" s="100" t="s">
        <v>157</v>
      </c>
      <c r="U17" s="108" t="s">
        <v>217</v>
      </c>
      <c r="V17" s="100" t="s">
        <v>159</v>
      </c>
      <c r="W17" s="100">
        <v>72686586</v>
      </c>
      <c r="X17" s="100" t="s">
        <v>160</v>
      </c>
      <c r="Y17" s="100" t="s">
        <v>160</v>
      </c>
      <c r="Z17" s="100">
        <v>42.518085300000003</v>
      </c>
      <c r="AA17" s="100">
        <v>-71.189294099999998</v>
      </c>
      <c r="AB17" s="105" t="e">
        <f t="shared" ca="1" si="1"/>
        <v>#NAME?</v>
      </c>
      <c r="AC17" s="105" t="e">
        <f t="shared" ca="1" si="0"/>
        <v>#NAME?</v>
      </c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</row>
    <row r="18" spans="1:39">
      <c r="A18" s="100" t="s">
        <v>167</v>
      </c>
      <c r="B18" s="100"/>
      <c r="C18" s="100" t="s">
        <v>153</v>
      </c>
      <c r="D18" s="100" t="s">
        <v>218</v>
      </c>
      <c r="E18" s="100" t="s">
        <v>187</v>
      </c>
      <c r="F18" s="100" t="s">
        <v>156</v>
      </c>
      <c r="G18" s="100">
        <v>1810</v>
      </c>
      <c r="H18" s="100">
        <v>599900</v>
      </c>
      <c r="I18" s="100">
        <v>3</v>
      </c>
      <c r="J18" s="100">
        <v>2</v>
      </c>
      <c r="K18" s="100" t="s">
        <v>219</v>
      </c>
      <c r="L18" s="100">
        <v>1839</v>
      </c>
      <c r="M18" s="100">
        <v>41480</v>
      </c>
      <c r="N18" s="100">
        <v>1971</v>
      </c>
      <c r="O18" s="100">
        <v>36</v>
      </c>
      <c r="P18" s="100">
        <v>326</v>
      </c>
      <c r="R18" s="100" t="s">
        <v>170</v>
      </c>
      <c r="U18" s="108" t="s">
        <v>220</v>
      </c>
      <c r="V18" s="100" t="s">
        <v>159</v>
      </c>
      <c r="W18" s="100">
        <v>72690700</v>
      </c>
      <c r="X18" s="100" t="s">
        <v>160</v>
      </c>
      <c r="Y18" s="100" t="s">
        <v>160</v>
      </c>
      <c r="Z18" s="100">
        <v>42.668335999999996</v>
      </c>
      <c r="AA18" s="100">
        <v>-71.1843279</v>
      </c>
      <c r="AB18" s="105" t="e">
        <f t="shared" ca="1" si="1"/>
        <v>#NAME?</v>
      </c>
      <c r="AC18" s="105" t="e">
        <f t="shared" ca="1" si="0"/>
        <v>#NAME?</v>
      </c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</row>
    <row r="19" spans="1:39">
      <c r="A19" s="100" t="s">
        <v>167</v>
      </c>
      <c r="C19" s="100" t="s">
        <v>162</v>
      </c>
      <c r="D19" s="100" t="s">
        <v>221</v>
      </c>
      <c r="E19" s="100" t="s">
        <v>173</v>
      </c>
      <c r="F19" s="100" t="s">
        <v>156</v>
      </c>
      <c r="G19" s="100">
        <v>1890</v>
      </c>
      <c r="H19" s="100">
        <v>874900</v>
      </c>
      <c r="I19" s="100">
        <v>4</v>
      </c>
      <c r="J19" s="100">
        <v>2</v>
      </c>
      <c r="K19" s="100" t="s">
        <v>173</v>
      </c>
      <c r="L19" s="100">
        <v>2322</v>
      </c>
      <c r="M19" s="110">
        <v>8834</v>
      </c>
      <c r="N19" s="100">
        <v>1920</v>
      </c>
      <c r="O19" s="100">
        <v>33</v>
      </c>
      <c r="P19" s="100">
        <v>377</v>
      </c>
      <c r="Q19" s="100"/>
      <c r="R19" s="100" t="s">
        <v>170</v>
      </c>
      <c r="U19" s="108" t="s">
        <v>222</v>
      </c>
      <c r="V19" s="100" t="s">
        <v>159</v>
      </c>
      <c r="W19" s="100">
        <v>72693787</v>
      </c>
      <c r="X19" s="100" t="s">
        <v>160</v>
      </c>
      <c r="Y19" s="100" t="s">
        <v>160</v>
      </c>
      <c r="Z19" s="100">
        <v>42.4363855</v>
      </c>
      <c r="AA19" s="100">
        <v>-71.1749437</v>
      </c>
      <c r="AB19" s="105" t="e">
        <f t="shared" ca="1" si="1"/>
        <v>#NAME?</v>
      </c>
      <c r="AC19" s="105" t="e">
        <f t="shared" ca="1" si="0"/>
        <v>#NAME?</v>
      </c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</row>
    <row r="20" spans="1:39">
      <c r="A20" s="100" t="s">
        <v>167</v>
      </c>
      <c r="C20" s="100" t="s">
        <v>153</v>
      </c>
      <c r="D20" s="100" t="s">
        <v>223</v>
      </c>
      <c r="E20" s="100" t="s">
        <v>155</v>
      </c>
      <c r="F20" s="100" t="s">
        <v>156</v>
      </c>
      <c r="G20" s="100">
        <v>1730</v>
      </c>
      <c r="H20" s="100">
        <v>788000</v>
      </c>
      <c r="I20" s="100">
        <v>4</v>
      </c>
      <c r="J20" s="100">
        <v>2.5</v>
      </c>
      <c r="K20" s="100" t="s">
        <v>155</v>
      </c>
      <c r="L20" s="100">
        <v>1900</v>
      </c>
      <c r="M20" s="100">
        <v>15100</v>
      </c>
      <c r="N20" s="100">
        <v>1965</v>
      </c>
      <c r="O20" s="100">
        <v>46</v>
      </c>
      <c r="P20" s="100">
        <v>415</v>
      </c>
      <c r="R20" s="100" t="s">
        <v>198</v>
      </c>
      <c r="U20" s="108" t="s">
        <v>224</v>
      </c>
      <c r="V20" s="100" t="s">
        <v>159</v>
      </c>
      <c r="W20" s="100">
        <v>72697269</v>
      </c>
      <c r="X20" s="100" t="s">
        <v>160</v>
      </c>
      <c r="Y20" s="100" t="s">
        <v>160</v>
      </c>
      <c r="Z20" s="100">
        <v>42.484005199999999</v>
      </c>
      <c r="AA20" s="100">
        <v>-71.280936400000002</v>
      </c>
      <c r="AB20" s="105" t="e">
        <f t="shared" ca="1" si="1"/>
        <v>#NAME?</v>
      </c>
      <c r="AC20" s="105" t="e">
        <f t="shared" ca="1" si="0"/>
        <v>#NAME?</v>
      </c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</row>
    <row r="21" spans="1:39">
      <c r="A21" s="100" t="s">
        <v>167</v>
      </c>
      <c r="C21" s="100" t="s">
        <v>153</v>
      </c>
      <c r="D21" s="100" t="s">
        <v>225</v>
      </c>
      <c r="E21" s="100" t="s">
        <v>226</v>
      </c>
      <c r="F21" s="100" t="s">
        <v>156</v>
      </c>
      <c r="G21" s="100">
        <v>1867</v>
      </c>
      <c r="H21" s="100">
        <v>699900</v>
      </c>
      <c r="I21" s="100">
        <v>3</v>
      </c>
      <c r="J21" s="100">
        <v>3.5</v>
      </c>
      <c r="K21" s="100" t="s">
        <v>227</v>
      </c>
      <c r="L21" s="100">
        <v>2100</v>
      </c>
      <c r="M21" s="110">
        <v>2614</v>
      </c>
      <c r="N21" s="100">
        <v>2020</v>
      </c>
      <c r="O21" s="100">
        <v>27</v>
      </c>
      <c r="P21" s="100">
        <v>333</v>
      </c>
      <c r="Q21" s="100"/>
      <c r="R21" s="100" t="s">
        <v>198</v>
      </c>
      <c r="U21" s="108" t="s">
        <v>228</v>
      </c>
      <c r="V21" s="100" t="s">
        <v>159</v>
      </c>
      <c r="W21" s="100">
        <v>72697449</v>
      </c>
      <c r="X21" s="100" t="s">
        <v>160</v>
      </c>
      <c r="Y21" s="100" t="s">
        <v>160</v>
      </c>
      <c r="Z21" s="100">
        <v>42.533359900000001</v>
      </c>
      <c r="AA21" s="100">
        <v>-71.109305599999999</v>
      </c>
      <c r="AB21" s="105" t="e">
        <f t="shared" ca="1" si="1"/>
        <v>#NAME?</v>
      </c>
      <c r="AC21" s="105" t="e">
        <f t="shared" ca="1" si="0"/>
        <v>#NAME?</v>
      </c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</row>
    <row r="22" spans="1:39">
      <c r="A22" s="100" t="s">
        <v>167</v>
      </c>
      <c r="C22" s="100" t="s">
        <v>153</v>
      </c>
      <c r="D22" s="100" t="s">
        <v>229</v>
      </c>
      <c r="E22" s="100" t="s">
        <v>179</v>
      </c>
      <c r="F22" s="100" t="s">
        <v>156</v>
      </c>
      <c r="G22" s="100">
        <v>1803</v>
      </c>
      <c r="H22" s="100">
        <v>549900</v>
      </c>
      <c r="I22" s="100">
        <v>3</v>
      </c>
      <c r="J22" s="100">
        <v>1.5</v>
      </c>
      <c r="K22" s="100" t="s">
        <v>179</v>
      </c>
      <c r="L22" s="100">
        <v>1404</v>
      </c>
      <c r="M22" s="110">
        <v>11500</v>
      </c>
      <c r="N22" s="100">
        <v>1956</v>
      </c>
      <c r="O22" s="100">
        <v>21</v>
      </c>
      <c r="P22" s="100">
        <v>392</v>
      </c>
      <c r="Q22" s="100"/>
      <c r="R22" s="100" t="s">
        <v>170</v>
      </c>
      <c r="U22" s="108" t="s">
        <v>230</v>
      </c>
      <c r="V22" s="100" t="s">
        <v>159</v>
      </c>
      <c r="W22" s="100">
        <v>72700083</v>
      </c>
      <c r="X22" s="100" t="s">
        <v>160</v>
      </c>
      <c r="Y22" s="100" t="s">
        <v>160</v>
      </c>
      <c r="Z22" s="100">
        <v>42.503324999999997</v>
      </c>
      <c r="AA22" s="100">
        <v>-71.178247799999994</v>
      </c>
      <c r="AB22" s="105" t="e">
        <f t="shared" ca="1" si="1"/>
        <v>#NAME?</v>
      </c>
      <c r="AC22" s="105" t="e">
        <f t="shared" ca="1" si="0"/>
        <v>#NAME?</v>
      </c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</row>
    <row r="23" spans="1:39">
      <c r="A23" s="100" t="s">
        <v>167</v>
      </c>
      <c r="C23" s="100" t="s">
        <v>182</v>
      </c>
      <c r="D23" s="100" t="s">
        <v>231</v>
      </c>
      <c r="E23" s="100" t="s">
        <v>173</v>
      </c>
      <c r="F23" s="100" t="s">
        <v>156</v>
      </c>
      <c r="G23" s="100">
        <v>1890</v>
      </c>
      <c r="H23" s="100">
        <v>789900</v>
      </c>
      <c r="I23" s="100">
        <v>4</v>
      </c>
      <c r="J23" s="100">
        <v>2.5</v>
      </c>
      <c r="K23" s="100" t="s">
        <v>173</v>
      </c>
      <c r="L23" s="100">
        <v>2120</v>
      </c>
      <c r="M23" s="100">
        <v>5092</v>
      </c>
      <c r="N23" s="100">
        <v>1920</v>
      </c>
      <c r="O23" s="100">
        <v>40</v>
      </c>
      <c r="P23" s="100">
        <v>373</v>
      </c>
      <c r="R23" s="100" t="s">
        <v>170</v>
      </c>
      <c r="U23" s="108" t="s">
        <v>232</v>
      </c>
      <c r="V23" s="100" t="s">
        <v>159</v>
      </c>
      <c r="W23" s="100">
        <v>72700170</v>
      </c>
      <c r="X23" s="100" t="s">
        <v>160</v>
      </c>
      <c r="Y23" s="100" t="s">
        <v>160</v>
      </c>
      <c r="Z23" s="100">
        <v>42.459823299999996</v>
      </c>
      <c r="AA23" s="100">
        <v>-71.140471700000006</v>
      </c>
      <c r="AB23" s="105" t="e">
        <f t="shared" ca="1" si="1"/>
        <v>#NAME?</v>
      </c>
      <c r="AC23" s="105" t="e">
        <f t="shared" ca="1" si="0"/>
        <v>#NAME?</v>
      </c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</row>
    <row r="24" spans="1:39">
      <c r="A24" s="100" t="s">
        <v>167</v>
      </c>
      <c r="C24" s="100" t="s">
        <v>153</v>
      </c>
      <c r="D24" s="100" t="s">
        <v>233</v>
      </c>
      <c r="E24" s="100" t="s">
        <v>169</v>
      </c>
      <c r="F24" s="100" t="s">
        <v>156</v>
      </c>
      <c r="G24" s="100">
        <v>2420</v>
      </c>
      <c r="H24" s="100">
        <v>859900</v>
      </c>
      <c r="I24" s="100">
        <v>3</v>
      </c>
      <c r="J24" s="100">
        <v>2</v>
      </c>
      <c r="K24" s="100" t="s">
        <v>169</v>
      </c>
      <c r="L24" s="100">
        <v>1759</v>
      </c>
      <c r="M24" s="100">
        <v>8594</v>
      </c>
      <c r="N24" s="100">
        <v>1964</v>
      </c>
      <c r="O24" s="100">
        <v>38</v>
      </c>
      <c r="P24" s="100">
        <v>489</v>
      </c>
      <c r="R24" s="100" t="s">
        <v>170</v>
      </c>
      <c r="U24" s="108" t="s">
        <v>234</v>
      </c>
      <c r="V24" s="100" t="s">
        <v>159</v>
      </c>
      <c r="W24" s="100">
        <v>72701484</v>
      </c>
      <c r="X24" s="100" t="s">
        <v>160</v>
      </c>
      <c r="Y24" s="100" t="s">
        <v>160</v>
      </c>
      <c r="Z24" s="100">
        <v>42.483711200000002</v>
      </c>
      <c r="AA24" s="100">
        <v>-71.247444599999994</v>
      </c>
      <c r="AB24" s="105" t="e">
        <f t="shared" ca="1" si="1"/>
        <v>#NAME?</v>
      </c>
      <c r="AC24" s="105" t="e">
        <f t="shared" ca="1" si="0"/>
        <v>#NAME?</v>
      </c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</row>
    <row r="25" spans="1:39">
      <c r="A25" s="100" t="s">
        <v>167</v>
      </c>
      <c r="C25" s="100" t="s">
        <v>153</v>
      </c>
      <c r="D25" s="100" t="s">
        <v>235</v>
      </c>
      <c r="E25" s="100" t="s">
        <v>155</v>
      </c>
      <c r="F25" s="100" t="s">
        <v>156</v>
      </c>
      <c r="G25" s="100">
        <v>1730</v>
      </c>
      <c r="H25" s="100">
        <v>719000</v>
      </c>
      <c r="I25" s="100">
        <v>5</v>
      </c>
      <c r="J25" s="100">
        <v>2</v>
      </c>
      <c r="K25" s="100" t="s">
        <v>155</v>
      </c>
      <c r="L25" s="100">
        <v>2578</v>
      </c>
      <c r="M25" s="100">
        <v>39988</v>
      </c>
      <c r="N25" s="100">
        <v>1978</v>
      </c>
      <c r="O25" s="100">
        <v>7</v>
      </c>
      <c r="P25" s="100">
        <v>279</v>
      </c>
      <c r="R25" s="100" t="s">
        <v>198</v>
      </c>
      <c r="U25" s="108" t="s">
        <v>236</v>
      </c>
      <c r="V25" s="100" t="s">
        <v>159</v>
      </c>
      <c r="W25" s="100">
        <v>72705833</v>
      </c>
      <c r="X25" s="100" t="s">
        <v>160</v>
      </c>
      <c r="Y25" s="100" t="s">
        <v>160</v>
      </c>
      <c r="Z25" s="100">
        <v>42.524418900000001</v>
      </c>
      <c r="AA25" s="100">
        <v>-71.286353700000006</v>
      </c>
      <c r="AB25" s="105" t="e">
        <f t="shared" ca="1" si="1"/>
        <v>#NAME?</v>
      </c>
      <c r="AC25" s="105" t="e">
        <f t="shared" ca="1" si="0"/>
        <v>#NAME?</v>
      </c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</row>
    <row r="26" spans="1:39">
      <c r="A26" s="100" t="s">
        <v>167</v>
      </c>
      <c r="C26" s="100" t="s">
        <v>153</v>
      </c>
      <c r="D26" s="100" t="s">
        <v>237</v>
      </c>
      <c r="E26" s="100" t="s">
        <v>238</v>
      </c>
      <c r="F26" s="100" t="s">
        <v>156</v>
      </c>
      <c r="G26" s="100">
        <v>1887</v>
      </c>
      <c r="H26" s="100">
        <v>579000</v>
      </c>
      <c r="I26" s="100">
        <v>3</v>
      </c>
      <c r="J26" s="100">
        <v>2</v>
      </c>
      <c r="K26" s="100" t="s">
        <v>238</v>
      </c>
      <c r="L26" s="100">
        <v>2031</v>
      </c>
      <c r="M26" s="110">
        <v>9600</v>
      </c>
      <c r="N26" s="100">
        <v>1945</v>
      </c>
      <c r="O26" s="100">
        <v>9</v>
      </c>
      <c r="P26" s="100">
        <v>285</v>
      </c>
      <c r="Q26" s="100"/>
      <c r="R26" s="100" t="s">
        <v>170</v>
      </c>
      <c r="U26" s="108" t="s">
        <v>239</v>
      </c>
      <c r="V26" s="100" t="s">
        <v>159</v>
      </c>
      <c r="W26" s="100">
        <v>72707356</v>
      </c>
      <c r="X26" s="100" t="s">
        <v>160</v>
      </c>
      <c r="Y26" s="100" t="s">
        <v>160</v>
      </c>
      <c r="Z26" s="100">
        <v>42.563954500000001</v>
      </c>
      <c r="AA26" s="100">
        <v>-71.184606400000007</v>
      </c>
      <c r="AB26" s="105" t="e">
        <f t="shared" ca="1" si="1"/>
        <v>#NAME?</v>
      </c>
      <c r="AC26" s="105" t="e">
        <f t="shared" ca="1" si="0"/>
        <v>#NAME?</v>
      </c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</row>
    <row r="27" spans="1:39">
      <c r="A27" s="100" t="s">
        <v>167</v>
      </c>
      <c r="C27" s="100" t="s">
        <v>153</v>
      </c>
      <c r="D27" s="100" t="s">
        <v>240</v>
      </c>
      <c r="E27" s="100" t="s">
        <v>173</v>
      </c>
      <c r="F27" s="100" t="s">
        <v>156</v>
      </c>
      <c r="G27" s="100">
        <v>1890</v>
      </c>
      <c r="H27" s="100">
        <v>699900</v>
      </c>
      <c r="I27" s="100">
        <v>3</v>
      </c>
      <c r="J27" s="100">
        <v>2</v>
      </c>
      <c r="K27" s="100" t="s">
        <v>173</v>
      </c>
      <c r="L27" s="100">
        <v>1678</v>
      </c>
      <c r="M27" s="100">
        <v>9500</v>
      </c>
      <c r="N27" s="100">
        <v>1875</v>
      </c>
      <c r="O27" s="100">
        <v>27</v>
      </c>
      <c r="P27" s="100">
        <v>417</v>
      </c>
      <c r="R27" s="100" t="s">
        <v>198</v>
      </c>
      <c r="U27" s="108" t="s">
        <v>241</v>
      </c>
      <c r="V27" s="100" t="s">
        <v>159</v>
      </c>
      <c r="W27" s="100">
        <v>72707874</v>
      </c>
      <c r="X27" s="100" t="s">
        <v>160</v>
      </c>
      <c r="Y27" s="100" t="s">
        <v>160</v>
      </c>
      <c r="Z27" s="100">
        <v>42.469312700000003</v>
      </c>
      <c r="AA27" s="100">
        <v>-71.132434700000005</v>
      </c>
      <c r="AB27" s="105" t="e">
        <f t="shared" ca="1" si="1"/>
        <v>#NAME?</v>
      </c>
      <c r="AC27" s="105" t="e">
        <f t="shared" ca="1" si="0"/>
        <v>#NAME?</v>
      </c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</row>
    <row r="28" spans="1:39">
      <c r="A28" s="100" t="s">
        <v>151</v>
      </c>
      <c r="C28" s="100" t="s">
        <v>153</v>
      </c>
      <c r="D28" s="100" t="s">
        <v>242</v>
      </c>
      <c r="E28" s="100" t="s">
        <v>243</v>
      </c>
      <c r="F28" s="100" t="s">
        <v>156</v>
      </c>
      <c r="G28" s="100">
        <v>1886</v>
      </c>
      <c r="H28" s="100">
        <v>899000</v>
      </c>
      <c r="I28" s="100">
        <v>3</v>
      </c>
      <c r="J28" s="100">
        <v>2.5</v>
      </c>
      <c r="K28" s="100" t="s">
        <v>244</v>
      </c>
      <c r="L28" s="100">
        <v>3430</v>
      </c>
      <c r="M28" s="100">
        <v>46783</v>
      </c>
      <c r="N28" s="100">
        <v>2000</v>
      </c>
      <c r="O28" s="100">
        <v>27</v>
      </c>
      <c r="P28" s="100">
        <v>262</v>
      </c>
      <c r="Q28" s="100">
        <v>8</v>
      </c>
      <c r="R28" s="100" t="s">
        <v>245</v>
      </c>
      <c r="U28" s="104" t="s">
        <v>246</v>
      </c>
      <c r="V28" s="100" t="s">
        <v>159</v>
      </c>
      <c r="W28" s="100">
        <v>72707925</v>
      </c>
      <c r="X28" s="100" t="s">
        <v>160</v>
      </c>
      <c r="Y28" s="100" t="s">
        <v>160</v>
      </c>
      <c r="Z28" s="100">
        <v>42.5923716</v>
      </c>
      <c r="AA28" s="100">
        <v>-71.411336399999996</v>
      </c>
      <c r="AB28" s="105" t="e">
        <f t="shared" ca="1" si="1"/>
        <v>#NAME?</v>
      </c>
      <c r="AC28" s="105" t="e">
        <f t="shared" ca="1" si="0"/>
        <v>#NAME?</v>
      </c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</row>
    <row r="29" spans="1:39">
      <c r="A29" s="100" t="s">
        <v>167</v>
      </c>
      <c r="B29" s="100"/>
      <c r="C29" s="100" t="s">
        <v>153</v>
      </c>
      <c r="D29" s="100" t="s">
        <v>247</v>
      </c>
      <c r="E29" s="100" t="s">
        <v>179</v>
      </c>
      <c r="F29" s="100" t="s">
        <v>156</v>
      </c>
      <c r="G29" s="100">
        <v>1803</v>
      </c>
      <c r="H29" s="100">
        <v>539900</v>
      </c>
      <c r="I29" s="100">
        <v>3</v>
      </c>
      <c r="J29" s="100">
        <v>2</v>
      </c>
      <c r="K29" s="100" t="s">
        <v>179</v>
      </c>
      <c r="L29" s="100">
        <v>1488</v>
      </c>
      <c r="M29" s="100">
        <v>7500</v>
      </c>
      <c r="N29" s="100">
        <v>1964</v>
      </c>
      <c r="O29" s="100">
        <v>7</v>
      </c>
      <c r="P29" s="100">
        <v>363</v>
      </c>
      <c r="R29" s="100" t="s">
        <v>170</v>
      </c>
      <c r="U29" s="108" t="s">
        <v>248</v>
      </c>
      <c r="V29" s="100" t="s">
        <v>159</v>
      </c>
      <c r="W29" s="100">
        <v>72708734</v>
      </c>
      <c r="X29" s="100" t="s">
        <v>160</v>
      </c>
      <c r="Y29" s="100" t="s">
        <v>160</v>
      </c>
      <c r="Z29" s="100">
        <v>42.493947300000002</v>
      </c>
      <c r="AA29" s="100">
        <v>-71.173838399999994</v>
      </c>
      <c r="AB29" s="105" t="e">
        <f t="shared" ca="1" si="1"/>
        <v>#NAME?</v>
      </c>
      <c r="AC29" s="105" t="e">
        <f t="shared" ca="1" si="0"/>
        <v>#NAME?</v>
      </c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</row>
    <row r="30" spans="1:39">
      <c r="A30" s="100" t="s">
        <v>167</v>
      </c>
      <c r="B30" s="100"/>
      <c r="C30" s="100" t="s">
        <v>153</v>
      </c>
      <c r="D30" s="100" t="s">
        <v>249</v>
      </c>
      <c r="E30" s="100" t="s">
        <v>187</v>
      </c>
      <c r="F30" s="100" t="s">
        <v>156</v>
      </c>
      <c r="G30" s="100">
        <v>1810</v>
      </c>
      <c r="H30" s="100">
        <v>619900</v>
      </c>
      <c r="I30" s="100">
        <v>3</v>
      </c>
      <c r="J30" s="100">
        <v>1</v>
      </c>
      <c r="K30" s="100" t="s">
        <v>250</v>
      </c>
      <c r="L30" s="100">
        <v>1894</v>
      </c>
      <c r="M30" s="100">
        <v>33670</v>
      </c>
      <c r="N30" s="100">
        <v>1963</v>
      </c>
      <c r="O30" s="100">
        <v>6</v>
      </c>
      <c r="P30" s="100">
        <v>327</v>
      </c>
      <c r="R30" s="100" t="s">
        <v>170</v>
      </c>
      <c r="U30" s="108" t="s">
        <v>251</v>
      </c>
      <c r="V30" s="100" t="s">
        <v>159</v>
      </c>
      <c r="W30" s="100">
        <v>72709006</v>
      </c>
      <c r="X30" s="100" t="s">
        <v>160</v>
      </c>
      <c r="Y30" s="100" t="s">
        <v>160</v>
      </c>
      <c r="Z30" s="100">
        <v>42.649980499999998</v>
      </c>
      <c r="AA30" s="100">
        <v>-71.171471299999993</v>
      </c>
      <c r="AB30" s="105" t="e">
        <f t="shared" ca="1" si="1"/>
        <v>#NAME?</v>
      </c>
      <c r="AC30" s="105" t="e">
        <f t="shared" ca="1" si="0"/>
        <v>#NAME?</v>
      </c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</row>
    <row r="31" spans="1:39">
      <c r="A31" s="100" t="s">
        <v>167</v>
      </c>
      <c r="B31" s="100"/>
      <c r="C31" s="100" t="s">
        <v>153</v>
      </c>
      <c r="D31" s="100" t="s">
        <v>252</v>
      </c>
      <c r="E31" s="100" t="s">
        <v>179</v>
      </c>
      <c r="F31" s="100" t="s">
        <v>156</v>
      </c>
      <c r="G31" s="100">
        <v>1803</v>
      </c>
      <c r="H31" s="100">
        <v>649000</v>
      </c>
      <c r="I31" s="100">
        <v>5</v>
      </c>
      <c r="J31" s="100">
        <v>2.5</v>
      </c>
      <c r="K31" s="100" t="s">
        <v>179</v>
      </c>
      <c r="L31" s="100">
        <v>2717</v>
      </c>
      <c r="M31" s="100">
        <v>20004</v>
      </c>
      <c r="N31" s="100">
        <v>1969</v>
      </c>
      <c r="O31" s="100">
        <v>6</v>
      </c>
      <c r="P31" s="100">
        <v>239</v>
      </c>
      <c r="R31" s="100" t="s">
        <v>170</v>
      </c>
      <c r="U31" s="108" t="s">
        <v>253</v>
      </c>
      <c r="V31" s="100" t="s">
        <v>159</v>
      </c>
      <c r="W31" s="100">
        <v>72709162</v>
      </c>
      <c r="X31" s="100" t="s">
        <v>160</v>
      </c>
      <c r="Y31" s="100" t="s">
        <v>160</v>
      </c>
      <c r="Z31" s="100">
        <v>42.494503199999997</v>
      </c>
      <c r="AA31" s="100">
        <v>-71.184803700000003</v>
      </c>
      <c r="AB31" s="105" t="e">
        <f t="shared" ca="1" si="1"/>
        <v>#NAME?</v>
      </c>
      <c r="AC31" s="105" t="e">
        <f t="shared" ca="1" si="0"/>
        <v>#NAME?</v>
      </c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</row>
    <row r="32" spans="1:39">
      <c r="A32" s="100" t="s">
        <v>167</v>
      </c>
      <c r="C32" s="100" t="s">
        <v>153</v>
      </c>
      <c r="D32" s="100" t="s">
        <v>254</v>
      </c>
      <c r="E32" s="100" t="s">
        <v>179</v>
      </c>
      <c r="F32" s="100" t="s">
        <v>156</v>
      </c>
      <c r="G32" s="100">
        <v>1803</v>
      </c>
      <c r="H32" s="100">
        <v>529900</v>
      </c>
      <c r="I32" s="100">
        <v>3</v>
      </c>
      <c r="J32" s="100">
        <v>2</v>
      </c>
      <c r="K32" s="100" t="s">
        <v>179</v>
      </c>
      <c r="L32" s="100">
        <v>1512</v>
      </c>
      <c r="M32" s="100">
        <v>20100</v>
      </c>
      <c r="N32" s="100">
        <v>1961</v>
      </c>
      <c r="O32" s="100">
        <v>6</v>
      </c>
      <c r="P32" s="100">
        <v>350</v>
      </c>
      <c r="R32" s="100" t="s">
        <v>170</v>
      </c>
      <c r="U32" s="108" t="s">
        <v>255</v>
      </c>
      <c r="V32" s="100" t="s">
        <v>159</v>
      </c>
      <c r="W32" s="100">
        <v>72709809</v>
      </c>
      <c r="X32" s="100" t="s">
        <v>160</v>
      </c>
      <c r="Y32" s="100" t="s">
        <v>160</v>
      </c>
      <c r="Z32" s="100">
        <v>42.503686299999998</v>
      </c>
      <c r="AA32" s="100">
        <v>-71.203078399999995</v>
      </c>
      <c r="AB32" s="105" t="e">
        <f t="shared" ca="1" si="1"/>
        <v>#NAME?</v>
      </c>
      <c r="AC32" s="105" t="e">
        <f t="shared" ca="1" si="0"/>
        <v>#NAME?</v>
      </c>
      <c r="AD32" s="107"/>
      <c r="AE32" s="107"/>
      <c r="AF32" s="107"/>
      <c r="AG32" s="111" t="s">
        <v>256</v>
      </c>
      <c r="AH32" s="107"/>
      <c r="AI32" s="107"/>
      <c r="AJ32" s="107"/>
      <c r="AK32" s="107"/>
      <c r="AL32" s="107"/>
      <c r="AM32" s="107"/>
    </row>
    <row r="33" spans="1:39">
      <c r="A33" s="100" t="s">
        <v>167</v>
      </c>
      <c r="B33" s="100"/>
      <c r="C33" s="100" t="s">
        <v>153</v>
      </c>
      <c r="D33" s="100" t="s">
        <v>257</v>
      </c>
      <c r="E33" s="100" t="s">
        <v>179</v>
      </c>
      <c r="F33" s="100" t="s">
        <v>156</v>
      </c>
      <c r="G33" s="100">
        <v>1803</v>
      </c>
      <c r="H33" s="100">
        <v>499000</v>
      </c>
      <c r="I33" s="100">
        <v>3</v>
      </c>
      <c r="J33" s="100">
        <v>1.5</v>
      </c>
      <c r="K33" s="100" t="s">
        <v>179</v>
      </c>
      <c r="L33" s="100">
        <v>1764</v>
      </c>
      <c r="M33" s="100">
        <v>20000</v>
      </c>
      <c r="N33" s="100">
        <v>1956</v>
      </c>
      <c r="O33" s="100">
        <v>5</v>
      </c>
      <c r="P33" s="100">
        <v>283</v>
      </c>
      <c r="R33" s="100" t="s">
        <v>170</v>
      </c>
      <c r="U33" s="108" t="s">
        <v>258</v>
      </c>
      <c r="V33" s="100" t="s">
        <v>159</v>
      </c>
      <c r="W33" s="100">
        <v>72710131</v>
      </c>
      <c r="X33" s="100" t="s">
        <v>160</v>
      </c>
      <c r="Y33" s="100" t="s">
        <v>160</v>
      </c>
      <c r="Z33" s="100">
        <v>42.490242500000001</v>
      </c>
      <c r="AA33" s="100">
        <v>-71.170125299999995</v>
      </c>
      <c r="AB33" s="105" t="e">
        <f t="shared" ca="1" si="1"/>
        <v>#NAME?</v>
      </c>
      <c r="AC33" s="105" t="e">
        <f t="shared" ca="1" si="0"/>
        <v>#NAME?</v>
      </c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</row>
    <row r="34" spans="1:39">
      <c r="A34" s="100" t="s">
        <v>167</v>
      </c>
      <c r="B34" s="100"/>
      <c r="C34" s="100" t="s">
        <v>153</v>
      </c>
      <c r="D34" s="100" t="s">
        <v>259</v>
      </c>
      <c r="E34" s="100" t="s">
        <v>187</v>
      </c>
      <c r="F34" s="100" t="s">
        <v>156</v>
      </c>
      <c r="G34" s="100">
        <v>1810</v>
      </c>
      <c r="H34" s="100">
        <v>629000</v>
      </c>
      <c r="I34" s="100">
        <v>3</v>
      </c>
      <c r="J34" s="100">
        <v>2</v>
      </c>
      <c r="K34" s="100" t="s">
        <v>187</v>
      </c>
      <c r="L34" s="100">
        <v>1750</v>
      </c>
      <c r="M34" s="100">
        <v>14650</v>
      </c>
      <c r="N34" s="100">
        <v>1953</v>
      </c>
      <c r="O34" s="100">
        <v>1</v>
      </c>
      <c r="P34" s="100">
        <v>359</v>
      </c>
      <c r="R34" s="100" t="s">
        <v>170</v>
      </c>
      <c r="S34" s="100" t="s">
        <v>260</v>
      </c>
      <c r="T34" s="100" t="s">
        <v>261</v>
      </c>
      <c r="U34" s="108" t="s">
        <v>262</v>
      </c>
      <c r="V34" s="100" t="s">
        <v>159</v>
      </c>
      <c r="W34" s="100">
        <v>72711721</v>
      </c>
      <c r="X34" s="100" t="s">
        <v>160</v>
      </c>
      <c r="Y34" s="100" t="s">
        <v>160</v>
      </c>
      <c r="Z34" s="100">
        <v>42.660263</v>
      </c>
      <c r="AA34" s="100">
        <v>-71.167665299999996</v>
      </c>
      <c r="AB34" s="105" t="e">
        <f t="shared" ca="1" si="1"/>
        <v>#NAME?</v>
      </c>
      <c r="AC34" s="105" t="e">
        <f t="shared" ca="1" si="0"/>
        <v>#NAME?</v>
      </c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</row>
    <row r="35" spans="1:39">
      <c r="A35" s="100" t="s">
        <v>167</v>
      </c>
      <c r="B35" s="100"/>
      <c r="C35" s="100" t="s">
        <v>153</v>
      </c>
      <c r="D35" s="100" t="s">
        <v>263</v>
      </c>
      <c r="E35" s="100" t="s">
        <v>155</v>
      </c>
      <c r="F35" s="100" t="s">
        <v>156</v>
      </c>
      <c r="G35" s="100">
        <v>1730</v>
      </c>
      <c r="H35" s="100">
        <v>659900</v>
      </c>
      <c r="I35" s="100">
        <v>4</v>
      </c>
      <c r="J35" s="100">
        <v>2</v>
      </c>
      <c r="K35" s="100" t="s">
        <v>155</v>
      </c>
      <c r="L35" s="100">
        <v>1440</v>
      </c>
      <c r="M35" s="100">
        <v>21702</v>
      </c>
      <c r="N35" s="100">
        <v>1953</v>
      </c>
      <c r="O35" s="100">
        <v>1</v>
      </c>
      <c r="P35" s="100">
        <v>458</v>
      </c>
      <c r="R35" s="100" t="s">
        <v>170</v>
      </c>
      <c r="U35" s="108" t="s">
        <v>264</v>
      </c>
      <c r="V35" s="100" t="s">
        <v>159</v>
      </c>
      <c r="W35" s="100">
        <v>72711806</v>
      </c>
      <c r="X35" s="100" t="s">
        <v>160</v>
      </c>
      <c r="Y35" s="100" t="s">
        <v>160</v>
      </c>
      <c r="Z35" s="100">
        <v>42.490854300000002</v>
      </c>
      <c r="AA35" s="100">
        <v>-71.264057500000007</v>
      </c>
      <c r="AB35" s="105" t="e">
        <f ca="1">IMPORTFROMWEB(U35,"//table")</f>
        <v>#NAME?</v>
      </c>
      <c r="AC35" s="105" t="e">
        <f t="shared" ca="1" si="0"/>
        <v>#NAME?</v>
      </c>
      <c r="AD35" s="107" t="str">
        <f ca="1">IFERROR(__xludf.DUMMYFUNCTION("IMPORTXML(U35,""//text('*$')[1]"")"),"#N/A")</f>
        <v>#N/A</v>
      </c>
      <c r="AE35" s="107"/>
      <c r="AF35" s="107"/>
      <c r="AG35" s="107"/>
      <c r="AH35" s="107"/>
      <c r="AI35" s="107"/>
      <c r="AJ35" s="107"/>
      <c r="AK35" s="107"/>
      <c r="AL35" s="107"/>
      <c r="AM35" s="107"/>
    </row>
    <row r="36" spans="1:39">
      <c r="A36" s="100" t="s">
        <v>167</v>
      </c>
      <c r="C36" s="100" t="s">
        <v>153</v>
      </c>
      <c r="D36" s="100" t="s">
        <v>265</v>
      </c>
      <c r="E36" s="100" t="s">
        <v>179</v>
      </c>
      <c r="F36" s="100" t="s">
        <v>156</v>
      </c>
      <c r="G36" s="100">
        <v>1803</v>
      </c>
      <c r="H36" s="100">
        <v>575000</v>
      </c>
      <c r="I36" s="100">
        <v>3</v>
      </c>
      <c r="J36" s="100">
        <v>2</v>
      </c>
      <c r="K36" s="100" t="s">
        <v>179</v>
      </c>
      <c r="L36" s="100">
        <v>2253</v>
      </c>
      <c r="M36" s="110">
        <v>12500</v>
      </c>
      <c r="N36" s="100">
        <v>1956</v>
      </c>
      <c r="O36" s="100">
        <v>1</v>
      </c>
      <c r="P36" s="100">
        <v>255</v>
      </c>
      <c r="Q36" s="100"/>
      <c r="R36" s="100" t="s">
        <v>170</v>
      </c>
      <c r="U36" s="108" t="s">
        <v>266</v>
      </c>
      <c r="V36" s="100" t="s">
        <v>159</v>
      </c>
      <c r="W36" s="100">
        <v>72711992</v>
      </c>
      <c r="X36" s="100" t="s">
        <v>160</v>
      </c>
      <c r="Y36" s="100" t="s">
        <v>160</v>
      </c>
      <c r="Z36" s="100">
        <v>42.5131728</v>
      </c>
      <c r="AA36" s="100">
        <v>-71.205955799999998</v>
      </c>
      <c r="AB36" s="105" t="e">
        <f t="shared" ref="AB36:AB57" ca="1" si="2">IMPORTFROMWEB(U36,"//*[@id='overview-scroll']/div/div/div[2]/div[2]/span/span/span[2]/div[1]")</f>
        <v>#NAME?</v>
      </c>
      <c r="AC36" s="105" t="e">
        <f t="shared" ca="1" si="0"/>
        <v>#NAME?</v>
      </c>
      <c r="AD36" s="107" t="str">
        <f ca="1">IFERROR(__xludf.DUMMYFUNCTION("IMPORTXML(U36,""//text('*$'"")"),"#N/A")</f>
        <v>#N/A</v>
      </c>
      <c r="AE36" s="105" t="s">
        <v>267</v>
      </c>
      <c r="AF36" s="107"/>
      <c r="AG36" s="105" t="s">
        <v>268</v>
      </c>
      <c r="AH36" s="105" t="s">
        <v>269</v>
      </c>
      <c r="AI36" s="107"/>
      <c r="AJ36" s="107"/>
      <c r="AK36" s="107"/>
      <c r="AL36" s="107"/>
      <c r="AM36" s="107"/>
    </row>
    <row r="37" spans="1:39">
      <c r="A37" s="100" t="s">
        <v>151</v>
      </c>
      <c r="B37" s="100" t="s">
        <v>270</v>
      </c>
      <c r="C37" s="100" t="s">
        <v>153</v>
      </c>
      <c r="D37" s="100" t="s">
        <v>271</v>
      </c>
      <c r="E37" s="100" t="s">
        <v>272</v>
      </c>
      <c r="F37" s="100" t="s">
        <v>156</v>
      </c>
      <c r="G37" s="100">
        <v>1801</v>
      </c>
      <c r="H37" s="100">
        <v>669900</v>
      </c>
      <c r="I37" s="100">
        <v>4</v>
      </c>
      <c r="J37" s="100">
        <v>3</v>
      </c>
      <c r="K37" s="100" t="s">
        <v>272</v>
      </c>
      <c r="L37" s="100">
        <v>2411</v>
      </c>
      <c r="M37" s="100">
        <v>13068</v>
      </c>
      <c r="N37" s="100">
        <v>2000</v>
      </c>
      <c r="O37" s="100">
        <v>19</v>
      </c>
      <c r="P37" s="100">
        <v>278</v>
      </c>
      <c r="R37" s="100" t="s">
        <v>245</v>
      </c>
      <c r="U37" s="108" t="s">
        <v>273</v>
      </c>
      <c r="V37" s="100" t="s">
        <v>159</v>
      </c>
      <c r="W37" s="100">
        <v>72712142</v>
      </c>
      <c r="X37" s="100" t="s">
        <v>160</v>
      </c>
      <c r="Y37" s="100" t="s">
        <v>160</v>
      </c>
      <c r="Z37" s="100">
        <v>42.507645099999998</v>
      </c>
      <c r="AA37" s="100">
        <v>-71.165530200000006</v>
      </c>
      <c r="AB37" s="105" t="e">
        <f t="shared" ca="1" si="2"/>
        <v>#NAME?</v>
      </c>
      <c r="AC37" s="105" t="e">
        <f t="shared" ca="1" si="0"/>
        <v>#NAME?</v>
      </c>
      <c r="AD37" s="107" t="str">
        <f ca="1">IFERROR(__xludf.DUMMYFUNCTION("IMPORTXML(U37,""//text('*$')[1]"")"),"#N/A")</f>
        <v>#N/A</v>
      </c>
      <c r="AE37" s="107"/>
      <c r="AF37" s="107"/>
      <c r="AG37" s="105" t="s">
        <v>274</v>
      </c>
      <c r="AH37" s="107"/>
      <c r="AI37" s="107"/>
      <c r="AJ37" s="107"/>
      <c r="AK37" s="107"/>
      <c r="AL37" s="107"/>
      <c r="AM37" s="107"/>
    </row>
    <row r="38" spans="1:39">
      <c r="A38" s="100" t="s">
        <v>167</v>
      </c>
      <c r="C38" s="100" t="s">
        <v>162</v>
      </c>
      <c r="D38" s="100" t="s">
        <v>275</v>
      </c>
      <c r="E38" s="100" t="s">
        <v>276</v>
      </c>
      <c r="F38" s="100" t="s">
        <v>156</v>
      </c>
      <c r="G38" s="100">
        <v>1880</v>
      </c>
      <c r="H38" s="100">
        <v>749900</v>
      </c>
      <c r="I38" s="100">
        <v>5</v>
      </c>
      <c r="J38" s="100">
        <v>3.5</v>
      </c>
      <c r="K38" s="100" t="s">
        <v>276</v>
      </c>
      <c r="L38" s="100">
        <v>3212</v>
      </c>
      <c r="M38" s="100">
        <v>8425</v>
      </c>
      <c r="N38" s="100">
        <v>1880</v>
      </c>
      <c r="O38" s="100">
        <v>19</v>
      </c>
      <c r="P38" s="100">
        <v>233</v>
      </c>
      <c r="R38" s="100" t="s">
        <v>198</v>
      </c>
      <c r="U38" s="108" t="s">
        <v>277</v>
      </c>
      <c r="V38" s="100" t="s">
        <v>159</v>
      </c>
      <c r="W38" s="100">
        <v>72712391</v>
      </c>
      <c r="X38" s="100" t="s">
        <v>160</v>
      </c>
      <c r="Y38" s="100" t="s">
        <v>160</v>
      </c>
      <c r="Z38" s="100">
        <v>42.492732199999999</v>
      </c>
      <c r="AA38" s="100">
        <v>-71.069217800000004</v>
      </c>
      <c r="AB38" s="105" t="e">
        <f t="shared" ca="1" si="2"/>
        <v>#NAME?</v>
      </c>
      <c r="AC38" s="105" t="e">
        <f t="shared" ca="1" si="0"/>
        <v>#NAME?</v>
      </c>
      <c r="AD38" s="107" t="str">
        <f ca="1">IFERROR(__xludf.DUMMYFUNCTION("IMPORTXML(U38,""//text('*$')[1]"")"),"#N/A")</f>
        <v>#N/A</v>
      </c>
      <c r="AE38" s="107"/>
      <c r="AF38" s="107"/>
      <c r="AG38" s="107"/>
      <c r="AH38" s="107"/>
      <c r="AI38" s="107"/>
      <c r="AJ38" s="107"/>
      <c r="AK38" s="107"/>
      <c r="AL38" s="107"/>
      <c r="AM38" s="107"/>
    </row>
    <row r="39" spans="1:39">
      <c r="A39" s="100" t="s">
        <v>167</v>
      </c>
      <c r="C39" s="100" t="s">
        <v>153</v>
      </c>
      <c r="D39" s="100" t="s">
        <v>278</v>
      </c>
      <c r="E39" s="100" t="s">
        <v>179</v>
      </c>
      <c r="F39" s="100" t="s">
        <v>156</v>
      </c>
      <c r="G39" s="100">
        <v>1803</v>
      </c>
      <c r="H39" s="100">
        <v>679900</v>
      </c>
      <c r="I39" s="100">
        <v>4</v>
      </c>
      <c r="J39" s="100">
        <v>2.5</v>
      </c>
      <c r="K39" s="100" t="s">
        <v>179</v>
      </c>
      <c r="L39" s="100">
        <v>2358</v>
      </c>
      <c r="M39" s="100">
        <v>20829</v>
      </c>
      <c r="N39" s="100">
        <v>1971</v>
      </c>
      <c r="O39" s="100">
        <v>19</v>
      </c>
      <c r="P39" s="100">
        <v>288</v>
      </c>
      <c r="R39" s="100" t="s">
        <v>198</v>
      </c>
      <c r="U39" s="108" t="s">
        <v>279</v>
      </c>
      <c r="V39" s="100" t="s">
        <v>159</v>
      </c>
      <c r="W39" s="100">
        <v>72712766</v>
      </c>
      <c r="X39" s="100" t="s">
        <v>160</v>
      </c>
      <c r="Y39" s="100" t="s">
        <v>160</v>
      </c>
      <c r="Z39" s="100">
        <v>42.521436199999997</v>
      </c>
      <c r="AA39" s="100">
        <v>-71.186787800000005</v>
      </c>
      <c r="AB39" s="105" t="e">
        <f t="shared" ca="1" si="2"/>
        <v>#NAME?</v>
      </c>
      <c r="AC39" s="105" t="e">
        <f t="shared" ca="1" si="0"/>
        <v>#NAME?</v>
      </c>
      <c r="AD39" s="107" t="str">
        <f ca="1">IFERROR(__xludf.DUMMYFUNCTION("IMPORTXML(U39,""//text('*$')[1]"")"),"#N/A")</f>
        <v>#N/A</v>
      </c>
      <c r="AE39" s="107"/>
      <c r="AF39" s="107"/>
      <c r="AG39" s="107"/>
      <c r="AH39" s="107"/>
      <c r="AI39" s="107"/>
      <c r="AJ39" s="107"/>
      <c r="AK39" s="107"/>
      <c r="AL39" s="107"/>
      <c r="AM39" s="107"/>
    </row>
    <row r="40" spans="1:39">
      <c r="A40" s="100" t="s">
        <v>151</v>
      </c>
      <c r="B40" s="100" t="s">
        <v>280</v>
      </c>
      <c r="C40" s="100" t="s">
        <v>153</v>
      </c>
      <c r="D40" s="100" t="s">
        <v>281</v>
      </c>
      <c r="E40" s="100" t="s">
        <v>179</v>
      </c>
      <c r="F40" s="100" t="s">
        <v>156</v>
      </c>
      <c r="G40" s="100">
        <v>1803</v>
      </c>
      <c r="H40" s="100">
        <v>535000</v>
      </c>
      <c r="I40" s="100">
        <v>3</v>
      </c>
      <c r="J40" s="100">
        <v>1</v>
      </c>
      <c r="K40" s="100" t="s">
        <v>179</v>
      </c>
      <c r="L40" s="100">
        <v>1272</v>
      </c>
      <c r="M40" s="100">
        <v>20000</v>
      </c>
      <c r="N40" s="100">
        <v>1957</v>
      </c>
      <c r="O40" s="100">
        <v>18</v>
      </c>
      <c r="P40" s="100">
        <v>421</v>
      </c>
      <c r="R40" s="100" t="s">
        <v>245</v>
      </c>
      <c r="U40" s="108" t="s">
        <v>282</v>
      </c>
      <c r="V40" s="100" t="s">
        <v>159</v>
      </c>
      <c r="W40" s="100">
        <v>72712997</v>
      </c>
      <c r="X40" s="100" t="s">
        <v>160</v>
      </c>
      <c r="Y40" s="100" t="s">
        <v>160</v>
      </c>
      <c r="Z40" s="100">
        <v>42.501536799999997</v>
      </c>
      <c r="AA40" s="100">
        <v>-71.220992600000002</v>
      </c>
      <c r="AB40" s="105" t="e">
        <f t="shared" ca="1" si="2"/>
        <v>#NAME?</v>
      </c>
      <c r="AC40" s="105" t="e">
        <f t="shared" ca="1" si="0"/>
        <v>#NAME?</v>
      </c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</row>
    <row r="41" spans="1:39">
      <c r="A41" s="100" t="s">
        <v>151</v>
      </c>
      <c r="B41" s="100" t="s">
        <v>283</v>
      </c>
      <c r="C41" s="100" t="s">
        <v>153</v>
      </c>
      <c r="D41" s="100" t="s">
        <v>284</v>
      </c>
      <c r="E41" s="100" t="s">
        <v>155</v>
      </c>
      <c r="F41" s="100" t="s">
        <v>156</v>
      </c>
      <c r="G41" s="100">
        <v>1730</v>
      </c>
      <c r="H41" s="100">
        <v>650000</v>
      </c>
      <c r="I41" s="100">
        <v>4</v>
      </c>
      <c r="J41" s="100">
        <v>2</v>
      </c>
      <c r="K41" s="100" t="s">
        <v>155</v>
      </c>
      <c r="L41" s="100">
        <v>1614</v>
      </c>
      <c r="M41" s="100">
        <v>45825</v>
      </c>
      <c r="N41" s="100">
        <v>1958</v>
      </c>
      <c r="O41" s="100">
        <v>18</v>
      </c>
      <c r="P41" s="100">
        <v>403</v>
      </c>
      <c r="R41" s="100" t="s">
        <v>245</v>
      </c>
      <c r="U41" s="108" t="s">
        <v>285</v>
      </c>
      <c r="V41" s="100" t="s">
        <v>159</v>
      </c>
      <c r="W41" s="100">
        <v>72713058</v>
      </c>
      <c r="X41" s="100" t="s">
        <v>160</v>
      </c>
      <c r="Y41" s="100" t="s">
        <v>160</v>
      </c>
      <c r="Z41" s="100">
        <v>42.489229999999999</v>
      </c>
      <c r="AA41" s="100">
        <v>-71.267375999999999</v>
      </c>
      <c r="AB41" s="105" t="e">
        <f t="shared" ca="1" si="2"/>
        <v>#NAME?</v>
      </c>
      <c r="AC41" s="105" t="e">
        <f t="shared" ca="1" si="0"/>
        <v>#NAME?</v>
      </c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</row>
    <row r="42" spans="1:39">
      <c r="A42" s="100" t="s">
        <v>167</v>
      </c>
      <c r="C42" s="100" t="s">
        <v>153</v>
      </c>
      <c r="D42" s="100" t="s">
        <v>286</v>
      </c>
      <c r="E42" s="100" t="s">
        <v>187</v>
      </c>
      <c r="F42" s="100" t="s">
        <v>156</v>
      </c>
      <c r="G42" s="100">
        <v>1810</v>
      </c>
      <c r="H42" s="100">
        <v>529000</v>
      </c>
      <c r="I42" s="100">
        <v>3</v>
      </c>
      <c r="J42" s="100">
        <v>1.5</v>
      </c>
      <c r="K42" s="100" t="s">
        <v>287</v>
      </c>
      <c r="L42" s="100">
        <v>1356</v>
      </c>
      <c r="M42" s="100">
        <v>23992</v>
      </c>
      <c r="N42" s="100">
        <v>1917</v>
      </c>
      <c r="O42" s="100">
        <v>18</v>
      </c>
      <c r="P42" s="100">
        <v>390</v>
      </c>
      <c r="R42" s="100" t="s">
        <v>170</v>
      </c>
      <c r="U42" s="108" t="s">
        <v>288</v>
      </c>
      <c r="V42" s="100" t="s">
        <v>159</v>
      </c>
      <c r="W42" s="100">
        <v>72713066</v>
      </c>
      <c r="X42" s="100" t="s">
        <v>160</v>
      </c>
      <c r="Y42" s="100" t="s">
        <v>160</v>
      </c>
      <c r="Z42" s="100">
        <v>42.633884000000002</v>
      </c>
      <c r="AA42" s="100">
        <v>-71.160424500000005</v>
      </c>
      <c r="AB42" s="105" t="e">
        <f t="shared" ca="1" si="2"/>
        <v>#NAME?</v>
      </c>
      <c r="AC42" s="105" t="e">
        <f t="shared" ca="1" si="0"/>
        <v>#NAME?</v>
      </c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</row>
    <row r="43" spans="1:39">
      <c r="A43" s="100" t="s">
        <v>167</v>
      </c>
      <c r="C43" s="100" t="s">
        <v>153</v>
      </c>
      <c r="D43" s="100" t="s">
        <v>289</v>
      </c>
      <c r="E43" s="100" t="s">
        <v>290</v>
      </c>
      <c r="F43" s="100" t="s">
        <v>156</v>
      </c>
      <c r="G43" s="100">
        <v>1821</v>
      </c>
      <c r="H43" s="100">
        <v>579900</v>
      </c>
      <c r="I43" s="100">
        <v>3</v>
      </c>
      <c r="J43" s="100">
        <v>2</v>
      </c>
      <c r="K43" s="100" t="s">
        <v>290</v>
      </c>
      <c r="L43" s="100">
        <v>1906</v>
      </c>
      <c r="M43" s="100">
        <v>15001</v>
      </c>
      <c r="N43" s="100">
        <v>1970</v>
      </c>
      <c r="O43" s="100">
        <v>14</v>
      </c>
      <c r="P43" s="100">
        <v>304</v>
      </c>
      <c r="R43" s="100" t="s">
        <v>170</v>
      </c>
      <c r="U43" s="108" t="s">
        <v>291</v>
      </c>
      <c r="V43" s="100" t="s">
        <v>159</v>
      </c>
      <c r="W43" s="100">
        <v>72714517</v>
      </c>
      <c r="X43" s="100" t="s">
        <v>160</v>
      </c>
      <c r="Y43" s="100" t="s">
        <v>160</v>
      </c>
      <c r="Z43" s="100">
        <v>42.538055900000003</v>
      </c>
      <c r="AA43" s="100">
        <v>-71.223684300000002</v>
      </c>
      <c r="AB43" s="105" t="e">
        <f t="shared" ca="1" si="2"/>
        <v>#NAME?</v>
      </c>
      <c r="AC43" s="105" t="e">
        <f t="shared" ca="1" si="0"/>
        <v>#NAME?</v>
      </c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</row>
    <row r="44" spans="1:39">
      <c r="A44" s="100" t="s">
        <v>167</v>
      </c>
      <c r="C44" s="100" t="s">
        <v>292</v>
      </c>
      <c r="D44" s="100" t="s">
        <v>293</v>
      </c>
      <c r="E44" s="100" t="s">
        <v>173</v>
      </c>
      <c r="F44" s="100" t="s">
        <v>156</v>
      </c>
      <c r="G44" s="100">
        <v>1890</v>
      </c>
      <c r="H44" s="100">
        <v>799000</v>
      </c>
      <c r="I44" s="100">
        <v>3</v>
      </c>
      <c r="J44" s="100">
        <v>2.5</v>
      </c>
      <c r="K44" s="100" t="s">
        <v>173</v>
      </c>
      <c r="L44" s="100">
        <v>2954</v>
      </c>
      <c r="N44" s="100">
        <v>1985</v>
      </c>
      <c r="O44" s="100">
        <v>14</v>
      </c>
      <c r="P44" s="100">
        <v>270</v>
      </c>
      <c r="Q44" s="100">
        <v>483</v>
      </c>
      <c r="R44" s="100" t="s">
        <v>170</v>
      </c>
      <c r="U44" s="108" t="s">
        <v>294</v>
      </c>
      <c r="V44" s="100" t="s">
        <v>159</v>
      </c>
      <c r="W44" s="100">
        <v>72714749</v>
      </c>
      <c r="X44" s="100" t="s">
        <v>160</v>
      </c>
      <c r="Y44" s="100" t="s">
        <v>160</v>
      </c>
      <c r="Z44" s="100">
        <v>42.438862999999998</v>
      </c>
      <c r="AA44" s="100">
        <v>-71.177154999999999</v>
      </c>
      <c r="AB44" s="105" t="e">
        <f t="shared" ca="1" si="2"/>
        <v>#NAME?</v>
      </c>
      <c r="AC44" s="105" t="e">
        <f t="shared" ca="1" si="0"/>
        <v>#NAME?</v>
      </c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</row>
    <row r="45" spans="1:39">
      <c r="A45" s="100" t="s">
        <v>167</v>
      </c>
      <c r="C45" s="100" t="s">
        <v>153</v>
      </c>
      <c r="D45" s="100" t="s">
        <v>295</v>
      </c>
      <c r="E45" s="100" t="s">
        <v>187</v>
      </c>
      <c r="F45" s="100" t="s">
        <v>156</v>
      </c>
      <c r="G45" s="100">
        <v>1810</v>
      </c>
      <c r="H45" s="100">
        <v>549900</v>
      </c>
      <c r="I45" s="100">
        <v>3</v>
      </c>
      <c r="J45" s="100">
        <v>2</v>
      </c>
      <c r="K45" s="100" t="s">
        <v>187</v>
      </c>
      <c r="L45" s="100">
        <v>2046</v>
      </c>
      <c r="M45" s="100">
        <v>10340</v>
      </c>
      <c r="N45" s="100">
        <v>1940</v>
      </c>
      <c r="O45" s="100">
        <v>13</v>
      </c>
      <c r="P45" s="100">
        <v>269</v>
      </c>
      <c r="R45" s="100" t="s">
        <v>198</v>
      </c>
      <c r="U45" s="108" t="s">
        <v>296</v>
      </c>
      <c r="V45" s="100" t="s">
        <v>159</v>
      </c>
      <c r="W45" s="100">
        <v>72715115</v>
      </c>
      <c r="X45" s="100" t="s">
        <v>160</v>
      </c>
      <c r="Y45" s="100" t="s">
        <v>160</v>
      </c>
      <c r="Z45" s="100">
        <v>42.659896000000003</v>
      </c>
      <c r="AA45" s="100">
        <v>-71.135776800000002</v>
      </c>
      <c r="AB45" s="105" t="e">
        <f t="shared" ca="1" si="2"/>
        <v>#NAME?</v>
      </c>
      <c r="AC45" s="105" t="e">
        <f t="shared" ca="1" si="0"/>
        <v>#NAME?</v>
      </c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</row>
    <row r="46" spans="1:39">
      <c r="A46" s="100" t="s">
        <v>167</v>
      </c>
      <c r="C46" s="100" t="s">
        <v>153</v>
      </c>
      <c r="D46" s="100" t="s">
        <v>297</v>
      </c>
      <c r="E46" s="100" t="s">
        <v>179</v>
      </c>
      <c r="F46" s="100" t="s">
        <v>156</v>
      </c>
      <c r="G46" s="100">
        <v>1803</v>
      </c>
      <c r="H46" s="100">
        <v>559000</v>
      </c>
      <c r="I46" s="100">
        <v>3</v>
      </c>
      <c r="J46" s="100">
        <v>1.5</v>
      </c>
      <c r="K46" s="100" t="s">
        <v>179</v>
      </c>
      <c r="L46" s="100">
        <v>1446</v>
      </c>
      <c r="M46" s="100">
        <v>21252</v>
      </c>
      <c r="N46" s="100">
        <v>1964</v>
      </c>
      <c r="O46" s="100">
        <v>13</v>
      </c>
      <c r="P46" s="100">
        <v>387</v>
      </c>
      <c r="R46" s="100" t="s">
        <v>198</v>
      </c>
      <c r="U46" s="108" t="s">
        <v>298</v>
      </c>
      <c r="V46" s="100" t="s">
        <v>159</v>
      </c>
      <c r="W46" s="100">
        <v>72715497</v>
      </c>
      <c r="X46" s="100" t="s">
        <v>160</v>
      </c>
      <c r="Y46" s="100" t="s">
        <v>160</v>
      </c>
      <c r="Z46" s="100">
        <v>42.510331100000002</v>
      </c>
      <c r="AA46" s="100">
        <v>-71.213659899999996</v>
      </c>
      <c r="AB46" s="105" t="e">
        <f t="shared" ca="1" si="2"/>
        <v>#NAME?</v>
      </c>
      <c r="AC46" s="105" t="e">
        <f t="shared" ca="1" si="0"/>
        <v>#NAME?</v>
      </c>
      <c r="AD46" s="107"/>
      <c r="AE46" s="107"/>
      <c r="AF46" s="107"/>
      <c r="AG46" s="111" t="s">
        <v>299</v>
      </c>
      <c r="AH46" s="111" t="s">
        <v>300</v>
      </c>
      <c r="AI46" s="107"/>
      <c r="AJ46" s="107"/>
      <c r="AK46" s="107"/>
      <c r="AL46" s="107"/>
      <c r="AM46" s="107"/>
    </row>
    <row r="47" spans="1:39">
      <c r="A47" s="100" t="s">
        <v>167</v>
      </c>
      <c r="C47" s="100" t="s">
        <v>153</v>
      </c>
      <c r="D47" s="100" t="s">
        <v>301</v>
      </c>
      <c r="E47" s="100" t="s">
        <v>187</v>
      </c>
      <c r="F47" s="100" t="s">
        <v>156</v>
      </c>
      <c r="G47" s="100">
        <v>1810</v>
      </c>
      <c r="H47" s="100">
        <v>719900</v>
      </c>
      <c r="I47" s="100">
        <v>4</v>
      </c>
      <c r="J47" s="100">
        <v>3</v>
      </c>
      <c r="K47" s="100" t="s">
        <v>187</v>
      </c>
      <c r="L47" s="100">
        <v>2901</v>
      </c>
      <c r="M47" s="100">
        <v>15158</v>
      </c>
      <c r="N47" s="100">
        <v>1968</v>
      </c>
      <c r="O47" s="100">
        <v>12</v>
      </c>
      <c r="P47" s="100">
        <v>248</v>
      </c>
      <c r="R47" s="100" t="s">
        <v>170</v>
      </c>
      <c r="U47" s="108" t="s">
        <v>302</v>
      </c>
      <c r="V47" s="100" t="s">
        <v>159</v>
      </c>
      <c r="W47" s="100">
        <v>72715833</v>
      </c>
      <c r="X47" s="100" t="s">
        <v>160</v>
      </c>
      <c r="Y47" s="100" t="s">
        <v>160</v>
      </c>
      <c r="Z47" s="100">
        <v>42.633052399999997</v>
      </c>
      <c r="AA47" s="100">
        <v>-71.166179999999997</v>
      </c>
      <c r="AB47" s="105" t="e">
        <f t="shared" ca="1" si="2"/>
        <v>#NAME?</v>
      </c>
      <c r="AC47" s="105" t="e">
        <f t="shared" ca="1" si="0"/>
        <v>#NAME?</v>
      </c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</row>
    <row r="48" spans="1:39">
      <c r="A48" s="100" t="s">
        <v>167</v>
      </c>
      <c r="C48" s="100" t="s">
        <v>153</v>
      </c>
      <c r="D48" s="100" t="s">
        <v>303</v>
      </c>
      <c r="E48" s="100" t="s">
        <v>187</v>
      </c>
      <c r="F48" s="100" t="s">
        <v>156</v>
      </c>
      <c r="G48" s="100">
        <v>1810</v>
      </c>
      <c r="H48" s="100">
        <v>689000</v>
      </c>
      <c r="I48" s="100">
        <v>4</v>
      </c>
      <c r="J48" s="100">
        <v>2.5</v>
      </c>
      <c r="K48" s="100" t="s">
        <v>187</v>
      </c>
      <c r="L48" s="100">
        <v>2408</v>
      </c>
      <c r="M48" s="100">
        <v>43600</v>
      </c>
      <c r="N48" s="100">
        <v>1969</v>
      </c>
      <c r="O48" s="100">
        <v>12</v>
      </c>
      <c r="P48" s="100">
        <v>286</v>
      </c>
      <c r="R48" s="100" t="s">
        <v>198</v>
      </c>
      <c r="U48" s="108" t="s">
        <v>304</v>
      </c>
      <c r="V48" s="100" t="s">
        <v>159</v>
      </c>
      <c r="W48" s="100">
        <v>72716070</v>
      </c>
      <c r="X48" s="100" t="s">
        <v>160</v>
      </c>
      <c r="Y48" s="100" t="s">
        <v>160</v>
      </c>
      <c r="Z48" s="100">
        <v>42.622188399999999</v>
      </c>
      <c r="AA48" s="100">
        <v>-71.112067699999997</v>
      </c>
      <c r="AB48" s="105" t="e">
        <f t="shared" ca="1" si="2"/>
        <v>#NAME?</v>
      </c>
      <c r="AC48" s="105" t="e">
        <f t="shared" ca="1" si="0"/>
        <v>#NAME?</v>
      </c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</row>
    <row r="49" spans="1:39">
      <c r="A49" s="100" t="s">
        <v>167</v>
      </c>
      <c r="C49" s="100" t="s">
        <v>153</v>
      </c>
      <c r="D49" s="100" t="s">
        <v>305</v>
      </c>
      <c r="E49" s="100" t="s">
        <v>272</v>
      </c>
      <c r="F49" s="100" t="s">
        <v>156</v>
      </c>
      <c r="G49" s="100">
        <v>1801</v>
      </c>
      <c r="H49" s="100">
        <v>589000</v>
      </c>
      <c r="I49" s="100">
        <v>4</v>
      </c>
      <c r="J49" s="100">
        <v>2</v>
      </c>
      <c r="K49" s="100" t="s">
        <v>272</v>
      </c>
      <c r="L49" s="100">
        <v>1908</v>
      </c>
      <c r="M49" s="100">
        <v>17155</v>
      </c>
      <c r="N49" s="100">
        <v>1977</v>
      </c>
      <c r="O49" s="100">
        <v>12</v>
      </c>
      <c r="P49" s="100">
        <v>309</v>
      </c>
      <c r="R49" s="100" t="s">
        <v>198</v>
      </c>
      <c r="U49" s="108" t="s">
        <v>306</v>
      </c>
      <c r="V49" s="100" t="s">
        <v>159</v>
      </c>
      <c r="W49" s="100">
        <v>72716188</v>
      </c>
      <c r="X49" s="100" t="s">
        <v>160</v>
      </c>
      <c r="Y49" s="100" t="s">
        <v>160</v>
      </c>
      <c r="Z49" s="100">
        <v>42.472987199999999</v>
      </c>
      <c r="AA49" s="100">
        <v>-71.140093800000002</v>
      </c>
      <c r="AB49" s="105" t="e">
        <f t="shared" ca="1" si="2"/>
        <v>#NAME?</v>
      </c>
      <c r="AC49" s="105" t="e">
        <f t="shared" ca="1" si="0"/>
        <v>#NAME?</v>
      </c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</row>
    <row r="50" spans="1:39">
      <c r="A50" s="100" t="s">
        <v>167</v>
      </c>
      <c r="C50" s="100" t="s">
        <v>153</v>
      </c>
      <c r="D50" s="100" t="s">
        <v>307</v>
      </c>
      <c r="E50" s="100" t="s">
        <v>187</v>
      </c>
      <c r="F50" s="100" t="s">
        <v>156</v>
      </c>
      <c r="G50" s="100">
        <v>1810</v>
      </c>
      <c r="H50" s="100">
        <v>675000</v>
      </c>
      <c r="I50" s="100">
        <v>4</v>
      </c>
      <c r="J50" s="100">
        <v>2.5</v>
      </c>
      <c r="K50" s="100" t="s">
        <v>287</v>
      </c>
      <c r="L50" s="100">
        <v>2628</v>
      </c>
      <c r="M50" s="100">
        <v>21750</v>
      </c>
      <c r="N50" s="100">
        <v>1960</v>
      </c>
      <c r="O50" s="100">
        <v>12</v>
      </c>
      <c r="P50" s="100">
        <v>257</v>
      </c>
      <c r="R50" s="100" t="s">
        <v>198</v>
      </c>
      <c r="U50" s="108" t="s">
        <v>308</v>
      </c>
      <c r="V50" s="100" t="s">
        <v>159</v>
      </c>
      <c r="W50" s="100">
        <v>72716266</v>
      </c>
      <c r="X50" s="100" t="s">
        <v>160</v>
      </c>
      <c r="Y50" s="100" t="s">
        <v>160</v>
      </c>
      <c r="Z50" s="100">
        <v>42.630733499999998</v>
      </c>
      <c r="AA50" s="100">
        <v>-71.165576599999994</v>
      </c>
      <c r="AB50" s="105" t="e">
        <f t="shared" ca="1" si="2"/>
        <v>#NAME?</v>
      </c>
      <c r="AC50" s="105" t="e">
        <f t="shared" ca="1" si="0"/>
        <v>#NAME?</v>
      </c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</row>
    <row r="51" spans="1:39">
      <c r="A51" s="100" t="s">
        <v>167</v>
      </c>
      <c r="C51" s="100" t="s">
        <v>153</v>
      </c>
      <c r="D51" s="100" t="s">
        <v>309</v>
      </c>
      <c r="E51" s="100" t="s">
        <v>179</v>
      </c>
      <c r="F51" s="100" t="s">
        <v>156</v>
      </c>
      <c r="G51" s="100">
        <v>1803</v>
      </c>
      <c r="H51" s="100">
        <v>625000</v>
      </c>
      <c r="I51" s="100">
        <v>3</v>
      </c>
      <c r="J51" s="100">
        <v>1.5</v>
      </c>
      <c r="K51" s="100" t="s">
        <v>179</v>
      </c>
      <c r="L51" s="100">
        <v>1583</v>
      </c>
      <c r="M51" s="100">
        <v>20329</v>
      </c>
      <c r="N51" s="100">
        <v>1960</v>
      </c>
      <c r="O51" s="100">
        <v>11</v>
      </c>
      <c r="P51" s="100">
        <v>395</v>
      </c>
      <c r="R51" s="100" t="s">
        <v>198</v>
      </c>
      <c r="U51" s="108" t="s">
        <v>310</v>
      </c>
      <c r="V51" s="100" t="s">
        <v>159</v>
      </c>
      <c r="W51" s="100">
        <v>72716688</v>
      </c>
      <c r="X51" s="100" t="s">
        <v>160</v>
      </c>
      <c r="Y51" s="100" t="s">
        <v>160</v>
      </c>
      <c r="Z51" s="100">
        <v>42.471532000000003</v>
      </c>
      <c r="AA51" s="100">
        <v>-71.205491699999996</v>
      </c>
      <c r="AB51" s="105" t="e">
        <f t="shared" ca="1" si="2"/>
        <v>#NAME?</v>
      </c>
      <c r="AC51" s="105" t="e">
        <f t="shared" ca="1" si="0"/>
        <v>#NAME?</v>
      </c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</row>
    <row r="52" spans="1:39">
      <c r="A52" s="100" t="s">
        <v>167</v>
      </c>
      <c r="C52" s="100" t="s">
        <v>153</v>
      </c>
      <c r="D52" s="100" t="s">
        <v>311</v>
      </c>
      <c r="E52" s="100" t="s">
        <v>179</v>
      </c>
      <c r="F52" s="100" t="s">
        <v>156</v>
      </c>
      <c r="G52" s="100">
        <v>1803</v>
      </c>
      <c r="H52" s="100">
        <v>599900</v>
      </c>
      <c r="I52" s="100">
        <v>3</v>
      </c>
      <c r="J52" s="100">
        <v>2</v>
      </c>
      <c r="K52" s="100" t="s">
        <v>179</v>
      </c>
      <c r="L52" s="100">
        <v>1827</v>
      </c>
      <c r="M52" s="100">
        <v>25000</v>
      </c>
      <c r="N52" s="100">
        <v>1966</v>
      </c>
      <c r="O52" s="100">
        <v>8</v>
      </c>
      <c r="P52" s="100">
        <v>328</v>
      </c>
      <c r="R52" s="100" t="s">
        <v>170</v>
      </c>
      <c r="U52" s="108" t="s">
        <v>312</v>
      </c>
      <c r="V52" s="100" t="s">
        <v>159</v>
      </c>
      <c r="W52" s="100">
        <v>72718034</v>
      </c>
      <c r="X52" s="100" t="s">
        <v>160</v>
      </c>
      <c r="Y52" s="100" t="s">
        <v>160</v>
      </c>
      <c r="Z52" s="100">
        <v>42.5122517</v>
      </c>
      <c r="AA52" s="100">
        <v>-71.216908599999996</v>
      </c>
      <c r="AB52" s="105" t="e">
        <f t="shared" ca="1" si="2"/>
        <v>#NAME?</v>
      </c>
      <c r="AC52" s="105" t="e">
        <f t="shared" ca="1" si="0"/>
        <v>#NAME?</v>
      </c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</row>
    <row r="53" spans="1:39">
      <c r="A53" s="100" t="s">
        <v>167</v>
      </c>
      <c r="C53" s="100" t="s">
        <v>153</v>
      </c>
      <c r="D53" s="100" t="s">
        <v>313</v>
      </c>
      <c r="E53" s="100" t="s">
        <v>155</v>
      </c>
      <c r="F53" s="100" t="s">
        <v>156</v>
      </c>
      <c r="G53" s="100">
        <v>1730</v>
      </c>
      <c r="H53" s="100">
        <v>585000</v>
      </c>
      <c r="I53" s="100">
        <v>3</v>
      </c>
      <c r="J53" s="100">
        <v>1</v>
      </c>
      <c r="K53" s="100" t="s">
        <v>155</v>
      </c>
      <c r="L53" s="100">
        <v>1440</v>
      </c>
      <c r="M53" s="100">
        <v>15028</v>
      </c>
      <c r="N53" s="100">
        <v>1960</v>
      </c>
      <c r="O53" s="100">
        <v>6</v>
      </c>
      <c r="P53" s="100">
        <v>406</v>
      </c>
      <c r="R53" s="100" t="s">
        <v>170</v>
      </c>
      <c r="U53" s="108" t="s">
        <v>314</v>
      </c>
      <c r="V53" s="100" t="s">
        <v>159</v>
      </c>
      <c r="W53" s="100">
        <v>72718716</v>
      </c>
      <c r="X53" s="100" t="s">
        <v>160</v>
      </c>
      <c r="Y53" s="100" t="s">
        <v>160</v>
      </c>
      <c r="Z53" s="100">
        <v>42.4794707</v>
      </c>
      <c r="AA53" s="100">
        <v>-71.2844281</v>
      </c>
      <c r="AB53" s="105" t="e">
        <f t="shared" ca="1" si="2"/>
        <v>#NAME?</v>
      </c>
      <c r="AC53" s="105" t="e">
        <f t="shared" ca="1" si="0"/>
        <v>#NAME?</v>
      </c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</row>
    <row r="54" spans="1:39">
      <c r="A54" s="100" t="s">
        <v>167</v>
      </c>
      <c r="C54" s="100" t="s">
        <v>153</v>
      </c>
      <c r="D54" s="100" t="s">
        <v>315</v>
      </c>
      <c r="E54" s="100" t="s">
        <v>179</v>
      </c>
      <c r="F54" s="100" t="s">
        <v>156</v>
      </c>
      <c r="G54" s="100">
        <v>1803</v>
      </c>
      <c r="H54" s="100">
        <v>554000</v>
      </c>
      <c r="I54" s="100">
        <v>4</v>
      </c>
      <c r="J54" s="100">
        <v>2</v>
      </c>
      <c r="K54" s="100" t="s">
        <v>179</v>
      </c>
      <c r="L54" s="100">
        <v>1634</v>
      </c>
      <c r="M54" s="100">
        <v>10700</v>
      </c>
      <c r="N54" s="100">
        <v>1955</v>
      </c>
      <c r="O54" s="100">
        <v>5</v>
      </c>
      <c r="P54" s="100">
        <v>339</v>
      </c>
      <c r="R54" s="100" t="s">
        <v>170</v>
      </c>
      <c r="U54" s="108" t="s">
        <v>316</v>
      </c>
      <c r="V54" s="100" t="s">
        <v>159</v>
      </c>
      <c r="W54" s="100">
        <v>72719866</v>
      </c>
      <c r="X54" s="100" t="s">
        <v>160</v>
      </c>
      <c r="Y54" s="100" t="s">
        <v>160</v>
      </c>
      <c r="Z54" s="100">
        <v>42.5181307</v>
      </c>
      <c r="AA54" s="100">
        <v>-71.213799199999997</v>
      </c>
      <c r="AB54" s="105" t="e">
        <f t="shared" ca="1" si="2"/>
        <v>#NAME?</v>
      </c>
      <c r="AC54" s="105" t="e">
        <f t="shared" ca="1" si="0"/>
        <v>#NAME?</v>
      </c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</row>
    <row r="55" spans="1:39">
      <c r="A55" s="100" t="s">
        <v>167</v>
      </c>
      <c r="C55" s="100" t="s">
        <v>153</v>
      </c>
      <c r="D55" s="100" t="s">
        <v>317</v>
      </c>
      <c r="E55" s="100" t="s">
        <v>179</v>
      </c>
      <c r="F55" s="100" t="s">
        <v>156</v>
      </c>
      <c r="G55" s="100">
        <v>1803</v>
      </c>
      <c r="H55" s="100">
        <v>649900</v>
      </c>
      <c r="I55" s="100">
        <v>4</v>
      </c>
      <c r="J55" s="100">
        <v>2</v>
      </c>
      <c r="K55" s="100" t="s">
        <v>318</v>
      </c>
      <c r="L55" s="100">
        <v>2508</v>
      </c>
      <c r="M55" s="100">
        <v>20096</v>
      </c>
      <c r="N55" s="100">
        <v>1978</v>
      </c>
      <c r="O55" s="100">
        <v>4</v>
      </c>
      <c r="P55" s="100">
        <v>259</v>
      </c>
      <c r="R55" s="100" t="s">
        <v>170</v>
      </c>
      <c r="U55" s="108" t="s">
        <v>319</v>
      </c>
      <c r="V55" s="100" t="s">
        <v>159</v>
      </c>
      <c r="W55" s="100">
        <v>72720012</v>
      </c>
      <c r="X55" s="100" t="s">
        <v>160</v>
      </c>
      <c r="Y55" s="100" t="s">
        <v>160</v>
      </c>
      <c r="Z55" s="100">
        <v>42.520542300000002</v>
      </c>
      <c r="AA55" s="100">
        <v>-71.197230599999997</v>
      </c>
      <c r="AB55" s="105" t="e">
        <f t="shared" ca="1" si="2"/>
        <v>#NAME?</v>
      </c>
      <c r="AC55" s="105" t="e">
        <f t="shared" ca="1" si="0"/>
        <v>#NAME?</v>
      </c>
      <c r="AD55" s="107"/>
      <c r="AE55" s="107"/>
      <c r="AF55" s="107"/>
      <c r="AG55" s="111" t="s">
        <v>320</v>
      </c>
      <c r="AH55" s="111" t="s">
        <v>321</v>
      </c>
      <c r="AI55" s="107"/>
      <c r="AJ55" s="107"/>
      <c r="AK55" s="107"/>
      <c r="AL55" s="107"/>
      <c r="AM55" s="107"/>
    </row>
    <row r="56" spans="1:39">
      <c r="A56" s="100" t="s">
        <v>167</v>
      </c>
      <c r="C56" s="100" t="s">
        <v>153</v>
      </c>
      <c r="D56" s="100" t="s">
        <v>322</v>
      </c>
      <c r="E56" s="100" t="s">
        <v>323</v>
      </c>
      <c r="F56" s="100" t="s">
        <v>156</v>
      </c>
      <c r="G56" s="100">
        <v>1876</v>
      </c>
      <c r="H56" s="100">
        <v>679000</v>
      </c>
      <c r="I56" s="100">
        <v>3</v>
      </c>
      <c r="J56" s="100">
        <v>3</v>
      </c>
      <c r="K56" s="100" t="s">
        <v>323</v>
      </c>
      <c r="L56" s="100">
        <v>2544</v>
      </c>
      <c r="M56" s="100">
        <v>50094</v>
      </c>
      <c r="N56" s="100">
        <v>1987</v>
      </c>
      <c r="O56" s="100">
        <v>4</v>
      </c>
      <c r="P56" s="100">
        <v>267</v>
      </c>
      <c r="R56" s="100" t="s">
        <v>170</v>
      </c>
      <c r="U56" s="108" t="s">
        <v>324</v>
      </c>
      <c r="V56" s="100" t="s">
        <v>159</v>
      </c>
      <c r="W56" s="100">
        <v>72720192</v>
      </c>
      <c r="X56" s="100" t="s">
        <v>160</v>
      </c>
      <c r="Y56" s="100" t="s">
        <v>160</v>
      </c>
      <c r="Z56" s="100">
        <v>42.615531799999999</v>
      </c>
      <c r="AA56" s="100">
        <v>-71.2045399</v>
      </c>
      <c r="AB56" s="105" t="e">
        <f t="shared" ca="1" si="2"/>
        <v>#NAME?</v>
      </c>
      <c r="AC56" s="105" t="e">
        <f t="shared" ca="1" si="0"/>
        <v>#NAME?</v>
      </c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</row>
    <row r="57" spans="1:39">
      <c r="A57" s="100" t="s">
        <v>167</v>
      </c>
      <c r="C57" s="100" t="s">
        <v>182</v>
      </c>
      <c r="D57" s="100" t="s">
        <v>325</v>
      </c>
      <c r="E57" s="100" t="s">
        <v>187</v>
      </c>
      <c r="F57" s="100" t="s">
        <v>156</v>
      </c>
      <c r="G57" s="100">
        <v>1810</v>
      </c>
      <c r="H57" s="100">
        <v>449900</v>
      </c>
      <c r="I57" s="100">
        <v>2</v>
      </c>
      <c r="J57" s="100">
        <v>1.5</v>
      </c>
      <c r="K57" s="100" t="s">
        <v>187</v>
      </c>
      <c r="L57" s="100">
        <v>1944</v>
      </c>
      <c r="N57" s="100">
        <v>2004</v>
      </c>
      <c r="O57" s="100">
        <v>3</v>
      </c>
      <c r="P57" s="100">
        <v>231</v>
      </c>
      <c r="Q57" s="100">
        <v>318</v>
      </c>
      <c r="R57" s="100" t="s">
        <v>170</v>
      </c>
      <c r="U57" s="108" t="s">
        <v>326</v>
      </c>
      <c r="V57" s="100" t="s">
        <v>159</v>
      </c>
      <c r="W57" s="100">
        <v>72720804</v>
      </c>
      <c r="X57" s="100" t="s">
        <v>160</v>
      </c>
      <c r="Y57" s="100" t="s">
        <v>160</v>
      </c>
      <c r="Z57" s="100">
        <v>42.628115200000003</v>
      </c>
      <c r="AA57" s="100">
        <v>-71.158566899999997</v>
      </c>
      <c r="AB57" s="105" t="e">
        <f t="shared" ca="1" si="2"/>
        <v>#NAME?</v>
      </c>
      <c r="AC57" s="105" t="e">
        <f t="shared" ca="1" si="0"/>
        <v>#NAME?</v>
      </c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</row>
    <row r="58" spans="1:39"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</row>
    <row r="59" spans="1:39"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</row>
    <row r="60" spans="1:39"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</row>
    <row r="61" spans="1:39"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</row>
    <row r="62" spans="1:39"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</row>
    <row r="63" spans="1:39"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</row>
    <row r="64" spans="1:39"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</row>
    <row r="65" spans="28:39"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</row>
    <row r="66" spans="28:39"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</row>
    <row r="67" spans="28:39"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</row>
    <row r="68" spans="28:39"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</row>
    <row r="69" spans="28:39"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</row>
    <row r="70" spans="28:39"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</row>
    <row r="71" spans="28:39"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</row>
    <row r="72" spans="28:39"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</row>
    <row r="73" spans="28:39"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</row>
    <row r="74" spans="28:39"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</row>
    <row r="75" spans="28:39"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</row>
    <row r="76" spans="28:39"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</row>
    <row r="77" spans="28:39"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</row>
    <row r="78" spans="28:39"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</row>
    <row r="79" spans="28:39"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</row>
    <row r="80" spans="28:39"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</row>
    <row r="81" spans="28:39"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</row>
    <row r="82" spans="28:39"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</row>
    <row r="83" spans="28:39"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</row>
    <row r="84" spans="28:39"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</row>
    <row r="85" spans="28:39"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</row>
    <row r="86" spans="28:39"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</row>
    <row r="87" spans="28:39"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</row>
    <row r="88" spans="28:39"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</row>
    <row r="89" spans="28:39"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</row>
    <row r="90" spans="28:39"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</row>
    <row r="91" spans="28:39"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</row>
    <row r="92" spans="28:39"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</row>
    <row r="93" spans="28:39"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</row>
    <row r="94" spans="28:39"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</row>
    <row r="95" spans="28:39"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</row>
    <row r="96" spans="28:39"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</row>
    <row r="97" spans="28:39"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</row>
    <row r="98" spans="28:39"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</row>
    <row r="99" spans="28:39"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</row>
    <row r="100" spans="28:39"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</row>
    <row r="101" spans="28:39"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</row>
    <row r="102" spans="28:39"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</row>
    <row r="103" spans="28:39"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</row>
    <row r="104" spans="28:39"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</row>
    <row r="105" spans="28:39"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</row>
    <row r="106" spans="28:39"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</row>
    <row r="107" spans="28:39"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</row>
    <row r="108" spans="28:39"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</row>
    <row r="109" spans="28:39"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</row>
    <row r="110" spans="28:39"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</row>
    <row r="111" spans="28:39"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</row>
    <row r="112" spans="28:39"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</row>
    <row r="113" spans="28:39"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</row>
    <row r="114" spans="28:39"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</row>
    <row r="115" spans="28:39"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</row>
    <row r="116" spans="28:39"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</row>
    <row r="117" spans="28:39"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</row>
    <row r="118" spans="28:39"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</row>
    <row r="119" spans="28:39"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</row>
    <row r="120" spans="28:39"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</row>
    <row r="121" spans="28:39"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</row>
    <row r="122" spans="28:39"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</row>
    <row r="123" spans="28:39"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</row>
    <row r="124" spans="28:39"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</row>
    <row r="125" spans="28:39"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</row>
    <row r="126" spans="28:39"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</row>
    <row r="127" spans="28:39"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</row>
    <row r="128" spans="28:39"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</row>
    <row r="129" spans="28:39"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</row>
    <row r="130" spans="28:39"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</row>
    <row r="131" spans="28:39"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</row>
    <row r="132" spans="28:39"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</row>
    <row r="133" spans="28:39"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</row>
    <row r="134" spans="28:39"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</row>
    <row r="135" spans="28:39"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</row>
    <row r="136" spans="28:39"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</row>
    <row r="137" spans="28:39"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</row>
    <row r="138" spans="28:39"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</row>
    <row r="139" spans="28:39"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</row>
    <row r="140" spans="28:39"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</row>
    <row r="141" spans="28:39"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</row>
    <row r="142" spans="28:39"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</row>
    <row r="143" spans="28:39"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</row>
    <row r="144" spans="28:39"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</row>
    <row r="145" spans="28:39"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</row>
    <row r="146" spans="28:39"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</row>
    <row r="147" spans="28:39"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</row>
    <row r="148" spans="28:39"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</row>
    <row r="149" spans="28:39"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</row>
    <row r="150" spans="28:39"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</row>
    <row r="151" spans="28:39"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</row>
    <row r="152" spans="28:39"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</row>
    <row r="153" spans="28:39"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</row>
    <row r="154" spans="28:39"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</row>
    <row r="155" spans="28:39"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</row>
    <row r="156" spans="28:39"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</row>
    <row r="157" spans="28:39"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</row>
    <row r="158" spans="28:39"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</row>
    <row r="159" spans="28:39"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</row>
    <row r="160" spans="28:39"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</row>
    <row r="161" spans="28:39"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</row>
    <row r="162" spans="28:39"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</row>
    <row r="163" spans="28:39"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</row>
    <row r="164" spans="28:39"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</row>
    <row r="165" spans="28:39"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</row>
    <row r="166" spans="28:39"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</row>
    <row r="167" spans="28:39"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</row>
    <row r="168" spans="28:39"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</row>
    <row r="169" spans="28:39"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</row>
    <row r="170" spans="28:39"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</row>
    <row r="171" spans="28:39"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</row>
    <row r="172" spans="28:39"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</row>
    <row r="173" spans="28:39"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</row>
    <row r="174" spans="28:39"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</row>
    <row r="175" spans="28:39"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</row>
    <row r="176" spans="28:39"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</row>
    <row r="177" spans="28:39"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</row>
    <row r="178" spans="28:39"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</row>
    <row r="179" spans="28:39"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</row>
    <row r="180" spans="28:39"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</row>
    <row r="181" spans="28:39"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</row>
    <row r="182" spans="28:39"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</row>
    <row r="183" spans="28:39"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</row>
    <row r="184" spans="28:39"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</row>
    <row r="185" spans="28:39"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</row>
    <row r="186" spans="28:39"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</row>
    <row r="187" spans="28:39"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</row>
    <row r="188" spans="28:39"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</row>
    <row r="189" spans="28:39"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</row>
    <row r="190" spans="28:39"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</row>
    <row r="191" spans="28:39"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</row>
    <row r="192" spans="28:39"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</row>
    <row r="193" spans="28:39"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</row>
    <row r="194" spans="28:39"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</row>
    <row r="195" spans="28:39"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</row>
    <row r="196" spans="28:39"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</row>
    <row r="197" spans="28:39"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</row>
    <row r="198" spans="28:39"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</row>
    <row r="199" spans="28:39"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</row>
    <row r="200" spans="28:39"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</row>
    <row r="201" spans="28:39"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</row>
    <row r="202" spans="28:39"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</row>
    <row r="203" spans="28:39"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</row>
    <row r="204" spans="28:39"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</row>
    <row r="205" spans="28:39"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</row>
    <row r="206" spans="28:39"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</row>
    <row r="207" spans="28:39"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</row>
    <row r="208" spans="28:39"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</row>
    <row r="209" spans="28:39"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</row>
    <row r="210" spans="28:39"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</row>
    <row r="211" spans="28:39"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</row>
    <row r="212" spans="28:39"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</row>
    <row r="213" spans="28:39"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</row>
    <row r="214" spans="28:39"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</row>
    <row r="215" spans="28:39"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</row>
    <row r="216" spans="28:39"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</row>
    <row r="217" spans="28:39"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</row>
    <row r="218" spans="28:39"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</row>
    <row r="219" spans="28:39"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</row>
    <row r="220" spans="28:39"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</row>
    <row r="221" spans="28:39"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</row>
    <row r="222" spans="28:39"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</row>
    <row r="223" spans="28:39"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</row>
    <row r="224" spans="28:39"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</row>
    <row r="225" spans="28:39"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</row>
    <row r="226" spans="28:39"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</row>
    <row r="227" spans="28:39"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</row>
    <row r="228" spans="28:39"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</row>
    <row r="229" spans="28:39"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</row>
    <row r="230" spans="28:39"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</row>
    <row r="231" spans="28:39"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</row>
    <row r="232" spans="28:39">
      <c r="AB232" s="107"/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</row>
    <row r="233" spans="28:39">
      <c r="AB233" s="107"/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</row>
    <row r="234" spans="28:39"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</row>
    <row r="235" spans="28:39"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</row>
    <row r="236" spans="28:39"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</row>
    <row r="237" spans="28:39"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</row>
    <row r="238" spans="28:39"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</row>
    <row r="239" spans="28:39"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</row>
    <row r="240" spans="28:39"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</row>
    <row r="241" spans="28:39"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</row>
    <row r="242" spans="28:39"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</row>
    <row r="243" spans="28:39"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</row>
    <row r="244" spans="28:39"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</row>
    <row r="245" spans="28:39"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</row>
    <row r="246" spans="28:39"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</row>
    <row r="247" spans="28:39"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</row>
    <row r="248" spans="28:39"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</row>
    <row r="249" spans="28:39"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</row>
    <row r="250" spans="28:39"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</row>
    <row r="251" spans="28:39"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</row>
    <row r="252" spans="28:39"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</row>
    <row r="253" spans="28:39"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</row>
    <row r="254" spans="28:39"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</row>
    <row r="255" spans="28:39"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</row>
    <row r="256" spans="28:39"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</row>
    <row r="257" spans="28:39"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</row>
    <row r="258" spans="28:39"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</row>
    <row r="259" spans="28:39"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</row>
    <row r="260" spans="28:39"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</row>
    <row r="261" spans="28:39"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</row>
    <row r="262" spans="28:39"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</row>
    <row r="263" spans="28:39"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</row>
    <row r="264" spans="28:39"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</row>
    <row r="265" spans="28:39"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</row>
    <row r="266" spans="28:39"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</row>
    <row r="267" spans="28:39"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</row>
    <row r="268" spans="28:39"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</row>
    <row r="269" spans="28:39"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</row>
    <row r="270" spans="28:39"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</row>
    <row r="271" spans="28:39"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</row>
    <row r="272" spans="28:39"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</row>
    <row r="273" spans="28:39"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</row>
    <row r="274" spans="28:39"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</row>
    <row r="275" spans="28:39"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</row>
    <row r="276" spans="28:39"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</row>
    <row r="277" spans="28:39"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</row>
    <row r="278" spans="28:39"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</row>
    <row r="279" spans="28:39"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</row>
    <row r="280" spans="28:39"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</row>
    <row r="281" spans="28:39"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</row>
    <row r="282" spans="28:39"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</row>
    <row r="283" spans="28:39"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</row>
    <row r="284" spans="28:39"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</row>
    <row r="285" spans="28:39"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</row>
    <row r="286" spans="28:39"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</row>
    <row r="287" spans="28:39"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</row>
    <row r="288" spans="28:39"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</row>
    <row r="289" spans="28:39"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</row>
    <row r="290" spans="28:39"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</row>
    <row r="291" spans="28:39"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</row>
    <row r="292" spans="28:39"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</row>
    <row r="293" spans="28:39"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</row>
    <row r="294" spans="28:39"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</row>
    <row r="295" spans="28:39"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</row>
    <row r="296" spans="28:39"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</row>
    <row r="297" spans="28:39"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</row>
    <row r="298" spans="28:39"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</row>
    <row r="299" spans="28:39"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</row>
    <row r="300" spans="28:39"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</row>
    <row r="301" spans="28:39"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</row>
    <row r="302" spans="28:39"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</row>
    <row r="303" spans="28:39"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</row>
    <row r="304" spans="28:39"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</row>
    <row r="305" spans="28:39"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</row>
    <row r="306" spans="28:39"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</row>
    <row r="307" spans="28:39"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</row>
    <row r="308" spans="28:39"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</row>
    <row r="309" spans="28:39"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</row>
    <row r="310" spans="28:39"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</row>
    <row r="311" spans="28:39"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</row>
    <row r="312" spans="28:39"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</row>
    <row r="313" spans="28:39"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</row>
    <row r="314" spans="28:39"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</row>
    <row r="315" spans="28:39"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</row>
    <row r="316" spans="28:39"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</row>
    <row r="317" spans="28:39"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</row>
    <row r="318" spans="28:39"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</row>
    <row r="319" spans="28:39"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</row>
    <row r="320" spans="28:39"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</row>
    <row r="321" spans="28:39"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</row>
    <row r="322" spans="28:39"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</row>
    <row r="323" spans="28:39"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</row>
    <row r="324" spans="28:39"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</row>
    <row r="325" spans="28:39"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</row>
    <row r="326" spans="28:39"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</row>
    <row r="327" spans="28:39"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</row>
    <row r="328" spans="28:39"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</row>
    <row r="329" spans="28:39"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</row>
    <row r="330" spans="28:39"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</row>
    <row r="331" spans="28:39"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</row>
    <row r="332" spans="28:39"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</row>
    <row r="333" spans="28:39">
      <c r="AB333" s="107"/>
      <c r="AC333" s="107"/>
      <c r="AD333" s="107"/>
      <c r="AE333" s="107"/>
      <c r="AF333" s="107"/>
      <c r="AG333" s="107"/>
      <c r="AH333" s="107"/>
      <c r="AI333" s="107"/>
      <c r="AJ333" s="107"/>
      <c r="AK333" s="107"/>
      <c r="AL333" s="107"/>
      <c r="AM333" s="107"/>
    </row>
    <row r="334" spans="28:39"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</row>
    <row r="335" spans="28:39"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</row>
    <row r="336" spans="28:39"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</row>
    <row r="337" spans="28:39"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</row>
    <row r="338" spans="28:39"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</row>
    <row r="339" spans="28:39"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</row>
    <row r="340" spans="28:39"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</row>
    <row r="341" spans="28:39"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</row>
    <row r="342" spans="28:39"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</row>
    <row r="343" spans="28:39"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</row>
    <row r="344" spans="28:39"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</row>
    <row r="345" spans="28:39"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</row>
    <row r="346" spans="28:39"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</row>
    <row r="347" spans="28:39"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</row>
    <row r="348" spans="28:39"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</row>
    <row r="349" spans="28:39"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</row>
    <row r="350" spans="28:39"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</row>
    <row r="351" spans="28:39"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</row>
    <row r="352" spans="28:39"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</row>
    <row r="353" spans="28:39"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</row>
    <row r="354" spans="28:39"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</row>
    <row r="355" spans="28:39"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</row>
    <row r="356" spans="28:39"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</row>
    <row r="357" spans="28:39"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</row>
    <row r="358" spans="28:39"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</row>
    <row r="359" spans="28:39"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</row>
    <row r="360" spans="28:39"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</row>
    <row r="361" spans="28:39"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</row>
    <row r="362" spans="28:39"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</row>
    <row r="363" spans="28:39"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</row>
    <row r="364" spans="28:39"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</row>
    <row r="365" spans="28:39"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</row>
    <row r="366" spans="28:39"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</row>
    <row r="367" spans="28:39"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</row>
    <row r="368" spans="28:39"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</row>
    <row r="369" spans="28:39"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</row>
    <row r="370" spans="28:39"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</row>
    <row r="371" spans="28:39"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</row>
    <row r="372" spans="28:39"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</row>
    <row r="373" spans="28:39"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</row>
    <row r="374" spans="28:39"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</row>
    <row r="375" spans="28:39"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</row>
    <row r="376" spans="28:39"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</row>
    <row r="377" spans="28:39"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</row>
    <row r="378" spans="28:39"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</row>
    <row r="379" spans="28:39"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</row>
    <row r="380" spans="28:39"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</row>
    <row r="381" spans="28:39"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</row>
    <row r="382" spans="28:39"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</row>
    <row r="383" spans="28:39"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</row>
    <row r="384" spans="28:39"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</row>
    <row r="385" spans="28:39"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</row>
    <row r="386" spans="28:39"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</row>
    <row r="387" spans="28:39"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</row>
    <row r="388" spans="28:39"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</row>
    <row r="389" spans="28:39"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</row>
    <row r="390" spans="28:39"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</row>
    <row r="391" spans="28:39"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</row>
    <row r="392" spans="28:39"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/>
      <c r="AL392" s="107"/>
      <c r="AM392" s="107"/>
    </row>
    <row r="393" spans="28:39"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</row>
    <row r="394" spans="28:39"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</row>
    <row r="395" spans="28:39"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</row>
    <row r="396" spans="28:39"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</row>
    <row r="397" spans="28:39"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</row>
    <row r="398" spans="28:39"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</row>
    <row r="399" spans="28:39"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</row>
    <row r="400" spans="28:39"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</row>
    <row r="401" spans="28:39"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</row>
    <row r="402" spans="28:39"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</row>
    <row r="403" spans="28:39"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</row>
    <row r="404" spans="28:39"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</row>
    <row r="405" spans="28:39"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</row>
    <row r="406" spans="28:39">
      <c r="AB406" s="107"/>
      <c r="AC406" s="107"/>
      <c r="AD406" s="107"/>
      <c r="AE406" s="107"/>
      <c r="AF406" s="107"/>
      <c r="AG406" s="107"/>
      <c r="AH406" s="107"/>
      <c r="AI406" s="107"/>
      <c r="AJ406" s="107"/>
      <c r="AK406" s="107"/>
      <c r="AL406" s="107"/>
      <c r="AM406" s="107"/>
    </row>
    <row r="407" spans="28:39"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/>
      <c r="AL407" s="107"/>
      <c r="AM407" s="107"/>
    </row>
    <row r="408" spans="28:39"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</row>
    <row r="409" spans="28:39"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</row>
    <row r="410" spans="28:39"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</row>
    <row r="411" spans="28:39"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</row>
    <row r="412" spans="28:39"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</row>
    <row r="413" spans="28:39"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</row>
    <row r="414" spans="28:39"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</row>
    <row r="415" spans="28:39"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</row>
    <row r="416" spans="28:39"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</row>
    <row r="417" spans="28:39"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</row>
    <row r="418" spans="28:39"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/>
      <c r="AM418" s="107"/>
    </row>
    <row r="419" spans="28:39"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</row>
    <row r="420" spans="28:39"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</row>
    <row r="421" spans="28:39"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</row>
    <row r="422" spans="28:39"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</row>
    <row r="423" spans="28:39"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</row>
    <row r="424" spans="28:39"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</row>
    <row r="425" spans="28:39"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</row>
    <row r="426" spans="28:39"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</row>
    <row r="427" spans="28:39"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</row>
    <row r="428" spans="28:39"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</row>
    <row r="429" spans="28:39"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</row>
    <row r="430" spans="28:39"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</row>
    <row r="431" spans="28:39"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</row>
    <row r="432" spans="28:39"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</row>
    <row r="433" spans="28:39"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</row>
    <row r="434" spans="28:39"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</row>
    <row r="435" spans="28:39"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</row>
    <row r="436" spans="28:39"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</row>
    <row r="437" spans="28:39"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</row>
    <row r="438" spans="28:39"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</row>
    <row r="439" spans="28:39"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</row>
    <row r="440" spans="28:39"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</row>
    <row r="441" spans="28:39"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</row>
    <row r="442" spans="28:39"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</row>
    <row r="443" spans="28:39"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</row>
    <row r="444" spans="28:39"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</row>
    <row r="445" spans="28:39"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</row>
    <row r="446" spans="28:39"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</row>
    <row r="447" spans="28:39"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</row>
    <row r="448" spans="28:39"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</row>
    <row r="449" spans="28:39"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</row>
    <row r="450" spans="28:39"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</row>
    <row r="451" spans="28:39"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</row>
    <row r="452" spans="28:39"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</row>
    <row r="453" spans="28:39"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</row>
    <row r="454" spans="28:39"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</row>
    <row r="455" spans="28:39"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</row>
    <row r="456" spans="28:39"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</row>
    <row r="457" spans="28:39"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</row>
    <row r="458" spans="28:39"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</row>
    <row r="459" spans="28:39"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</row>
    <row r="460" spans="28:39"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</row>
    <row r="461" spans="28:39"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</row>
    <row r="462" spans="28:39"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</row>
    <row r="463" spans="28:39"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</row>
    <row r="464" spans="28:39"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</row>
    <row r="465" spans="28:39"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</row>
    <row r="466" spans="28:39"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</row>
    <row r="467" spans="28:39"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</row>
    <row r="468" spans="28:39"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</row>
    <row r="469" spans="28:39"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</row>
    <row r="470" spans="28:39"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</row>
    <row r="471" spans="28:39"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</row>
    <row r="472" spans="28:39">
      <c r="AB472" s="107"/>
      <c r="AC472" s="107"/>
      <c r="AD472" s="107"/>
      <c r="AE472" s="107"/>
      <c r="AF472" s="107"/>
      <c r="AG472" s="107"/>
      <c r="AH472" s="107"/>
      <c r="AI472" s="107"/>
      <c r="AJ472" s="107"/>
      <c r="AK472" s="107"/>
      <c r="AL472" s="107"/>
      <c r="AM472" s="107"/>
    </row>
    <row r="473" spans="28:39"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</row>
    <row r="474" spans="28:39"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</row>
    <row r="475" spans="28:39"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</row>
    <row r="476" spans="28:39"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</row>
    <row r="477" spans="28:39"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</row>
    <row r="478" spans="28:39"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</row>
    <row r="479" spans="28:39"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</row>
    <row r="480" spans="28:39"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</row>
    <row r="481" spans="28:39"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</row>
    <row r="482" spans="28:39"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</row>
    <row r="483" spans="28:39"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</row>
    <row r="484" spans="28:39"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</row>
    <row r="485" spans="28:39"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</row>
    <row r="486" spans="28:39"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</row>
    <row r="487" spans="28:39"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</row>
    <row r="488" spans="28:39"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</row>
    <row r="489" spans="28:39"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</row>
    <row r="490" spans="28:39"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</row>
    <row r="491" spans="28:39"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</row>
    <row r="492" spans="28:39"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</row>
    <row r="493" spans="28:39"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</row>
    <row r="494" spans="28:39"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</row>
    <row r="495" spans="28:39"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</row>
    <row r="496" spans="28:39"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</row>
    <row r="497" spans="28:39"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</row>
    <row r="498" spans="28:39"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</row>
    <row r="499" spans="28:39"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</row>
    <row r="500" spans="28:39"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</row>
    <row r="501" spans="28:39"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</row>
    <row r="502" spans="28:39"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</row>
    <row r="503" spans="28:39"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</row>
    <row r="504" spans="28:39"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</row>
    <row r="505" spans="28:39"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</row>
    <row r="506" spans="28:39"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</row>
    <row r="507" spans="28:39"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</row>
    <row r="508" spans="28:39"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</row>
    <row r="509" spans="28:39"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</row>
    <row r="510" spans="28:39"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</row>
    <row r="511" spans="28:39"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</row>
    <row r="512" spans="28:39"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</row>
    <row r="513" spans="28:39"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</row>
    <row r="514" spans="28:39"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</row>
    <row r="515" spans="28:39"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</row>
    <row r="516" spans="28:39"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</row>
    <row r="517" spans="28:39"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</row>
    <row r="518" spans="28:39"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</row>
    <row r="519" spans="28:39"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</row>
    <row r="520" spans="28:39"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</row>
    <row r="521" spans="28:39"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</row>
    <row r="522" spans="28:39"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</row>
    <row r="523" spans="28:39"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</row>
    <row r="524" spans="28:39"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</row>
    <row r="525" spans="28:39"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</row>
    <row r="526" spans="28:39"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</row>
    <row r="527" spans="28:39"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</row>
    <row r="528" spans="28:39"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</row>
    <row r="529" spans="28:39"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</row>
    <row r="530" spans="28:39"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</row>
    <row r="531" spans="28:39"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</row>
    <row r="532" spans="28:39"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</row>
    <row r="533" spans="28:39"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</row>
    <row r="534" spans="28:39"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</row>
    <row r="535" spans="28:39"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</row>
    <row r="536" spans="28:39"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</row>
    <row r="537" spans="28:39"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</row>
    <row r="538" spans="28:39"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</row>
    <row r="539" spans="28:39"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</row>
    <row r="540" spans="28:39"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</row>
    <row r="541" spans="28:39"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</row>
    <row r="542" spans="28:39"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</row>
    <row r="543" spans="28:39"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</row>
    <row r="544" spans="28:39"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</row>
    <row r="545" spans="28:39"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</row>
    <row r="546" spans="28:39"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</row>
    <row r="547" spans="28:39"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</row>
    <row r="548" spans="28:39"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</row>
    <row r="549" spans="28:39"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</row>
    <row r="550" spans="28:39"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</row>
    <row r="551" spans="28:39"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</row>
    <row r="552" spans="28:39"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</row>
    <row r="553" spans="28:39"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</row>
    <row r="554" spans="28:39"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</row>
    <row r="555" spans="28:39"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</row>
    <row r="556" spans="28:39"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</row>
    <row r="557" spans="28:39"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</row>
    <row r="558" spans="28:39"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</row>
    <row r="559" spans="28:39"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</row>
    <row r="560" spans="28:39"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</row>
    <row r="561" spans="28:39"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</row>
    <row r="562" spans="28:39"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</row>
    <row r="563" spans="28:39"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</row>
    <row r="564" spans="28:39"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</row>
    <row r="565" spans="28:39"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</row>
    <row r="566" spans="28:39"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</row>
    <row r="567" spans="28:39"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</row>
    <row r="568" spans="28:39"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</row>
    <row r="569" spans="28:39"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</row>
    <row r="570" spans="28:39"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</row>
    <row r="571" spans="28:39"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</row>
    <row r="572" spans="28:39"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</row>
    <row r="573" spans="28:39"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</row>
    <row r="574" spans="28:39"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</row>
    <row r="575" spans="28:39"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</row>
    <row r="576" spans="28:39"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</row>
    <row r="577" spans="28:39"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</row>
    <row r="578" spans="28:39"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</row>
    <row r="579" spans="28:39"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</row>
    <row r="580" spans="28:39"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</row>
    <row r="581" spans="28:39"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</row>
    <row r="582" spans="28:39"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</row>
    <row r="583" spans="28:39"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</row>
    <row r="584" spans="28:39"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</row>
    <row r="585" spans="28:39"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</row>
    <row r="586" spans="28:39"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</row>
    <row r="587" spans="28:39"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</row>
    <row r="588" spans="28:39"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</row>
    <row r="589" spans="28:39"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</row>
    <row r="590" spans="28:39"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</row>
    <row r="591" spans="28:39"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</row>
    <row r="592" spans="28:39"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</row>
    <row r="593" spans="28:39"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</row>
    <row r="594" spans="28:39"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</row>
    <row r="595" spans="28:39"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</row>
    <row r="596" spans="28:39"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</row>
    <row r="597" spans="28:39"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</row>
    <row r="598" spans="28:39"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</row>
    <row r="599" spans="28:39"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</row>
    <row r="600" spans="28:39"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</row>
    <row r="601" spans="28:39"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</row>
    <row r="602" spans="28:39"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</row>
    <row r="603" spans="28:39"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</row>
    <row r="604" spans="28:39"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</row>
    <row r="605" spans="28:39"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</row>
    <row r="606" spans="28:39"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</row>
    <row r="607" spans="28:39"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</row>
    <row r="608" spans="28:39"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</row>
    <row r="609" spans="28:39"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</row>
    <row r="610" spans="28:39"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</row>
    <row r="611" spans="28:39"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</row>
    <row r="612" spans="28:39"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</row>
    <row r="613" spans="28:39"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</row>
    <row r="614" spans="28:39"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</row>
    <row r="615" spans="28:39"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</row>
    <row r="616" spans="28:39"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</row>
    <row r="617" spans="28:39"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</row>
    <row r="618" spans="28:39"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</row>
    <row r="619" spans="28:39"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</row>
    <row r="620" spans="28:39"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</row>
    <row r="621" spans="28:39"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</row>
    <row r="622" spans="28:39"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</row>
    <row r="623" spans="28:39"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</row>
    <row r="624" spans="28:39"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</row>
    <row r="625" spans="28:39"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</row>
    <row r="626" spans="28:39"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</row>
    <row r="627" spans="28:39"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</row>
    <row r="628" spans="28:39"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</row>
    <row r="629" spans="28:39"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</row>
    <row r="630" spans="28:39"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</row>
    <row r="631" spans="28:39"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</row>
    <row r="632" spans="28:39"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</row>
    <row r="633" spans="28:39"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</row>
    <row r="634" spans="28:39"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</row>
    <row r="635" spans="28:39"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</row>
    <row r="636" spans="28:39"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</row>
    <row r="637" spans="28:39"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</row>
    <row r="638" spans="28:39"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</row>
    <row r="639" spans="28:39"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</row>
    <row r="640" spans="28:39"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</row>
    <row r="641" spans="28:39"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</row>
    <row r="642" spans="28:39"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</row>
    <row r="643" spans="28:39"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</row>
    <row r="644" spans="28:39"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</row>
    <row r="645" spans="28:39"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</row>
    <row r="646" spans="28:39"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</row>
    <row r="647" spans="28:39"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</row>
    <row r="648" spans="28:39"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</row>
    <row r="649" spans="28:39"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</row>
    <row r="650" spans="28:39"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</row>
    <row r="651" spans="28:39"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</row>
    <row r="652" spans="28:39"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</row>
    <row r="653" spans="28:39"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</row>
    <row r="654" spans="28:39">
      <c r="AB654" s="107"/>
      <c r="AC654" s="10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</row>
    <row r="655" spans="28:39"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</row>
    <row r="656" spans="28:39">
      <c r="AB656" s="107"/>
      <c r="AC656" s="107"/>
      <c r="AD656" s="107"/>
      <c r="AE656" s="107"/>
      <c r="AF656" s="107"/>
      <c r="AG656" s="107"/>
      <c r="AH656" s="107"/>
      <c r="AI656" s="107"/>
      <c r="AJ656" s="107"/>
      <c r="AK656" s="107"/>
      <c r="AL656" s="107"/>
      <c r="AM656" s="107"/>
    </row>
    <row r="657" spans="28:39">
      <c r="AB657" s="107"/>
      <c r="AC657" s="107"/>
      <c r="AD657" s="107"/>
      <c r="AE657" s="107"/>
      <c r="AF657" s="107"/>
      <c r="AG657" s="107"/>
      <c r="AH657" s="107"/>
      <c r="AI657" s="107"/>
      <c r="AJ657" s="107"/>
      <c r="AK657" s="107"/>
      <c r="AL657" s="107"/>
      <c r="AM657" s="107"/>
    </row>
    <row r="658" spans="28:39">
      <c r="AB658" s="107"/>
      <c r="AC658" s="107"/>
      <c r="AD658" s="107"/>
      <c r="AE658" s="107"/>
      <c r="AF658" s="107"/>
      <c r="AG658" s="107"/>
      <c r="AH658" s="107"/>
      <c r="AI658" s="107"/>
      <c r="AJ658" s="107"/>
      <c r="AK658" s="107"/>
      <c r="AL658" s="107"/>
      <c r="AM658" s="107"/>
    </row>
    <row r="659" spans="28:39">
      <c r="AB659" s="107"/>
      <c r="AC659" s="107"/>
      <c r="AD659" s="107"/>
      <c r="AE659" s="107"/>
      <c r="AF659" s="107"/>
      <c r="AG659" s="107"/>
      <c r="AH659" s="107"/>
      <c r="AI659" s="107"/>
      <c r="AJ659" s="107"/>
      <c r="AK659" s="107"/>
      <c r="AL659" s="107"/>
      <c r="AM659" s="107"/>
    </row>
    <row r="660" spans="28:39"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</row>
    <row r="661" spans="28:39"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</row>
    <row r="662" spans="28:39"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</row>
    <row r="663" spans="28:39">
      <c r="AB663" s="107"/>
      <c r="AC663" s="107"/>
      <c r="AD663" s="107"/>
      <c r="AE663" s="107"/>
      <c r="AF663" s="107"/>
      <c r="AG663" s="107"/>
      <c r="AH663" s="107"/>
      <c r="AI663" s="107"/>
      <c r="AJ663" s="107"/>
      <c r="AK663" s="107"/>
      <c r="AL663" s="107"/>
      <c r="AM663" s="107"/>
    </row>
    <row r="664" spans="28:39">
      <c r="AB664" s="107"/>
      <c r="AC664" s="107"/>
      <c r="AD664" s="107"/>
      <c r="AE664" s="107"/>
      <c r="AF664" s="107"/>
      <c r="AG664" s="107"/>
      <c r="AH664" s="107"/>
      <c r="AI664" s="107"/>
      <c r="AJ664" s="107"/>
      <c r="AK664" s="107"/>
      <c r="AL664" s="107"/>
      <c r="AM664" s="107"/>
    </row>
    <row r="665" spans="28:39"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</row>
    <row r="666" spans="28:39"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</row>
    <row r="667" spans="28:39"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</row>
    <row r="668" spans="28:39"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</row>
    <row r="669" spans="28:39"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</row>
    <row r="670" spans="28:39"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</row>
    <row r="671" spans="28:39"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</row>
    <row r="672" spans="28:39"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</row>
    <row r="673" spans="28:39"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</row>
    <row r="674" spans="28:39"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</row>
    <row r="675" spans="28:39"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</row>
    <row r="676" spans="28:39"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</row>
    <row r="677" spans="28:39"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</row>
    <row r="678" spans="28:39"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</row>
    <row r="679" spans="28:39"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</row>
    <row r="680" spans="28:39"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</row>
    <row r="681" spans="28:39"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</row>
    <row r="682" spans="28:39"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</row>
    <row r="683" spans="28:39"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</row>
    <row r="684" spans="28:39"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</row>
    <row r="685" spans="28:39"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</row>
    <row r="686" spans="28:39"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</row>
    <row r="687" spans="28:39"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</row>
    <row r="688" spans="28:39"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</row>
    <row r="689" spans="28:39"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</row>
    <row r="690" spans="28:39"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</row>
    <row r="691" spans="28:39"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</row>
    <row r="692" spans="28:39"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</row>
    <row r="693" spans="28:39"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</row>
    <row r="694" spans="28:39"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</row>
    <row r="695" spans="28:39"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</row>
    <row r="696" spans="28:39"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</row>
    <row r="697" spans="28:39"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</row>
    <row r="698" spans="28:39"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</row>
    <row r="699" spans="28:39"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</row>
    <row r="700" spans="28:39"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</row>
    <row r="701" spans="28:39"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</row>
    <row r="702" spans="28:39"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</row>
    <row r="703" spans="28:39"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</row>
    <row r="704" spans="28:39"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</row>
    <row r="705" spans="28:39"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</row>
    <row r="706" spans="28:39"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</row>
    <row r="707" spans="28:39"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</row>
    <row r="708" spans="28:39"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</row>
    <row r="709" spans="28:39"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</row>
    <row r="710" spans="28:39"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</row>
    <row r="711" spans="28:39"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</row>
    <row r="712" spans="28:39"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</row>
    <row r="713" spans="28:39"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</row>
    <row r="714" spans="28:39"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</row>
    <row r="715" spans="28:39"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</row>
    <row r="716" spans="28:39"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</row>
    <row r="717" spans="28:39"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</row>
    <row r="718" spans="28:39"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</row>
    <row r="719" spans="28:39"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</row>
    <row r="720" spans="28:39"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</row>
    <row r="721" spans="28:39"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</row>
    <row r="722" spans="28:39"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</row>
    <row r="723" spans="28:39"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</row>
    <row r="724" spans="28:39"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</row>
    <row r="725" spans="28:39"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</row>
    <row r="726" spans="28:39"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</row>
    <row r="727" spans="28:39"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</row>
    <row r="728" spans="28:39"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</row>
    <row r="729" spans="28:39">
      <c r="AB729" s="107"/>
      <c r="AC729" s="107"/>
      <c r="AD729" s="107"/>
      <c r="AE729" s="107"/>
      <c r="AF729" s="107"/>
      <c r="AG729" s="107"/>
      <c r="AH729" s="107"/>
      <c r="AI729" s="107"/>
      <c r="AJ729" s="107"/>
      <c r="AK729" s="107"/>
      <c r="AL729" s="107"/>
      <c r="AM729" s="107"/>
    </row>
    <row r="730" spans="28:39"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</row>
    <row r="731" spans="28:39"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</row>
    <row r="732" spans="28:39"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</row>
    <row r="733" spans="28:39"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</row>
    <row r="734" spans="28:39"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</row>
    <row r="735" spans="28:39"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</row>
    <row r="736" spans="28:39"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</row>
    <row r="737" spans="28:39"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</row>
    <row r="738" spans="28:39"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/>
      <c r="AM738" s="107"/>
    </row>
    <row r="739" spans="28:39"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</row>
    <row r="740" spans="28:39"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</row>
    <row r="741" spans="28:39"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</row>
    <row r="742" spans="28:39"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</row>
    <row r="743" spans="28:39"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</row>
    <row r="744" spans="28:39"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</row>
    <row r="745" spans="28:39"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</row>
    <row r="746" spans="28:39"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</row>
    <row r="747" spans="28:39"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</row>
    <row r="748" spans="28:39"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</row>
    <row r="749" spans="28:39"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</row>
    <row r="750" spans="28:39"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</row>
    <row r="751" spans="28:39"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</row>
    <row r="752" spans="28:39"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</row>
    <row r="753" spans="28:39"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</row>
    <row r="754" spans="28:39"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</row>
    <row r="755" spans="28:39"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</row>
    <row r="756" spans="28:39"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</row>
    <row r="757" spans="28:39"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</row>
    <row r="758" spans="28:39"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</row>
    <row r="759" spans="28:39"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</row>
    <row r="760" spans="28:39"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</row>
    <row r="761" spans="28:39"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</row>
    <row r="762" spans="28:39"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</row>
    <row r="763" spans="28:39"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</row>
    <row r="764" spans="28:39"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</row>
    <row r="765" spans="28:39"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</row>
    <row r="766" spans="28:39"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</row>
    <row r="767" spans="28:39">
      <c r="AB767" s="107"/>
      <c r="AC767" s="107"/>
      <c r="AD767" s="107"/>
      <c r="AE767" s="107"/>
      <c r="AF767" s="107"/>
      <c r="AG767" s="107"/>
      <c r="AH767" s="107"/>
      <c r="AI767" s="107"/>
      <c r="AJ767" s="107"/>
      <c r="AK767" s="107"/>
      <c r="AL767" s="107"/>
      <c r="AM767" s="107"/>
    </row>
    <row r="768" spans="28:39"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</row>
    <row r="769" spans="28:39"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</row>
    <row r="770" spans="28:39"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</row>
    <row r="771" spans="28:39"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</row>
    <row r="772" spans="28:39"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</row>
    <row r="773" spans="28:39"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</row>
    <row r="774" spans="28:39"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</row>
    <row r="775" spans="28:39"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</row>
    <row r="776" spans="28:39"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</row>
    <row r="777" spans="28:39"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</row>
    <row r="778" spans="28:39"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</row>
    <row r="779" spans="28:39"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</row>
    <row r="780" spans="28:39"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</row>
    <row r="781" spans="28:39"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</row>
    <row r="782" spans="28:39"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</row>
    <row r="783" spans="28:39"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</row>
    <row r="784" spans="28:39"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</row>
    <row r="785" spans="28:39"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</row>
    <row r="786" spans="28:39"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</row>
    <row r="787" spans="28:39"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</row>
    <row r="788" spans="28:39"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</row>
    <row r="789" spans="28:39"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</row>
    <row r="790" spans="28:39"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</row>
    <row r="791" spans="28:39"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</row>
    <row r="792" spans="28:39"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</row>
    <row r="793" spans="28:39"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</row>
    <row r="794" spans="28:39"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</row>
    <row r="795" spans="28:39"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</row>
    <row r="796" spans="28:39"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</row>
    <row r="797" spans="28:39"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</row>
    <row r="798" spans="28:39"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</row>
    <row r="799" spans="28:39"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</row>
    <row r="800" spans="28:39"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</row>
    <row r="801" spans="28:39"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</row>
    <row r="802" spans="28:39"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</row>
    <row r="803" spans="28:39"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</row>
    <row r="804" spans="28:39"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</row>
    <row r="805" spans="28:39"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</row>
    <row r="806" spans="28:39"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</row>
    <row r="807" spans="28:39"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</row>
    <row r="808" spans="28:39"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</row>
    <row r="809" spans="28:39"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</row>
    <row r="810" spans="28:39"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</row>
    <row r="811" spans="28:39"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</row>
    <row r="812" spans="28:39"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</row>
    <row r="813" spans="28:39">
      <c r="AB813" s="107"/>
      <c r="AC813" s="107"/>
      <c r="AD813" s="107"/>
      <c r="AE813" s="107"/>
      <c r="AF813" s="107"/>
      <c r="AG813" s="107"/>
      <c r="AH813" s="107"/>
      <c r="AI813" s="107"/>
      <c r="AJ813" s="107"/>
      <c r="AK813" s="107"/>
      <c r="AL813" s="107"/>
      <c r="AM813" s="107"/>
    </row>
    <row r="814" spans="28:39">
      <c r="AB814" s="107"/>
      <c r="AC814" s="107"/>
      <c r="AD814" s="107"/>
      <c r="AE814" s="107"/>
      <c r="AF814" s="107"/>
      <c r="AG814" s="107"/>
      <c r="AH814" s="107"/>
      <c r="AI814" s="107"/>
      <c r="AJ814" s="107"/>
      <c r="AK814" s="107"/>
      <c r="AL814" s="107"/>
      <c r="AM814" s="107"/>
    </row>
    <row r="815" spans="28:39"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</row>
    <row r="816" spans="28:39"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</row>
    <row r="817" spans="28:39"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</row>
    <row r="818" spans="28:39"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</row>
    <row r="819" spans="28:39"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</row>
    <row r="820" spans="28:39"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</row>
    <row r="821" spans="28:39"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</row>
    <row r="822" spans="28:39"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</row>
    <row r="823" spans="28:39"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</row>
    <row r="824" spans="28:39"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</row>
    <row r="825" spans="28:39"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</row>
    <row r="826" spans="28:39"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</row>
    <row r="827" spans="28:39"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</row>
    <row r="828" spans="28:39"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</row>
    <row r="829" spans="28:39"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</row>
    <row r="830" spans="28:39"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</row>
    <row r="831" spans="28:39"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</row>
    <row r="832" spans="28:39"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</row>
    <row r="833" spans="28:39"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</row>
    <row r="834" spans="28:39"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</row>
    <row r="835" spans="28:39"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</row>
    <row r="836" spans="28:39"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/>
      <c r="AL836" s="107"/>
      <c r="AM836" s="107"/>
    </row>
    <row r="837" spans="28:39"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</row>
    <row r="838" spans="28:39"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</row>
    <row r="839" spans="28:39"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</row>
    <row r="840" spans="28:39"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</row>
    <row r="841" spans="28:39"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</row>
    <row r="842" spans="28:39"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</row>
    <row r="843" spans="28:39">
      <c r="AB843" s="107"/>
      <c r="AC843" s="107"/>
      <c r="AD843" s="107"/>
      <c r="AE843" s="107"/>
      <c r="AF843" s="107"/>
      <c r="AG843" s="107"/>
      <c r="AH843" s="107"/>
      <c r="AI843" s="107"/>
      <c r="AJ843" s="107"/>
      <c r="AK843" s="107"/>
      <c r="AL843" s="107"/>
      <c r="AM843" s="107"/>
    </row>
    <row r="844" spans="28:39"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</row>
    <row r="845" spans="28:39"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</row>
    <row r="846" spans="28:39"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</row>
    <row r="847" spans="28:39"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</row>
    <row r="848" spans="28:39"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</row>
    <row r="849" spans="28:39"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</row>
    <row r="850" spans="28:39">
      <c r="AB850" s="107"/>
      <c r="AC850" s="107"/>
      <c r="AD850" s="107"/>
      <c r="AE850" s="107"/>
      <c r="AF850" s="107"/>
      <c r="AG850" s="107"/>
      <c r="AH850" s="107"/>
      <c r="AI850" s="107"/>
      <c r="AJ850" s="107"/>
      <c r="AK850" s="107"/>
      <c r="AL850" s="107"/>
      <c r="AM850" s="107"/>
    </row>
    <row r="851" spans="28:39"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</row>
    <row r="852" spans="28:39"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</row>
    <row r="853" spans="28:39"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</row>
    <row r="854" spans="28:39"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</row>
    <row r="855" spans="28:39"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</row>
    <row r="856" spans="28:39"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</row>
    <row r="857" spans="28:39">
      <c r="AB857" s="107"/>
      <c r="AC857" s="107"/>
      <c r="AD857" s="107"/>
      <c r="AE857" s="107"/>
      <c r="AF857" s="107"/>
      <c r="AG857" s="107"/>
      <c r="AH857" s="107"/>
      <c r="AI857" s="107"/>
      <c r="AJ857" s="107"/>
      <c r="AK857" s="107"/>
      <c r="AL857" s="107"/>
      <c r="AM857" s="107"/>
    </row>
    <row r="858" spans="28:39"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</row>
    <row r="859" spans="28:39"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</row>
    <row r="860" spans="28:39"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</row>
    <row r="861" spans="28:39"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</row>
    <row r="862" spans="28:39"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</row>
    <row r="863" spans="28:39"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</row>
    <row r="864" spans="28:39">
      <c r="AB864" s="107"/>
      <c r="AC864" s="107"/>
      <c r="AD864" s="107"/>
      <c r="AE864" s="107"/>
      <c r="AF864" s="107"/>
      <c r="AG864" s="107"/>
      <c r="AH864" s="107"/>
      <c r="AI864" s="107"/>
      <c r="AJ864" s="107"/>
      <c r="AK864" s="107"/>
      <c r="AL864" s="107"/>
      <c r="AM864" s="107"/>
    </row>
    <row r="865" spans="28:39"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</row>
    <row r="866" spans="28:39"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</row>
    <row r="867" spans="28:39"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</row>
    <row r="868" spans="28:39"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</row>
    <row r="869" spans="28:39"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</row>
    <row r="870" spans="28:39"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</row>
    <row r="871" spans="28:39"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</row>
    <row r="872" spans="28:39"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</row>
    <row r="873" spans="28:39"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</row>
    <row r="874" spans="28:39"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</row>
    <row r="875" spans="28:39"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</row>
    <row r="876" spans="28:39"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</row>
    <row r="877" spans="28:39"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</row>
    <row r="878" spans="28:39"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</row>
    <row r="879" spans="28:39"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</row>
    <row r="880" spans="28:39"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</row>
    <row r="881" spans="28:39"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</row>
    <row r="882" spans="28:39"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</row>
    <row r="883" spans="28:39"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</row>
    <row r="884" spans="28:39"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</row>
    <row r="885" spans="28:39"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</row>
    <row r="886" spans="28:39"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</row>
    <row r="887" spans="28:39"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</row>
    <row r="888" spans="28:39"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</row>
    <row r="889" spans="28:39"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</row>
    <row r="890" spans="28:39"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</row>
    <row r="891" spans="28:39"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</row>
    <row r="892" spans="28:39"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</row>
    <row r="893" spans="28:39"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</row>
    <row r="894" spans="28:39"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</row>
    <row r="895" spans="28:39"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</row>
    <row r="896" spans="28:39"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</row>
    <row r="897" spans="28:39"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</row>
    <row r="898" spans="28:39"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</row>
    <row r="899" spans="28:39"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</row>
    <row r="900" spans="28:39"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</row>
    <row r="901" spans="28:39"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</row>
    <row r="902" spans="28:39"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</row>
    <row r="903" spans="28:39"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</row>
    <row r="904" spans="28:39"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</row>
    <row r="905" spans="28:39"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</row>
    <row r="906" spans="28:39"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</row>
    <row r="907" spans="28:39"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</row>
    <row r="908" spans="28:39"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</row>
    <row r="909" spans="28:39"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</row>
    <row r="910" spans="28:39"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</row>
    <row r="911" spans="28:39"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</row>
    <row r="912" spans="28:39"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</row>
    <row r="913" spans="28:39"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</row>
    <row r="914" spans="28:39"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</row>
    <row r="915" spans="28:39"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</row>
    <row r="916" spans="28:39"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</row>
    <row r="917" spans="28:39"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</row>
    <row r="918" spans="28:39"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</row>
    <row r="919" spans="28:39"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</row>
    <row r="920" spans="28:39"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</row>
    <row r="921" spans="28:39"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</row>
    <row r="922" spans="28:39"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</row>
    <row r="923" spans="28:39"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</row>
    <row r="924" spans="28:39"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</row>
    <row r="925" spans="28:39"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</row>
    <row r="926" spans="28:39"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</row>
    <row r="927" spans="28:39"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</row>
    <row r="928" spans="28:39"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</row>
    <row r="929" spans="28:39">
      <c r="AB929" s="107"/>
      <c r="AC929" s="107"/>
      <c r="AD929" s="107"/>
      <c r="AE929" s="107"/>
      <c r="AF929" s="107"/>
      <c r="AG929" s="107"/>
      <c r="AH929" s="107"/>
      <c r="AI929" s="107"/>
      <c r="AJ929" s="107"/>
      <c r="AK929" s="107"/>
      <c r="AL929" s="107"/>
      <c r="AM929" s="107"/>
    </row>
    <row r="930" spans="28:39"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</row>
    <row r="931" spans="28:39"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</row>
    <row r="932" spans="28:39"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</row>
    <row r="933" spans="28:39"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</row>
    <row r="934" spans="28:39"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</row>
    <row r="935" spans="28:39"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</row>
    <row r="936" spans="28:39"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</row>
    <row r="937" spans="28:39"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</row>
    <row r="938" spans="28:39"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</row>
    <row r="939" spans="28:39"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</row>
    <row r="940" spans="28:39"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</row>
    <row r="941" spans="28:39"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</row>
    <row r="942" spans="28:39"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</row>
    <row r="943" spans="28:39"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</row>
    <row r="944" spans="28:39"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</row>
    <row r="945" spans="28:39"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</row>
    <row r="946" spans="28:39"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</row>
    <row r="947" spans="28:39"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</row>
    <row r="948" spans="28:39"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</row>
    <row r="949" spans="28:39">
      <c r="AB949" s="107"/>
      <c r="AC949" s="107"/>
      <c r="AD949" s="107"/>
      <c r="AE949" s="107"/>
      <c r="AF949" s="107"/>
      <c r="AG949" s="107"/>
      <c r="AH949" s="107"/>
      <c r="AI949" s="107"/>
      <c r="AJ949" s="107"/>
      <c r="AK949" s="107"/>
      <c r="AL949" s="107"/>
      <c r="AM949" s="107"/>
    </row>
    <row r="950" spans="28:39"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</row>
    <row r="951" spans="28:39"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</row>
    <row r="952" spans="28:39"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</row>
    <row r="953" spans="28:39"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</row>
    <row r="954" spans="28:39"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</row>
    <row r="955" spans="28:39"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</row>
    <row r="956" spans="28:39"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</row>
    <row r="957" spans="28:39"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</row>
    <row r="958" spans="28:39"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</row>
    <row r="959" spans="28:39"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</row>
    <row r="960" spans="28:39"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</row>
    <row r="961" spans="28:39"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</row>
    <row r="962" spans="28:39"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</row>
    <row r="963" spans="28:39"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</row>
    <row r="964" spans="28:39"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</row>
    <row r="965" spans="28:39"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</row>
    <row r="966" spans="28:39"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</row>
    <row r="967" spans="28:39"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</row>
    <row r="968" spans="28:39"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</row>
    <row r="969" spans="28:39"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</row>
    <row r="970" spans="28:39"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</row>
    <row r="971" spans="28:39"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</row>
    <row r="972" spans="28:39"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</row>
    <row r="973" spans="28:39"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</row>
    <row r="974" spans="28:39"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</row>
    <row r="975" spans="28:39"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</row>
    <row r="976" spans="28:39">
      <c r="AB976" s="107"/>
      <c r="AC976" s="107"/>
      <c r="AD976" s="107"/>
      <c r="AE976" s="107"/>
      <c r="AF976" s="107"/>
      <c r="AG976" s="107"/>
      <c r="AH976" s="107"/>
      <c r="AI976" s="107"/>
      <c r="AJ976" s="107"/>
      <c r="AK976" s="107"/>
      <c r="AL976" s="107"/>
      <c r="AM976" s="107"/>
    </row>
    <row r="977" spans="28:39"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</row>
    <row r="978" spans="28:39"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</row>
    <row r="979" spans="28:39"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</row>
    <row r="980" spans="28:39"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</row>
    <row r="981" spans="28:39"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</row>
    <row r="982" spans="28:39">
      <c r="AB982" s="107"/>
      <c r="AC982" s="107"/>
      <c r="AD982" s="107"/>
      <c r="AE982" s="107"/>
      <c r="AF982" s="107"/>
      <c r="AG982" s="107"/>
      <c r="AH982" s="107"/>
      <c r="AI982" s="107"/>
      <c r="AJ982" s="107"/>
      <c r="AK982" s="107"/>
      <c r="AL982" s="107"/>
      <c r="AM982" s="107"/>
    </row>
    <row r="983" spans="28:39"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</row>
    <row r="984" spans="28:39"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</row>
    <row r="985" spans="28:39"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</row>
    <row r="986" spans="28:39"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</row>
    <row r="987" spans="28:39"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</row>
    <row r="988" spans="28:39"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</row>
    <row r="989" spans="28:39"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</row>
    <row r="990" spans="28:39"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</row>
    <row r="991" spans="28:39"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</row>
    <row r="992" spans="28:39"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</row>
    <row r="993" spans="28:39"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</row>
    <row r="994" spans="28:39"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</row>
    <row r="995" spans="28:39"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</row>
    <row r="996" spans="28:39"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</row>
    <row r="997" spans="28:39"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</row>
    <row r="998" spans="28:39"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</row>
    <row r="999" spans="28:39"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</row>
    <row r="1000" spans="28:39">
      <c r="AB1000" s="107"/>
      <c r="AC1000" s="107"/>
      <c r="AD1000" s="107"/>
      <c r="AE1000" s="107"/>
      <c r="AF1000" s="107"/>
      <c r="AG1000" s="107"/>
      <c r="AH1000" s="107"/>
      <c r="AI1000" s="107"/>
      <c r="AJ1000" s="107"/>
      <c r="AK1000" s="107"/>
      <c r="AL1000" s="107"/>
      <c r="AM1000" s="107"/>
    </row>
    <row r="1001" spans="28:39"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</row>
    <row r="1002" spans="28:39"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</row>
    <row r="1003" spans="28:39"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</row>
    <row r="1004" spans="28:39"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</row>
    <row r="1005" spans="28:39"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</row>
    <row r="1006" spans="28:39">
      <c r="AB1006" s="107"/>
      <c r="AC1006" s="107"/>
      <c r="AD1006" s="107"/>
      <c r="AE1006" s="107"/>
      <c r="AF1006" s="107"/>
      <c r="AG1006" s="107"/>
      <c r="AH1006" s="107"/>
      <c r="AI1006" s="107"/>
      <c r="AJ1006" s="107"/>
      <c r="AK1006" s="107"/>
      <c r="AL1006" s="107"/>
      <c r="AM1006" s="107"/>
    </row>
    <row r="1007" spans="28:39"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</row>
    <row r="1008" spans="28:39"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</row>
    <row r="1009" spans="28:39"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</row>
  </sheetData>
  <hyperlinks>
    <hyperlink ref="U2" r:id="rId1" xr:uid="{00000000-0004-0000-0200-000000000000}"/>
    <hyperlink ref="U3" r:id="rId2" xr:uid="{00000000-0004-0000-0200-000001000000}"/>
    <hyperlink ref="U4" r:id="rId3" xr:uid="{00000000-0004-0000-0200-000002000000}"/>
    <hyperlink ref="U5" r:id="rId4" xr:uid="{00000000-0004-0000-0200-000003000000}"/>
    <hyperlink ref="U6" r:id="rId5" xr:uid="{00000000-0004-0000-0200-000004000000}"/>
    <hyperlink ref="U7" r:id="rId6" xr:uid="{00000000-0004-0000-0200-000005000000}"/>
    <hyperlink ref="U8" r:id="rId7" xr:uid="{00000000-0004-0000-0200-000006000000}"/>
    <hyperlink ref="U9" r:id="rId8" xr:uid="{00000000-0004-0000-0200-000007000000}"/>
    <hyperlink ref="U10" r:id="rId9" xr:uid="{00000000-0004-0000-0200-000008000000}"/>
    <hyperlink ref="U11" r:id="rId10" xr:uid="{00000000-0004-0000-0200-000009000000}"/>
    <hyperlink ref="U12" r:id="rId11" xr:uid="{00000000-0004-0000-0200-00000A000000}"/>
    <hyperlink ref="U13" r:id="rId12" xr:uid="{00000000-0004-0000-0200-00000B000000}"/>
    <hyperlink ref="U14" r:id="rId13" xr:uid="{00000000-0004-0000-0200-00000C000000}"/>
    <hyperlink ref="U15" r:id="rId14" xr:uid="{00000000-0004-0000-0200-00000D000000}"/>
    <hyperlink ref="U16" r:id="rId15" xr:uid="{00000000-0004-0000-0200-00000E000000}"/>
    <hyperlink ref="U17" r:id="rId16" xr:uid="{00000000-0004-0000-0200-00000F000000}"/>
    <hyperlink ref="U18" r:id="rId17" xr:uid="{00000000-0004-0000-0200-000010000000}"/>
    <hyperlink ref="U19" r:id="rId18" xr:uid="{00000000-0004-0000-0200-000011000000}"/>
    <hyperlink ref="U20" r:id="rId19" xr:uid="{00000000-0004-0000-0200-000012000000}"/>
    <hyperlink ref="U21" r:id="rId20" xr:uid="{00000000-0004-0000-0200-000013000000}"/>
    <hyperlink ref="U22" r:id="rId21" xr:uid="{00000000-0004-0000-0200-000014000000}"/>
    <hyperlink ref="U23" r:id="rId22" xr:uid="{00000000-0004-0000-0200-000015000000}"/>
    <hyperlink ref="U24" r:id="rId23" xr:uid="{00000000-0004-0000-0200-000016000000}"/>
    <hyperlink ref="U25" r:id="rId24" xr:uid="{00000000-0004-0000-0200-000017000000}"/>
    <hyperlink ref="U26" r:id="rId25" xr:uid="{00000000-0004-0000-0200-000018000000}"/>
    <hyperlink ref="U27" r:id="rId26" xr:uid="{00000000-0004-0000-0200-000019000000}"/>
    <hyperlink ref="U28" r:id="rId27" xr:uid="{00000000-0004-0000-0200-00001A000000}"/>
    <hyperlink ref="U29" r:id="rId28" xr:uid="{00000000-0004-0000-0200-00001B000000}"/>
    <hyperlink ref="U30" r:id="rId29" xr:uid="{00000000-0004-0000-0200-00001C000000}"/>
    <hyperlink ref="U31" r:id="rId30" xr:uid="{00000000-0004-0000-0200-00001D000000}"/>
    <hyperlink ref="U32" r:id="rId31" xr:uid="{00000000-0004-0000-0200-00001E000000}"/>
    <hyperlink ref="U33" r:id="rId32" xr:uid="{00000000-0004-0000-0200-00001F000000}"/>
    <hyperlink ref="U34" r:id="rId33" xr:uid="{00000000-0004-0000-0200-000020000000}"/>
    <hyperlink ref="U35" r:id="rId34" xr:uid="{00000000-0004-0000-0200-000021000000}"/>
    <hyperlink ref="U36" r:id="rId35" xr:uid="{00000000-0004-0000-0200-000022000000}"/>
    <hyperlink ref="U37" r:id="rId36" xr:uid="{00000000-0004-0000-0200-000023000000}"/>
    <hyperlink ref="U38" r:id="rId37" xr:uid="{00000000-0004-0000-0200-000024000000}"/>
    <hyperlink ref="U39" r:id="rId38" xr:uid="{00000000-0004-0000-0200-000025000000}"/>
    <hyperlink ref="U40" r:id="rId39" xr:uid="{00000000-0004-0000-0200-000026000000}"/>
    <hyperlink ref="U41" r:id="rId40" xr:uid="{00000000-0004-0000-0200-000027000000}"/>
    <hyperlink ref="U42" r:id="rId41" xr:uid="{00000000-0004-0000-0200-000028000000}"/>
    <hyperlink ref="U43" r:id="rId42" xr:uid="{00000000-0004-0000-0200-000029000000}"/>
    <hyperlink ref="U44" r:id="rId43" xr:uid="{00000000-0004-0000-0200-00002A000000}"/>
    <hyperlink ref="U45" r:id="rId44" xr:uid="{00000000-0004-0000-0200-00002B000000}"/>
    <hyperlink ref="U46" r:id="rId45" xr:uid="{00000000-0004-0000-0200-00002C000000}"/>
    <hyperlink ref="U47" r:id="rId46" xr:uid="{00000000-0004-0000-0200-00002D000000}"/>
    <hyperlink ref="U48" r:id="rId47" xr:uid="{00000000-0004-0000-0200-00002E000000}"/>
    <hyperlink ref="U49" r:id="rId48" xr:uid="{00000000-0004-0000-0200-00002F000000}"/>
    <hyperlink ref="U50" r:id="rId49" xr:uid="{00000000-0004-0000-0200-000030000000}"/>
    <hyperlink ref="U51" r:id="rId50" xr:uid="{00000000-0004-0000-0200-000031000000}"/>
    <hyperlink ref="U52" r:id="rId51" xr:uid="{00000000-0004-0000-0200-000032000000}"/>
    <hyperlink ref="U53" r:id="rId52" xr:uid="{00000000-0004-0000-0200-000033000000}"/>
    <hyperlink ref="U54" r:id="rId53" xr:uid="{00000000-0004-0000-0200-000034000000}"/>
    <hyperlink ref="U55" r:id="rId54" xr:uid="{00000000-0004-0000-0200-000035000000}"/>
    <hyperlink ref="U56" r:id="rId55" xr:uid="{00000000-0004-0000-0200-000036000000}"/>
    <hyperlink ref="U57" r:id="rId56" xr:uid="{00000000-0004-0000-0200-00003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3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/>
  <sheetData>
    <row r="1" spans="1:27">
      <c r="A1" s="100" t="s">
        <v>115</v>
      </c>
      <c r="B1" s="100" t="s">
        <v>116</v>
      </c>
      <c r="C1" s="100" t="s">
        <v>117</v>
      </c>
      <c r="D1" s="100" t="s">
        <v>118</v>
      </c>
      <c r="E1" s="100" t="s">
        <v>119</v>
      </c>
      <c r="F1" s="100" t="s">
        <v>120</v>
      </c>
      <c r="G1" s="100" t="s">
        <v>121</v>
      </c>
      <c r="H1" s="100" t="s">
        <v>122</v>
      </c>
      <c r="I1" s="100" t="s">
        <v>123</v>
      </c>
      <c r="J1" s="100" t="s">
        <v>124</v>
      </c>
      <c r="K1" s="100" t="s">
        <v>125</v>
      </c>
      <c r="L1" s="100" t="s">
        <v>126</v>
      </c>
      <c r="M1" s="100" t="s">
        <v>127</v>
      </c>
      <c r="N1" s="100" t="s">
        <v>128</v>
      </c>
      <c r="O1" s="100" t="s">
        <v>129</v>
      </c>
      <c r="P1" s="100" t="s">
        <v>130</v>
      </c>
      <c r="Q1" s="100" t="s">
        <v>131</v>
      </c>
      <c r="R1" s="100" t="s">
        <v>132</v>
      </c>
      <c r="S1" s="100" t="s">
        <v>133</v>
      </c>
      <c r="T1" s="100" t="s">
        <v>134</v>
      </c>
      <c r="U1" s="100" t="s">
        <v>135</v>
      </c>
      <c r="V1" s="100" t="s">
        <v>136</v>
      </c>
      <c r="W1" s="100" t="s">
        <v>15</v>
      </c>
      <c r="X1" s="100" t="s">
        <v>137</v>
      </c>
      <c r="Y1" s="100" t="s">
        <v>138</v>
      </c>
      <c r="Z1" s="100" t="s">
        <v>139</v>
      </c>
      <c r="AA1" s="100" t="s">
        <v>140</v>
      </c>
    </row>
    <row r="2" spans="1:27">
      <c r="A2" s="100" t="s">
        <v>167</v>
      </c>
      <c r="C2" s="100" t="s">
        <v>153</v>
      </c>
      <c r="D2" s="100" t="s">
        <v>265</v>
      </c>
      <c r="E2" s="100" t="s">
        <v>179</v>
      </c>
      <c r="F2" s="100" t="s">
        <v>156</v>
      </c>
      <c r="G2" s="100">
        <v>1803</v>
      </c>
      <c r="H2" s="100">
        <v>575000</v>
      </c>
      <c r="I2" s="100">
        <v>3</v>
      </c>
      <c r="J2" s="100">
        <v>2</v>
      </c>
      <c r="K2" s="100" t="s">
        <v>179</v>
      </c>
      <c r="L2" s="100">
        <v>2253</v>
      </c>
      <c r="M2" s="100">
        <v>12500</v>
      </c>
      <c r="N2" s="100">
        <v>1956</v>
      </c>
      <c r="O2" s="100">
        <v>1</v>
      </c>
      <c r="P2" s="100">
        <v>255</v>
      </c>
      <c r="R2" s="100" t="s">
        <v>170</v>
      </c>
      <c r="U2" s="108" t="s">
        <v>266</v>
      </c>
      <c r="V2" s="100" t="s">
        <v>159</v>
      </c>
      <c r="W2" s="100">
        <v>72711992</v>
      </c>
      <c r="X2" s="100" t="s">
        <v>160</v>
      </c>
      <c r="Y2" s="100" t="s">
        <v>160</v>
      </c>
      <c r="Z2" s="100">
        <v>42.5131728</v>
      </c>
      <c r="AA2" s="100">
        <v>-71.205955799999998</v>
      </c>
    </row>
    <row r="3" spans="1:27">
      <c r="A3" s="100" t="s">
        <v>167</v>
      </c>
      <c r="C3" s="100" t="s">
        <v>153</v>
      </c>
      <c r="D3" s="100" t="s">
        <v>178</v>
      </c>
      <c r="E3" s="100" t="s">
        <v>179</v>
      </c>
      <c r="F3" s="100" t="s">
        <v>156</v>
      </c>
      <c r="G3" s="100">
        <v>1803</v>
      </c>
      <c r="H3" s="100">
        <v>595000</v>
      </c>
      <c r="I3" s="100">
        <v>3</v>
      </c>
      <c r="J3" s="100">
        <v>2</v>
      </c>
      <c r="K3" s="100" t="s">
        <v>179</v>
      </c>
      <c r="L3" s="100">
        <v>1774</v>
      </c>
      <c r="M3" s="100">
        <v>23433</v>
      </c>
      <c r="N3" s="100">
        <v>1965</v>
      </c>
      <c r="O3" s="100">
        <v>139</v>
      </c>
      <c r="P3" s="100">
        <v>335</v>
      </c>
      <c r="R3" s="100" t="s">
        <v>170</v>
      </c>
      <c r="U3" s="108" t="s">
        <v>180</v>
      </c>
      <c r="V3" s="100" t="s">
        <v>159</v>
      </c>
      <c r="W3" s="100">
        <v>72640347</v>
      </c>
      <c r="X3" s="100" t="s">
        <v>160</v>
      </c>
      <c r="Y3" s="100" t="s">
        <v>160</v>
      </c>
      <c r="Z3" s="100">
        <v>42.490758</v>
      </c>
      <c r="AA3" s="100">
        <v>-71.205909399999996</v>
      </c>
    </row>
    <row r="4" spans="1:27">
      <c r="A4" s="100" t="s">
        <v>167</v>
      </c>
      <c r="C4" s="100" t="s">
        <v>153</v>
      </c>
      <c r="D4" s="100" t="s">
        <v>252</v>
      </c>
      <c r="E4" s="100" t="s">
        <v>179</v>
      </c>
      <c r="F4" s="100" t="s">
        <v>156</v>
      </c>
      <c r="G4" s="100">
        <v>1803</v>
      </c>
      <c r="H4" s="100">
        <v>649000</v>
      </c>
      <c r="I4" s="100">
        <v>5</v>
      </c>
      <c r="J4" s="100">
        <v>2.5</v>
      </c>
      <c r="K4" s="100" t="s">
        <v>179</v>
      </c>
      <c r="L4" s="100">
        <v>2717</v>
      </c>
      <c r="M4" s="100">
        <v>20004</v>
      </c>
      <c r="N4" s="100">
        <v>1969</v>
      </c>
      <c r="O4" s="100">
        <v>6</v>
      </c>
      <c r="P4" s="100">
        <v>239</v>
      </c>
      <c r="R4" s="100" t="s">
        <v>170</v>
      </c>
      <c r="U4" s="108" t="s">
        <v>253</v>
      </c>
      <c r="V4" s="100" t="s">
        <v>159</v>
      </c>
      <c r="W4" s="100">
        <v>72709162</v>
      </c>
      <c r="X4" s="100" t="s">
        <v>160</v>
      </c>
      <c r="Y4" s="100" t="s">
        <v>160</v>
      </c>
      <c r="Z4" s="100">
        <v>42.494503199999997</v>
      </c>
      <c r="AA4" s="100">
        <v>-71.184803700000003</v>
      </c>
    </row>
    <row r="5" spans="1:27">
      <c r="A5" s="100" t="s">
        <v>167</v>
      </c>
      <c r="C5" s="100" t="s">
        <v>153</v>
      </c>
      <c r="D5" s="100" t="s">
        <v>247</v>
      </c>
      <c r="E5" s="100" t="s">
        <v>179</v>
      </c>
      <c r="F5" s="100" t="s">
        <v>156</v>
      </c>
      <c r="G5" s="100">
        <v>1803</v>
      </c>
      <c r="H5" s="100">
        <v>539900</v>
      </c>
      <c r="I5" s="100">
        <v>3</v>
      </c>
      <c r="J5" s="100">
        <v>2</v>
      </c>
      <c r="K5" s="100" t="s">
        <v>179</v>
      </c>
      <c r="L5" s="100">
        <v>1488</v>
      </c>
      <c r="M5" s="100">
        <v>7500</v>
      </c>
      <c r="N5" s="100">
        <v>1964</v>
      </c>
      <c r="O5" s="100">
        <v>7</v>
      </c>
      <c r="P5" s="100">
        <v>363</v>
      </c>
      <c r="R5" s="100" t="s">
        <v>170</v>
      </c>
      <c r="U5" s="108" t="s">
        <v>248</v>
      </c>
      <c r="V5" s="100" t="s">
        <v>159</v>
      </c>
      <c r="W5" s="100">
        <v>72708734</v>
      </c>
      <c r="X5" s="100" t="s">
        <v>160</v>
      </c>
      <c r="Y5" s="100" t="s">
        <v>160</v>
      </c>
      <c r="Z5" s="100">
        <v>42.493947300000002</v>
      </c>
      <c r="AA5" s="100">
        <v>-71.173838399999994</v>
      </c>
    </row>
    <row r="6" spans="1:27">
      <c r="A6" s="100" t="s">
        <v>167</v>
      </c>
      <c r="C6" s="100" t="s">
        <v>153</v>
      </c>
      <c r="D6" s="100" t="s">
        <v>229</v>
      </c>
      <c r="E6" s="100" t="s">
        <v>179</v>
      </c>
      <c r="F6" s="100" t="s">
        <v>156</v>
      </c>
      <c r="G6" s="100">
        <v>1803</v>
      </c>
      <c r="H6" s="100">
        <v>549900</v>
      </c>
      <c r="I6" s="100">
        <v>3</v>
      </c>
      <c r="J6" s="100">
        <v>1.5</v>
      </c>
      <c r="K6" s="100" t="s">
        <v>179</v>
      </c>
      <c r="L6" s="100">
        <v>1404</v>
      </c>
      <c r="M6" s="100">
        <v>11500</v>
      </c>
      <c r="N6" s="100">
        <v>1956</v>
      </c>
      <c r="O6" s="100">
        <v>21</v>
      </c>
      <c r="P6" s="100">
        <v>392</v>
      </c>
      <c r="R6" s="100" t="s">
        <v>170</v>
      </c>
      <c r="U6" s="108" t="s">
        <v>230</v>
      </c>
      <c r="V6" s="100" t="s">
        <v>159</v>
      </c>
      <c r="W6" s="100">
        <v>72700083</v>
      </c>
      <c r="X6" s="100" t="s">
        <v>160</v>
      </c>
      <c r="Y6" s="100" t="s">
        <v>160</v>
      </c>
      <c r="Z6" s="100">
        <v>42.503324999999997</v>
      </c>
      <c r="AA6" s="100">
        <v>-71.178247799999994</v>
      </c>
    </row>
    <row r="7" spans="1:27">
      <c r="A7" s="100" t="s">
        <v>167</v>
      </c>
      <c r="C7" s="100" t="s">
        <v>162</v>
      </c>
      <c r="D7" s="100" t="s">
        <v>202</v>
      </c>
      <c r="E7" s="100" t="s">
        <v>173</v>
      </c>
      <c r="F7" s="100" t="s">
        <v>156</v>
      </c>
      <c r="G7" s="100">
        <v>1890</v>
      </c>
      <c r="H7" s="100">
        <v>945000</v>
      </c>
      <c r="I7" s="100">
        <v>4</v>
      </c>
      <c r="J7" s="100">
        <v>2</v>
      </c>
      <c r="K7" s="100" t="s">
        <v>173</v>
      </c>
      <c r="L7" s="100">
        <v>2160</v>
      </c>
      <c r="M7" s="100">
        <v>5741</v>
      </c>
      <c r="N7" s="100">
        <v>1927</v>
      </c>
      <c r="O7" s="100">
        <v>78</v>
      </c>
      <c r="P7" s="100">
        <v>438</v>
      </c>
      <c r="R7" s="100" t="s">
        <v>170</v>
      </c>
      <c r="U7" s="108" t="s">
        <v>203</v>
      </c>
      <c r="V7" s="100" t="s">
        <v>159</v>
      </c>
      <c r="W7" s="100">
        <v>72665760</v>
      </c>
      <c r="X7" s="100" t="s">
        <v>160</v>
      </c>
      <c r="Y7" s="100" t="s">
        <v>160</v>
      </c>
      <c r="Z7" s="100">
        <v>42.4570893</v>
      </c>
      <c r="AA7" s="100">
        <v>-71.130717099999998</v>
      </c>
    </row>
    <row r="8" spans="1:27">
      <c r="A8" s="100" t="s">
        <v>167</v>
      </c>
      <c r="C8" s="100" t="s">
        <v>162</v>
      </c>
      <c r="D8" s="100" t="s">
        <v>208</v>
      </c>
      <c r="E8" s="100" t="s">
        <v>209</v>
      </c>
      <c r="F8" s="100" t="s">
        <v>156</v>
      </c>
      <c r="G8" s="100">
        <v>2476</v>
      </c>
      <c r="H8" s="100">
        <v>809000</v>
      </c>
      <c r="I8" s="100">
        <v>4</v>
      </c>
      <c r="J8" s="100">
        <v>2</v>
      </c>
      <c r="K8" s="100" t="s">
        <v>209</v>
      </c>
      <c r="L8" s="100">
        <v>2496</v>
      </c>
      <c r="M8" s="100">
        <v>6098</v>
      </c>
      <c r="N8" s="100">
        <v>1966</v>
      </c>
      <c r="O8" s="100">
        <v>76</v>
      </c>
      <c r="P8" s="100">
        <v>324</v>
      </c>
      <c r="R8" s="100" t="s">
        <v>170</v>
      </c>
      <c r="S8" s="100" t="s">
        <v>210</v>
      </c>
      <c r="T8" s="100" t="s">
        <v>211</v>
      </c>
      <c r="U8" s="108" t="s">
        <v>212</v>
      </c>
      <c r="V8" s="100" t="s">
        <v>159</v>
      </c>
      <c r="W8" s="100">
        <v>72667970</v>
      </c>
      <c r="X8" s="100" t="s">
        <v>160</v>
      </c>
      <c r="Y8" s="100" t="s">
        <v>160</v>
      </c>
      <c r="Z8" s="100">
        <v>42.4323063</v>
      </c>
      <c r="AA8" s="100">
        <v>-71.185028700000004</v>
      </c>
    </row>
    <row r="9" spans="1:27">
      <c r="A9" s="100" t="s">
        <v>167</v>
      </c>
      <c r="C9" s="100" t="s">
        <v>153</v>
      </c>
      <c r="D9" s="100" t="s">
        <v>259</v>
      </c>
      <c r="E9" s="100" t="s">
        <v>187</v>
      </c>
      <c r="F9" s="100" t="s">
        <v>156</v>
      </c>
      <c r="G9" s="100">
        <v>1810</v>
      </c>
      <c r="H9" s="100">
        <v>629000</v>
      </c>
      <c r="I9" s="100">
        <v>3</v>
      </c>
      <c r="J9" s="100">
        <v>2</v>
      </c>
      <c r="K9" s="100" t="s">
        <v>187</v>
      </c>
      <c r="L9" s="100">
        <v>1750</v>
      </c>
      <c r="M9" s="100">
        <v>14650</v>
      </c>
      <c r="N9" s="100">
        <v>1953</v>
      </c>
      <c r="O9" s="100">
        <v>1</v>
      </c>
      <c r="P9" s="100">
        <v>359</v>
      </c>
      <c r="R9" s="100" t="s">
        <v>170</v>
      </c>
      <c r="S9" s="100" t="s">
        <v>260</v>
      </c>
      <c r="T9" s="100" t="s">
        <v>261</v>
      </c>
      <c r="U9" s="108" t="s">
        <v>262</v>
      </c>
      <c r="V9" s="100" t="s">
        <v>159</v>
      </c>
      <c r="W9" s="100">
        <v>72711721</v>
      </c>
      <c r="X9" s="100" t="s">
        <v>160</v>
      </c>
      <c r="Y9" s="100" t="s">
        <v>160</v>
      </c>
      <c r="Z9" s="100">
        <v>42.660263</v>
      </c>
      <c r="AA9" s="100">
        <v>-71.167665299999996</v>
      </c>
    </row>
    <row r="10" spans="1:27">
      <c r="A10" s="100" t="s">
        <v>167</v>
      </c>
      <c r="C10" s="100" t="s">
        <v>153</v>
      </c>
      <c r="D10" s="100" t="s">
        <v>237</v>
      </c>
      <c r="E10" s="100" t="s">
        <v>238</v>
      </c>
      <c r="F10" s="100" t="s">
        <v>156</v>
      </c>
      <c r="G10" s="100">
        <v>1887</v>
      </c>
      <c r="H10" s="100">
        <v>579000</v>
      </c>
      <c r="I10" s="100">
        <v>3</v>
      </c>
      <c r="J10" s="100">
        <v>2</v>
      </c>
      <c r="K10" s="100" t="s">
        <v>238</v>
      </c>
      <c r="L10" s="100">
        <v>2031</v>
      </c>
      <c r="M10" s="100">
        <v>9600</v>
      </c>
      <c r="N10" s="100">
        <v>1945</v>
      </c>
      <c r="O10" s="100">
        <v>9</v>
      </c>
      <c r="P10" s="100">
        <v>285</v>
      </c>
      <c r="R10" s="100" t="s">
        <v>170</v>
      </c>
      <c r="U10" s="108" t="s">
        <v>239</v>
      </c>
      <c r="V10" s="100" t="s">
        <v>159</v>
      </c>
      <c r="W10" s="100">
        <v>72707356</v>
      </c>
      <c r="X10" s="100" t="s">
        <v>160</v>
      </c>
      <c r="Y10" s="100" t="s">
        <v>160</v>
      </c>
      <c r="Z10" s="100">
        <v>42.563954500000001</v>
      </c>
      <c r="AA10" s="100">
        <v>-71.184606400000007</v>
      </c>
    </row>
    <row r="11" spans="1:27">
      <c r="A11" s="100" t="s">
        <v>167</v>
      </c>
      <c r="C11" s="100" t="s">
        <v>153</v>
      </c>
      <c r="D11" s="100" t="s">
        <v>168</v>
      </c>
      <c r="E11" s="100" t="s">
        <v>169</v>
      </c>
      <c r="F11" s="100" t="s">
        <v>156</v>
      </c>
      <c r="G11" s="100">
        <v>2420</v>
      </c>
      <c r="H11" s="100">
        <v>789000</v>
      </c>
      <c r="I11" s="100">
        <v>3</v>
      </c>
      <c r="J11" s="100">
        <v>1.5</v>
      </c>
      <c r="K11" s="100" t="s">
        <v>169</v>
      </c>
      <c r="L11" s="100">
        <v>1941</v>
      </c>
      <c r="M11" s="100">
        <v>12078</v>
      </c>
      <c r="N11" s="100">
        <v>1951</v>
      </c>
      <c r="O11" s="100">
        <v>170</v>
      </c>
      <c r="P11" s="100">
        <v>406</v>
      </c>
      <c r="R11" s="100" t="s">
        <v>170</v>
      </c>
      <c r="U11" s="108" t="s">
        <v>171</v>
      </c>
      <c r="V11" s="100" t="s">
        <v>159</v>
      </c>
      <c r="W11" s="100">
        <v>72626342</v>
      </c>
      <c r="X11" s="100" t="s">
        <v>160</v>
      </c>
      <c r="Y11" s="100" t="s">
        <v>160</v>
      </c>
      <c r="Z11" s="100">
        <v>42.469179500000003</v>
      </c>
      <c r="AA11" s="100">
        <v>-71.243036099999998</v>
      </c>
    </row>
    <row r="12" spans="1:27">
      <c r="A12" s="100" t="s">
        <v>167</v>
      </c>
      <c r="C12" s="100" t="s">
        <v>153</v>
      </c>
      <c r="D12" s="100" t="s">
        <v>263</v>
      </c>
      <c r="E12" s="100" t="s">
        <v>155</v>
      </c>
      <c r="F12" s="100" t="s">
        <v>156</v>
      </c>
      <c r="G12" s="100">
        <v>1730</v>
      </c>
      <c r="H12" s="100">
        <v>659900</v>
      </c>
      <c r="I12" s="100">
        <v>4</v>
      </c>
      <c r="J12" s="100">
        <v>2</v>
      </c>
      <c r="K12" s="100" t="s">
        <v>155</v>
      </c>
      <c r="L12" s="100">
        <v>1440</v>
      </c>
      <c r="M12" s="100">
        <v>21702</v>
      </c>
      <c r="N12" s="100">
        <v>1953</v>
      </c>
      <c r="O12" s="100">
        <v>1</v>
      </c>
      <c r="P12" s="100">
        <v>458</v>
      </c>
      <c r="R12" s="100" t="s">
        <v>170</v>
      </c>
      <c r="U12" s="108" t="s">
        <v>264</v>
      </c>
      <c r="V12" s="100" t="s">
        <v>159</v>
      </c>
      <c r="W12" s="100">
        <v>72711806</v>
      </c>
      <c r="X12" s="100" t="s">
        <v>160</v>
      </c>
      <c r="Y12" s="100" t="s">
        <v>160</v>
      </c>
      <c r="Z12" s="100">
        <v>42.490854300000002</v>
      </c>
      <c r="AA12" s="100">
        <v>-71.264057500000007</v>
      </c>
    </row>
    <row r="13" spans="1:27">
      <c r="A13" s="100" t="s">
        <v>167</v>
      </c>
      <c r="C13" s="100" t="s">
        <v>153</v>
      </c>
      <c r="D13" s="100" t="s">
        <v>204</v>
      </c>
      <c r="E13" s="100" t="s">
        <v>179</v>
      </c>
      <c r="F13" s="100" t="s">
        <v>156</v>
      </c>
      <c r="G13" s="100">
        <v>1803</v>
      </c>
      <c r="H13" s="100">
        <v>599900</v>
      </c>
      <c r="I13" s="100">
        <v>3</v>
      </c>
      <c r="J13" s="100">
        <v>1.5</v>
      </c>
      <c r="K13" s="100" t="s">
        <v>179</v>
      </c>
      <c r="L13" s="100">
        <v>1740</v>
      </c>
      <c r="M13" s="100">
        <v>21809</v>
      </c>
      <c r="N13" s="100">
        <v>1957</v>
      </c>
      <c r="O13" s="100">
        <v>78</v>
      </c>
      <c r="P13" s="100">
        <v>345</v>
      </c>
      <c r="R13" s="100" t="s">
        <v>170</v>
      </c>
      <c r="U13" s="108" t="s">
        <v>205</v>
      </c>
      <c r="V13" s="100" t="s">
        <v>159</v>
      </c>
      <c r="W13" s="100">
        <v>72666341</v>
      </c>
      <c r="X13" s="100" t="s">
        <v>160</v>
      </c>
      <c r="Y13" s="100" t="s">
        <v>160</v>
      </c>
      <c r="Z13" s="100">
        <v>42.503569599999999</v>
      </c>
      <c r="AA13" s="100">
        <v>-71.225122900000002</v>
      </c>
    </row>
    <row r="14" spans="1:27">
      <c r="A14" s="100" t="s">
        <v>167</v>
      </c>
      <c r="C14" s="100" t="s">
        <v>153</v>
      </c>
      <c r="D14" s="100" t="s">
        <v>257</v>
      </c>
      <c r="E14" s="100" t="s">
        <v>179</v>
      </c>
      <c r="F14" s="100" t="s">
        <v>156</v>
      </c>
      <c r="G14" s="100">
        <v>1803</v>
      </c>
      <c r="H14" s="100">
        <v>499000</v>
      </c>
      <c r="I14" s="100">
        <v>3</v>
      </c>
      <c r="J14" s="100">
        <v>1.5</v>
      </c>
      <c r="K14" s="100" t="s">
        <v>179</v>
      </c>
      <c r="L14" s="100">
        <v>1764</v>
      </c>
      <c r="M14" s="100">
        <v>20000</v>
      </c>
      <c r="N14" s="100">
        <v>1956</v>
      </c>
      <c r="O14" s="100">
        <v>5</v>
      </c>
      <c r="P14" s="100">
        <v>283</v>
      </c>
      <c r="R14" s="100" t="s">
        <v>170</v>
      </c>
      <c r="U14" s="108" t="s">
        <v>258</v>
      </c>
      <c r="V14" s="100" t="s">
        <v>159</v>
      </c>
      <c r="W14" s="100">
        <v>72710131</v>
      </c>
      <c r="X14" s="100" t="s">
        <v>160</v>
      </c>
      <c r="Y14" s="100" t="s">
        <v>160</v>
      </c>
      <c r="Z14" s="100">
        <v>42.490242500000001</v>
      </c>
      <c r="AA14" s="100">
        <v>-71.170125299999995</v>
      </c>
    </row>
    <row r="15" spans="1:27">
      <c r="A15" s="100" t="s">
        <v>167</v>
      </c>
      <c r="C15" s="100" t="s">
        <v>182</v>
      </c>
      <c r="D15" s="100" t="s">
        <v>213</v>
      </c>
      <c r="E15" s="100" t="s">
        <v>187</v>
      </c>
      <c r="F15" s="100" t="s">
        <v>156</v>
      </c>
      <c r="G15" s="100">
        <v>1810</v>
      </c>
      <c r="H15" s="100">
        <v>405000</v>
      </c>
      <c r="I15" s="100">
        <v>2</v>
      </c>
      <c r="J15" s="100">
        <v>1.5</v>
      </c>
      <c r="K15" s="100" t="s">
        <v>187</v>
      </c>
      <c r="L15" s="100">
        <v>1855</v>
      </c>
      <c r="N15" s="100">
        <v>2004</v>
      </c>
      <c r="O15" s="100">
        <v>68</v>
      </c>
      <c r="P15" s="100">
        <v>218</v>
      </c>
      <c r="Q15" s="100">
        <v>323</v>
      </c>
      <c r="R15" s="100" t="s">
        <v>170</v>
      </c>
      <c r="U15" s="108" t="s">
        <v>214</v>
      </c>
      <c r="V15" s="100" t="s">
        <v>159</v>
      </c>
      <c r="W15" s="100">
        <v>72672923</v>
      </c>
      <c r="X15" s="100" t="s">
        <v>160</v>
      </c>
      <c r="Y15" s="100" t="s">
        <v>160</v>
      </c>
      <c r="Z15" s="100">
        <v>42.628115200000003</v>
      </c>
      <c r="AA15" s="100">
        <v>-71.158566899999997</v>
      </c>
    </row>
    <row r="16" spans="1:27">
      <c r="A16" s="100" t="s">
        <v>167</v>
      </c>
      <c r="C16" s="100" t="s">
        <v>153</v>
      </c>
      <c r="D16" s="100" t="s">
        <v>218</v>
      </c>
      <c r="E16" s="100" t="s">
        <v>187</v>
      </c>
      <c r="F16" s="100" t="s">
        <v>156</v>
      </c>
      <c r="G16" s="100">
        <v>1810</v>
      </c>
      <c r="H16" s="100">
        <v>599900</v>
      </c>
      <c r="I16" s="100">
        <v>3</v>
      </c>
      <c r="J16" s="100">
        <v>2</v>
      </c>
      <c r="K16" s="100" t="s">
        <v>219</v>
      </c>
      <c r="L16" s="100">
        <v>1839</v>
      </c>
      <c r="M16" s="100">
        <v>41480</v>
      </c>
      <c r="N16" s="100">
        <v>1971</v>
      </c>
      <c r="O16" s="100">
        <v>36</v>
      </c>
      <c r="P16" s="100">
        <v>326</v>
      </c>
      <c r="R16" s="100" t="s">
        <v>170</v>
      </c>
      <c r="U16" s="108" t="s">
        <v>220</v>
      </c>
      <c r="V16" s="100" t="s">
        <v>159</v>
      </c>
      <c r="W16" s="100">
        <v>72690700</v>
      </c>
      <c r="X16" s="100" t="s">
        <v>160</v>
      </c>
      <c r="Y16" s="100" t="s">
        <v>160</v>
      </c>
      <c r="Z16" s="100">
        <v>42.668335999999996</v>
      </c>
      <c r="AA16" s="100">
        <v>-71.1843279</v>
      </c>
    </row>
    <row r="17" spans="1:27">
      <c r="A17" s="100" t="s">
        <v>167</v>
      </c>
      <c r="C17" s="100" t="s">
        <v>153</v>
      </c>
      <c r="D17" s="100" t="s">
        <v>249</v>
      </c>
      <c r="E17" s="100" t="s">
        <v>187</v>
      </c>
      <c r="F17" s="100" t="s">
        <v>156</v>
      </c>
      <c r="G17" s="100">
        <v>1810</v>
      </c>
      <c r="H17" s="100">
        <v>619900</v>
      </c>
      <c r="I17" s="100">
        <v>3</v>
      </c>
      <c r="J17" s="100">
        <v>1</v>
      </c>
      <c r="K17" s="100" t="s">
        <v>250</v>
      </c>
      <c r="L17" s="100">
        <v>1894</v>
      </c>
      <c r="M17" s="100">
        <v>33670</v>
      </c>
      <c r="N17" s="100">
        <v>1963</v>
      </c>
      <c r="O17" s="100">
        <v>6</v>
      </c>
      <c r="P17" s="100">
        <v>327</v>
      </c>
      <c r="R17" s="100" t="s">
        <v>170</v>
      </c>
      <c r="U17" s="108" t="s">
        <v>251</v>
      </c>
      <c r="V17" s="100" t="s">
        <v>159</v>
      </c>
      <c r="W17" s="100">
        <v>72709006</v>
      </c>
      <c r="X17" s="100" t="s">
        <v>160</v>
      </c>
      <c r="Y17" s="100" t="s">
        <v>160</v>
      </c>
      <c r="Z17" s="100">
        <v>42.649980499999998</v>
      </c>
      <c r="AA17" s="100">
        <v>-71.171471299999993</v>
      </c>
    </row>
    <row r="18" spans="1:27">
      <c r="A18" s="100" t="s">
        <v>167</v>
      </c>
      <c r="C18" s="100" t="s">
        <v>153</v>
      </c>
      <c r="D18" s="100" t="s">
        <v>172</v>
      </c>
      <c r="E18" s="100" t="s">
        <v>173</v>
      </c>
      <c r="F18" s="100" t="s">
        <v>156</v>
      </c>
      <c r="G18" s="100">
        <v>1890</v>
      </c>
      <c r="H18" s="100">
        <v>749000</v>
      </c>
      <c r="I18" s="100">
        <v>3</v>
      </c>
      <c r="J18" s="100">
        <v>3.5</v>
      </c>
      <c r="K18" s="100" t="s">
        <v>174</v>
      </c>
      <c r="L18" s="100">
        <v>2323</v>
      </c>
      <c r="M18" s="100">
        <v>7105</v>
      </c>
      <c r="N18" s="100">
        <v>2004</v>
      </c>
      <c r="O18" s="100">
        <v>155</v>
      </c>
      <c r="P18" s="100">
        <v>322</v>
      </c>
      <c r="R18" s="100" t="s">
        <v>170</v>
      </c>
      <c r="U18" s="108" t="s">
        <v>175</v>
      </c>
      <c r="V18" s="100" t="s">
        <v>159</v>
      </c>
      <c r="W18" s="100">
        <v>72634926</v>
      </c>
      <c r="X18" s="100" t="s">
        <v>160</v>
      </c>
      <c r="Y18" s="100" t="s">
        <v>160</v>
      </c>
      <c r="Z18" s="100">
        <v>42.463328400000002</v>
      </c>
      <c r="AA18" s="100">
        <v>-71.141904100000005</v>
      </c>
    </row>
    <row r="19" spans="1:27">
      <c r="A19" s="100" t="s">
        <v>167</v>
      </c>
      <c r="C19" s="100" t="s">
        <v>153</v>
      </c>
      <c r="D19" s="100" t="s">
        <v>254</v>
      </c>
      <c r="E19" s="100" t="s">
        <v>179</v>
      </c>
      <c r="F19" s="100" t="s">
        <v>156</v>
      </c>
      <c r="G19" s="100">
        <v>1803</v>
      </c>
      <c r="H19" s="100">
        <v>529900</v>
      </c>
      <c r="I19" s="100">
        <v>3</v>
      </c>
      <c r="J19" s="100">
        <v>2</v>
      </c>
      <c r="K19" s="100" t="s">
        <v>179</v>
      </c>
      <c r="L19" s="100">
        <v>1512</v>
      </c>
      <c r="M19" s="100">
        <v>20100</v>
      </c>
      <c r="N19" s="100">
        <v>1961</v>
      </c>
      <c r="O19" s="100">
        <v>6</v>
      </c>
      <c r="P19" s="100">
        <v>350</v>
      </c>
      <c r="R19" s="100" t="s">
        <v>170</v>
      </c>
      <c r="U19" s="108" t="s">
        <v>255</v>
      </c>
      <c r="V19" s="100" t="s">
        <v>159</v>
      </c>
      <c r="W19" s="100">
        <v>72709809</v>
      </c>
      <c r="X19" s="100" t="s">
        <v>160</v>
      </c>
      <c r="Y19" s="100" t="s">
        <v>160</v>
      </c>
      <c r="Z19" s="100">
        <v>42.503686299999998</v>
      </c>
      <c r="AA19" s="100">
        <v>-71.203078399999995</v>
      </c>
    </row>
    <row r="20" spans="1:27">
      <c r="A20" s="100" t="s">
        <v>167</v>
      </c>
      <c r="C20" s="100" t="s">
        <v>153</v>
      </c>
      <c r="D20" s="100" t="s">
        <v>225</v>
      </c>
      <c r="E20" s="100" t="s">
        <v>226</v>
      </c>
      <c r="F20" s="100" t="s">
        <v>156</v>
      </c>
      <c r="G20" s="100">
        <v>1867</v>
      </c>
      <c r="H20" s="100">
        <v>699900</v>
      </c>
      <c r="I20" s="100">
        <v>3</v>
      </c>
      <c r="J20" s="100">
        <v>3.5</v>
      </c>
      <c r="K20" s="100" t="s">
        <v>227</v>
      </c>
      <c r="L20" s="100">
        <v>2100</v>
      </c>
      <c r="M20" s="100">
        <v>2614</v>
      </c>
      <c r="N20" s="100">
        <v>2020</v>
      </c>
      <c r="O20" s="100">
        <v>27</v>
      </c>
      <c r="P20" s="100">
        <v>333</v>
      </c>
      <c r="R20" s="100" t="s">
        <v>198</v>
      </c>
      <c r="U20" s="108" t="s">
        <v>228</v>
      </c>
      <c r="V20" s="100" t="s">
        <v>159</v>
      </c>
      <c r="W20" s="100">
        <v>72697449</v>
      </c>
      <c r="X20" s="100" t="s">
        <v>160</v>
      </c>
      <c r="Y20" s="100" t="s">
        <v>160</v>
      </c>
      <c r="Z20" s="100">
        <v>42.533359900000001</v>
      </c>
      <c r="AA20" s="100">
        <v>-71.109305599999999</v>
      </c>
    </row>
    <row r="21" spans="1:27">
      <c r="A21" s="100" t="s">
        <v>167</v>
      </c>
      <c r="C21" s="100" t="s">
        <v>182</v>
      </c>
      <c r="D21" s="100" t="s">
        <v>183</v>
      </c>
      <c r="E21" s="100" t="s">
        <v>155</v>
      </c>
      <c r="F21" s="100" t="s">
        <v>156</v>
      </c>
      <c r="G21" s="100">
        <v>1730</v>
      </c>
      <c r="H21" s="100">
        <v>699000</v>
      </c>
      <c r="I21" s="100">
        <v>3</v>
      </c>
      <c r="J21" s="100">
        <v>2.5</v>
      </c>
      <c r="K21" s="100" t="s">
        <v>155</v>
      </c>
      <c r="L21" s="100">
        <v>1711</v>
      </c>
      <c r="M21" s="100">
        <v>8965</v>
      </c>
      <c r="N21" s="100">
        <v>2019</v>
      </c>
      <c r="O21" s="100">
        <v>119</v>
      </c>
      <c r="P21" s="100">
        <v>409</v>
      </c>
      <c r="Q21" s="100">
        <v>200</v>
      </c>
      <c r="R21" s="100" t="s">
        <v>170</v>
      </c>
      <c r="U21" s="108" t="s">
        <v>184</v>
      </c>
      <c r="V21" s="100" t="s">
        <v>159</v>
      </c>
      <c r="W21" s="100">
        <v>72646469</v>
      </c>
      <c r="X21" s="100" t="s">
        <v>160</v>
      </c>
      <c r="Y21" s="100" t="s">
        <v>160</v>
      </c>
      <c r="Z21" s="100">
        <v>42.474353899999997</v>
      </c>
      <c r="AA21" s="100">
        <v>-71.2661181</v>
      </c>
    </row>
    <row r="22" spans="1:27">
      <c r="A22" s="100" t="s">
        <v>167</v>
      </c>
      <c r="C22" s="100" t="s">
        <v>153</v>
      </c>
      <c r="D22" s="100" t="s">
        <v>235</v>
      </c>
      <c r="E22" s="100" t="s">
        <v>155</v>
      </c>
      <c r="F22" s="100" t="s">
        <v>156</v>
      </c>
      <c r="G22" s="100">
        <v>1730</v>
      </c>
      <c r="H22" s="100">
        <v>719000</v>
      </c>
      <c r="I22" s="100">
        <v>5</v>
      </c>
      <c r="J22" s="100">
        <v>2</v>
      </c>
      <c r="K22" s="100" t="s">
        <v>155</v>
      </c>
      <c r="L22" s="100">
        <v>2578</v>
      </c>
      <c r="M22" s="100">
        <v>39988</v>
      </c>
      <c r="N22" s="100">
        <v>1978</v>
      </c>
      <c r="O22" s="100">
        <v>7</v>
      </c>
      <c r="P22" s="100">
        <v>279</v>
      </c>
      <c r="R22" s="100" t="s">
        <v>198</v>
      </c>
      <c r="U22" s="108" t="s">
        <v>236</v>
      </c>
      <c r="V22" s="100" t="s">
        <v>159</v>
      </c>
      <c r="W22" s="100">
        <v>72705833</v>
      </c>
      <c r="X22" s="100" t="s">
        <v>160</v>
      </c>
      <c r="Y22" s="100" t="s">
        <v>160</v>
      </c>
      <c r="Z22" s="100">
        <v>42.524418900000001</v>
      </c>
      <c r="AA22" s="100">
        <v>-71.286353700000006</v>
      </c>
    </row>
    <row r="23" spans="1:27">
      <c r="A23" s="100" t="s">
        <v>167</v>
      </c>
      <c r="C23" s="100" t="s">
        <v>162</v>
      </c>
      <c r="D23" s="100" t="s">
        <v>221</v>
      </c>
      <c r="E23" s="100" t="s">
        <v>173</v>
      </c>
      <c r="F23" s="100" t="s">
        <v>156</v>
      </c>
      <c r="G23" s="100">
        <v>1890</v>
      </c>
      <c r="H23" s="100">
        <v>874900</v>
      </c>
      <c r="I23" s="100">
        <v>4</v>
      </c>
      <c r="J23" s="100">
        <v>2</v>
      </c>
      <c r="K23" s="100" t="s">
        <v>173</v>
      </c>
      <c r="L23" s="100">
        <v>2322</v>
      </c>
      <c r="M23" s="100">
        <v>8834</v>
      </c>
      <c r="N23" s="100">
        <v>1920</v>
      </c>
      <c r="O23" s="100">
        <v>33</v>
      </c>
      <c r="P23" s="100">
        <v>377</v>
      </c>
      <c r="R23" s="100" t="s">
        <v>170</v>
      </c>
      <c r="U23" s="108" t="s">
        <v>222</v>
      </c>
      <c r="V23" s="100" t="s">
        <v>159</v>
      </c>
      <c r="W23" s="100">
        <v>72693787</v>
      </c>
      <c r="X23" s="100" t="s">
        <v>160</v>
      </c>
      <c r="Y23" s="100" t="s">
        <v>160</v>
      </c>
      <c r="Z23" s="100">
        <v>42.4363855</v>
      </c>
      <c r="AA23" s="100">
        <v>-71.1749437</v>
      </c>
    </row>
  </sheetData>
  <hyperlinks>
    <hyperlink ref="U2" r:id="rId1" xr:uid="{00000000-0004-0000-0300-000000000000}"/>
    <hyperlink ref="U3" r:id="rId2" xr:uid="{00000000-0004-0000-0300-000001000000}"/>
    <hyperlink ref="U4" r:id="rId3" xr:uid="{00000000-0004-0000-0300-000002000000}"/>
    <hyperlink ref="U5" r:id="rId4" xr:uid="{00000000-0004-0000-0300-000003000000}"/>
    <hyperlink ref="U6" r:id="rId5" xr:uid="{00000000-0004-0000-0300-000004000000}"/>
    <hyperlink ref="U7" r:id="rId6" xr:uid="{00000000-0004-0000-0300-000005000000}"/>
    <hyperlink ref="U8" r:id="rId7" xr:uid="{00000000-0004-0000-0300-000006000000}"/>
    <hyperlink ref="U9" r:id="rId8" xr:uid="{00000000-0004-0000-0300-000007000000}"/>
    <hyperlink ref="U10" r:id="rId9" xr:uid="{00000000-0004-0000-0300-000008000000}"/>
    <hyperlink ref="U11" r:id="rId10" xr:uid="{00000000-0004-0000-0300-000009000000}"/>
    <hyperlink ref="U12" r:id="rId11" xr:uid="{00000000-0004-0000-0300-00000A000000}"/>
    <hyperlink ref="U13" r:id="rId12" xr:uid="{00000000-0004-0000-0300-00000B000000}"/>
    <hyperlink ref="U14" r:id="rId13" xr:uid="{00000000-0004-0000-0300-00000C000000}"/>
    <hyperlink ref="U15" r:id="rId14" xr:uid="{00000000-0004-0000-0300-00000D000000}"/>
    <hyperlink ref="U16" r:id="rId15" xr:uid="{00000000-0004-0000-0300-00000E000000}"/>
    <hyperlink ref="U17" r:id="rId16" xr:uid="{00000000-0004-0000-0300-00000F000000}"/>
    <hyperlink ref="U18" r:id="rId17" xr:uid="{00000000-0004-0000-0300-000010000000}"/>
    <hyperlink ref="U19" r:id="rId18" xr:uid="{00000000-0004-0000-0300-000011000000}"/>
    <hyperlink ref="U20" r:id="rId19" xr:uid="{00000000-0004-0000-0300-000012000000}"/>
    <hyperlink ref="U21" r:id="rId20" xr:uid="{00000000-0004-0000-0300-000013000000}"/>
    <hyperlink ref="U22" r:id="rId21" xr:uid="{00000000-0004-0000-0300-000014000000}"/>
    <hyperlink ref="U23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9"/>
  <sheetViews>
    <sheetView workbookViewId="0"/>
  </sheetViews>
  <sheetFormatPr defaultColWidth="11.21875" defaultRowHeight="15" customHeight="1"/>
  <cols>
    <col min="1" max="1" width="30" customWidth="1"/>
  </cols>
  <sheetData>
    <row r="1" spans="1:1">
      <c r="A1" s="112" t="s">
        <v>327</v>
      </c>
    </row>
    <row r="2" spans="1:1">
      <c r="A2" s="100" t="s">
        <v>328</v>
      </c>
    </row>
    <row r="3" spans="1:1">
      <c r="A3" s="112" t="s">
        <v>329</v>
      </c>
    </row>
    <row r="4" spans="1:1">
      <c r="A4" s="100" t="s">
        <v>330</v>
      </c>
    </row>
    <row r="5" spans="1:1">
      <c r="A5" s="100" t="s">
        <v>331</v>
      </c>
    </row>
    <row r="6" spans="1:1">
      <c r="A6" s="112" t="s">
        <v>332</v>
      </c>
    </row>
    <row r="7" spans="1:1">
      <c r="A7" s="100" t="s">
        <v>333</v>
      </c>
    </row>
    <row r="8" spans="1:1">
      <c r="A8" s="100" t="s">
        <v>334</v>
      </c>
    </row>
    <row r="18" spans="1:28">
      <c r="A18" s="100" t="s">
        <v>167</v>
      </c>
      <c r="C18" s="100" t="s">
        <v>153</v>
      </c>
      <c r="D18" s="100" t="s">
        <v>168</v>
      </c>
      <c r="E18" s="100" t="s">
        <v>169</v>
      </c>
      <c r="F18" s="100" t="s">
        <v>156</v>
      </c>
      <c r="G18" s="100">
        <v>2420</v>
      </c>
      <c r="H18" s="100">
        <v>789000</v>
      </c>
      <c r="I18" s="100">
        <v>3</v>
      </c>
      <c r="J18" s="100">
        <v>1.5</v>
      </c>
      <c r="K18" s="100" t="s">
        <v>169</v>
      </c>
      <c r="L18" s="100">
        <v>1941</v>
      </c>
      <c r="M18" s="100">
        <v>12078</v>
      </c>
      <c r="N18" s="100">
        <v>1951</v>
      </c>
      <c r="O18" s="100">
        <v>170</v>
      </c>
      <c r="P18" s="100">
        <v>406</v>
      </c>
      <c r="R18" s="100" t="s">
        <v>170</v>
      </c>
      <c r="U18" s="109" t="s">
        <v>171</v>
      </c>
      <c r="V18" s="100" t="s">
        <v>159</v>
      </c>
      <c r="W18" s="100">
        <v>72626342</v>
      </c>
      <c r="X18" s="100" t="s">
        <v>160</v>
      </c>
      <c r="Y18" s="100" t="s">
        <v>160</v>
      </c>
      <c r="Z18" s="100">
        <v>42.469179500000003</v>
      </c>
      <c r="AA18" s="100">
        <v>-71.243036099999998</v>
      </c>
      <c r="AB18" s="113" t="s">
        <v>335</v>
      </c>
    </row>
    <row r="19" spans="1:28">
      <c r="A19" s="100" t="s">
        <v>167</v>
      </c>
      <c r="C19" s="100" t="s">
        <v>153</v>
      </c>
      <c r="D19" s="100" t="s">
        <v>168</v>
      </c>
      <c r="E19" s="100" t="s">
        <v>169</v>
      </c>
      <c r="F19" s="100" t="s">
        <v>156</v>
      </c>
      <c r="G19" s="100">
        <v>2420</v>
      </c>
      <c r="H19" s="100">
        <v>749000</v>
      </c>
      <c r="I19" s="100">
        <v>3</v>
      </c>
      <c r="J19" s="100">
        <v>1.5</v>
      </c>
      <c r="K19" s="100" t="s">
        <v>169</v>
      </c>
      <c r="L19" s="100">
        <v>1941</v>
      </c>
      <c r="M19" s="100">
        <v>12078</v>
      </c>
      <c r="N19" s="100">
        <v>1951</v>
      </c>
      <c r="O19" s="100">
        <v>189</v>
      </c>
      <c r="P19" s="100">
        <v>386</v>
      </c>
      <c r="R19" s="100" t="s">
        <v>198</v>
      </c>
      <c r="U19" s="109" t="s">
        <v>171</v>
      </c>
      <c r="V19" s="100" t="s">
        <v>159</v>
      </c>
      <c r="W19" s="100">
        <v>72626342</v>
      </c>
      <c r="X19" s="100" t="s">
        <v>160</v>
      </c>
      <c r="Y19" s="100" t="s">
        <v>160</v>
      </c>
      <c r="Z19" s="100">
        <v>42.469179500000003</v>
      </c>
      <c r="AA19" s="100">
        <v>-71.243036099999998</v>
      </c>
    </row>
  </sheetData>
  <hyperlinks>
    <hyperlink ref="U18" r:id="rId1" xr:uid="{00000000-0004-0000-0400-000000000000}"/>
    <hyperlink ref="U19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Analysis</vt:lpstr>
      <vt:lpstr>BOE Model</vt:lpstr>
      <vt:lpstr>Data Base</vt:lpstr>
      <vt:lpstr>Import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2020-09-13T14:45:55Z</dcterms:modified>
</cp:coreProperties>
</file>