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汇总计划!$A$1:$Q$5092</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<sst xmlns="http://schemas.openxmlformats.org/spreadsheetml/2006/main" count="11647" uniqueCount="580">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</sst>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_);[Red]\(0\)"/>
    <numFmt numFmtId="178" formatCode="[$-F800]dddd\,\ mmmm\ dd\,\ yyyy"/>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8" fontId="46" fillId="0" borderId="0">
      <alignment vertical="center"/>
    </xf>
    <xf numFmtId="0" fontId="0" fillId="0" borderId="0">
      <alignment vertical="center"/>
    </xf>
    <xf numFmtId="0" fontId="38" fillId="0" borderId="0">
      <alignment vertical="center"/>
    </xf>
  </cellStyleXfs>
  <cellXfs count="161">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6"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6"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12" fillId="0" borderId="0" xfId="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6"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6"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6"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HPB300Φ8</v>
          </cell>
          <cell r="D9057" t="str">
            <v>吨</v>
          </cell>
          <cell r="E9057">
            <v>2</v>
          </cell>
          <cell r="F9057">
            <v>45958</v>
          </cell>
          <cell r="G9057" t="str">
            <v>（北京工程局乐山机场项目）乐山市五通桥区冠英镇</v>
          </cell>
          <cell r="H9057" t="str">
            <v>王治</v>
          </cell>
          <cell r="I9057">
            <v>18811564698</v>
          </cell>
        </row>
        <row r="9058">
          <cell r="A9058" t="str">
            <v>达钢</v>
          </cell>
          <cell r="B9058" t="str">
            <v>高线</v>
          </cell>
          <cell r="C9058" t="str">
            <v>HPB300Φ6</v>
          </cell>
          <cell r="D9058" t="str">
            <v>吨</v>
          </cell>
          <cell r="E9058">
            <v>6</v>
          </cell>
          <cell r="F9058">
            <v>45958</v>
          </cell>
          <cell r="G9058" t="str">
            <v>（北京工程局乐山机场项目）乐山市五通桥区冠英镇</v>
          </cell>
          <cell r="H9058" t="str">
            <v>王治</v>
          </cell>
          <cell r="I9058">
            <v>18811564698</v>
          </cell>
        </row>
        <row r="9059">
          <cell r="A9059" t="str">
            <v>达钢</v>
          </cell>
          <cell r="B9059" t="str">
            <v>盘螺</v>
          </cell>
          <cell r="C9059" t="str">
            <v>HRB400EФ8</v>
          </cell>
          <cell r="D9059" t="str">
            <v>吨</v>
          </cell>
          <cell r="E9059">
            <v>15.5</v>
          </cell>
          <cell r="F9059">
            <v>45958</v>
          </cell>
          <cell r="G9059" t="str">
            <v>（北京工程局乐山机场项目）乐山市五通桥区冠英镇</v>
          </cell>
          <cell r="H9059" t="str">
            <v>王治</v>
          </cell>
          <cell r="I9059">
            <v>18811564698</v>
          </cell>
        </row>
        <row r="9060">
          <cell r="A9060" t="str">
            <v>达钢</v>
          </cell>
          <cell r="B9060" t="str">
            <v>螺纹钢</v>
          </cell>
          <cell r="C9060" t="str">
            <v>HRB400EФ14*12m</v>
          </cell>
          <cell r="D9060" t="str">
            <v>吨</v>
          </cell>
          <cell r="E9060">
            <v>6</v>
          </cell>
          <cell r="F9060">
            <v>45958</v>
          </cell>
          <cell r="G9060" t="str">
            <v>（北京工程局乐山机场项目）乐山市五通桥区冠英镇</v>
          </cell>
          <cell r="H9060" t="str">
            <v>王治</v>
          </cell>
          <cell r="I9060">
            <v>18811564698</v>
          </cell>
        </row>
        <row r="9061">
          <cell r="A9061" t="str">
            <v>泸钢</v>
          </cell>
          <cell r="B9061" t="str">
            <v>螺纹钢</v>
          </cell>
          <cell r="C9061" t="str">
            <v>HRB400E Φ16 9m</v>
          </cell>
          <cell r="D9061" t="str">
            <v>吨</v>
          </cell>
          <cell r="E9061">
            <v>30</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v>
          </cell>
          <cell r="B9062" t="str">
            <v>螺纹钢</v>
          </cell>
          <cell r="C9062" t="str">
            <v>HRB400E Φ18 9m</v>
          </cell>
          <cell r="D9062" t="str">
            <v>吨</v>
          </cell>
          <cell r="E9062">
            <v>5</v>
          </cell>
          <cell r="F9062">
            <v>45958</v>
          </cell>
          <cell r="G9062" t="str">
            <v>(五冶钢构龙泉东洪片区70亩住宅、商业及配套工程项目三标段)成都市龙泉驿外东洪路地铁2号线惠王陵地铁C口</v>
          </cell>
          <cell r="H9062" t="str">
            <v>蒋嗣伟</v>
          </cell>
          <cell r="I9062">
            <v>15014331252</v>
          </cell>
        </row>
        <row r="9063">
          <cell r="A9063" t="str">
            <v>泸钢（代）</v>
          </cell>
          <cell r="B9063" t="str">
            <v>盘圆</v>
          </cell>
          <cell r="C9063" t="str">
            <v>HPB300Φ12mm</v>
          </cell>
          <cell r="D9063" t="str">
            <v>吨</v>
          </cell>
          <cell r="E9063">
            <v>15</v>
          </cell>
          <cell r="F9063">
            <v>45958</v>
          </cell>
          <cell r="G9063" t="str">
            <v>（成峨1标）眉山市彭山区谢家街道跳墩子</v>
          </cell>
          <cell r="H9063" t="str">
            <v>曾毅</v>
          </cell>
          <cell r="I9063" t="str">
            <v>13982229815</v>
          </cell>
        </row>
        <row r="9064">
          <cell r="A9064" t="str">
            <v>泸钢（代）</v>
          </cell>
          <cell r="B9064" t="str">
            <v>螺纹钢</v>
          </cell>
          <cell r="C9064" t="str">
            <v>HRB500EΦ32*12m</v>
          </cell>
          <cell r="D9064" t="str">
            <v>吨</v>
          </cell>
          <cell r="E9064">
            <v>20</v>
          </cell>
          <cell r="F9064">
            <v>45958</v>
          </cell>
          <cell r="G9064" t="str">
            <v>（成峨1标）眉山市彭山区谢家街道跳墩子</v>
          </cell>
          <cell r="H9064" t="str">
            <v>曾毅</v>
          </cell>
          <cell r="I9064" t="str">
            <v>13982229815</v>
          </cell>
        </row>
        <row r="9065">
          <cell r="A9065" t="str">
            <v>泸钢</v>
          </cell>
          <cell r="B9065" t="str">
            <v>高线</v>
          </cell>
          <cell r="C9065" t="str">
            <v>HPB300 Φ10</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Φ12×9米</v>
          </cell>
          <cell r="D9066" t="str">
            <v>吨</v>
          </cell>
          <cell r="E9066">
            <v>5</v>
          </cell>
          <cell r="F9066">
            <v>45958</v>
          </cell>
          <cell r="G9066" t="str">
            <v>自永高速一标二工区（连接线</v>
          </cell>
          <cell r="H9066" t="str">
            <v>余伯宣</v>
          </cell>
          <cell r="I9066">
            <v>13778530969</v>
          </cell>
        </row>
        <row r="9067">
          <cell r="A9067" t="str">
            <v>泸钢</v>
          </cell>
          <cell r="B9067" t="str">
            <v>螺纹钢</v>
          </cell>
          <cell r="C9067" t="str">
            <v>HRB400E Φ22×9米</v>
          </cell>
          <cell r="D9067" t="str">
            <v>吨</v>
          </cell>
          <cell r="E9067">
            <v>10</v>
          </cell>
          <cell r="F9067">
            <v>45958</v>
          </cell>
          <cell r="G9067" t="str">
            <v>自永高速一标二工区（连接线</v>
          </cell>
          <cell r="H9067" t="str">
            <v>余伯宣</v>
          </cell>
          <cell r="I9067">
            <v>13778530969</v>
          </cell>
        </row>
        <row r="9068">
          <cell r="A9068" t="str">
            <v>泸钢</v>
          </cell>
          <cell r="B9068" t="str">
            <v>螺纹钢</v>
          </cell>
          <cell r="C9068" t="str">
            <v>HRB400E Φ20×9米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Φ25×9米</v>
          </cell>
          <cell r="D9069" t="str">
            <v>吨</v>
          </cell>
          <cell r="E9069">
            <v>7.5</v>
          </cell>
          <cell r="F9069">
            <v>45958</v>
          </cell>
          <cell r="G9069" t="str">
            <v>自永高速一标二工区（连接线</v>
          </cell>
          <cell r="H9069" t="str">
            <v>余伯宣</v>
          </cell>
          <cell r="I9069">
            <v>13778530969</v>
          </cell>
        </row>
        <row r="9070">
          <cell r="A9070" t="str">
            <v>泸钢</v>
          </cell>
          <cell r="B9070" t="str">
            <v>螺纹钢</v>
          </cell>
          <cell r="C9070" t="str">
            <v>HRB400E Φ12×9米</v>
          </cell>
          <cell r="D9070" t="str">
            <v>吨</v>
          </cell>
          <cell r="E9070">
            <v>17.5</v>
          </cell>
          <cell r="F9070">
            <v>45958</v>
          </cell>
          <cell r="G9070" t="str">
            <v>（自永高速-自永3标六局交通分公司）四川省内江市隆昌市圣灯镇中心学校</v>
          </cell>
          <cell r="H9070" t="str">
            <v>李宏权</v>
          </cell>
          <cell r="I9070">
            <v>19212995868</v>
          </cell>
        </row>
        <row r="9071">
          <cell r="A9071" t="str">
            <v>泸钢</v>
          </cell>
          <cell r="B9071" t="str">
            <v>高线</v>
          </cell>
          <cell r="C9071" t="str">
            <v>HPB300  Φ12</v>
          </cell>
          <cell r="D9071" t="str">
            <v>吨</v>
          </cell>
          <cell r="E9071">
            <v>2.5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Φ16×9米</v>
          </cell>
          <cell r="D9072" t="str">
            <v>吨</v>
          </cell>
          <cell r="E9072">
            <v>5</v>
          </cell>
          <cell r="F9072">
            <v>45958</v>
          </cell>
          <cell r="G9072" t="str">
            <v>（自永高速-自永3标六局交通分公司）四川省内江市隆昌市圣灯镇中心学校</v>
          </cell>
          <cell r="H9072" t="str">
            <v>李宏权</v>
          </cell>
          <cell r="I9072">
            <v>19212995868</v>
          </cell>
        </row>
        <row r="9073">
          <cell r="A9073" t="str">
            <v>泸钢</v>
          </cell>
          <cell r="B9073" t="str">
            <v>螺纹钢</v>
          </cell>
          <cell r="C9073" t="str">
            <v>HRB400E Φ16×12米</v>
          </cell>
          <cell r="D9073" t="str">
            <v>吨</v>
          </cell>
          <cell r="E9073">
            <v>10</v>
          </cell>
          <cell r="F9073">
            <v>45958</v>
          </cell>
          <cell r="G9073" t="str">
            <v>（自永高速-自永3标六局交通分公司）四川省内江市隆昌市圣灯镇中心学校</v>
          </cell>
          <cell r="H9073" t="str">
            <v>李宏权</v>
          </cell>
          <cell r="I9073">
            <v>19212995868</v>
          </cell>
        </row>
        <row r="9074">
          <cell r="A9074" t="str">
            <v>泸钢</v>
          </cell>
          <cell r="B9074" t="str">
            <v>盘螺</v>
          </cell>
          <cell r="C9074" t="str">
            <v>HRB400E Φ8</v>
          </cell>
          <cell r="D9074" t="str">
            <v>吨</v>
          </cell>
          <cell r="E9074">
            <v>35</v>
          </cell>
          <cell r="F9074">
            <v>45958</v>
          </cell>
          <cell r="G9074" t="str">
            <v>(宜宾兴港三江新区长江工业园保障性租赁住房建设项目-土建)四川省宜宾市翠屏区永善路南段宜宾市三江新区长江工业园区</v>
          </cell>
          <cell r="H9074" t="str">
            <v>赵元虎</v>
          </cell>
          <cell r="I9074">
            <v>13684167136</v>
          </cell>
        </row>
        <row r="9075">
          <cell r="A9075" t="str">
            <v>润耀</v>
          </cell>
          <cell r="B9075" t="str">
            <v>螺纹钢</v>
          </cell>
          <cell r="C9075" t="str">
            <v>HRB400EФ12，12m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润耀</v>
          </cell>
          <cell r="B9076" t="str">
            <v>螺纹钢</v>
          </cell>
          <cell r="C9076" t="str">
            <v>HRB400EФ16，12m</v>
          </cell>
          <cell r="D9076" t="str">
            <v>吨</v>
          </cell>
          <cell r="E9076">
            <v>35</v>
          </cell>
          <cell r="F9076">
            <v>45959</v>
          </cell>
          <cell r="G9076" t="str">
            <v>（中铁广州局-成渝扩容2标）四川省资阳市雁江区石岭镇易家沟2号梁场</v>
          </cell>
          <cell r="H9076" t="str">
            <v>孙鹏飞</v>
          </cell>
          <cell r="I9076">
            <v>18011784798</v>
          </cell>
        </row>
        <row r="9077">
          <cell r="A9077" t="str">
            <v>德胜</v>
          </cell>
          <cell r="B9077" t="str">
            <v>螺纹钢</v>
          </cell>
          <cell r="C9077" t="str">
            <v>HRB400EФ28，12m</v>
          </cell>
          <cell r="D9077" t="str">
            <v>吨</v>
          </cell>
          <cell r="E9077">
            <v>70</v>
          </cell>
          <cell r="F9077">
            <v>45959</v>
          </cell>
          <cell r="G9077" t="str">
            <v>（中铁广州局-成渝扩容2标）四川省内江市资中县双龙镇朱家房子成渝扩容ZCB3-2标1#钢筋厂</v>
          </cell>
          <cell r="H9077" t="str">
            <v>石雄</v>
          </cell>
          <cell r="I9077">
            <v>13268388125</v>
          </cell>
        </row>
        <row r="9078">
          <cell r="A9078" t="str">
            <v>德胜</v>
          </cell>
          <cell r="B9078" t="str">
            <v>螺纹钢</v>
          </cell>
          <cell r="C9078" t="str">
            <v>HRB400EФ12*9m</v>
          </cell>
          <cell r="D9078" t="str">
            <v>吨</v>
          </cell>
          <cell r="E9078">
            <v>30</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HRB500EФ18*9m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v>
          </cell>
          <cell r="B9080" t="str">
            <v>螺纹钢</v>
          </cell>
          <cell r="C9080" t="str">
            <v>HRB500EФ22*9m</v>
          </cell>
          <cell r="D9080" t="str">
            <v>吨</v>
          </cell>
          <cell r="E9080">
            <v>2</v>
          </cell>
          <cell r="F9080">
            <v>45959</v>
          </cell>
          <cell r="G9080" t="str">
            <v>（中核中原-温江北林医养综合体项目）四川省成都市温江区万春大道第三人民医院东</v>
          </cell>
          <cell r="H9080" t="str">
            <v>蔡杰</v>
          </cell>
          <cell r="I9080">
            <v>18875129329</v>
          </cell>
        </row>
        <row r="9081">
          <cell r="A9081" t="str">
            <v>德胜恒嘉</v>
          </cell>
          <cell r="B9081" t="str">
            <v>螺纹钢</v>
          </cell>
          <cell r="C9081" t="str">
            <v>HRB400EФ22*9m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HRB500EФ22*9m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HRB500EФ25*9m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HRB500EФ28*9m</v>
          </cell>
          <cell r="D9084" t="str">
            <v>吨</v>
          </cell>
          <cell r="E9084">
            <v>35</v>
          </cell>
          <cell r="F9084">
            <v>45959</v>
          </cell>
          <cell r="G9084" t="str">
            <v>（中铁六局呼和公司康新高速TJ4-2标）四川省甘孜藏族自治州康定市新都桥镇东俄罗三村中建八局搅拌站旁</v>
          </cell>
          <cell r="H9084" t="str">
            <v>许文刚</v>
          </cell>
          <cell r="I9084">
            <v>15848808186</v>
          </cell>
        </row>
        <row r="9085">
          <cell r="A9085" t="str">
            <v>德胜恒嘉</v>
          </cell>
          <cell r="B9085" t="str">
            <v>螺纹钢</v>
          </cell>
          <cell r="C9085" t="str">
            <v>HRB500EФ25，12m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HRB500EФ28，9m</v>
          </cell>
          <cell r="D9086" t="str">
            <v>吨</v>
          </cell>
          <cell r="E9086">
            <v>70</v>
          </cell>
          <cell r="F9086">
            <v>45959</v>
          </cell>
          <cell r="G9086" t="str">
            <v>（中铁十局-资乐高速4标）四川省眉山市仁寿县彰加镇促进村中铁十局资乐高速1#钢筋场</v>
          </cell>
          <cell r="H9086" t="str">
            <v>杨飞</v>
          </cell>
          <cell r="I9086">
            <v>15667998777</v>
          </cell>
        </row>
        <row r="9087">
          <cell r="A9087" t="str">
            <v>德胜恒嘉</v>
          </cell>
          <cell r="B9087" t="str">
            <v>螺纹钢</v>
          </cell>
          <cell r="C9087" t="str">
            <v>HRB400EФ28，9m</v>
          </cell>
          <cell r="D9087" t="str">
            <v>吨</v>
          </cell>
          <cell r="E9087">
            <v>35</v>
          </cell>
          <cell r="F9087">
            <v>45959</v>
          </cell>
          <cell r="G9087" t="str">
            <v>（中铁十局-资乐高速4标）四川省眉山市仁寿县彰加镇促进村中铁十局资乐高速1#钢筋场</v>
          </cell>
          <cell r="H9087" t="str">
            <v>杨飞</v>
          </cell>
          <cell r="I9087">
            <v>15667998777</v>
          </cell>
        </row>
        <row r="9088">
          <cell r="A9088" t="str">
            <v>润耀</v>
          </cell>
          <cell r="B9088" t="str">
            <v>盘螺</v>
          </cell>
          <cell r="C9088" t="str">
            <v>HRB400EΦ8</v>
          </cell>
          <cell r="D9088" t="str">
            <v>吨</v>
          </cell>
          <cell r="E9088">
            <v>15</v>
          </cell>
          <cell r="F9088">
            <v>45959</v>
          </cell>
          <cell r="G9088" t="str">
            <v>（中核中原-温江光明苑三期项目）四川省成都市温江区金马街道光明苑三期项目</v>
          </cell>
          <cell r="H9088" t="str">
            <v>王生斌</v>
          </cell>
          <cell r="I9088">
            <v>15228858118</v>
          </cell>
        </row>
        <row r="9089">
          <cell r="A9089" t="str">
            <v>润耀</v>
          </cell>
          <cell r="B9089" t="str">
            <v>盘螺</v>
          </cell>
          <cell r="C9089" t="str">
            <v>HRB400EΦ10</v>
          </cell>
          <cell r="D9089" t="str">
            <v>吨</v>
          </cell>
          <cell r="E9089">
            <v>20</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HRB400EФ12*9m</v>
          </cell>
          <cell r="D9090" t="str">
            <v>吨</v>
          </cell>
          <cell r="E9090">
            <v>18</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HRB400EФ16*9m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德胜</v>
          </cell>
          <cell r="B9092" t="str">
            <v>螺纹钢</v>
          </cell>
          <cell r="C9092" t="str">
            <v>HRB400EФ18*9m</v>
          </cell>
          <cell r="D9092" t="str">
            <v>吨</v>
          </cell>
          <cell r="E9092">
            <v>9</v>
          </cell>
          <cell r="F9092">
            <v>45959</v>
          </cell>
          <cell r="G9092" t="str">
            <v>（中核中原-温江光明苑三期项目）四川省成都市温江区金马街道光明苑三期项目</v>
          </cell>
          <cell r="H9092" t="str">
            <v>王生斌</v>
          </cell>
          <cell r="I9092">
            <v>15228858118</v>
          </cell>
        </row>
        <row r="9093">
          <cell r="A9093" t="str">
            <v>润耀</v>
          </cell>
          <cell r="B9093" t="str">
            <v>盘螺</v>
          </cell>
          <cell r="C9093" t="str">
            <v>HRB400E Φ12</v>
          </cell>
          <cell r="D9093" t="str">
            <v>吨</v>
          </cell>
          <cell r="E9093">
            <v>35</v>
          </cell>
          <cell r="F9093">
            <v>45959</v>
          </cell>
          <cell r="G9093" t="str">
            <v>（华西简阳西城嘉苑）四川省成都市简阳市简城街道高屋村</v>
          </cell>
          <cell r="H9093" t="str">
            <v>张瀚镭</v>
          </cell>
          <cell r="I9093">
            <v>15884666220</v>
          </cell>
        </row>
        <row r="9094">
          <cell r="A9094" t="str">
            <v>润耀</v>
          </cell>
          <cell r="B9094" t="str">
            <v>螺纹钢</v>
          </cell>
          <cell r="C9094" t="str">
            <v>HRB400EФ14，12m</v>
          </cell>
          <cell r="D9094" t="str">
            <v>吨</v>
          </cell>
          <cell r="E9094">
            <v>35</v>
          </cell>
          <cell r="F9094">
            <v>45959</v>
          </cell>
          <cell r="G9094" t="str">
            <v>（中铁十局-资乐高速4标）四川省眉山市仁寿县彰加镇促进村中铁十局资乐高速1#钢筋场</v>
          </cell>
          <cell r="H9094" t="str">
            <v>杨飞</v>
          </cell>
          <cell r="I9094">
            <v>15667998777</v>
          </cell>
        </row>
        <row r="9095">
          <cell r="A9095" t="str">
            <v>泸钢</v>
          </cell>
          <cell r="B9095" t="str">
            <v>盘螺</v>
          </cell>
          <cell r="C9095" t="str">
            <v>HRB400E Φ12</v>
          </cell>
          <cell r="D9095" t="str">
            <v>吨</v>
          </cell>
          <cell r="E9095">
            <v>4</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Φ14 9m</v>
          </cell>
          <cell r="D9096" t="str">
            <v>吨</v>
          </cell>
          <cell r="E9096">
            <v>10</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Φ16 9m</v>
          </cell>
          <cell r="D9097" t="str">
            <v>吨</v>
          </cell>
          <cell r="E9097">
            <v>2.5</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Φ20 9m</v>
          </cell>
          <cell r="D9098" t="str">
            <v>吨</v>
          </cell>
          <cell r="E9098">
            <v>10</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Φ22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Φ25 9m</v>
          </cell>
          <cell r="D9100" t="str">
            <v>吨</v>
          </cell>
          <cell r="E9100">
            <v>5</v>
          </cell>
          <cell r="F9100">
            <v>45959</v>
          </cell>
          <cell r="G9100" t="str">
            <v>(五冶建设成都盐道街中学初中部改扩建工程-一标)四川省成都市锦江区春熙路街道盐道街4号（盐道街中学初中部）</v>
          </cell>
          <cell r="H9100" t="str">
            <v>谢鑫</v>
          </cell>
          <cell r="I9100">
            <v>18228465067</v>
          </cell>
        </row>
        <row r="9101">
          <cell r="A9101" t="str">
            <v>泸钢</v>
          </cell>
          <cell r="B9101" t="str">
            <v>螺纹钢</v>
          </cell>
          <cell r="C9101" t="str">
            <v>HRB400E Φ12 9m</v>
          </cell>
          <cell r="D9101" t="str">
            <v>吨</v>
          </cell>
          <cell r="E9101">
            <v>35</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Φ12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Φ14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Φ16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Φ18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Φ20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Φ22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螺纹钢</v>
          </cell>
          <cell r="C9108" t="str">
            <v>HRB400E Φ25 9m</v>
          </cell>
          <cell r="D9108" t="str">
            <v>吨</v>
          </cell>
          <cell r="E9108">
            <v>10</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Φ6</v>
          </cell>
          <cell r="D9109" t="str">
            <v>吨</v>
          </cell>
          <cell r="E9109">
            <v>6</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30</v>
          </cell>
          <cell r="F9110">
            <v>45959</v>
          </cell>
          <cell r="G9110" t="str">
            <v>(五冶钢构龙泉东洪片区70亩住宅、商业及配套工程项目一标段)成都市龙泉驿外东洪路地铁2号线惠王陵地铁C口</v>
          </cell>
          <cell r="H9110" t="str">
            <v>邹爱国</v>
          </cell>
          <cell r="I9110">
            <v>13540231225</v>
          </cell>
        </row>
        <row r="9111">
          <cell r="A9111" t="str">
            <v>泸钢</v>
          </cell>
          <cell r="B9111" t="str">
            <v>盘螺</v>
          </cell>
          <cell r="C9111" t="str">
            <v>HRB400E Φ8</v>
          </cell>
          <cell r="D9111" t="str">
            <v>吨</v>
          </cell>
          <cell r="E9111">
            <v>35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Φ14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Φ16 9m</v>
          </cell>
          <cell r="D9113" t="str">
            <v>吨</v>
          </cell>
          <cell r="E9113">
            <v>12.5</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泸钢</v>
          </cell>
          <cell r="B9114" t="str">
            <v>螺纹钢</v>
          </cell>
          <cell r="C9114" t="str">
            <v>HRB400E Φ18 9m</v>
          </cell>
          <cell r="D9114" t="str">
            <v>吨</v>
          </cell>
          <cell r="E9114">
            <v>10</v>
          </cell>
          <cell r="F9114">
            <v>45959</v>
          </cell>
          <cell r="G9114" t="str">
            <v>(五冶钢构龙泉东洪片区85亩住宅、商业及配套工程项目二标段)成都市龙泉驿外东洪路地铁2号线惠王陵地铁C口</v>
          </cell>
          <cell r="H9114" t="str">
            <v>李渊</v>
          </cell>
          <cell r="I9114">
            <v>18381013849</v>
          </cell>
        </row>
        <row r="9115">
          <cell r="A9115" t="str">
            <v>德胜</v>
          </cell>
          <cell r="B9115" t="str">
            <v>螺纹钢</v>
          </cell>
          <cell r="C9115" t="str">
            <v>HRB500EΦ28*12m</v>
          </cell>
          <cell r="D9115" t="str">
            <v>吨</v>
          </cell>
          <cell r="E9115">
            <v>15</v>
          </cell>
          <cell r="F9115">
            <v>45959</v>
          </cell>
          <cell r="G9115" t="str">
            <v>（成峨1标）眉山市彭山区谢家街道跳墩子</v>
          </cell>
          <cell r="H9115" t="str">
            <v>曾毅</v>
          </cell>
          <cell r="I9115" t="str">
            <v>13982229815</v>
          </cell>
        </row>
        <row r="9116">
          <cell r="A9116" t="str">
            <v>德胜</v>
          </cell>
          <cell r="B9116" t="str">
            <v>螺纹钢</v>
          </cell>
          <cell r="C9116" t="str">
            <v>HRB500EΦ32*12m</v>
          </cell>
          <cell r="D9116" t="str">
            <v>吨</v>
          </cell>
          <cell r="E9116">
            <v>20</v>
          </cell>
          <cell r="F9116">
            <v>45959</v>
          </cell>
          <cell r="G9116" t="str">
            <v>（成峨1标）眉山市彭山区谢家街道跳墩子</v>
          </cell>
          <cell r="H9116" t="str">
            <v>曾毅</v>
          </cell>
          <cell r="I9116" t="str">
            <v>13982229815</v>
          </cell>
        </row>
        <row r="9117">
          <cell r="A9117" t="str">
            <v>德胜</v>
          </cell>
          <cell r="B9117" t="str">
            <v>螺纹钢</v>
          </cell>
          <cell r="C9117" t="str">
            <v>HRB400EΦ14*9m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HRB400EΦ16*9m</v>
          </cell>
          <cell r="D9118" t="str">
            <v>吨</v>
          </cell>
          <cell r="E9118">
            <v>17</v>
          </cell>
          <cell r="F9118">
            <v>45959</v>
          </cell>
          <cell r="G9118" t="str">
            <v>（成峨3标）眉山市丹棱县兴盛路（诺尔电器）成峨TJ3标</v>
          </cell>
          <cell r="H9118" t="str">
            <v>雍朝刚</v>
          </cell>
          <cell r="I9118" t="str">
            <v>19983344290</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92"/>
  <sheetViews>
    <sheetView tabSelected="1" workbookViewId="0">
      <pane ySplit="1" topLeftCell="A5011" activePane="bottomLeft" state="frozen"/>
      <selection/>
      <selection pane="bottomLeft" activeCell="E5065" sqref="E5065"/>
    </sheetView>
  </sheetViews>
  <sheetFormatPr defaultColWidth="8.875" defaultRowHeight="12"/>
  <cols>
    <col min="1" max="1" width="8.125" style="58" customWidth="1"/>
    <col min="2" max="2" width="47.875" style="59" customWidth="1"/>
    <col min="3" max="3" width="8.875" style="27" customWidth="1"/>
    <col min="4" max="4" width="19.375" style="27" customWidth="1"/>
    <col min="5" max="5" width="7.875" style="27" customWidth="1"/>
    <col min="6" max="6" width="13.625" style="27" customWidth="1"/>
    <col min="7" max="7" width="6.25" style="60" customWidth="1"/>
    <col min="8" max="8" width="7.375" style="61" customWidth="1"/>
    <col min="9" max="9" width="60.5" style="30" customWidth="1"/>
    <col min="10" max="10" width="7" style="27" customWidth="1"/>
    <col min="11" max="11" width="9.625" style="27" customWidth="1"/>
    <col min="12" max="12" width="24.25" style="62" customWidth="1"/>
    <col min="13" max="13" width="8.125" style="63" customWidth="1"/>
    <col min="14" max="14" width="0.875" style="63" customWidth="1"/>
    <col min="15" max="16" width="3.875" style="63" customWidth="1"/>
    <col min="17" max="17" width="79.375" style="30" customWidth="1"/>
    <col min="18" max="18" width="8" style="30" customWidth="1"/>
    <col min="19" max="19" width="8.875" style="27" customWidth="1"/>
    <col min="20" max="16384" width="8.875" style="27"/>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7"/>
    </row>
    <row r="3" hidden="1" spans="2:18">
      <c r="B3" s="41" t="s">
        <v>17</v>
      </c>
      <c r="C3" s="71">
        <v>45658</v>
      </c>
      <c r="D3" s="41" t="str">
        <f>VLOOKUP(B3,辅助信息!E:K,7,FALSE)</f>
        <v>JWDDCD2024101600090</v>
      </c>
      <c r="E3" s="41" t="str">
        <f>VLOOKUP(F3,辅助信息!A:B,2,FALSE)</f>
        <v>螺纹钢</v>
      </c>
      <c r="F3" s="41" t="s">
        <v>19</v>
      </c>
      <c r="G3" s="37">
        <v>35</v>
      </c>
      <c r="H3" s="37" t="e">
        <f>_xlfn._xlws.FILTER(#REF!,#REF!&amp;#REF!&amp;#REF!&amp;#REF!=C3&amp;F3&amp;I3&amp;J3,"未发货")</f>
        <v>#REF!</v>
      </c>
      <c r="I3" s="41" t="str">
        <f>VLOOKUP(B3,辅助信息!E:I,3,FALSE)</f>
        <v>（达州市公共卫生临床医疗中心项目-一标-1号制作房）达州市通川区西外复兴镇公共卫生临床医疗中心项目</v>
      </c>
      <c r="J3" s="41" t="str">
        <f>VLOOKUP(B3,辅助信息!E:I,4,FALSE)</f>
        <v>潘建发</v>
      </c>
      <c r="K3" s="41">
        <f>VLOOKUP(J3,辅助信息!H:I,2,FALSE)</f>
        <v>13658059919</v>
      </c>
      <c r="L3" s="77"/>
      <c r="M3" s="78"/>
      <c r="N3" s="78"/>
      <c r="O3" s="78"/>
      <c r="P3" s="78"/>
      <c r="Q3" s="41" t="str">
        <f>VLOOKUP(B3,辅助信息!E:M,9,FALSE)</f>
        <v>ZTWM-CDGS-XS-2024-0205-五冶钢构-达州市通川区西外复兴镇及临近片区建设项目</v>
      </c>
      <c r="R3" s="27"/>
    </row>
    <row r="4" hidden="1" spans="2:18">
      <c r="B4" s="41" t="s">
        <v>20</v>
      </c>
      <c r="C4" s="71">
        <v>45658</v>
      </c>
      <c r="D4" s="41" t="str">
        <f>VLOOKUP(B4,辅助信息!E:K,7,FALSE)</f>
        <v>JWDDCD2025051000019</v>
      </c>
      <c r="E4" s="41" t="str">
        <f>VLOOKUP(F4,辅助信息!A:B,2,FALSE)</f>
        <v>螺纹钢</v>
      </c>
      <c r="F4" s="41" t="s">
        <v>21</v>
      </c>
      <c r="G4" s="37">
        <v>5</v>
      </c>
      <c r="H4" s="37" t="e">
        <f>_xlfn._xlws.FILTER(#REF!,#REF!&amp;#REF!&amp;#REF!&amp;#REF!=C4&amp;F4&amp;I4&amp;J4,"未发货")</f>
        <v>#REF!</v>
      </c>
      <c r="I4" s="41" t="str">
        <f>VLOOKUP(B4,辅助信息!E:I,3,FALSE)</f>
        <v>(五冶钢构医学科学产业园建设项目房建三部-一标（7-2）)四川省南充市顺庆区搬罾街道学府大道二段</v>
      </c>
      <c r="J4" s="41" t="str">
        <f>VLOOKUP(B4,辅助信息!E:I,4,FALSE)</f>
        <v>郑林</v>
      </c>
      <c r="K4" s="41">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1" t="str">
        <f>VLOOKUP(B4,辅助信息!E:M,9,FALSE)</f>
        <v>ZTWM-CDGS-XS-2024-0248-五冶钢构-南充市医学院项目</v>
      </c>
      <c r="R4" s="27"/>
    </row>
    <row r="5" hidden="1" spans="2:18">
      <c r="B5" s="41" t="s">
        <v>20</v>
      </c>
      <c r="C5" s="71">
        <v>45658</v>
      </c>
      <c r="D5" s="41" t="str">
        <f>VLOOKUP(B5,辅助信息!E:K,7,FALSE)</f>
        <v>JWDDCD2025051000019</v>
      </c>
      <c r="E5" s="41" t="str">
        <f>VLOOKUP(F5,辅助信息!A:B,2,FALSE)</f>
        <v>螺纹钢</v>
      </c>
      <c r="F5" s="41" t="s">
        <v>22</v>
      </c>
      <c r="G5" s="37">
        <v>15</v>
      </c>
      <c r="H5" s="37" t="e">
        <f>_xlfn._xlws.FILTER(#REF!,#REF!&amp;#REF!&amp;#REF!&amp;#REF!=C5&amp;F5&amp;I5&amp;J5,"未发货")</f>
        <v>#REF!</v>
      </c>
      <c r="I5" s="41" t="str">
        <f>VLOOKUP(B5,辅助信息!E:I,3,FALSE)</f>
        <v>(五冶钢构医学科学产业园建设项目房建三部-一标（7-2）)四川省南充市顺庆区搬罾街道学府大道二段</v>
      </c>
      <c r="J5" s="41" t="str">
        <f>VLOOKUP(B5,辅助信息!E:I,4,FALSE)</f>
        <v>郑林</v>
      </c>
      <c r="K5" s="41">
        <f>VLOOKUP(J5,辅助信息!H:I,2,FALSE)</f>
        <v>18349955455</v>
      </c>
      <c r="L5" s="79"/>
      <c r="M5" s="78"/>
      <c r="N5" s="78"/>
      <c r="O5" s="78"/>
      <c r="P5" s="78"/>
      <c r="Q5" s="41" t="str">
        <f>VLOOKUP(B5,辅助信息!E:M,9,FALSE)</f>
        <v>ZTWM-CDGS-XS-2024-0248-五冶钢构-南充市医学院项目</v>
      </c>
      <c r="R5" s="27"/>
    </row>
    <row r="6" hidden="1" spans="2:18">
      <c r="B6" s="41" t="s">
        <v>23</v>
      </c>
      <c r="C6" s="71">
        <v>45658</v>
      </c>
      <c r="D6" s="41" t="str">
        <f>VLOOKUP(B6,辅助信息!E:K,7,FALSE)</f>
        <v>JWDDCD2025051000019</v>
      </c>
      <c r="E6" s="41" t="str">
        <f>VLOOKUP(F6,辅助信息!A:B,2,FALSE)</f>
        <v>螺纹钢</v>
      </c>
      <c r="F6" s="41" t="s">
        <v>21</v>
      </c>
      <c r="G6" s="37">
        <v>5</v>
      </c>
      <c r="H6" s="37" t="e">
        <f>_xlfn._xlws.FILTER(#REF!,#REF!&amp;#REF!&amp;#REF!&amp;#REF!=C6&amp;F6&amp;I6&amp;J6,"未发货")</f>
        <v>#REF!</v>
      </c>
      <c r="I6" s="41" t="str">
        <f>VLOOKUP(B6,辅助信息!E:I,3,FALSE)</f>
        <v>(五冶钢构医学科学产业园建设项目房建三部-一标（7-3）)四川省南充市顺庆区搬罾街道学府大道二段</v>
      </c>
      <c r="J6" s="41" t="str">
        <f>VLOOKUP(B6,辅助信息!E:I,4,FALSE)</f>
        <v>郑林</v>
      </c>
      <c r="K6" s="41">
        <f>VLOOKUP(J6,辅助信息!H:I,2,FALSE)</f>
        <v>18349955455</v>
      </c>
      <c r="L6" s="79"/>
      <c r="M6" s="78"/>
      <c r="N6" s="78"/>
      <c r="O6" s="78"/>
      <c r="P6" s="78"/>
      <c r="Q6" s="41" t="str">
        <f>VLOOKUP(B6,辅助信息!E:M,9,FALSE)</f>
        <v>ZTWM-CDGS-XS-2024-0248-五冶钢构-南充市医学院项目</v>
      </c>
      <c r="R6" s="27"/>
    </row>
    <row r="7" hidden="1" spans="2:18">
      <c r="B7" s="41" t="s">
        <v>23</v>
      </c>
      <c r="C7" s="71">
        <v>45658</v>
      </c>
      <c r="D7" s="41" t="str">
        <f>VLOOKUP(B7,辅助信息!E:K,7,FALSE)</f>
        <v>JWDDCD2025051000019</v>
      </c>
      <c r="E7" s="41" t="str">
        <f>VLOOKUP(F7,辅助信息!A:B,2,FALSE)</f>
        <v>螺纹钢</v>
      </c>
      <c r="F7" s="41" t="s">
        <v>22</v>
      </c>
      <c r="G7" s="37">
        <v>15</v>
      </c>
      <c r="H7" s="37" t="e">
        <f>_xlfn._xlws.FILTER(#REF!,#REF!&amp;#REF!&amp;#REF!&amp;#REF!=C7&amp;F7&amp;I7&amp;J7,"未发货")</f>
        <v>#REF!</v>
      </c>
      <c r="I7" s="41" t="str">
        <f>VLOOKUP(B7,辅助信息!E:I,3,FALSE)</f>
        <v>(五冶钢构医学科学产业园建设项目房建三部-一标（7-3）)四川省南充市顺庆区搬罾街道学府大道二段</v>
      </c>
      <c r="J7" s="41" t="str">
        <f>VLOOKUP(B7,辅助信息!E:I,4,FALSE)</f>
        <v>郑林</v>
      </c>
      <c r="K7" s="41">
        <f>VLOOKUP(J7,辅助信息!H:I,2,FALSE)</f>
        <v>18349955455</v>
      </c>
      <c r="L7" s="79"/>
      <c r="M7" s="78"/>
      <c r="N7" s="78"/>
      <c r="O7" s="78"/>
      <c r="P7" s="78"/>
      <c r="Q7" s="41" t="str">
        <f>VLOOKUP(B7,辅助信息!E:M,9,FALSE)</f>
        <v>ZTWM-CDGS-XS-2024-0248-五冶钢构-南充市医学院项目</v>
      </c>
      <c r="R7" s="27"/>
    </row>
    <row r="8" hidden="1" spans="2:18">
      <c r="B8" s="41" t="s">
        <v>24</v>
      </c>
      <c r="C8" s="71">
        <v>45658</v>
      </c>
      <c r="D8" s="41" t="str">
        <f>VLOOKUP(B8,辅助信息!E:K,7,FALSE)</f>
        <v>JWDDCD2025051000019</v>
      </c>
      <c r="E8" s="41" t="str">
        <f>VLOOKUP(F8,辅助信息!A:B,2,FALSE)</f>
        <v>螺纹钢</v>
      </c>
      <c r="F8" s="41" t="s">
        <v>22</v>
      </c>
      <c r="G8" s="37">
        <v>15</v>
      </c>
      <c r="H8" s="37" t="e">
        <f>_xlfn._xlws.FILTER(#REF!,#REF!&amp;#REF!&amp;#REF!&amp;#REF!=C8&amp;F8&amp;I8&amp;J8,"未发货")</f>
        <v>#REF!</v>
      </c>
      <c r="I8" s="41" t="str">
        <f>VLOOKUP(B8,辅助信息!E:I,3,FALSE)</f>
        <v>(五冶钢构医学科学产业园建设项目房建三部-一标（7-4）)四川省南充市顺庆区搬罾街道学府大道二段</v>
      </c>
      <c r="J8" s="41" t="str">
        <f>VLOOKUP(B8,辅助信息!E:I,4,FALSE)</f>
        <v>郑林</v>
      </c>
      <c r="K8" s="41">
        <f>VLOOKUP(J8,辅助信息!H:I,2,FALSE)</f>
        <v>18349955455</v>
      </c>
      <c r="L8" s="77"/>
      <c r="M8" s="78"/>
      <c r="N8" s="78"/>
      <c r="O8" s="78"/>
      <c r="P8" s="78"/>
      <c r="Q8" s="41"/>
      <c r="R8" s="27"/>
    </row>
    <row r="9" hidden="1" spans="2:18">
      <c r="B9" s="41" t="s">
        <v>25</v>
      </c>
      <c r="C9" s="71">
        <v>45658</v>
      </c>
      <c r="D9" s="41" t="e">
        <f>VLOOKUP(B9,辅助信息!E:K,7,FALSE)</f>
        <v>#N/A</v>
      </c>
      <c r="E9" s="41" t="str">
        <f>VLOOKUP(F9,辅助信息!A:B,2,FALSE)</f>
        <v>盘螺</v>
      </c>
      <c r="F9" s="41" t="s">
        <v>26</v>
      </c>
      <c r="G9" s="37">
        <v>3</v>
      </c>
      <c r="H9" s="37" t="e">
        <f>_xlfn._xlws.FILTER(#REF!,#REF!&amp;#REF!&amp;#REF!&amp;#REF!=C9&amp;F9&amp;I9&amp;J9,"未发货")</f>
        <v>#REF!</v>
      </c>
      <c r="I9" s="41" t="e">
        <f>VLOOKUP(B9,辅助信息!E:I,3,FALSE)</f>
        <v>#N/A</v>
      </c>
      <c r="J9" s="41" t="e">
        <f>VLOOKUP(B9,辅助信息!E:I,4,FALSE)</f>
        <v>#N/A</v>
      </c>
      <c r="K9" s="41" t="e">
        <f>VLOOKUP(J9,辅助信息!H:I,2,FALSE)</f>
        <v>#N/A</v>
      </c>
      <c r="L9" s="78" t="e">
        <f>VLOOKUP(B9,辅助信息!E:J,6,FALSE)</f>
        <v>#N/A</v>
      </c>
      <c r="M9" s="78"/>
      <c r="N9" s="78"/>
      <c r="O9" s="78"/>
      <c r="P9" s="78"/>
      <c r="Q9" s="41" t="e">
        <f>VLOOKUP(B9,辅助信息!E:M,9,FALSE)</f>
        <v>#N/A</v>
      </c>
      <c r="R9" s="27"/>
    </row>
    <row r="10" hidden="1" spans="2:18">
      <c r="B10" s="41" t="s">
        <v>25</v>
      </c>
      <c r="C10" s="71">
        <v>45658</v>
      </c>
      <c r="D10" s="41" t="e">
        <f>VLOOKUP(B10,辅助信息!E:K,7,FALSE)</f>
        <v>#N/A</v>
      </c>
      <c r="E10" s="41" t="str">
        <f>VLOOKUP(F10,辅助信息!A:B,2,FALSE)</f>
        <v>螺纹钢</v>
      </c>
      <c r="F10" s="41" t="s">
        <v>27</v>
      </c>
      <c r="G10" s="37">
        <v>13</v>
      </c>
      <c r="H10" s="37" t="e">
        <f>_xlfn._xlws.FILTER(#REF!,#REF!&amp;#REF!&amp;#REF!&amp;#REF!=C10&amp;F10&amp;I10&amp;J10,"未发货")</f>
        <v>#REF!</v>
      </c>
      <c r="I10" s="41" t="e">
        <f>VLOOKUP(B10,辅助信息!E:I,3,FALSE)</f>
        <v>#N/A</v>
      </c>
      <c r="J10" s="41" t="e">
        <f>VLOOKUP(B10,辅助信息!E:I,4,FALSE)</f>
        <v>#N/A</v>
      </c>
      <c r="K10" s="41" t="e">
        <f>VLOOKUP(J10,辅助信息!H:I,2,FALSE)</f>
        <v>#N/A</v>
      </c>
      <c r="L10" s="79"/>
      <c r="M10" s="78"/>
      <c r="N10" s="78"/>
      <c r="O10" s="78"/>
      <c r="P10" s="78"/>
      <c r="Q10" s="41" t="e">
        <f>VLOOKUP(B10,辅助信息!E:M,9,FALSE)</f>
        <v>#N/A</v>
      </c>
      <c r="R10" s="27"/>
    </row>
    <row r="11" hidden="1" spans="2:18">
      <c r="B11" s="41" t="s">
        <v>25</v>
      </c>
      <c r="C11" s="71">
        <v>45658</v>
      </c>
      <c r="D11" s="41" t="e">
        <f>VLOOKUP(B11,辅助信息!E:K,7,FALSE)</f>
        <v>#N/A</v>
      </c>
      <c r="E11" s="41" t="str">
        <f>VLOOKUP(F11,辅助信息!A:B,2,FALSE)</f>
        <v>螺纹钢</v>
      </c>
      <c r="F11" s="41" t="s">
        <v>19</v>
      </c>
      <c r="G11" s="37">
        <v>10</v>
      </c>
      <c r="H11" s="37" t="e">
        <f>_xlfn._xlws.FILTER(#REF!,#REF!&amp;#REF!&amp;#REF!&amp;#REF!=C11&amp;F11&amp;I11&amp;J11,"未发货")</f>
        <v>#REF!</v>
      </c>
      <c r="I11" s="41" t="e">
        <f>VLOOKUP(B11,辅助信息!E:I,3,FALSE)</f>
        <v>#N/A</v>
      </c>
      <c r="J11" s="41" t="e">
        <f>VLOOKUP(B11,辅助信息!E:I,4,FALSE)</f>
        <v>#N/A</v>
      </c>
      <c r="K11" s="41" t="e">
        <f>VLOOKUP(J11,辅助信息!H:I,2,FALSE)</f>
        <v>#N/A</v>
      </c>
      <c r="L11" s="79"/>
      <c r="M11" s="78"/>
      <c r="N11" s="78"/>
      <c r="O11" s="78"/>
      <c r="P11" s="78"/>
      <c r="Q11" s="41" t="e">
        <f>VLOOKUP(B11,辅助信息!E:M,9,FALSE)</f>
        <v>#N/A</v>
      </c>
      <c r="R11" s="27"/>
    </row>
    <row r="12" hidden="1" spans="2:18">
      <c r="B12" s="41" t="s">
        <v>25</v>
      </c>
      <c r="C12" s="71">
        <v>45658</v>
      </c>
      <c r="D12" s="41" t="e">
        <f>VLOOKUP(B12,辅助信息!E:K,7,FALSE)</f>
        <v>#N/A</v>
      </c>
      <c r="E12" s="41" t="str">
        <f>VLOOKUP(F12,辅助信息!A:B,2,FALSE)</f>
        <v>螺纹钢</v>
      </c>
      <c r="F12" s="41" t="s">
        <v>28</v>
      </c>
      <c r="G12" s="37">
        <v>10</v>
      </c>
      <c r="H12" s="37" t="e">
        <f>_xlfn._xlws.FILTER(#REF!,#REF!&amp;#REF!&amp;#REF!&amp;#REF!=C12&amp;F12&amp;I12&amp;J12,"未发货")</f>
        <v>#REF!</v>
      </c>
      <c r="I12" s="41" t="e">
        <f>VLOOKUP(B12,辅助信息!E:I,3,FALSE)</f>
        <v>#N/A</v>
      </c>
      <c r="J12" s="41" t="e">
        <f>VLOOKUP(B12,辅助信息!E:I,4,FALSE)</f>
        <v>#N/A</v>
      </c>
      <c r="K12" s="41" t="e">
        <f>VLOOKUP(J12,辅助信息!H:I,2,FALSE)</f>
        <v>#N/A</v>
      </c>
      <c r="L12" s="77"/>
      <c r="M12" s="78"/>
      <c r="N12" s="78"/>
      <c r="O12" s="78"/>
      <c r="P12" s="78"/>
      <c r="Q12" s="41" t="e">
        <f>VLOOKUP(B12,辅助信息!E:M,9,FALSE)</f>
        <v>#N/A</v>
      </c>
      <c r="R12" s="27"/>
    </row>
    <row r="13" ht="56.25" hidden="1" customHeight="1" spans="2:18">
      <c r="B13" s="41" t="s">
        <v>29</v>
      </c>
      <c r="C13" s="71">
        <v>45658</v>
      </c>
      <c r="D13" s="41" t="e">
        <f>VLOOKUP(B13,辅助信息!E:K,7,FALSE)</f>
        <v>#N/A</v>
      </c>
      <c r="E13" s="41" t="str">
        <f>VLOOKUP(F13,辅助信息!A:B,2,FALSE)</f>
        <v>螺纹钢</v>
      </c>
      <c r="F13" s="41" t="s">
        <v>30</v>
      </c>
      <c r="G13" s="37">
        <v>35</v>
      </c>
      <c r="H13" s="37" t="e">
        <f>_xlfn._xlws.FILTER(#REF!,#REF!&amp;#REF!&amp;#REF!&amp;#REF!=C13&amp;F13&amp;I13&amp;J13,"未发货")</f>
        <v>#REF!</v>
      </c>
      <c r="I13" s="41" t="e">
        <f>VLOOKUP(B13,辅助信息!E:I,3,FALSE)</f>
        <v>#N/A</v>
      </c>
      <c r="J13" s="41" t="e">
        <f>VLOOKUP(B13,辅助信息!E:I,4,FALSE)</f>
        <v>#N/A</v>
      </c>
      <c r="K13" s="41" t="e">
        <f>VLOOKUP(J13,辅助信息!H:I,2,FALSE)</f>
        <v>#N/A</v>
      </c>
      <c r="L13" s="78" t="e">
        <f>VLOOKUP(B13,辅助信息!E:J,6,FALSE)</f>
        <v>#N/A</v>
      </c>
      <c r="M13" s="78"/>
      <c r="N13" s="78"/>
      <c r="O13" s="78"/>
      <c r="P13" s="78"/>
      <c r="Q13" s="41"/>
      <c r="R13" s="27"/>
    </row>
    <row r="14" hidden="1" spans="2:18">
      <c r="B14" s="41" t="s">
        <v>31</v>
      </c>
      <c r="C14" s="71">
        <v>45658</v>
      </c>
      <c r="D14" s="41" t="str">
        <f>VLOOKUP(B14,辅助信息!E:K,7,FALSE)</f>
        <v>JWDDCD2024121000136</v>
      </c>
      <c r="E14" s="41" t="str">
        <f>VLOOKUP(F14,辅助信息!A:B,2,FALSE)</f>
        <v>螺纹钢</v>
      </c>
      <c r="F14" s="41" t="s">
        <v>27</v>
      </c>
      <c r="G14" s="37">
        <v>9</v>
      </c>
      <c r="H14" s="37" t="e">
        <f>_xlfn._xlws.FILTER(#REF!,#REF!&amp;#REF!&amp;#REF!&amp;#REF!=C14&amp;F14&amp;I14&amp;J14,"未发货")</f>
        <v>#REF!</v>
      </c>
      <c r="I14" s="41" t="str">
        <f>VLOOKUP(B14,辅助信息!E:I,3,FALSE)</f>
        <v>（四川商建-射洪城乡一体化项目）遂宁市射洪市忠新幼儿园北侧约220米新溪小区</v>
      </c>
      <c r="J14" s="41" t="str">
        <f>VLOOKUP(B14,辅助信息!E:I,4,FALSE)</f>
        <v>柏子刚</v>
      </c>
      <c r="K14" s="41">
        <f>VLOOKUP(J14,辅助信息!H:I,2,FALSE)</f>
        <v>15692885305</v>
      </c>
      <c r="L14" s="78" t="str">
        <f>VLOOKUP(B14,辅助信息!E:J,6,FALSE)</f>
        <v>提前联系到场规格及数量</v>
      </c>
      <c r="M14" s="78"/>
      <c r="N14" s="78"/>
      <c r="O14" s="78"/>
      <c r="P14" s="78"/>
      <c r="Q14" s="41" t="str">
        <f>VLOOKUP(B14,辅助信息!E:M,9,FALSE)</f>
        <v>ZTWM-CDGS-XS-2024-0179-四川商投-射洪城乡一体化建设项目</v>
      </c>
      <c r="R14" s="27"/>
    </row>
    <row r="15" hidden="1" spans="2:18">
      <c r="B15" s="41" t="s">
        <v>31</v>
      </c>
      <c r="C15" s="71">
        <v>45658</v>
      </c>
      <c r="D15" s="41" t="str">
        <f>VLOOKUP(B15,辅助信息!E:K,7,FALSE)</f>
        <v>JWDDCD2024121000136</v>
      </c>
      <c r="E15" s="41" t="str">
        <f>VLOOKUP(F15,辅助信息!A:B,2,FALSE)</f>
        <v>螺纹钢</v>
      </c>
      <c r="F15" s="41" t="s">
        <v>32</v>
      </c>
      <c r="G15" s="37">
        <v>21</v>
      </c>
      <c r="H15" s="37" t="e">
        <f>_xlfn._xlws.FILTER(#REF!,#REF!&amp;#REF!&amp;#REF!&amp;#REF!=C15&amp;F15&amp;I15&amp;J15,"未发货")</f>
        <v>#REF!</v>
      </c>
      <c r="I15" s="41" t="str">
        <f>VLOOKUP(B15,辅助信息!E:I,3,FALSE)</f>
        <v>（四川商建-射洪城乡一体化项目）遂宁市射洪市忠新幼儿园北侧约220米新溪小区</v>
      </c>
      <c r="J15" s="41" t="str">
        <f>VLOOKUP(B15,辅助信息!E:I,4,FALSE)</f>
        <v>柏子刚</v>
      </c>
      <c r="K15" s="41">
        <f>VLOOKUP(J15,辅助信息!H:I,2,FALSE)</f>
        <v>15692885305</v>
      </c>
      <c r="L15" s="79"/>
      <c r="M15" s="78"/>
      <c r="N15" s="78"/>
      <c r="O15" s="78"/>
      <c r="P15" s="78"/>
      <c r="Q15" s="41" t="str">
        <f>VLOOKUP(B15,辅助信息!E:M,9,FALSE)</f>
        <v>ZTWM-CDGS-XS-2024-0179-四川商投-射洪城乡一体化建设项目</v>
      </c>
      <c r="R15" s="27"/>
    </row>
    <row r="16" hidden="1" spans="2:18">
      <c r="B16" s="41" t="s">
        <v>31</v>
      </c>
      <c r="C16" s="71">
        <v>45658</v>
      </c>
      <c r="D16" s="41" t="str">
        <f>VLOOKUP(B16,辅助信息!E:K,7,FALSE)</f>
        <v>JWDDCD2024121000136</v>
      </c>
      <c r="E16" s="41" t="str">
        <f>VLOOKUP(F16,辅助信息!A:B,2,FALSE)</f>
        <v>螺纹钢</v>
      </c>
      <c r="F16" s="41" t="s">
        <v>30</v>
      </c>
      <c r="G16" s="37">
        <v>6</v>
      </c>
      <c r="H16" s="37" t="e">
        <f>_xlfn._xlws.FILTER(#REF!,#REF!&amp;#REF!&amp;#REF!&amp;#REF!=C16&amp;F16&amp;I16&amp;J16,"未发货")</f>
        <v>#REF!</v>
      </c>
      <c r="I16" s="41" t="str">
        <f>VLOOKUP(B16,辅助信息!E:I,3,FALSE)</f>
        <v>（四川商建-射洪城乡一体化项目）遂宁市射洪市忠新幼儿园北侧约220米新溪小区</v>
      </c>
      <c r="J16" s="41" t="str">
        <f>VLOOKUP(B16,辅助信息!E:I,4,FALSE)</f>
        <v>柏子刚</v>
      </c>
      <c r="K16" s="41">
        <f>VLOOKUP(J16,辅助信息!H:I,2,FALSE)</f>
        <v>15692885305</v>
      </c>
      <c r="L16" s="79"/>
      <c r="M16" s="78"/>
      <c r="N16" s="78"/>
      <c r="O16" s="78"/>
      <c r="P16" s="78"/>
      <c r="Q16" s="41" t="str">
        <f>VLOOKUP(B16,辅助信息!E:M,9,FALSE)</f>
        <v>ZTWM-CDGS-XS-2024-0179-四川商投-射洪城乡一体化建设项目</v>
      </c>
      <c r="R16" s="27"/>
    </row>
    <row r="17" hidden="1" spans="2:18">
      <c r="B17" s="41" t="s">
        <v>31</v>
      </c>
      <c r="C17" s="71">
        <v>45658</v>
      </c>
      <c r="D17" s="41" t="str">
        <f>VLOOKUP(B17,辅助信息!E:K,7,FALSE)</f>
        <v>JWDDCD2024121000136</v>
      </c>
      <c r="E17" s="41" t="str">
        <f>VLOOKUP(F17,辅助信息!A:B,2,FALSE)</f>
        <v>螺纹钢</v>
      </c>
      <c r="F17" s="41" t="s">
        <v>33</v>
      </c>
      <c r="G17" s="37">
        <v>36</v>
      </c>
      <c r="H17" s="37" t="e">
        <f>_xlfn._xlws.FILTER(#REF!,#REF!&amp;#REF!&amp;#REF!&amp;#REF!=C17&amp;F17&amp;I17&amp;J17,"未发货")</f>
        <v>#REF!</v>
      </c>
      <c r="I17" s="41" t="str">
        <f>VLOOKUP(B17,辅助信息!E:I,3,FALSE)</f>
        <v>（四川商建-射洪城乡一体化项目）遂宁市射洪市忠新幼儿园北侧约220米新溪小区</v>
      </c>
      <c r="J17" s="41" t="str">
        <f>VLOOKUP(B17,辅助信息!E:I,4,FALSE)</f>
        <v>柏子刚</v>
      </c>
      <c r="K17" s="41">
        <f>VLOOKUP(J17,辅助信息!H:I,2,FALSE)</f>
        <v>15692885305</v>
      </c>
      <c r="L17" s="77"/>
      <c r="M17" s="78"/>
      <c r="N17" s="78"/>
      <c r="O17" s="78"/>
      <c r="P17" s="78"/>
      <c r="Q17" s="41" t="str">
        <f>VLOOKUP(B17,辅助信息!E:M,9,FALSE)</f>
        <v>ZTWM-CDGS-XS-2024-0179-四川商投-射洪城乡一体化建设项目</v>
      </c>
      <c r="R17" s="27"/>
    </row>
    <row r="18" hidden="1" spans="2:18">
      <c r="B18" s="41" t="s">
        <v>17</v>
      </c>
      <c r="C18" s="71">
        <v>45659</v>
      </c>
      <c r="D18" s="41" t="str">
        <f>VLOOKUP(B18,辅助信息!E:K,7,FALSE)</f>
        <v>JWDDCD2024101600090</v>
      </c>
      <c r="E18" s="41" t="str">
        <f>VLOOKUP(F18,辅助信息!A:B,2,FALSE)</f>
        <v>螺纹钢</v>
      </c>
      <c r="F18" s="41" t="s">
        <v>18</v>
      </c>
      <c r="G18" s="37">
        <v>69</v>
      </c>
      <c r="H18" s="37" t="e">
        <f>_xlfn._xlws.FILTER(#REF!,#REF!&amp;#REF!&amp;#REF!&amp;#REF!=C18&amp;F18&amp;I18&amp;J18,"未发货")</f>
        <v>#REF!</v>
      </c>
      <c r="I18" s="41" t="str">
        <f>VLOOKUP(B18,辅助信息!E:I,3,FALSE)</f>
        <v>（达州市公共卫生临床医疗中心项目-一标-1号制作房）达州市通川区西外复兴镇公共卫生临床医疗中心项目</v>
      </c>
      <c r="J18" s="41" t="str">
        <f>VLOOKUP(B18,辅助信息!E:I,4,FALSE)</f>
        <v>潘建发</v>
      </c>
      <c r="K18" s="41">
        <f>VLOOKUP(J18,辅助信息!H:I,2,FALSE)</f>
        <v>13658059919</v>
      </c>
      <c r="L18" s="78" t="s">
        <v>34</v>
      </c>
      <c r="M18" s="78"/>
      <c r="N18" s="78"/>
      <c r="O18" s="78"/>
      <c r="P18" s="78"/>
      <c r="Q18" s="41" t="str">
        <f>VLOOKUP(B18,辅助信息!E:M,9,FALSE)</f>
        <v>ZTWM-CDGS-XS-2024-0205-五冶钢构-达州市通川区西外复兴镇及临近片区建设项目</v>
      </c>
      <c r="R18" s="27"/>
    </row>
    <row r="19" hidden="1" spans="2:18">
      <c r="B19" s="41" t="s">
        <v>17</v>
      </c>
      <c r="C19" s="71">
        <v>45659</v>
      </c>
      <c r="D19" s="41" t="str">
        <f>VLOOKUP(B19,辅助信息!E:K,7,FALSE)</f>
        <v>JWDDCD2024101600090</v>
      </c>
      <c r="E19" s="41" t="str">
        <f>VLOOKUP(F19,辅助信息!A:B,2,FALSE)</f>
        <v>螺纹钢</v>
      </c>
      <c r="F19" s="41" t="s">
        <v>19</v>
      </c>
      <c r="G19" s="37">
        <v>35</v>
      </c>
      <c r="H19" s="37" t="e">
        <f>_xlfn._xlws.FILTER(#REF!,#REF!&amp;#REF!&amp;#REF!&amp;#REF!=C19&amp;F19&amp;I19&amp;J19,"未发货")</f>
        <v>#REF!</v>
      </c>
      <c r="I19" s="41" t="str">
        <f>VLOOKUP(B19,辅助信息!E:I,3,FALSE)</f>
        <v>（达州市公共卫生临床医疗中心项目-一标-1号制作房）达州市通川区西外复兴镇公共卫生临床医疗中心项目</v>
      </c>
      <c r="J19" s="41" t="str">
        <f>VLOOKUP(B19,辅助信息!E:I,4,FALSE)</f>
        <v>潘建发</v>
      </c>
      <c r="K19" s="41">
        <f>VLOOKUP(J19,辅助信息!H:I,2,FALSE)</f>
        <v>13658059919</v>
      </c>
      <c r="L19" s="77"/>
      <c r="M19" s="78"/>
      <c r="N19" s="78"/>
      <c r="O19" s="78"/>
      <c r="P19" s="78"/>
      <c r="Q19" s="41" t="str">
        <f>VLOOKUP(B19,辅助信息!E:M,9,FALSE)</f>
        <v>ZTWM-CDGS-XS-2024-0205-五冶钢构-达州市通川区西外复兴镇及临近片区建设项目</v>
      </c>
      <c r="R19" s="27"/>
    </row>
    <row r="20" hidden="1" spans="2:18">
      <c r="B20" s="41" t="s">
        <v>24</v>
      </c>
      <c r="C20" s="71">
        <v>45659</v>
      </c>
      <c r="D20" s="41" t="str">
        <f>VLOOKUP(B20,辅助信息!E:K,7,FALSE)</f>
        <v>JWDDCD2025051000019</v>
      </c>
      <c r="E20" s="41" t="str">
        <f>VLOOKUP(F20,辅助信息!A:B,2,FALSE)</f>
        <v>螺纹钢</v>
      </c>
      <c r="F20" s="41" t="s">
        <v>27</v>
      </c>
      <c r="G20" s="37">
        <v>35</v>
      </c>
      <c r="H20" s="37" t="e">
        <f>_xlfn._xlws.FILTER(#REF!,#REF!&amp;#REF!&amp;#REF!&amp;#REF!=C20&amp;F20&amp;I20&amp;J20,"未发货")</f>
        <v>#REF!</v>
      </c>
      <c r="I20" s="41" t="str">
        <f>VLOOKUP(B20,辅助信息!E:I,3,FALSE)</f>
        <v>(五冶钢构医学科学产业园建设项目房建三部-一标（7-4）)四川省南充市顺庆区搬罾街道学府大道二段</v>
      </c>
      <c r="J20" s="41" t="str">
        <f>VLOOKUP(B20,辅助信息!E:I,4,FALSE)</f>
        <v>郑林</v>
      </c>
      <c r="K20" s="41">
        <f>VLOOKUP(J20,辅助信息!H:I,2,FALSE)</f>
        <v>18349955455</v>
      </c>
      <c r="L20" s="78"/>
      <c r="M20" s="78"/>
      <c r="N20" s="78"/>
      <c r="O20" s="78"/>
      <c r="P20" s="78"/>
      <c r="Q20" s="41" t="str">
        <f>VLOOKUP(B20,辅助信息!E:M,9,FALSE)</f>
        <v>ZTWM-CDGS-XS-2024-0248-五冶钢构-南充市医学院项目</v>
      </c>
      <c r="R20" s="27"/>
    </row>
    <row r="21" hidden="1" spans="2:18">
      <c r="B21" s="41" t="s">
        <v>24</v>
      </c>
      <c r="C21" s="71">
        <v>45659</v>
      </c>
      <c r="D21" s="41" t="str">
        <f>VLOOKUP(B21,辅助信息!E:K,7,FALSE)</f>
        <v>JWDDCD2025051000019</v>
      </c>
      <c r="E21" s="41" t="str">
        <f>VLOOKUP(F21,辅助信息!A:B,2,FALSE)</f>
        <v>螺纹钢</v>
      </c>
      <c r="F21" s="41" t="s">
        <v>21</v>
      </c>
      <c r="G21" s="37">
        <v>10</v>
      </c>
      <c r="H21" s="37" t="e">
        <f>_xlfn._xlws.FILTER(#REF!,#REF!&amp;#REF!&amp;#REF!&amp;#REF!=C21&amp;F21&amp;I21&amp;J21,"未发货")</f>
        <v>#REF!</v>
      </c>
      <c r="I21" s="41" t="str">
        <f>VLOOKUP(B21,辅助信息!E:I,3,FALSE)</f>
        <v>(五冶钢构医学科学产业园建设项目房建三部-一标（7-4）)四川省南充市顺庆区搬罾街道学府大道二段</v>
      </c>
      <c r="J21" s="41" t="str">
        <f>VLOOKUP(B21,辅助信息!E:I,4,FALSE)</f>
        <v>郑林</v>
      </c>
      <c r="K21" s="41">
        <f>VLOOKUP(J21,辅助信息!H:I,2,FALSE)</f>
        <v>18349955455</v>
      </c>
      <c r="L21" s="78" t="s">
        <v>35</v>
      </c>
      <c r="M21" s="78"/>
      <c r="N21" s="78"/>
      <c r="O21" s="78"/>
      <c r="P21" s="78"/>
      <c r="Q21" s="41" t="str">
        <f>VLOOKUP(B21,辅助信息!E:M,9,FALSE)</f>
        <v>ZTWM-CDGS-XS-2024-0248-五冶钢构-南充市医学院项目</v>
      </c>
      <c r="R21" s="27"/>
    </row>
    <row r="22" hidden="1" spans="2:18">
      <c r="B22" s="41" t="s">
        <v>24</v>
      </c>
      <c r="C22" s="71">
        <v>45659</v>
      </c>
      <c r="D22" s="41" t="str">
        <f>VLOOKUP(B22,辅助信息!E:K,7,FALSE)</f>
        <v>JWDDCD2025051000019</v>
      </c>
      <c r="E22" s="41" t="str">
        <f>VLOOKUP(F22,辅助信息!A:B,2,FALSE)</f>
        <v>螺纹钢</v>
      </c>
      <c r="F22" s="41" t="s">
        <v>22</v>
      </c>
      <c r="G22" s="37">
        <v>25</v>
      </c>
      <c r="H22" s="37" t="e">
        <f>_xlfn._xlws.FILTER(#REF!,#REF!&amp;#REF!&amp;#REF!&amp;#REF!=C22&amp;F22&amp;I22&amp;J22,"未发货")</f>
        <v>#REF!</v>
      </c>
      <c r="I22" s="41" t="str">
        <f>VLOOKUP(B22,辅助信息!E:I,3,FALSE)</f>
        <v>(五冶钢构医学科学产业园建设项目房建三部-一标（7-4）)四川省南充市顺庆区搬罾街道学府大道二段</v>
      </c>
      <c r="J22" s="41" t="str">
        <f>VLOOKUP(B22,辅助信息!E:I,4,FALSE)</f>
        <v>郑林</v>
      </c>
      <c r="K22" s="41">
        <f>VLOOKUP(J22,辅助信息!H:I,2,FALSE)</f>
        <v>18349955455</v>
      </c>
      <c r="L22" s="77"/>
      <c r="M22" s="78"/>
      <c r="N22" s="78"/>
      <c r="O22" s="78"/>
      <c r="P22" s="78"/>
      <c r="Q22" s="41" t="str">
        <f>VLOOKUP(B22,辅助信息!E:M,9,FALSE)</f>
        <v>ZTWM-CDGS-XS-2024-0248-五冶钢构-南充市医学院项目</v>
      </c>
      <c r="R22" s="27"/>
    </row>
    <row r="23" hidden="1" spans="2:18">
      <c r="B23" s="41" t="s">
        <v>25</v>
      </c>
      <c r="C23" s="71">
        <v>45659</v>
      </c>
      <c r="D23" s="41" t="e">
        <f>VLOOKUP(B23,辅助信息!E:K,7,FALSE)</f>
        <v>#N/A</v>
      </c>
      <c r="E23" s="41" t="str">
        <f>VLOOKUP(F23,辅助信息!A:B,2,FALSE)</f>
        <v>盘螺</v>
      </c>
      <c r="F23" s="41" t="s">
        <v>26</v>
      </c>
      <c r="G23" s="37">
        <v>3</v>
      </c>
      <c r="H23" s="37" t="e">
        <f>_xlfn._xlws.FILTER(#REF!,#REF!&amp;#REF!&amp;#REF!&amp;#REF!=C23&amp;F23&amp;I23&amp;J23,"未发货")</f>
        <v>#REF!</v>
      </c>
      <c r="I23" s="41" t="e">
        <f>VLOOKUP(B23,辅助信息!E:I,3,FALSE)</f>
        <v>#N/A</v>
      </c>
      <c r="J23" s="41" t="e">
        <f>VLOOKUP(B23,辅助信息!E:I,4,FALSE)</f>
        <v>#N/A</v>
      </c>
      <c r="K23" s="41" t="e">
        <f>VLOOKUP(J23,辅助信息!H:I,2,FALSE)</f>
        <v>#N/A</v>
      </c>
      <c r="L23" s="78" t="s">
        <v>36</v>
      </c>
      <c r="M23" s="78"/>
      <c r="N23" s="78"/>
      <c r="O23" s="78"/>
      <c r="P23" s="78"/>
      <c r="Q23" s="41" t="e">
        <f>VLOOKUP(B23,辅助信息!E:M,9,FALSE)</f>
        <v>#N/A</v>
      </c>
      <c r="R23" s="27"/>
    </row>
    <row r="24" hidden="1" spans="2:18">
      <c r="B24" s="41" t="s">
        <v>25</v>
      </c>
      <c r="C24" s="71">
        <v>45659</v>
      </c>
      <c r="D24" s="41" t="e">
        <f>VLOOKUP(B24,辅助信息!E:K,7,FALSE)</f>
        <v>#N/A</v>
      </c>
      <c r="E24" s="41" t="str">
        <f>VLOOKUP(F24,辅助信息!A:B,2,FALSE)</f>
        <v>螺纹钢</v>
      </c>
      <c r="F24" s="41" t="s">
        <v>27</v>
      </c>
      <c r="G24" s="37">
        <v>13</v>
      </c>
      <c r="H24" s="37" t="e">
        <f>_xlfn._xlws.FILTER(#REF!,#REF!&amp;#REF!&amp;#REF!&amp;#REF!=C24&amp;F24&amp;I24&amp;J24,"未发货")</f>
        <v>#REF!</v>
      </c>
      <c r="I24" s="41" t="e">
        <f>VLOOKUP(B24,辅助信息!E:I,3,FALSE)</f>
        <v>#N/A</v>
      </c>
      <c r="J24" s="41" t="e">
        <f>VLOOKUP(B24,辅助信息!E:I,4,FALSE)</f>
        <v>#N/A</v>
      </c>
      <c r="K24" s="41" t="e">
        <f>VLOOKUP(J24,辅助信息!H:I,2,FALSE)</f>
        <v>#N/A</v>
      </c>
      <c r="L24" s="79"/>
      <c r="M24" s="78"/>
      <c r="N24" s="78"/>
      <c r="O24" s="78"/>
      <c r="P24" s="78"/>
      <c r="Q24" s="41" t="e">
        <f>VLOOKUP(B24,辅助信息!E:M,9,FALSE)</f>
        <v>#N/A</v>
      </c>
      <c r="R24" s="27"/>
    </row>
    <row r="25" hidden="1" spans="2:18">
      <c r="B25" s="41" t="s">
        <v>25</v>
      </c>
      <c r="C25" s="71">
        <v>45659</v>
      </c>
      <c r="D25" s="41" t="e">
        <f>VLOOKUP(B25,辅助信息!E:K,7,FALSE)</f>
        <v>#N/A</v>
      </c>
      <c r="E25" s="41" t="str">
        <f>VLOOKUP(F25,辅助信息!A:B,2,FALSE)</f>
        <v>螺纹钢</v>
      </c>
      <c r="F25" s="41" t="s">
        <v>19</v>
      </c>
      <c r="G25" s="37">
        <v>10</v>
      </c>
      <c r="H25" s="37" t="e">
        <f>_xlfn._xlws.FILTER(#REF!,#REF!&amp;#REF!&amp;#REF!&amp;#REF!=C25&amp;F25&amp;I25&amp;J25,"未发货")</f>
        <v>#REF!</v>
      </c>
      <c r="I25" s="41" t="e">
        <f>VLOOKUP(B25,辅助信息!E:I,3,FALSE)</f>
        <v>#N/A</v>
      </c>
      <c r="J25" s="41" t="e">
        <f>VLOOKUP(B25,辅助信息!E:I,4,FALSE)</f>
        <v>#N/A</v>
      </c>
      <c r="K25" s="41" t="e">
        <f>VLOOKUP(J25,辅助信息!H:I,2,FALSE)</f>
        <v>#N/A</v>
      </c>
      <c r="L25" s="79"/>
      <c r="M25" s="78"/>
      <c r="N25" s="78"/>
      <c r="O25" s="78"/>
      <c r="P25" s="78"/>
      <c r="Q25" s="41" t="e">
        <f>VLOOKUP(B25,辅助信息!E:M,9,FALSE)</f>
        <v>#N/A</v>
      </c>
      <c r="R25" s="27"/>
    </row>
    <row r="26" hidden="1" spans="2:18">
      <c r="B26" s="41" t="s">
        <v>25</v>
      </c>
      <c r="C26" s="71">
        <v>45659</v>
      </c>
      <c r="D26" s="41" t="e">
        <f>VLOOKUP(B26,辅助信息!E:K,7,FALSE)</f>
        <v>#N/A</v>
      </c>
      <c r="E26" s="41" t="str">
        <f>VLOOKUP(F26,辅助信息!A:B,2,FALSE)</f>
        <v>螺纹钢</v>
      </c>
      <c r="F26" s="41" t="s">
        <v>28</v>
      </c>
      <c r="G26" s="37">
        <v>10</v>
      </c>
      <c r="H26" s="37" t="e">
        <f>_xlfn._xlws.FILTER(#REF!,#REF!&amp;#REF!&amp;#REF!&amp;#REF!=C26&amp;F26&amp;I26&amp;J26,"未发货")</f>
        <v>#REF!</v>
      </c>
      <c r="I26" s="41" t="e">
        <f>VLOOKUP(B26,辅助信息!E:I,3,FALSE)</f>
        <v>#N/A</v>
      </c>
      <c r="J26" s="41" t="e">
        <f>VLOOKUP(B26,辅助信息!E:I,4,FALSE)</f>
        <v>#N/A</v>
      </c>
      <c r="K26" s="41" t="e">
        <f>VLOOKUP(J26,辅助信息!H:I,2,FALSE)</f>
        <v>#N/A</v>
      </c>
      <c r="L26" s="77"/>
      <c r="M26" s="78"/>
      <c r="N26" s="78"/>
      <c r="O26" s="78"/>
      <c r="P26" s="78"/>
      <c r="Q26" s="41" t="e">
        <f>VLOOKUP(B26,辅助信息!E:M,9,FALSE)</f>
        <v>#N/A</v>
      </c>
      <c r="R26" s="27"/>
    </row>
    <row r="27" ht="56.25" hidden="1" customHeight="1" spans="2:18">
      <c r="B27" s="41" t="s">
        <v>29</v>
      </c>
      <c r="C27" s="71">
        <v>45659</v>
      </c>
      <c r="D27" s="41" t="e">
        <f>VLOOKUP(B27,辅助信息!E:K,7,FALSE)</f>
        <v>#N/A</v>
      </c>
      <c r="E27" s="41" t="str">
        <f>VLOOKUP(F27,辅助信息!A:B,2,FALSE)</f>
        <v>螺纹钢</v>
      </c>
      <c r="F27" s="41" t="s">
        <v>30</v>
      </c>
      <c r="G27" s="37">
        <v>35</v>
      </c>
      <c r="H27" s="37" t="e">
        <f>_xlfn._xlws.FILTER(#REF!,#REF!&amp;#REF!&amp;#REF!&amp;#REF!=C27&amp;F27&amp;I27&amp;J27,"未发货")</f>
        <v>#REF!</v>
      </c>
      <c r="I27" s="41" t="e">
        <f>VLOOKUP(B27,辅助信息!E:I,3,FALSE)</f>
        <v>#N/A</v>
      </c>
      <c r="J27" s="41" t="e">
        <f>VLOOKUP(B27,辅助信息!E:I,4,FALSE)</f>
        <v>#N/A</v>
      </c>
      <c r="K27" s="41" t="e">
        <f>VLOOKUP(J27,辅助信息!H:I,2,FALSE)</f>
        <v>#N/A</v>
      </c>
      <c r="L27" s="78" t="s">
        <v>37</v>
      </c>
      <c r="M27" s="78"/>
      <c r="N27" s="78"/>
      <c r="O27" s="78"/>
      <c r="P27" s="78"/>
      <c r="Q27" s="41" t="e">
        <f>VLOOKUP(B27,辅助信息!E:M,9,FALSE)</f>
        <v>#N/A</v>
      </c>
      <c r="R27" s="27"/>
    </row>
    <row r="28" hidden="1" spans="2:18">
      <c r="B28" s="41" t="s">
        <v>31</v>
      </c>
      <c r="C28" s="71">
        <v>45659</v>
      </c>
      <c r="D28" s="41" t="str">
        <f>VLOOKUP(B28,辅助信息!E:K,7,FALSE)</f>
        <v>JWDDCD2024121000136</v>
      </c>
      <c r="E28" s="41" t="str">
        <f>VLOOKUP(F28,辅助信息!A:B,2,FALSE)</f>
        <v>螺纹钢</v>
      </c>
      <c r="F28" s="41" t="s">
        <v>27</v>
      </c>
      <c r="G28" s="37">
        <v>9</v>
      </c>
      <c r="H28" s="37" t="e">
        <f>_xlfn._xlws.FILTER(#REF!,#REF!&amp;#REF!&amp;#REF!&amp;#REF!=C28&amp;F28&amp;I28&amp;J28,"未发货")</f>
        <v>#REF!</v>
      </c>
      <c r="I28" s="41" t="str">
        <f>VLOOKUP(B28,辅助信息!E:I,3,FALSE)</f>
        <v>（四川商建-射洪城乡一体化项目）遂宁市射洪市忠新幼儿园北侧约220米新溪小区</v>
      </c>
      <c r="J28" s="41" t="str">
        <f>VLOOKUP(B28,辅助信息!E:I,4,FALSE)</f>
        <v>柏子刚</v>
      </c>
      <c r="K28" s="41">
        <f>VLOOKUP(J28,辅助信息!H:I,2,FALSE)</f>
        <v>15692885305</v>
      </c>
      <c r="L28" s="78" t="s">
        <v>38</v>
      </c>
      <c r="M28" s="78"/>
      <c r="N28" s="78"/>
      <c r="O28" s="78"/>
      <c r="P28" s="78"/>
      <c r="Q28" s="41" t="str">
        <f>VLOOKUP(B28,辅助信息!E:M,9,FALSE)</f>
        <v>ZTWM-CDGS-XS-2024-0179-四川商投-射洪城乡一体化建设项目</v>
      </c>
      <c r="R28" s="27"/>
    </row>
    <row r="29" hidden="1" spans="2:18">
      <c r="B29" s="41" t="s">
        <v>31</v>
      </c>
      <c r="C29" s="71">
        <v>45659</v>
      </c>
      <c r="D29" s="41" t="str">
        <f>VLOOKUP(B29,辅助信息!E:K,7,FALSE)</f>
        <v>JWDDCD2024121000136</v>
      </c>
      <c r="E29" s="41" t="str">
        <f>VLOOKUP(F29,辅助信息!A:B,2,FALSE)</f>
        <v>螺纹钢</v>
      </c>
      <c r="F29" s="41" t="s">
        <v>32</v>
      </c>
      <c r="G29" s="37">
        <v>21</v>
      </c>
      <c r="H29" s="37" t="e">
        <f>_xlfn._xlws.FILTER(#REF!,#REF!&amp;#REF!&amp;#REF!&amp;#REF!=C29&amp;F29&amp;I29&amp;J29,"未发货")</f>
        <v>#REF!</v>
      </c>
      <c r="I29" s="41" t="str">
        <f>VLOOKUP(B29,辅助信息!E:I,3,FALSE)</f>
        <v>（四川商建-射洪城乡一体化项目）遂宁市射洪市忠新幼儿园北侧约220米新溪小区</v>
      </c>
      <c r="J29" s="41" t="str">
        <f>VLOOKUP(B29,辅助信息!E:I,4,FALSE)</f>
        <v>柏子刚</v>
      </c>
      <c r="K29" s="41">
        <f>VLOOKUP(J29,辅助信息!H:I,2,FALSE)</f>
        <v>15692885305</v>
      </c>
      <c r="L29" s="79"/>
      <c r="M29" s="78"/>
      <c r="N29" s="78"/>
      <c r="O29" s="78"/>
      <c r="P29" s="78"/>
      <c r="Q29" s="41" t="str">
        <f>VLOOKUP(B29,辅助信息!E:M,9,FALSE)</f>
        <v>ZTWM-CDGS-XS-2024-0179-四川商投-射洪城乡一体化建设项目</v>
      </c>
      <c r="R29" s="27"/>
    </row>
    <row r="30" hidden="1" spans="2:18">
      <c r="B30" s="41" t="s">
        <v>31</v>
      </c>
      <c r="C30" s="71">
        <v>45659</v>
      </c>
      <c r="D30" s="41" t="str">
        <f>VLOOKUP(B30,辅助信息!E:K,7,FALSE)</f>
        <v>JWDDCD2024121000136</v>
      </c>
      <c r="E30" s="41" t="str">
        <f>VLOOKUP(F30,辅助信息!A:B,2,FALSE)</f>
        <v>螺纹钢</v>
      </c>
      <c r="F30" s="41" t="s">
        <v>30</v>
      </c>
      <c r="G30" s="37">
        <v>6</v>
      </c>
      <c r="H30" s="37" t="e">
        <f>_xlfn._xlws.FILTER(#REF!,#REF!&amp;#REF!&amp;#REF!&amp;#REF!=C30&amp;F30&amp;I30&amp;J30,"未发货")</f>
        <v>#REF!</v>
      </c>
      <c r="I30" s="41" t="str">
        <f>VLOOKUP(B30,辅助信息!E:I,3,FALSE)</f>
        <v>（四川商建-射洪城乡一体化项目）遂宁市射洪市忠新幼儿园北侧约220米新溪小区</v>
      </c>
      <c r="J30" s="41" t="str">
        <f>VLOOKUP(B30,辅助信息!E:I,4,FALSE)</f>
        <v>柏子刚</v>
      </c>
      <c r="K30" s="41">
        <f>VLOOKUP(J30,辅助信息!H:I,2,FALSE)</f>
        <v>15692885305</v>
      </c>
      <c r="L30" s="79"/>
      <c r="M30" s="78"/>
      <c r="N30" s="78"/>
      <c r="O30" s="78"/>
      <c r="P30" s="78"/>
      <c r="Q30" s="41" t="str">
        <f>VLOOKUP(B30,辅助信息!E:M,9,FALSE)</f>
        <v>ZTWM-CDGS-XS-2024-0179-四川商投-射洪城乡一体化建设项目</v>
      </c>
      <c r="R30" s="27"/>
    </row>
    <row r="31" hidden="1" spans="2:18">
      <c r="B31" s="41" t="s">
        <v>31</v>
      </c>
      <c r="C31" s="71">
        <v>45659</v>
      </c>
      <c r="D31" s="41" t="str">
        <f>VLOOKUP(B31,辅助信息!E:K,7,FALSE)</f>
        <v>JWDDCD2024121000136</v>
      </c>
      <c r="E31" s="41" t="str">
        <f>VLOOKUP(F31,辅助信息!A:B,2,FALSE)</f>
        <v>螺纹钢</v>
      </c>
      <c r="F31" s="41" t="s">
        <v>33</v>
      </c>
      <c r="G31" s="37">
        <v>36</v>
      </c>
      <c r="H31" s="37" t="e">
        <f>_xlfn._xlws.FILTER(#REF!,#REF!&amp;#REF!&amp;#REF!&amp;#REF!=C31&amp;F31&amp;I31&amp;J31,"未发货")</f>
        <v>#REF!</v>
      </c>
      <c r="I31" s="41" t="str">
        <f>VLOOKUP(B31,辅助信息!E:I,3,FALSE)</f>
        <v>（四川商建-射洪城乡一体化项目）遂宁市射洪市忠新幼儿园北侧约220米新溪小区</v>
      </c>
      <c r="J31" s="41" t="str">
        <f>VLOOKUP(B31,辅助信息!E:I,4,FALSE)</f>
        <v>柏子刚</v>
      </c>
      <c r="K31" s="41">
        <f>VLOOKUP(J31,辅助信息!H:I,2,FALSE)</f>
        <v>15692885305</v>
      </c>
      <c r="L31" s="77"/>
      <c r="M31" s="78"/>
      <c r="N31" s="78"/>
      <c r="O31" s="78"/>
      <c r="P31" s="78"/>
      <c r="Q31" s="41" t="str">
        <f>VLOOKUP(B31,辅助信息!E:M,9,FALSE)</f>
        <v>ZTWM-CDGS-XS-2024-0179-四川商投-射洪城乡一体化建设项目</v>
      </c>
      <c r="R31" s="27"/>
    </row>
    <row r="32" hidden="1" spans="2:18">
      <c r="B32" s="41" t="s">
        <v>39</v>
      </c>
      <c r="C32" s="71">
        <v>45659</v>
      </c>
      <c r="D32" s="41" t="str">
        <f>VLOOKUP(B32,辅助信息!E:K,7,FALSE)</f>
        <v>JWDDCD2024101600090</v>
      </c>
      <c r="E32" s="41" t="str">
        <f>VLOOKUP(F32,辅助信息!A:B,2,FALSE)</f>
        <v>盘螺</v>
      </c>
      <c r="F32" s="41" t="s">
        <v>40</v>
      </c>
      <c r="G32" s="37">
        <v>10</v>
      </c>
      <c r="H32" s="37" t="e">
        <f>_xlfn._xlws.FILTER(#REF!,#REF!&amp;#REF!&amp;#REF!&amp;#REF!=C32&amp;F32&amp;I32&amp;J32,"未发货")</f>
        <v>#REF!</v>
      </c>
      <c r="I32" s="41" t="str">
        <f>VLOOKUP(B32,辅助信息!E:I,3,FALSE)</f>
        <v>（达州市公共卫生临床医疗中心项目-一标-2号制作房）达州市通川区西外复兴镇公共卫生临床医疗中心项目</v>
      </c>
      <c r="J32" s="41" t="str">
        <f>VLOOKUP(B32,辅助信息!E:I,4,FALSE)</f>
        <v>潘建发</v>
      </c>
      <c r="K32" s="80">
        <f>VLOOKUP(J32,辅助信息!H:I,2,FALSE)</f>
        <v>13658059919</v>
      </c>
      <c r="L32" s="81" t="s">
        <v>34</v>
      </c>
      <c r="M32" s="81"/>
      <c r="N32" s="81"/>
      <c r="O32" s="81"/>
      <c r="P32" s="81"/>
      <c r="Q32" s="41" t="str">
        <f>VLOOKUP(B32,辅助信息!E:M,9,FALSE)</f>
        <v>ZTWM-CDGS-XS-2024-0205-五冶钢构-达州市通川区西外复兴镇及临近片区建设项目</v>
      </c>
      <c r="R32" s="27"/>
    </row>
    <row r="33" hidden="1" spans="2:18">
      <c r="B33" s="41" t="s">
        <v>39</v>
      </c>
      <c r="C33" s="71">
        <v>45659</v>
      </c>
      <c r="D33" s="41" t="str">
        <f>VLOOKUP(B33,辅助信息!E:K,7,FALSE)</f>
        <v>JWDDCD2024101600090</v>
      </c>
      <c r="E33" s="41" t="str">
        <f>VLOOKUP(F33,辅助信息!A:B,2,FALSE)</f>
        <v>盘螺</v>
      </c>
      <c r="F33" s="41" t="s">
        <v>41</v>
      </c>
      <c r="G33" s="37">
        <v>2</v>
      </c>
      <c r="H33" s="37">
        <v>2</v>
      </c>
      <c r="I33" s="41" t="str">
        <f>VLOOKUP(B33,辅助信息!E:I,3,FALSE)</f>
        <v>（达州市公共卫生临床医疗中心项目-一标-2号制作房）达州市通川区西外复兴镇公共卫生临床医疗中心项目</v>
      </c>
      <c r="J33" s="41" t="str">
        <f>VLOOKUP(B33,辅助信息!E:I,4,FALSE)</f>
        <v>潘建发</v>
      </c>
      <c r="K33" s="80">
        <f>VLOOKUP(J33,辅助信息!H:I,2,FALSE)</f>
        <v>13658059919</v>
      </c>
      <c r="M33" s="58"/>
      <c r="N33" s="58"/>
      <c r="O33" s="58"/>
      <c r="P33" s="58"/>
      <c r="Q33" s="41" t="str">
        <f>VLOOKUP(B33,辅助信息!E:M,9,FALSE)</f>
        <v>ZTWM-CDGS-XS-2024-0205-五冶钢构-达州市通川区西外复兴镇及临近片区建设项目</v>
      </c>
      <c r="R33" s="27"/>
    </row>
    <row r="34" hidden="1" spans="2:18">
      <c r="B34" s="41" t="s">
        <v>39</v>
      </c>
      <c r="C34" s="71">
        <v>45659</v>
      </c>
      <c r="D34" s="41" t="str">
        <f>VLOOKUP(B34,辅助信息!E:K,7,FALSE)</f>
        <v>JWDDCD2024101600090</v>
      </c>
      <c r="E34" s="41" t="str">
        <f>VLOOKUP(F34,辅助信息!A:B,2,FALSE)</f>
        <v>螺纹钢</v>
      </c>
      <c r="F34" s="41" t="s">
        <v>27</v>
      </c>
      <c r="G34" s="37">
        <v>45</v>
      </c>
      <c r="H34" s="37">
        <v>45</v>
      </c>
      <c r="I34" s="41" t="str">
        <f>VLOOKUP(B34,辅助信息!E:I,3,FALSE)</f>
        <v>（达州市公共卫生临床医疗中心项目-一标-2号制作房）达州市通川区西外复兴镇公共卫生临床医疗中心项目</v>
      </c>
      <c r="J34" s="41" t="str">
        <f>VLOOKUP(B34,辅助信息!E:I,4,FALSE)</f>
        <v>潘建发</v>
      </c>
      <c r="K34" s="80">
        <f>VLOOKUP(J34,辅助信息!H:I,2,FALSE)</f>
        <v>13658059919</v>
      </c>
      <c r="M34" s="58"/>
      <c r="N34" s="58"/>
      <c r="O34" s="58"/>
      <c r="P34" s="58"/>
      <c r="Q34" s="41" t="str">
        <f>VLOOKUP(B34,辅助信息!E:M,9,FALSE)</f>
        <v>ZTWM-CDGS-XS-2024-0205-五冶钢构-达州市通川区西外复兴镇及临近片区建设项目</v>
      </c>
      <c r="R34" s="27"/>
    </row>
    <row r="35" hidden="1" spans="2:18">
      <c r="B35" s="41" t="s">
        <v>39</v>
      </c>
      <c r="C35" s="71">
        <v>45659</v>
      </c>
      <c r="D35" s="41" t="str">
        <f>VLOOKUP(B35,辅助信息!E:K,7,FALSE)</f>
        <v>JWDDCD2024101600090</v>
      </c>
      <c r="E35" s="41" t="str">
        <f>VLOOKUP(F35,辅助信息!A:B,2,FALSE)</f>
        <v>螺纹钢</v>
      </c>
      <c r="F35" s="41" t="s">
        <v>19</v>
      </c>
      <c r="G35" s="37">
        <v>16</v>
      </c>
      <c r="H35" s="37" t="e">
        <f>_xlfn._xlws.FILTER(#REF!,#REF!&amp;#REF!&amp;#REF!&amp;#REF!=C35&amp;F35&amp;I35&amp;J35,"未发货")</f>
        <v>#REF!</v>
      </c>
      <c r="I35" s="41" t="str">
        <f>VLOOKUP(B35,辅助信息!E:I,3,FALSE)</f>
        <v>（达州市公共卫生临床医疗中心项目-一标-2号制作房）达州市通川区西外复兴镇公共卫生临床医疗中心项目</v>
      </c>
      <c r="J35" s="41" t="str">
        <f>VLOOKUP(B35,辅助信息!E:I,4,FALSE)</f>
        <v>潘建发</v>
      </c>
      <c r="K35" s="80">
        <f>VLOOKUP(J35,辅助信息!H:I,2,FALSE)</f>
        <v>13658059919</v>
      </c>
      <c r="M35" s="58"/>
      <c r="N35" s="58"/>
      <c r="O35" s="58"/>
      <c r="P35" s="58"/>
      <c r="Q35" s="41" t="str">
        <f>VLOOKUP(B35,辅助信息!E:M,9,FALSE)</f>
        <v>ZTWM-CDGS-XS-2024-0205-五冶钢构-达州市通川区西外复兴镇及临近片区建设项目</v>
      </c>
      <c r="R35" s="27"/>
    </row>
    <row r="36" hidden="1" spans="2:18">
      <c r="B36" s="41" t="s">
        <v>39</v>
      </c>
      <c r="C36" s="71">
        <v>45659</v>
      </c>
      <c r="D36" s="41" t="str">
        <f>VLOOKUP(B36,辅助信息!E:K,7,FALSE)</f>
        <v>JWDDCD2024101600090</v>
      </c>
      <c r="E36" s="41" t="str">
        <f>VLOOKUP(F36,辅助信息!A:B,2,FALSE)</f>
        <v>螺纹钢</v>
      </c>
      <c r="F36" s="41" t="s">
        <v>32</v>
      </c>
      <c r="G36" s="37">
        <v>5</v>
      </c>
      <c r="H36" s="37" t="e">
        <f>_xlfn._xlws.FILTER(#REF!,#REF!&amp;#REF!&amp;#REF!&amp;#REF!=C36&amp;F36&amp;I36&amp;J36,"未发货")</f>
        <v>#REF!</v>
      </c>
      <c r="I36" s="41" t="str">
        <f>VLOOKUP(B36,辅助信息!E:I,3,FALSE)</f>
        <v>（达州市公共卫生临床医疗中心项目-一标-2号制作房）达州市通川区西外复兴镇公共卫生临床医疗中心项目</v>
      </c>
      <c r="J36" s="41" t="str">
        <f>VLOOKUP(B36,辅助信息!E:I,4,FALSE)</f>
        <v>潘建发</v>
      </c>
      <c r="K36" s="80">
        <f>VLOOKUP(J36,辅助信息!H:I,2,FALSE)</f>
        <v>13658059919</v>
      </c>
      <c r="M36" s="58"/>
      <c r="N36" s="58"/>
      <c r="O36" s="58"/>
      <c r="P36" s="58"/>
      <c r="Q36" s="41" t="str">
        <f>VLOOKUP(B36,辅助信息!E:M,9,FALSE)</f>
        <v>ZTWM-CDGS-XS-2024-0205-五冶钢构-达州市通川区西外复兴镇及临近片区建设项目</v>
      </c>
      <c r="R36" s="27"/>
    </row>
    <row r="37" hidden="1" spans="2:18">
      <c r="B37" s="41" t="s">
        <v>39</v>
      </c>
      <c r="C37" s="71">
        <v>45659</v>
      </c>
      <c r="D37" s="41" t="str">
        <f>VLOOKUP(B37,辅助信息!E:K,7,FALSE)</f>
        <v>JWDDCD2024101600090</v>
      </c>
      <c r="E37" s="41" t="str">
        <f>VLOOKUP(F37,辅助信息!A:B,2,FALSE)</f>
        <v>螺纹钢</v>
      </c>
      <c r="F37" s="41" t="s">
        <v>33</v>
      </c>
      <c r="G37" s="37">
        <v>8</v>
      </c>
      <c r="H37" s="37" t="e">
        <f>_xlfn._xlws.FILTER(#REF!,#REF!&amp;#REF!&amp;#REF!&amp;#REF!=C37&amp;F37&amp;I37&amp;J37,"未发货")</f>
        <v>#REF!</v>
      </c>
      <c r="I37" s="41" t="str">
        <f>VLOOKUP(B37,辅助信息!E:I,3,FALSE)</f>
        <v>（达州市公共卫生临床医疗中心项目-一标-2号制作房）达州市通川区西外复兴镇公共卫生临床医疗中心项目</v>
      </c>
      <c r="J37" s="41" t="str">
        <f>VLOOKUP(B37,辅助信息!E:I,4,FALSE)</f>
        <v>潘建发</v>
      </c>
      <c r="K37" s="80">
        <f>VLOOKUP(J37,辅助信息!H:I,2,FALSE)</f>
        <v>13658059919</v>
      </c>
      <c r="M37" s="58"/>
      <c r="N37" s="58"/>
      <c r="O37" s="58"/>
      <c r="P37" s="58"/>
      <c r="Q37" s="41" t="str">
        <f>VLOOKUP(B37,辅助信息!E:M,9,FALSE)</f>
        <v>ZTWM-CDGS-XS-2024-0205-五冶钢构-达州市通川区西外复兴镇及临近片区建设项目</v>
      </c>
      <c r="R37" s="27"/>
    </row>
    <row r="38" hidden="1" spans="2:18">
      <c r="B38" s="41" t="s">
        <v>39</v>
      </c>
      <c r="C38" s="71">
        <v>45659</v>
      </c>
      <c r="D38" s="41" t="str">
        <f>VLOOKUP(B38,辅助信息!E:K,7,FALSE)</f>
        <v>JWDDCD2024101600090</v>
      </c>
      <c r="E38" s="41" t="str">
        <f>VLOOKUP(F38,辅助信息!A:B,2,FALSE)</f>
        <v>螺纹钢</v>
      </c>
      <c r="F38" s="41" t="s">
        <v>28</v>
      </c>
      <c r="G38" s="37">
        <v>5</v>
      </c>
      <c r="H38" s="37" t="e">
        <f>_xlfn._xlws.FILTER(#REF!,#REF!&amp;#REF!&amp;#REF!&amp;#REF!=C38&amp;F38&amp;I38&amp;J38,"未发货")</f>
        <v>#REF!</v>
      </c>
      <c r="I38" s="41" t="str">
        <f>VLOOKUP(B38,辅助信息!E:I,3,FALSE)</f>
        <v>（达州市公共卫生临床医疗中心项目-一标-2号制作房）达州市通川区西外复兴镇公共卫生临床医疗中心项目</v>
      </c>
      <c r="J38" s="41" t="str">
        <f>VLOOKUP(B38,辅助信息!E:I,4,FALSE)</f>
        <v>潘建发</v>
      </c>
      <c r="K38" s="80">
        <f>VLOOKUP(J38,辅助信息!H:I,2,FALSE)</f>
        <v>13658059919</v>
      </c>
      <c r="M38" s="58"/>
      <c r="N38" s="58"/>
      <c r="O38" s="58"/>
      <c r="P38" s="58"/>
      <c r="Q38" s="41" t="str">
        <f>VLOOKUP(B38,辅助信息!E:M,9,FALSE)</f>
        <v>ZTWM-CDGS-XS-2024-0205-五冶钢构-达州市通川区西外复兴镇及临近片区建设项目</v>
      </c>
      <c r="R38" s="27"/>
    </row>
    <row r="39" hidden="1" spans="2:18">
      <c r="B39" s="41" t="s">
        <v>39</v>
      </c>
      <c r="C39" s="71">
        <v>45659</v>
      </c>
      <c r="D39" s="41" t="str">
        <f>VLOOKUP(B39,辅助信息!E:K,7,FALSE)</f>
        <v>JWDDCD2024101600090</v>
      </c>
      <c r="E39" s="41" t="str">
        <f>VLOOKUP(F39,辅助信息!A:B,2,FALSE)</f>
        <v>螺纹钢</v>
      </c>
      <c r="F39" s="41" t="s">
        <v>18</v>
      </c>
      <c r="G39" s="37">
        <v>55</v>
      </c>
      <c r="H39" s="37" t="e">
        <f>_xlfn._xlws.FILTER(#REF!,#REF!&amp;#REF!&amp;#REF!&amp;#REF!=C39&amp;F39&amp;I39&amp;J39,"未发货")</f>
        <v>#REF!</v>
      </c>
      <c r="I39" s="41" t="str">
        <f>VLOOKUP(B39,辅助信息!E:I,3,FALSE)</f>
        <v>（达州市公共卫生临床医疗中心项目-一标-2号制作房）达州市通川区西外复兴镇公共卫生临床医疗中心项目</v>
      </c>
      <c r="J39" s="41" t="str">
        <f>VLOOKUP(B39,辅助信息!E:I,4,FALSE)</f>
        <v>潘建发</v>
      </c>
      <c r="K39" s="80">
        <f>VLOOKUP(J39,辅助信息!H:I,2,FALSE)</f>
        <v>13658059919</v>
      </c>
      <c r="M39" s="58"/>
      <c r="N39" s="58"/>
      <c r="O39" s="58"/>
      <c r="P39" s="58"/>
      <c r="Q39" s="41" t="str">
        <f>VLOOKUP(B39,辅助信息!E:M,9,FALSE)</f>
        <v>ZTWM-CDGS-XS-2024-0205-五冶钢构-达州市通川区西外复兴镇及临近片区建设项目</v>
      </c>
      <c r="R39" s="27"/>
    </row>
    <row r="40" hidden="1" spans="2:18">
      <c r="B40" s="41" t="s">
        <v>17</v>
      </c>
      <c r="C40" s="71">
        <v>45659</v>
      </c>
      <c r="D40" s="41" t="str">
        <f>VLOOKUP(B40,辅助信息!E:K,7,FALSE)</f>
        <v>JWDDCD2024101600090</v>
      </c>
      <c r="E40" s="41" t="str">
        <f>VLOOKUP(F40,辅助信息!A:B,2,FALSE)</f>
        <v>盘螺</v>
      </c>
      <c r="F40" s="41" t="s">
        <v>41</v>
      </c>
      <c r="G40" s="37">
        <v>25</v>
      </c>
      <c r="H40" s="37">
        <v>25</v>
      </c>
      <c r="I40" s="41" t="str">
        <f>VLOOKUP(B40,辅助信息!E:I,3,FALSE)</f>
        <v>（达州市公共卫生临床医疗中心项目-一标-1号制作房）达州市通川区西外复兴镇公共卫生临床医疗中心项目</v>
      </c>
      <c r="J40" s="41" t="str">
        <f>VLOOKUP(B40,辅助信息!E:I,4,FALSE)</f>
        <v>潘建发</v>
      </c>
      <c r="K40" s="41">
        <f>VLOOKUP(J40,辅助信息!H:I,2,FALSE)</f>
        <v>13658059919</v>
      </c>
      <c r="L40" s="81" t="s">
        <v>34</v>
      </c>
      <c r="M40" s="81"/>
      <c r="N40" s="81"/>
      <c r="O40" s="81"/>
      <c r="P40" s="81"/>
      <c r="Q40" s="41" t="str">
        <f>VLOOKUP(B40,辅助信息!E:M,9,FALSE)</f>
        <v>ZTWM-CDGS-XS-2024-0205-五冶钢构-达州市通川区西外复兴镇及临近片区建设项目</v>
      </c>
      <c r="R40" s="27"/>
    </row>
    <row r="41" hidden="1" spans="2:18">
      <c r="B41" s="41" t="s">
        <v>17</v>
      </c>
      <c r="C41" s="71">
        <v>45659</v>
      </c>
      <c r="D41" s="41" t="str">
        <f>VLOOKUP(B41,辅助信息!E:K,7,FALSE)</f>
        <v>JWDDCD2024101600090</v>
      </c>
      <c r="E41" s="41" t="str">
        <f>VLOOKUP(F41,辅助信息!A:B,2,FALSE)</f>
        <v>螺纹钢</v>
      </c>
      <c r="F41" s="41" t="s">
        <v>27</v>
      </c>
      <c r="G41" s="37">
        <v>29</v>
      </c>
      <c r="H41" s="37">
        <v>5</v>
      </c>
      <c r="I41" s="41" t="str">
        <f>VLOOKUP(B41,辅助信息!E:I,3,FALSE)</f>
        <v>（达州市公共卫生临床医疗中心项目-一标-1号制作房）达州市通川区西外复兴镇公共卫生临床医疗中心项目</v>
      </c>
      <c r="J41" s="41" t="str">
        <f>VLOOKUP(B41,辅助信息!E:I,4,FALSE)</f>
        <v>潘建发</v>
      </c>
      <c r="K41" s="41">
        <f>VLOOKUP(J41,辅助信息!H:I,2,FALSE)</f>
        <v>13658059919</v>
      </c>
      <c r="M41" s="58"/>
      <c r="N41" s="58"/>
      <c r="O41" s="58"/>
      <c r="P41" s="58"/>
      <c r="Q41" s="41" t="str">
        <f>VLOOKUP(B41,辅助信息!E:M,9,FALSE)</f>
        <v>ZTWM-CDGS-XS-2024-0205-五冶钢构-达州市通川区西外复兴镇及临近片区建设项目</v>
      </c>
      <c r="R41" s="27"/>
    </row>
    <row r="42" hidden="1" spans="2:18">
      <c r="B42" s="41" t="s">
        <v>17</v>
      </c>
      <c r="C42" s="71">
        <v>45659</v>
      </c>
      <c r="D42" s="41" t="str">
        <f>VLOOKUP(B42,辅助信息!E:K,7,FALSE)</f>
        <v>JWDDCD2024101600090</v>
      </c>
      <c r="E42" s="41" t="str">
        <f>VLOOKUP(F42,辅助信息!A:B,2,FALSE)</f>
        <v>螺纹钢</v>
      </c>
      <c r="F42" s="41" t="s">
        <v>33</v>
      </c>
      <c r="G42" s="37">
        <v>3</v>
      </c>
      <c r="H42" s="37" t="e">
        <f>_xlfn._xlws.FILTER(#REF!,#REF!&amp;#REF!&amp;#REF!&amp;#REF!=C42&amp;F42&amp;I42&amp;J42,"未发货")</f>
        <v>#REF!</v>
      </c>
      <c r="I42" s="41" t="str">
        <f>VLOOKUP(B42,辅助信息!E:I,3,FALSE)</f>
        <v>（达州市公共卫生临床医疗中心项目-一标-1号制作房）达州市通川区西外复兴镇公共卫生临床医疗中心项目</v>
      </c>
      <c r="J42" s="41" t="str">
        <f>VLOOKUP(B42,辅助信息!E:I,4,FALSE)</f>
        <v>潘建发</v>
      </c>
      <c r="K42" s="41">
        <f>VLOOKUP(J42,辅助信息!H:I,2,FALSE)</f>
        <v>13658059919</v>
      </c>
      <c r="M42" s="58"/>
      <c r="N42" s="58"/>
      <c r="O42" s="58"/>
      <c r="P42" s="58"/>
      <c r="Q42" s="41" t="str">
        <f>VLOOKUP(B42,辅助信息!E:M,9,FALSE)</f>
        <v>ZTWM-CDGS-XS-2024-0205-五冶钢构-达州市通川区西外复兴镇及临近片区建设项目</v>
      </c>
      <c r="R42" s="27"/>
    </row>
    <row r="43" hidden="1" spans="2:18">
      <c r="B43" s="41" t="s">
        <v>17</v>
      </c>
      <c r="C43" s="71">
        <v>45659</v>
      </c>
      <c r="D43" s="41" t="str">
        <f>VLOOKUP(B43,辅助信息!E:K,7,FALSE)</f>
        <v>JWDDCD2024101600090</v>
      </c>
      <c r="E43" s="41" t="str">
        <f>VLOOKUP(F43,辅助信息!A:B,2,FALSE)</f>
        <v>螺纹钢</v>
      </c>
      <c r="F43" s="41" t="s">
        <v>28</v>
      </c>
      <c r="G43" s="37">
        <v>3</v>
      </c>
      <c r="H43" s="37" t="e">
        <f>_xlfn._xlws.FILTER(#REF!,#REF!&amp;#REF!&amp;#REF!&amp;#REF!=C43&amp;F43&amp;I43&amp;J43,"未发货")</f>
        <v>#REF!</v>
      </c>
      <c r="I43" s="41" t="str">
        <f>VLOOKUP(B43,辅助信息!E:I,3,FALSE)</f>
        <v>（达州市公共卫生临床医疗中心项目-一标-1号制作房）达州市通川区西外复兴镇公共卫生临床医疗中心项目</v>
      </c>
      <c r="J43" s="41" t="str">
        <f>VLOOKUP(B43,辅助信息!E:I,4,FALSE)</f>
        <v>潘建发</v>
      </c>
      <c r="K43" s="41">
        <f>VLOOKUP(J43,辅助信息!H:I,2,FALSE)</f>
        <v>13658059919</v>
      </c>
      <c r="M43" s="58"/>
      <c r="N43" s="58"/>
      <c r="O43" s="58"/>
      <c r="P43" s="58"/>
      <c r="Q43" s="41" t="str">
        <f>VLOOKUP(B43,辅助信息!E:M,9,FALSE)</f>
        <v>ZTWM-CDGS-XS-2024-0205-五冶钢构-达州市通川区西外复兴镇及临近片区建设项目</v>
      </c>
      <c r="R43" s="27"/>
    </row>
    <row r="44" hidden="1" spans="2:18">
      <c r="B44" s="41" t="s">
        <v>17</v>
      </c>
      <c r="C44" s="71">
        <v>45659</v>
      </c>
      <c r="D44" s="41" t="str">
        <f>VLOOKUP(B44,辅助信息!E:K,7,FALSE)</f>
        <v>JWDDCD2024101600090</v>
      </c>
      <c r="E44" s="41" t="str">
        <f>VLOOKUP(F44,辅助信息!A:B,2,FALSE)</f>
        <v>螺纹钢</v>
      </c>
      <c r="F44" s="41" t="s">
        <v>18</v>
      </c>
      <c r="G44" s="37">
        <v>25</v>
      </c>
      <c r="H44" s="37" t="e">
        <f>_xlfn._xlws.FILTER(#REF!,#REF!&amp;#REF!&amp;#REF!&amp;#REF!=C44&amp;F44&amp;I44&amp;J44,"未发货")</f>
        <v>#REF!</v>
      </c>
      <c r="I44" s="41" t="str">
        <f>VLOOKUP(B44,辅助信息!E:I,3,FALSE)</f>
        <v>（达州市公共卫生临床医疗中心项目-一标-1号制作房）达州市通川区西外复兴镇公共卫生临床医疗中心项目</v>
      </c>
      <c r="J44" s="41" t="str">
        <f>VLOOKUP(B44,辅助信息!E:I,4,FALSE)</f>
        <v>潘建发</v>
      </c>
      <c r="K44" s="41">
        <f>VLOOKUP(J44,辅助信息!H:I,2,FALSE)</f>
        <v>13658059919</v>
      </c>
      <c r="M44" s="58"/>
      <c r="N44" s="58"/>
      <c r="O44" s="58"/>
      <c r="P44" s="58"/>
      <c r="Q44" s="41" t="str">
        <f>VLOOKUP(B44,辅助信息!E:M,9,FALSE)</f>
        <v>ZTWM-CDGS-XS-2024-0205-五冶钢构-达州市通川区西外复兴镇及临近片区建设项目</v>
      </c>
      <c r="R44" s="27"/>
    </row>
    <row r="45" hidden="1" spans="1:18">
      <c r="A45" s="72" t="s">
        <v>42</v>
      </c>
      <c r="B45" s="41" t="s">
        <v>43</v>
      </c>
      <c r="C45" s="71">
        <v>45659</v>
      </c>
      <c r="D45" s="41" t="str">
        <f>VLOOKUP(B45,辅助信息!E:K,7,FALSE)</f>
        <v>JWDDCD2024101600090</v>
      </c>
      <c r="E45" s="41" t="str">
        <f>VLOOKUP(F45,辅助信息!A:B,2,FALSE)</f>
        <v>螺纹钢</v>
      </c>
      <c r="F45" s="41" t="s">
        <v>27</v>
      </c>
      <c r="G45" s="37">
        <v>10</v>
      </c>
      <c r="H45" s="37" t="e">
        <f>_xlfn._xlws.FILTER(#REF!,#REF!&amp;#REF!&amp;#REF!&amp;#REF!=C45&amp;F45&amp;I45&amp;J45,"未发货")</f>
        <v>#REF!</v>
      </c>
      <c r="I45" s="41" t="str">
        <f>VLOOKUP(B45,辅助信息!E:I,3,FALSE)</f>
        <v>（达州市公共卫生医疗中心项目-二标-3号楼）达州市通川区西外复兴镇公共卫生临床医疗中心项目</v>
      </c>
      <c r="J45" s="41" t="str">
        <f>VLOOKUP(B45,辅助信息!E:I,4,FALSE)</f>
        <v>黄永林</v>
      </c>
      <c r="K45" s="41">
        <f>VLOOKUP(J45,辅助信息!H:I,2,FALSE)</f>
        <v>15982487227</v>
      </c>
      <c r="L45" s="78" t="s">
        <v>34</v>
      </c>
      <c r="M45" s="78"/>
      <c r="N45" s="78"/>
      <c r="O45" s="78"/>
      <c r="P45" s="78"/>
      <c r="Q45" s="41" t="str">
        <f>VLOOKUP(B45,辅助信息!E:M,9,FALSE)</f>
        <v>ZTWM-CDGS-XS-2024-0205-五冶钢构-达州市通川区西外复兴镇及临近片区建设项目</v>
      </c>
      <c r="R45" s="27"/>
    </row>
    <row r="46" hidden="1" spans="2:18">
      <c r="B46" s="41" t="s">
        <v>43</v>
      </c>
      <c r="C46" s="71">
        <v>45659</v>
      </c>
      <c r="D46" s="41" t="str">
        <f>VLOOKUP(B46,辅助信息!E:K,7,FALSE)</f>
        <v>JWDDCD2024101600090</v>
      </c>
      <c r="E46" s="41" t="str">
        <f>VLOOKUP(F46,辅助信息!A:B,2,FALSE)</f>
        <v>螺纹钢</v>
      </c>
      <c r="F46" s="41" t="s">
        <v>32</v>
      </c>
      <c r="G46" s="37">
        <v>4</v>
      </c>
      <c r="H46" s="37" t="e">
        <f>_xlfn._xlws.FILTER(#REF!,#REF!&amp;#REF!&amp;#REF!&amp;#REF!=C46&amp;F46&amp;I46&amp;J46,"未发货")</f>
        <v>#REF!</v>
      </c>
      <c r="I46" s="41" t="str">
        <f>VLOOKUP(B46,辅助信息!E:I,3,FALSE)</f>
        <v>（达州市公共卫生医疗中心项目-二标-3号楼）达州市通川区西外复兴镇公共卫生临床医疗中心项目</v>
      </c>
      <c r="J46" s="41" t="str">
        <f>VLOOKUP(B46,辅助信息!E:I,4,FALSE)</f>
        <v>黄永林</v>
      </c>
      <c r="K46" s="41">
        <f>VLOOKUP(J46,辅助信息!H:I,2,FALSE)</f>
        <v>15982487227</v>
      </c>
      <c r="L46" s="79"/>
      <c r="M46" s="78"/>
      <c r="N46" s="78"/>
      <c r="O46" s="78"/>
      <c r="P46" s="78"/>
      <c r="Q46" s="41" t="str">
        <f>VLOOKUP(B46,辅助信息!E:M,9,FALSE)</f>
        <v>ZTWM-CDGS-XS-2024-0205-五冶钢构-达州市通川区西外复兴镇及临近片区建设项目</v>
      </c>
      <c r="R46" s="27"/>
    </row>
    <row r="47" hidden="1" spans="2:18">
      <c r="B47" s="41" t="s">
        <v>43</v>
      </c>
      <c r="C47" s="71">
        <v>45659</v>
      </c>
      <c r="D47" s="41" t="str">
        <f>VLOOKUP(B47,辅助信息!E:K,7,FALSE)</f>
        <v>JWDDCD2024101600090</v>
      </c>
      <c r="E47" s="41" t="str">
        <f>VLOOKUP(F47,辅助信息!A:B,2,FALSE)</f>
        <v>螺纹钢</v>
      </c>
      <c r="F47" s="41" t="s">
        <v>30</v>
      </c>
      <c r="G47" s="37">
        <v>5</v>
      </c>
      <c r="H47" s="37" t="e">
        <f>_xlfn._xlws.FILTER(#REF!,#REF!&amp;#REF!&amp;#REF!&amp;#REF!=C47&amp;F47&amp;I47&amp;J47,"未发货")</f>
        <v>#REF!</v>
      </c>
      <c r="I47" s="41" t="str">
        <f>VLOOKUP(B47,辅助信息!E:I,3,FALSE)</f>
        <v>（达州市公共卫生医疗中心项目-二标-3号楼）达州市通川区西外复兴镇公共卫生临床医疗中心项目</v>
      </c>
      <c r="J47" s="41" t="str">
        <f>VLOOKUP(B47,辅助信息!E:I,4,FALSE)</f>
        <v>黄永林</v>
      </c>
      <c r="K47" s="41">
        <f>VLOOKUP(J47,辅助信息!H:I,2,FALSE)</f>
        <v>15982487227</v>
      </c>
      <c r="L47" s="79"/>
      <c r="M47" s="78"/>
      <c r="N47" s="78"/>
      <c r="O47" s="78"/>
      <c r="P47" s="78"/>
      <c r="Q47" s="41" t="str">
        <f>VLOOKUP(B47,辅助信息!E:M,9,FALSE)</f>
        <v>ZTWM-CDGS-XS-2024-0205-五冶钢构-达州市通川区西外复兴镇及临近片区建设项目</v>
      </c>
      <c r="R47" s="27"/>
    </row>
    <row r="48" hidden="1" spans="2:18">
      <c r="B48" s="41" t="s">
        <v>43</v>
      </c>
      <c r="C48" s="71">
        <v>45659</v>
      </c>
      <c r="D48" s="41" t="str">
        <f>VLOOKUP(B48,辅助信息!E:K,7,FALSE)</f>
        <v>JWDDCD2024101600090</v>
      </c>
      <c r="E48" s="41" t="str">
        <f>VLOOKUP(F48,辅助信息!A:B,2,FALSE)</f>
        <v>螺纹钢</v>
      </c>
      <c r="F48" s="41" t="s">
        <v>28</v>
      </c>
      <c r="G48" s="37">
        <v>13</v>
      </c>
      <c r="H48" s="37" t="e">
        <f>_xlfn._xlws.FILTER(#REF!,#REF!&amp;#REF!&amp;#REF!&amp;#REF!=C48&amp;F48&amp;I48&amp;J48,"未发货")</f>
        <v>#REF!</v>
      </c>
      <c r="I48" s="41" t="str">
        <f>VLOOKUP(B48,辅助信息!E:I,3,FALSE)</f>
        <v>（达州市公共卫生医疗中心项目-二标-3号楼）达州市通川区西外复兴镇公共卫生临床医疗中心项目</v>
      </c>
      <c r="J48" s="41" t="str">
        <f>VLOOKUP(B48,辅助信息!E:I,4,FALSE)</f>
        <v>黄永林</v>
      </c>
      <c r="K48" s="41">
        <f>VLOOKUP(J48,辅助信息!H:I,2,FALSE)</f>
        <v>15982487227</v>
      </c>
      <c r="L48" s="79"/>
      <c r="M48" s="78"/>
      <c r="N48" s="78"/>
      <c r="O48" s="78"/>
      <c r="P48" s="78"/>
      <c r="Q48" s="41" t="str">
        <f>VLOOKUP(B48,辅助信息!E:M,9,FALSE)</f>
        <v>ZTWM-CDGS-XS-2024-0205-五冶钢构-达州市通川区西外复兴镇及临近片区建设项目</v>
      </c>
      <c r="R48" s="27"/>
    </row>
    <row r="49" hidden="1" spans="2:18">
      <c r="B49" s="41" t="s">
        <v>43</v>
      </c>
      <c r="C49" s="71">
        <v>45659</v>
      </c>
      <c r="D49" s="41" t="str">
        <f>VLOOKUP(B49,辅助信息!E:K,7,FALSE)</f>
        <v>JWDDCD2024101600090</v>
      </c>
      <c r="E49" s="41" t="str">
        <f>VLOOKUP(F49,辅助信息!A:B,2,FALSE)</f>
        <v>螺纹钢</v>
      </c>
      <c r="F49" s="41" t="s">
        <v>18</v>
      </c>
      <c r="G49" s="37">
        <v>26</v>
      </c>
      <c r="H49" s="37" t="e">
        <f>_xlfn._xlws.FILTER(#REF!,#REF!&amp;#REF!&amp;#REF!&amp;#REF!=C49&amp;F49&amp;I49&amp;J49,"未发货")</f>
        <v>#REF!</v>
      </c>
      <c r="I49" s="41" t="str">
        <f>VLOOKUP(B49,辅助信息!E:I,3,FALSE)</f>
        <v>（达州市公共卫生医疗中心项目-二标-3号楼）达州市通川区西外复兴镇公共卫生临床医疗中心项目</v>
      </c>
      <c r="J49" s="41" t="str">
        <f>VLOOKUP(B49,辅助信息!E:I,4,FALSE)</f>
        <v>黄永林</v>
      </c>
      <c r="K49" s="41">
        <f>VLOOKUP(J49,辅助信息!H:I,2,FALSE)</f>
        <v>15982487227</v>
      </c>
      <c r="L49" s="77"/>
      <c r="M49" s="78"/>
      <c r="N49" s="78"/>
      <c r="O49" s="78"/>
      <c r="P49" s="78"/>
      <c r="Q49" s="41" t="str">
        <f>VLOOKUP(B49,辅助信息!E:M,9,FALSE)</f>
        <v>ZTWM-CDGS-XS-2024-0205-五冶钢构-达州市通川区西外复兴镇及临近片区建设项目</v>
      </c>
      <c r="R49" s="27"/>
    </row>
    <row r="50" hidden="1" spans="2:18">
      <c r="B50" s="41" t="s">
        <v>44</v>
      </c>
      <c r="C50" s="71">
        <v>45659</v>
      </c>
      <c r="D50" s="41" t="str">
        <f>VLOOKUP(B50,辅助信息!E:K,7,FALSE)</f>
        <v>JWDDCD2025060600053</v>
      </c>
      <c r="E50" s="41" t="str">
        <f>VLOOKUP(F50,辅助信息!A:B,2,FALSE)</f>
        <v>盘螺</v>
      </c>
      <c r="F50" s="41" t="s">
        <v>40</v>
      </c>
      <c r="G50" s="37">
        <v>30</v>
      </c>
      <c r="H50" s="37" t="e">
        <f>_xlfn._xlws.FILTER(#REF!,#REF!&amp;#REF!&amp;#REF!&amp;#REF!=C50&amp;F50&amp;I50&amp;J50,"未发货")</f>
        <v>#REF!</v>
      </c>
      <c r="I50" s="41" t="str">
        <f>VLOOKUP(B50,辅助信息!E:I,3,FALSE)</f>
        <v>（华西酒城南）成都市武侯区火车南站西路8号酒城南项目</v>
      </c>
      <c r="J50" s="41" t="str">
        <f>VLOOKUP(B50,辅助信息!E:I,4,FALSE)</f>
        <v>龙耀宇</v>
      </c>
      <c r="K50" s="41">
        <f>VLOOKUP(J50,辅助信息!H:I,2,FALSE)</f>
        <v>18384145895</v>
      </c>
      <c r="L50" s="78" t="s">
        <v>34</v>
      </c>
      <c r="M50" s="78"/>
      <c r="N50" s="78"/>
      <c r="O50" s="78"/>
      <c r="P50" s="78"/>
      <c r="Q50" s="41" t="str">
        <f>VLOOKUP(B50,辅助信息!E:M,9,FALSE)</f>
        <v>ZTWM-CDGS-XS-2024-0189-华西集采-酒城南项目</v>
      </c>
      <c r="R50" s="27"/>
    </row>
    <row r="51" hidden="1" spans="2:18">
      <c r="B51" s="41" t="s">
        <v>44</v>
      </c>
      <c r="C51" s="71">
        <v>45659</v>
      </c>
      <c r="D51" s="41" t="str">
        <f>VLOOKUP(B51,辅助信息!E:K,7,FALSE)</f>
        <v>JWDDCD2025060600053</v>
      </c>
      <c r="E51" s="41" t="str">
        <f>VLOOKUP(F51,辅助信息!A:B,2,FALSE)</f>
        <v>盘螺</v>
      </c>
      <c r="F51" s="41" t="s">
        <v>41</v>
      </c>
      <c r="G51" s="37">
        <v>12</v>
      </c>
      <c r="H51" s="37" t="e">
        <f>_xlfn._xlws.FILTER(#REF!,#REF!&amp;#REF!&amp;#REF!&amp;#REF!=C51&amp;F51&amp;I51&amp;J51,"未发货")</f>
        <v>#REF!</v>
      </c>
      <c r="I51" s="41" t="str">
        <f>VLOOKUP(B51,辅助信息!E:I,3,FALSE)</f>
        <v>（华西酒城南）成都市武侯区火车南站西路8号酒城南项目</v>
      </c>
      <c r="J51" s="41" t="str">
        <f>VLOOKUP(B51,辅助信息!E:I,4,FALSE)</f>
        <v>龙耀宇</v>
      </c>
      <c r="K51" s="41">
        <f>VLOOKUP(J51,辅助信息!H:I,2,FALSE)</f>
        <v>18384145895</v>
      </c>
      <c r="L51" s="79"/>
      <c r="M51" s="78"/>
      <c r="N51" s="78"/>
      <c r="O51" s="78"/>
      <c r="P51" s="78"/>
      <c r="Q51" s="41" t="str">
        <f>VLOOKUP(B51,辅助信息!E:M,9,FALSE)</f>
        <v>ZTWM-CDGS-XS-2024-0189-华西集采-酒城南项目</v>
      </c>
      <c r="R51" s="27"/>
    </row>
    <row r="52" hidden="1" spans="2:18">
      <c r="B52" s="41" t="s">
        <v>44</v>
      </c>
      <c r="C52" s="71">
        <v>45659</v>
      </c>
      <c r="D52" s="41" t="str">
        <f>VLOOKUP(B52,辅助信息!E:K,7,FALSE)</f>
        <v>JWDDCD2025060600053</v>
      </c>
      <c r="E52" s="41" t="str">
        <f>VLOOKUP(F52,辅助信息!A:B,2,FALSE)</f>
        <v>盘螺</v>
      </c>
      <c r="F52" s="41" t="s">
        <v>26</v>
      </c>
      <c r="G52" s="37">
        <v>15</v>
      </c>
      <c r="H52" s="37" t="e">
        <f>_xlfn._xlws.FILTER(#REF!,#REF!&amp;#REF!&amp;#REF!&amp;#REF!=C52&amp;F52&amp;I52&amp;J52,"未发货")</f>
        <v>#REF!</v>
      </c>
      <c r="I52" s="41" t="str">
        <f>VLOOKUP(B52,辅助信息!E:I,3,FALSE)</f>
        <v>（华西酒城南）成都市武侯区火车南站西路8号酒城南项目</v>
      </c>
      <c r="J52" s="41" t="str">
        <f>VLOOKUP(B52,辅助信息!E:I,4,FALSE)</f>
        <v>龙耀宇</v>
      </c>
      <c r="K52" s="41">
        <f>VLOOKUP(J52,辅助信息!H:I,2,FALSE)</f>
        <v>18384145895</v>
      </c>
      <c r="L52" s="79"/>
      <c r="M52" s="78"/>
      <c r="N52" s="78"/>
      <c r="O52" s="78"/>
      <c r="P52" s="78"/>
      <c r="Q52" s="41" t="str">
        <f>VLOOKUP(B52,辅助信息!E:M,9,FALSE)</f>
        <v>ZTWM-CDGS-XS-2024-0189-华西集采-酒城南项目</v>
      </c>
      <c r="R52" s="27"/>
    </row>
    <row r="53" hidden="1" spans="2:18">
      <c r="B53" s="41" t="s">
        <v>44</v>
      </c>
      <c r="C53" s="71">
        <v>45659</v>
      </c>
      <c r="D53" s="41" t="str">
        <f>VLOOKUP(B53,辅助信息!E:K,7,FALSE)</f>
        <v>JWDDCD2025060600053</v>
      </c>
      <c r="E53" s="41" t="str">
        <f>VLOOKUP(F53,辅助信息!A:B,2,FALSE)</f>
        <v>螺纹钢</v>
      </c>
      <c r="F53" s="41" t="s">
        <v>19</v>
      </c>
      <c r="G53" s="37">
        <v>25.5</v>
      </c>
      <c r="H53" s="37" t="e">
        <f>_xlfn._xlws.FILTER(#REF!,#REF!&amp;#REF!&amp;#REF!&amp;#REF!=C53&amp;F53&amp;I53&amp;J53,"未发货")</f>
        <v>#REF!</v>
      </c>
      <c r="I53" s="41" t="str">
        <f>VLOOKUP(B53,辅助信息!E:I,3,FALSE)</f>
        <v>（华西酒城南）成都市武侯区火车南站西路8号酒城南项目</v>
      </c>
      <c r="J53" s="41" t="str">
        <f>VLOOKUP(B53,辅助信息!E:I,4,FALSE)</f>
        <v>龙耀宇</v>
      </c>
      <c r="K53" s="41">
        <f>VLOOKUP(J53,辅助信息!H:I,2,FALSE)</f>
        <v>18384145895</v>
      </c>
      <c r="L53" s="79"/>
      <c r="M53" s="78"/>
      <c r="N53" s="78"/>
      <c r="O53" s="78"/>
      <c r="P53" s="78"/>
      <c r="Q53" s="41" t="str">
        <f>VLOOKUP(B53,辅助信息!E:M,9,FALSE)</f>
        <v>ZTWM-CDGS-XS-2024-0189-华西集采-酒城南项目</v>
      </c>
      <c r="R53" s="27"/>
    </row>
    <row r="54" hidden="1" spans="2:18">
      <c r="B54" s="41" t="s">
        <v>44</v>
      </c>
      <c r="C54" s="71">
        <v>45659</v>
      </c>
      <c r="D54" s="41" t="str">
        <f>VLOOKUP(B54,辅助信息!E:K,7,FALSE)</f>
        <v>JWDDCD2025060600053</v>
      </c>
      <c r="E54" s="41" t="str">
        <f>VLOOKUP(F54,辅助信息!A:B,2,FALSE)</f>
        <v>螺纹钢</v>
      </c>
      <c r="F54" s="41" t="s">
        <v>32</v>
      </c>
      <c r="G54" s="37">
        <v>9</v>
      </c>
      <c r="H54" s="37" t="e">
        <f>_xlfn._xlws.FILTER(#REF!,#REF!&amp;#REF!&amp;#REF!&amp;#REF!=C54&amp;F54&amp;I54&amp;J54,"未发货")</f>
        <v>#REF!</v>
      </c>
      <c r="I54" s="41" t="str">
        <f>VLOOKUP(B54,辅助信息!E:I,3,FALSE)</f>
        <v>（华西酒城南）成都市武侯区火车南站西路8号酒城南项目</v>
      </c>
      <c r="J54" s="41" t="str">
        <f>VLOOKUP(B54,辅助信息!E:I,4,FALSE)</f>
        <v>龙耀宇</v>
      </c>
      <c r="K54" s="41">
        <f>VLOOKUP(J54,辅助信息!H:I,2,FALSE)</f>
        <v>18384145895</v>
      </c>
      <c r="L54" s="79"/>
      <c r="M54" s="78"/>
      <c r="N54" s="78"/>
      <c r="O54" s="78"/>
      <c r="P54" s="78"/>
      <c r="Q54" s="41" t="str">
        <f>VLOOKUP(B54,辅助信息!E:M,9,FALSE)</f>
        <v>ZTWM-CDGS-XS-2024-0189-华西集采-酒城南项目</v>
      </c>
      <c r="R54" s="27"/>
    </row>
    <row r="55" hidden="1" spans="2:18">
      <c r="B55" s="41" t="s">
        <v>44</v>
      </c>
      <c r="C55" s="71">
        <v>45659</v>
      </c>
      <c r="D55" s="41" t="str">
        <f>VLOOKUP(B55,辅助信息!E:K,7,FALSE)</f>
        <v>JWDDCD2025060600053</v>
      </c>
      <c r="E55" s="41" t="str">
        <f>VLOOKUP(F55,辅助信息!A:B,2,FALSE)</f>
        <v>螺纹钢</v>
      </c>
      <c r="F55" s="41" t="s">
        <v>30</v>
      </c>
      <c r="G55" s="37">
        <v>8</v>
      </c>
      <c r="H55" s="37" t="e">
        <f>_xlfn._xlws.FILTER(#REF!,#REF!&amp;#REF!&amp;#REF!&amp;#REF!=C55&amp;F55&amp;I55&amp;J55,"未发货")</f>
        <v>#REF!</v>
      </c>
      <c r="I55" s="41" t="str">
        <f>VLOOKUP(B55,辅助信息!E:I,3,FALSE)</f>
        <v>（华西酒城南）成都市武侯区火车南站西路8号酒城南项目</v>
      </c>
      <c r="J55" s="41" t="str">
        <f>VLOOKUP(B55,辅助信息!E:I,4,FALSE)</f>
        <v>龙耀宇</v>
      </c>
      <c r="K55" s="41">
        <f>VLOOKUP(J55,辅助信息!H:I,2,FALSE)</f>
        <v>18384145895</v>
      </c>
      <c r="L55" s="79"/>
      <c r="M55" s="78"/>
      <c r="N55" s="78"/>
      <c r="O55" s="78"/>
      <c r="P55" s="78"/>
      <c r="Q55" s="41" t="str">
        <f>VLOOKUP(B55,辅助信息!E:M,9,FALSE)</f>
        <v>ZTWM-CDGS-XS-2024-0189-华西集采-酒城南项目</v>
      </c>
      <c r="R55" s="27"/>
    </row>
    <row r="56" hidden="1" spans="2:18">
      <c r="B56" s="41" t="s">
        <v>44</v>
      </c>
      <c r="C56" s="71">
        <v>45659</v>
      </c>
      <c r="D56" s="41" t="str">
        <f>VLOOKUP(B56,辅助信息!E:K,7,FALSE)</f>
        <v>JWDDCD2025060600053</v>
      </c>
      <c r="E56" s="41" t="str">
        <f>VLOOKUP(F56,辅助信息!A:B,2,FALSE)</f>
        <v>螺纹钢</v>
      </c>
      <c r="F56" s="41" t="s">
        <v>45</v>
      </c>
      <c r="G56" s="37">
        <v>3</v>
      </c>
      <c r="H56" s="37" t="e">
        <f>_xlfn._xlws.FILTER(#REF!,#REF!&amp;#REF!&amp;#REF!&amp;#REF!=C56&amp;F56&amp;I56&amp;J56,"未发货")</f>
        <v>#REF!</v>
      </c>
      <c r="I56" s="41" t="str">
        <f>VLOOKUP(B56,辅助信息!E:I,3,FALSE)</f>
        <v>（华西酒城南）成都市武侯区火车南站西路8号酒城南项目</v>
      </c>
      <c r="J56" s="41" t="str">
        <f>VLOOKUP(B56,辅助信息!E:I,4,FALSE)</f>
        <v>龙耀宇</v>
      </c>
      <c r="K56" s="41">
        <f>VLOOKUP(J56,辅助信息!H:I,2,FALSE)</f>
        <v>18384145895</v>
      </c>
      <c r="L56" s="79"/>
      <c r="M56" s="78"/>
      <c r="N56" s="78"/>
      <c r="O56" s="78"/>
      <c r="P56" s="78"/>
      <c r="Q56" s="41" t="str">
        <f>VLOOKUP(B56,辅助信息!E:M,9,FALSE)</f>
        <v>ZTWM-CDGS-XS-2024-0189-华西集采-酒城南项目</v>
      </c>
      <c r="R56" s="27"/>
    </row>
    <row r="57" hidden="1" spans="2:18">
      <c r="B57" s="41" t="s">
        <v>44</v>
      </c>
      <c r="C57" s="71">
        <v>45659</v>
      </c>
      <c r="D57" s="41" t="str">
        <f>VLOOKUP(B57,辅助信息!E:K,7,FALSE)</f>
        <v>JWDDCD2025060600053</v>
      </c>
      <c r="E57" s="41" t="str">
        <f>VLOOKUP(F57,辅助信息!A:B,2,FALSE)</f>
        <v>螺纹钢</v>
      </c>
      <c r="F57" s="41" t="s">
        <v>21</v>
      </c>
      <c r="G57" s="37">
        <v>3</v>
      </c>
      <c r="H57" s="37" t="e">
        <f>_xlfn._xlws.FILTER(#REF!,#REF!&amp;#REF!&amp;#REF!&amp;#REF!=C57&amp;F57&amp;I57&amp;J57,"未发货")</f>
        <v>#REF!</v>
      </c>
      <c r="I57" s="41" t="str">
        <f>VLOOKUP(B57,辅助信息!E:I,3,FALSE)</f>
        <v>（华西酒城南）成都市武侯区火车南站西路8号酒城南项目</v>
      </c>
      <c r="J57" s="41" t="str">
        <f>VLOOKUP(B57,辅助信息!E:I,4,FALSE)</f>
        <v>龙耀宇</v>
      </c>
      <c r="K57" s="41">
        <f>VLOOKUP(J57,辅助信息!H:I,2,FALSE)</f>
        <v>18384145895</v>
      </c>
      <c r="L57" s="79"/>
      <c r="M57" s="78"/>
      <c r="N57" s="78"/>
      <c r="O57" s="78"/>
      <c r="P57" s="78"/>
      <c r="Q57" s="41" t="str">
        <f>VLOOKUP(B57,辅助信息!E:M,9,FALSE)</f>
        <v>ZTWM-CDGS-XS-2024-0189-华西集采-酒城南项目</v>
      </c>
      <c r="R57" s="27"/>
    </row>
    <row r="58" hidden="1" spans="2:18">
      <c r="B58" s="41" t="s">
        <v>44</v>
      </c>
      <c r="C58" s="71">
        <v>45659</v>
      </c>
      <c r="D58" s="41" t="str">
        <f>VLOOKUP(B58,辅助信息!E:K,7,FALSE)</f>
        <v>JWDDCD2025060600053</v>
      </c>
      <c r="E58" s="41" t="str">
        <f>VLOOKUP(F58,辅助信息!A:B,2,FALSE)</f>
        <v>螺纹钢</v>
      </c>
      <c r="F58" s="41" t="s">
        <v>46</v>
      </c>
      <c r="G58" s="37">
        <v>11</v>
      </c>
      <c r="H58" s="37" t="e">
        <f>_xlfn._xlws.FILTER(#REF!,#REF!&amp;#REF!&amp;#REF!&amp;#REF!=C58&amp;F58&amp;I58&amp;J58,"未发货")</f>
        <v>#REF!</v>
      </c>
      <c r="I58" s="41" t="str">
        <f>VLOOKUP(B58,辅助信息!E:I,3,FALSE)</f>
        <v>（华西酒城南）成都市武侯区火车南站西路8号酒城南项目</v>
      </c>
      <c r="J58" s="41" t="str">
        <f>VLOOKUP(B58,辅助信息!E:I,4,FALSE)</f>
        <v>龙耀宇</v>
      </c>
      <c r="K58" s="41">
        <f>VLOOKUP(J58,辅助信息!H:I,2,FALSE)</f>
        <v>18384145895</v>
      </c>
      <c r="L58" s="79"/>
      <c r="M58" s="78"/>
      <c r="N58" s="78"/>
      <c r="O58" s="78"/>
      <c r="P58" s="78"/>
      <c r="Q58" s="41" t="str">
        <f>VLOOKUP(B58,辅助信息!E:M,9,FALSE)</f>
        <v>ZTWM-CDGS-XS-2024-0189-华西集采-酒城南项目</v>
      </c>
      <c r="R58" s="27"/>
    </row>
    <row r="59" hidden="1" spans="2:18">
      <c r="B59" s="41" t="s">
        <v>44</v>
      </c>
      <c r="C59" s="71">
        <v>45659</v>
      </c>
      <c r="D59" s="41" t="str">
        <f>VLOOKUP(B59,辅助信息!E:K,7,FALSE)</f>
        <v>JWDDCD2025060600053</v>
      </c>
      <c r="E59" s="41" t="str">
        <f>VLOOKUP(F59,辅助信息!A:B,2,FALSE)</f>
        <v>螺纹钢</v>
      </c>
      <c r="F59" s="41" t="s">
        <v>22</v>
      </c>
      <c r="G59" s="37">
        <v>16</v>
      </c>
      <c r="H59" s="37" t="e">
        <f>_xlfn._xlws.FILTER(#REF!,#REF!&amp;#REF!&amp;#REF!&amp;#REF!=C59&amp;F59&amp;I59&amp;J59,"未发货")</f>
        <v>#REF!</v>
      </c>
      <c r="I59" s="41" t="str">
        <f>VLOOKUP(B59,辅助信息!E:I,3,FALSE)</f>
        <v>（华西酒城南）成都市武侯区火车南站西路8号酒城南项目</v>
      </c>
      <c r="J59" s="41" t="str">
        <f>VLOOKUP(B59,辅助信息!E:I,4,FALSE)</f>
        <v>龙耀宇</v>
      </c>
      <c r="K59" s="41">
        <f>VLOOKUP(J59,辅助信息!H:I,2,FALSE)</f>
        <v>18384145895</v>
      </c>
      <c r="L59" s="77"/>
      <c r="M59" s="78"/>
      <c r="N59" s="78"/>
      <c r="O59" s="78"/>
      <c r="P59" s="78"/>
      <c r="Q59" s="41" t="str">
        <f>VLOOKUP(B59,辅助信息!E:M,9,FALSE)</f>
        <v>ZTWM-CDGS-XS-2024-0189-华西集采-酒城南项目</v>
      </c>
      <c r="R59" s="27"/>
    </row>
    <row r="60" ht="22.5" hidden="1" customHeight="1" spans="2:18">
      <c r="B60" s="41" t="s">
        <v>17</v>
      </c>
      <c r="C60" s="71">
        <v>45660</v>
      </c>
      <c r="D60" s="41" t="str">
        <f>VLOOKUP(B60,辅助信息!E:K,7,FALSE)</f>
        <v>JWDDCD2024101600090</v>
      </c>
      <c r="E60" s="41" t="str">
        <f>VLOOKUP(F60,辅助信息!A:B,2,FALSE)</f>
        <v>螺纹钢</v>
      </c>
      <c r="F60" s="41" t="s">
        <v>18</v>
      </c>
      <c r="G60" s="37">
        <v>69</v>
      </c>
      <c r="H60" s="37" t="e">
        <f>_xlfn._xlws.FILTER(#REF!,#REF!&amp;#REF!&amp;#REF!&amp;#REF!=C60&amp;F60&amp;I60&amp;J60,"未发货")</f>
        <v>#REF!</v>
      </c>
      <c r="I60" s="41" t="str">
        <f>VLOOKUP(B60,辅助信息!E:I,3,FALSE)</f>
        <v>（达州市公共卫生临床医疗中心项目-一标-1号制作房）达州市通川区西外复兴镇公共卫生临床医疗中心项目</v>
      </c>
      <c r="J60" s="41" t="str">
        <f>VLOOKUP(B60,辅助信息!E:I,4,FALSE)</f>
        <v>潘建发</v>
      </c>
      <c r="K60" s="41">
        <f>VLOOKUP(J60,辅助信息!H:I,2,FALSE)</f>
        <v>13658059919</v>
      </c>
      <c r="L60" s="78" t="s">
        <v>34</v>
      </c>
      <c r="M60" s="78"/>
      <c r="N60" s="78"/>
      <c r="O60" s="78"/>
      <c r="P60" s="78"/>
      <c r="Q60" s="41" t="str">
        <f>VLOOKUP(B60,辅助信息!E:M,9,FALSE)</f>
        <v>ZTWM-CDGS-XS-2024-0205-五冶钢构-达州市通川区西外复兴镇及临近片区建设项目</v>
      </c>
      <c r="R60" s="27"/>
    </row>
    <row r="61" hidden="1" spans="2:18">
      <c r="B61" s="41" t="s">
        <v>24</v>
      </c>
      <c r="C61" s="71">
        <v>45660</v>
      </c>
      <c r="D61" s="41" t="str">
        <f>VLOOKUP(B61,辅助信息!E:K,7,FALSE)</f>
        <v>JWDDCD2025051000019</v>
      </c>
      <c r="E61" s="41" t="str">
        <f>VLOOKUP(F61,辅助信息!A:B,2,FALSE)</f>
        <v>螺纹钢</v>
      </c>
      <c r="F61" s="41" t="s">
        <v>21</v>
      </c>
      <c r="G61" s="37">
        <v>10</v>
      </c>
      <c r="H61" s="37" t="e">
        <f>_xlfn._xlws.FILTER(#REF!,#REF!&amp;#REF!&amp;#REF!&amp;#REF!=C61&amp;F61&amp;I61&amp;J61,"未发货")</f>
        <v>#REF!</v>
      </c>
      <c r="I61" s="41" t="str">
        <f>VLOOKUP(B61,辅助信息!E:I,3,FALSE)</f>
        <v>(五冶钢构医学科学产业园建设项目房建三部-一标（7-4）)四川省南充市顺庆区搬罾街道学府大道二段</v>
      </c>
      <c r="J61" s="41" t="str">
        <f>VLOOKUP(B61,辅助信息!E:I,4,FALSE)</f>
        <v>郑林</v>
      </c>
      <c r="K61" s="41">
        <f>VLOOKUP(J61,辅助信息!H:I,2,FALSE)</f>
        <v>18349955455</v>
      </c>
      <c r="L61" s="78" t="s">
        <v>35</v>
      </c>
      <c r="M61" s="78"/>
      <c r="N61" s="78"/>
      <c r="O61" s="78"/>
      <c r="P61" s="78"/>
      <c r="Q61" s="41" t="str">
        <f>VLOOKUP(B61,辅助信息!E:M,9,FALSE)</f>
        <v>ZTWM-CDGS-XS-2024-0248-五冶钢构-南充市医学院项目</v>
      </c>
      <c r="R61" s="27"/>
    </row>
    <row r="62" hidden="1" spans="2:18">
      <c r="B62" s="41" t="s">
        <v>24</v>
      </c>
      <c r="C62" s="71">
        <v>45660</v>
      </c>
      <c r="D62" s="41" t="str">
        <f>VLOOKUP(B62,辅助信息!E:K,7,FALSE)</f>
        <v>JWDDCD2025051000019</v>
      </c>
      <c r="E62" s="41" t="str">
        <f>VLOOKUP(F62,辅助信息!A:B,2,FALSE)</f>
        <v>螺纹钢</v>
      </c>
      <c r="F62" s="41" t="s">
        <v>22</v>
      </c>
      <c r="G62" s="37">
        <v>25</v>
      </c>
      <c r="H62" s="37" t="e">
        <f>_xlfn._xlws.FILTER(#REF!,#REF!&amp;#REF!&amp;#REF!&amp;#REF!=C62&amp;F62&amp;I62&amp;J62,"未发货")</f>
        <v>#REF!</v>
      </c>
      <c r="I62" s="41" t="str">
        <f>VLOOKUP(B62,辅助信息!E:I,3,FALSE)</f>
        <v>(五冶钢构医学科学产业园建设项目房建三部-一标（7-4）)四川省南充市顺庆区搬罾街道学府大道二段</v>
      </c>
      <c r="J62" s="41" t="str">
        <f>VLOOKUP(B62,辅助信息!E:I,4,FALSE)</f>
        <v>郑林</v>
      </c>
      <c r="K62" s="41">
        <f>VLOOKUP(J62,辅助信息!H:I,2,FALSE)</f>
        <v>18349955455</v>
      </c>
      <c r="L62" s="77"/>
      <c r="M62" s="78"/>
      <c r="N62" s="78"/>
      <c r="O62" s="78"/>
      <c r="P62" s="78"/>
      <c r="Q62" s="41" t="str">
        <f>VLOOKUP(B62,辅助信息!E:M,9,FALSE)</f>
        <v>ZTWM-CDGS-XS-2024-0248-五冶钢构-南充市医学院项目</v>
      </c>
      <c r="R62" s="27"/>
    </row>
    <row r="63" hidden="1" spans="2:18">
      <c r="B63" s="41" t="s">
        <v>25</v>
      </c>
      <c r="C63" s="71">
        <v>45660</v>
      </c>
      <c r="D63" s="41" t="e">
        <f>VLOOKUP(B63,辅助信息!E:K,7,FALSE)</f>
        <v>#N/A</v>
      </c>
      <c r="E63" s="41" t="str">
        <f>VLOOKUP(F63,辅助信息!A:B,2,FALSE)</f>
        <v>盘螺</v>
      </c>
      <c r="F63" s="41" t="s">
        <v>26</v>
      </c>
      <c r="G63" s="37">
        <v>3</v>
      </c>
      <c r="H63" s="37" t="e">
        <f>_xlfn._xlws.FILTER(#REF!,#REF!&amp;#REF!&amp;#REF!&amp;#REF!=C63&amp;F63&amp;I63&amp;J63,"未发货")</f>
        <v>#REF!</v>
      </c>
      <c r="I63" s="41" t="e">
        <f>VLOOKUP(B63,辅助信息!E:I,3,FALSE)</f>
        <v>#N/A</v>
      </c>
      <c r="J63" s="41" t="e">
        <f>VLOOKUP(B63,辅助信息!E:I,4,FALSE)</f>
        <v>#N/A</v>
      </c>
      <c r="K63" s="41" t="e">
        <f>VLOOKUP(J63,辅助信息!H:I,2,FALSE)</f>
        <v>#N/A</v>
      </c>
      <c r="L63" s="78" t="s">
        <v>36</v>
      </c>
      <c r="M63" s="78"/>
      <c r="N63" s="78"/>
      <c r="O63" s="78"/>
      <c r="P63" s="78"/>
      <c r="Q63" s="41" t="e">
        <f>VLOOKUP(B63,辅助信息!E:M,9,FALSE)</f>
        <v>#N/A</v>
      </c>
      <c r="R63" s="27"/>
    </row>
    <row r="64" hidden="1" spans="2:18">
      <c r="B64" s="41" t="s">
        <v>25</v>
      </c>
      <c r="C64" s="71">
        <v>45660</v>
      </c>
      <c r="D64" s="41" t="e">
        <f>VLOOKUP(B64,辅助信息!E:K,7,FALSE)</f>
        <v>#N/A</v>
      </c>
      <c r="E64" s="41" t="str">
        <f>VLOOKUP(F64,辅助信息!A:B,2,FALSE)</f>
        <v>螺纹钢</v>
      </c>
      <c r="F64" s="41" t="s">
        <v>27</v>
      </c>
      <c r="G64" s="37">
        <v>13</v>
      </c>
      <c r="H64" s="37" t="e">
        <f>_xlfn._xlws.FILTER(#REF!,#REF!&amp;#REF!&amp;#REF!&amp;#REF!=C64&amp;F64&amp;I64&amp;J64,"未发货")</f>
        <v>#REF!</v>
      </c>
      <c r="I64" s="41" t="e">
        <f>VLOOKUP(B64,辅助信息!E:I,3,FALSE)</f>
        <v>#N/A</v>
      </c>
      <c r="J64" s="41" t="e">
        <f>VLOOKUP(B64,辅助信息!E:I,4,FALSE)</f>
        <v>#N/A</v>
      </c>
      <c r="K64" s="41" t="e">
        <f>VLOOKUP(J64,辅助信息!H:I,2,FALSE)</f>
        <v>#N/A</v>
      </c>
      <c r="L64" s="79"/>
      <c r="M64" s="78"/>
      <c r="N64" s="78"/>
      <c r="O64" s="78"/>
      <c r="P64" s="78"/>
      <c r="Q64" s="41" t="e">
        <f>VLOOKUP(B64,辅助信息!E:M,9,FALSE)</f>
        <v>#N/A</v>
      </c>
      <c r="R64" s="27"/>
    </row>
    <row r="65" hidden="1" spans="2:18">
      <c r="B65" s="41" t="s">
        <v>25</v>
      </c>
      <c r="C65" s="71">
        <v>45660</v>
      </c>
      <c r="D65" s="41" t="e">
        <f>VLOOKUP(B65,辅助信息!E:K,7,FALSE)</f>
        <v>#N/A</v>
      </c>
      <c r="E65" s="41" t="str">
        <f>VLOOKUP(F65,辅助信息!A:B,2,FALSE)</f>
        <v>螺纹钢</v>
      </c>
      <c r="F65" s="41" t="s">
        <v>19</v>
      </c>
      <c r="G65" s="37">
        <v>10</v>
      </c>
      <c r="H65" s="37" t="e">
        <f>_xlfn._xlws.FILTER(#REF!,#REF!&amp;#REF!&amp;#REF!&amp;#REF!=C65&amp;F65&amp;I65&amp;J65,"未发货")</f>
        <v>#REF!</v>
      </c>
      <c r="I65" s="41" t="e">
        <f>VLOOKUP(B65,辅助信息!E:I,3,FALSE)</f>
        <v>#N/A</v>
      </c>
      <c r="J65" s="41" t="e">
        <f>VLOOKUP(B65,辅助信息!E:I,4,FALSE)</f>
        <v>#N/A</v>
      </c>
      <c r="K65" s="41" t="e">
        <f>VLOOKUP(J65,辅助信息!H:I,2,FALSE)</f>
        <v>#N/A</v>
      </c>
      <c r="L65" s="79"/>
      <c r="M65" s="78"/>
      <c r="N65" s="78"/>
      <c r="O65" s="78"/>
      <c r="P65" s="78"/>
      <c r="Q65" s="41" t="e">
        <f>VLOOKUP(B65,辅助信息!E:M,9,FALSE)</f>
        <v>#N/A</v>
      </c>
      <c r="R65" s="27"/>
    </row>
    <row r="66" hidden="1" spans="2:18">
      <c r="B66" s="41" t="s">
        <v>25</v>
      </c>
      <c r="C66" s="71">
        <v>45660</v>
      </c>
      <c r="D66" s="41" t="e">
        <f>VLOOKUP(B66,辅助信息!E:K,7,FALSE)</f>
        <v>#N/A</v>
      </c>
      <c r="E66" s="41" t="str">
        <f>VLOOKUP(F66,辅助信息!A:B,2,FALSE)</f>
        <v>螺纹钢</v>
      </c>
      <c r="F66" s="41" t="s">
        <v>28</v>
      </c>
      <c r="G66" s="37">
        <v>10</v>
      </c>
      <c r="H66" s="37" t="e">
        <f>_xlfn._xlws.FILTER(#REF!,#REF!&amp;#REF!&amp;#REF!&amp;#REF!=C66&amp;F66&amp;I66&amp;J66,"未发货")</f>
        <v>#REF!</v>
      </c>
      <c r="I66" s="41" t="e">
        <f>VLOOKUP(B66,辅助信息!E:I,3,FALSE)</f>
        <v>#N/A</v>
      </c>
      <c r="J66" s="41" t="e">
        <f>VLOOKUP(B66,辅助信息!E:I,4,FALSE)</f>
        <v>#N/A</v>
      </c>
      <c r="K66" s="41" t="e">
        <f>VLOOKUP(J66,辅助信息!H:I,2,FALSE)</f>
        <v>#N/A</v>
      </c>
      <c r="L66" s="77"/>
      <c r="M66" s="78"/>
      <c r="N66" s="78"/>
      <c r="O66" s="78"/>
      <c r="P66" s="78"/>
      <c r="Q66" s="41" t="e">
        <f>VLOOKUP(B66,辅助信息!E:M,9,FALSE)</f>
        <v>#N/A</v>
      </c>
      <c r="R66" s="27"/>
    </row>
    <row r="67" hidden="1" spans="2:18">
      <c r="B67" s="41" t="s">
        <v>39</v>
      </c>
      <c r="C67" s="71">
        <v>45660</v>
      </c>
      <c r="D67" s="41" t="str">
        <f>VLOOKUP(B67,辅助信息!E:K,7,FALSE)</f>
        <v>JWDDCD2024101600090</v>
      </c>
      <c r="E67" s="41" t="str">
        <f>VLOOKUP(F67,辅助信息!A:B,2,FALSE)</f>
        <v>螺纹钢</v>
      </c>
      <c r="F67" s="41" t="s">
        <v>28</v>
      </c>
      <c r="G67" s="37">
        <v>5</v>
      </c>
      <c r="H67" s="37" t="e">
        <f>_xlfn._xlws.FILTER(#REF!,#REF!&amp;#REF!&amp;#REF!&amp;#REF!=C67&amp;F67&amp;I67&amp;J67,"未发货")</f>
        <v>#REF!</v>
      </c>
      <c r="I67" s="41" t="str">
        <f>VLOOKUP(B67,辅助信息!E:I,3,FALSE)</f>
        <v>（达州市公共卫生临床医疗中心项目-一标-2号制作房）达州市通川区西外复兴镇公共卫生临床医疗中心项目</v>
      </c>
      <c r="J67" s="41" t="str">
        <f>VLOOKUP(B67,辅助信息!E:I,4,FALSE)</f>
        <v>潘建发</v>
      </c>
      <c r="K67" s="41">
        <f>VLOOKUP(J67,辅助信息!H:I,2,FALSE)</f>
        <v>13658059919</v>
      </c>
      <c r="L67" s="78" t="s">
        <v>37</v>
      </c>
      <c r="M67" s="78"/>
      <c r="N67" s="78"/>
      <c r="O67" s="78"/>
      <c r="P67" s="78"/>
      <c r="Q67" s="41" t="str">
        <f>VLOOKUP(B67,辅助信息!E:M,9,FALSE)</f>
        <v>ZTWM-CDGS-XS-2024-0205-五冶钢构-达州市通川区西外复兴镇及临近片区建设项目</v>
      </c>
      <c r="R67" s="27"/>
    </row>
    <row r="68" hidden="1" spans="2:18">
      <c r="B68" s="41" t="s">
        <v>39</v>
      </c>
      <c r="C68" s="71">
        <v>45660</v>
      </c>
      <c r="D68" s="41" t="str">
        <f>VLOOKUP(B68,辅助信息!E:K,7,FALSE)</f>
        <v>JWDDCD2024101600090</v>
      </c>
      <c r="E68" s="41" t="str">
        <f>VLOOKUP(F68,辅助信息!A:B,2,FALSE)</f>
        <v>螺纹钢</v>
      </c>
      <c r="F68" s="41" t="s">
        <v>18</v>
      </c>
      <c r="G68" s="37">
        <v>55</v>
      </c>
      <c r="H68" s="37" t="e">
        <f>_xlfn._xlws.FILTER(#REF!,#REF!&amp;#REF!&amp;#REF!&amp;#REF!=C68&amp;F68&amp;I68&amp;J68,"未发货")</f>
        <v>#REF!</v>
      </c>
      <c r="I68" s="41" t="str">
        <f>VLOOKUP(B68,辅助信息!E:I,3,FALSE)</f>
        <v>（达州市公共卫生临床医疗中心项目-一标-2号制作房）达州市通川区西外复兴镇公共卫生临床医疗中心项目</v>
      </c>
      <c r="J68" s="41" t="str">
        <f>VLOOKUP(B68,辅助信息!E:I,4,FALSE)</f>
        <v>潘建发</v>
      </c>
      <c r="K68" s="41">
        <f>VLOOKUP(J68,辅助信息!H:I,2,FALSE)</f>
        <v>13658059919</v>
      </c>
      <c r="L68" s="79"/>
      <c r="M68" s="78"/>
      <c r="N68" s="78"/>
      <c r="O68" s="78"/>
      <c r="P68" s="78"/>
      <c r="Q68" s="41" t="str">
        <f>VLOOKUP(B68,辅助信息!E:M,9,FALSE)</f>
        <v>ZTWM-CDGS-XS-2024-0205-五冶钢构-达州市通川区西外复兴镇及临近片区建设项目</v>
      </c>
      <c r="R68" s="27"/>
    </row>
    <row r="69" hidden="1" spans="2:18">
      <c r="B69" s="41" t="s">
        <v>17</v>
      </c>
      <c r="C69" s="71">
        <v>45660</v>
      </c>
      <c r="D69" s="41" t="str">
        <f>VLOOKUP(B69,辅助信息!E:K,7,FALSE)</f>
        <v>JWDDCD2024101600090</v>
      </c>
      <c r="E69" s="41" t="str">
        <f>VLOOKUP(F69,辅助信息!A:B,2,FALSE)</f>
        <v>螺纹钢</v>
      </c>
      <c r="F69" s="41" t="s">
        <v>33</v>
      </c>
      <c r="G69" s="37">
        <v>3</v>
      </c>
      <c r="H69" s="37" t="e">
        <f>_xlfn._xlws.FILTER(#REF!,#REF!&amp;#REF!&amp;#REF!&amp;#REF!=C69&amp;F69&amp;I69&amp;J69,"未发货")</f>
        <v>#REF!</v>
      </c>
      <c r="I69" s="41" t="str">
        <f>VLOOKUP(B69,辅助信息!E:I,3,FALSE)</f>
        <v>（达州市公共卫生临床医疗中心项目-一标-1号制作房）达州市通川区西外复兴镇公共卫生临床医疗中心项目</v>
      </c>
      <c r="J69" s="41" t="str">
        <f>VLOOKUP(B69,辅助信息!E:I,4,FALSE)</f>
        <v>潘建发</v>
      </c>
      <c r="K69" s="41">
        <f>VLOOKUP(J69,辅助信息!H:I,2,FALSE)</f>
        <v>13658059919</v>
      </c>
      <c r="L69" s="79"/>
      <c r="M69" s="78"/>
      <c r="N69" s="78"/>
      <c r="O69" s="78"/>
      <c r="P69" s="78"/>
      <c r="Q69" s="41" t="str">
        <f>VLOOKUP(B69,辅助信息!E:M,9,FALSE)</f>
        <v>ZTWM-CDGS-XS-2024-0205-五冶钢构-达州市通川区西外复兴镇及临近片区建设项目</v>
      </c>
      <c r="R69" s="27"/>
    </row>
    <row r="70" hidden="1" spans="2:18">
      <c r="B70" s="41" t="s">
        <v>17</v>
      </c>
      <c r="C70" s="71">
        <v>45660</v>
      </c>
      <c r="D70" s="41" t="str">
        <f>VLOOKUP(B70,辅助信息!E:K,7,FALSE)</f>
        <v>JWDDCD2024101600090</v>
      </c>
      <c r="E70" s="41" t="str">
        <f>VLOOKUP(F70,辅助信息!A:B,2,FALSE)</f>
        <v>螺纹钢</v>
      </c>
      <c r="F70" s="41" t="s">
        <v>28</v>
      </c>
      <c r="G70" s="37">
        <v>3</v>
      </c>
      <c r="H70" s="37" t="e">
        <f>_xlfn._xlws.FILTER(#REF!,#REF!&amp;#REF!&amp;#REF!&amp;#REF!=C70&amp;F70&amp;I70&amp;J70,"未发货")</f>
        <v>#REF!</v>
      </c>
      <c r="I70" s="41" t="str">
        <f>VLOOKUP(B70,辅助信息!E:I,3,FALSE)</f>
        <v>（达州市公共卫生临床医疗中心项目-一标-1号制作房）达州市通川区西外复兴镇公共卫生临床医疗中心项目</v>
      </c>
      <c r="J70" s="41" t="str">
        <f>VLOOKUP(B70,辅助信息!E:I,4,FALSE)</f>
        <v>潘建发</v>
      </c>
      <c r="K70" s="41">
        <f>VLOOKUP(J70,辅助信息!H:I,2,FALSE)</f>
        <v>13658059919</v>
      </c>
      <c r="L70" s="79"/>
      <c r="M70" s="78"/>
      <c r="N70" s="78"/>
      <c r="O70" s="78"/>
      <c r="P70" s="78"/>
      <c r="Q70" s="41" t="str">
        <f>VLOOKUP(B70,辅助信息!E:M,9,FALSE)</f>
        <v>ZTWM-CDGS-XS-2024-0205-五冶钢构-达州市通川区西外复兴镇及临近片区建设项目</v>
      </c>
      <c r="R70" s="27"/>
    </row>
    <row r="71" hidden="1" spans="2:18">
      <c r="B71" s="41" t="s">
        <v>17</v>
      </c>
      <c r="C71" s="71">
        <v>45660</v>
      </c>
      <c r="D71" s="41" t="str">
        <f>VLOOKUP(B71,辅助信息!E:K,7,FALSE)</f>
        <v>JWDDCD2024101600090</v>
      </c>
      <c r="E71" s="41" t="str">
        <f>VLOOKUP(F71,辅助信息!A:B,2,FALSE)</f>
        <v>螺纹钢</v>
      </c>
      <c r="F71" s="41" t="s">
        <v>18</v>
      </c>
      <c r="G71" s="37">
        <v>25</v>
      </c>
      <c r="H71" s="37" t="e">
        <f>_xlfn._xlws.FILTER(#REF!,#REF!&amp;#REF!&amp;#REF!&amp;#REF!=C71&amp;F71&amp;I71&amp;J71,"未发货")</f>
        <v>#REF!</v>
      </c>
      <c r="I71" s="41" t="str">
        <f>VLOOKUP(B71,辅助信息!E:I,3,FALSE)</f>
        <v>（达州市公共卫生临床医疗中心项目-一标-1号制作房）达州市通川区西外复兴镇公共卫生临床医疗中心项目</v>
      </c>
      <c r="J71" s="41" t="str">
        <f>VLOOKUP(B71,辅助信息!E:I,4,FALSE)</f>
        <v>潘建发</v>
      </c>
      <c r="K71" s="41">
        <f>VLOOKUP(J71,辅助信息!H:I,2,FALSE)</f>
        <v>13658059919</v>
      </c>
      <c r="L71" s="79"/>
      <c r="M71" s="78"/>
      <c r="N71" s="78"/>
      <c r="O71" s="78"/>
      <c r="P71" s="78"/>
      <c r="Q71" s="41" t="str">
        <f>VLOOKUP(B71,辅助信息!E:M,9,FALSE)</f>
        <v>ZTWM-CDGS-XS-2024-0205-五冶钢构-达州市通川区西外复兴镇及临近片区建设项目</v>
      </c>
      <c r="R71" s="27"/>
    </row>
    <row r="72" hidden="1" spans="2:18">
      <c r="B72" s="41" t="s">
        <v>17</v>
      </c>
      <c r="C72" s="71">
        <v>45660</v>
      </c>
      <c r="D72" s="41" t="str">
        <f>VLOOKUP(B72,辅助信息!E:K,7,FALSE)</f>
        <v>JWDDCD2024101600090</v>
      </c>
      <c r="E72" s="41" t="str">
        <f>VLOOKUP(F72,辅助信息!A:B,2,FALSE)</f>
        <v>螺纹钢</v>
      </c>
      <c r="F72" s="41" t="s">
        <v>27</v>
      </c>
      <c r="G72" s="37">
        <v>24</v>
      </c>
      <c r="H72" s="37" t="e">
        <f>_xlfn._xlws.FILTER(#REF!,#REF!&amp;#REF!&amp;#REF!&amp;#REF!=C72&amp;F72&amp;I72&amp;J72,"未发货")</f>
        <v>#REF!</v>
      </c>
      <c r="I72" s="41" t="str">
        <f>VLOOKUP(B72,辅助信息!E:I,3,FALSE)</f>
        <v>（达州市公共卫生临床医疗中心项目-一标-1号制作房）达州市通川区西外复兴镇公共卫生临床医疗中心项目</v>
      </c>
      <c r="J72" s="41" t="str">
        <f>VLOOKUP(B72,辅助信息!E:I,4,FALSE)</f>
        <v>潘建发</v>
      </c>
      <c r="K72" s="41">
        <f>VLOOKUP(J72,辅助信息!H:I,2,FALSE)</f>
        <v>13658059919</v>
      </c>
      <c r="L72" s="77"/>
      <c r="M72" s="78"/>
      <c r="N72" s="78"/>
      <c r="O72" s="78"/>
      <c r="P72" s="78"/>
      <c r="Q72" s="41" t="str">
        <f>VLOOKUP(B72,辅助信息!E:M,9,FALSE)</f>
        <v>ZTWM-CDGS-XS-2024-0205-五冶钢构-达州市通川区西外复兴镇及临近片区建设项目</v>
      </c>
      <c r="R72" s="27"/>
    </row>
    <row r="73" hidden="1" spans="2:18">
      <c r="B73" s="41" t="s">
        <v>43</v>
      </c>
      <c r="C73" s="71">
        <v>45660</v>
      </c>
      <c r="D73" s="41" t="str">
        <f>VLOOKUP(B73,辅助信息!E:K,7,FALSE)</f>
        <v>JWDDCD2024101600090</v>
      </c>
      <c r="E73" s="41" t="str">
        <f>VLOOKUP(F73,辅助信息!A:B,2,FALSE)</f>
        <v>螺纹钢</v>
      </c>
      <c r="F73" s="41" t="s">
        <v>28</v>
      </c>
      <c r="G73" s="37">
        <v>13</v>
      </c>
      <c r="H73" s="37" t="e">
        <f>_xlfn._xlws.FILTER(#REF!,#REF!&amp;#REF!&amp;#REF!&amp;#REF!=C73&amp;F73&amp;I73&amp;J73,"未发货")</f>
        <v>#REF!</v>
      </c>
      <c r="I73" s="41" t="str">
        <f>VLOOKUP(B73,辅助信息!E:I,3,FALSE)</f>
        <v>（达州市公共卫生医疗中心项目-二标-3号楼）达州市通川区西外复兴镇公共卫生临床医疗中心项目</v>
      </c>
      <c r="J73" s="41" t="str">
        <f>VLOOKUP(B73,辅助信息!E:I,4,FALSE)</f>
        <v>黄永林</v>
      </c>
      <c r="K73" s="41">
        <f>VLOOKUP(J73,辅助信息!H:I,2,FALSE)</f>
        <v>15982487227</v>
      </c>
      <c r="L73" s="78" t="s">
        <v>34</v>
      </c>
      <c r="M73" s="78"/>
      <c r="N73" s="78"/>
      <c r="O73" s="78"/>
      <c r="P73" s="78"/>
      <c r="Q73" s="41" t="str">
        <f>VLOOKUP(B73,辅助信息!E:M,9,FALSE)</f>
        <v>ZTWM-CDGS-XS-2024-0205-五冶钢构-达州市通川区西外复兴镇及临近片区建设项目</v>
      </c>
      <c r="R73" s="27"/>
    </row>
    <row r="74" hidden="1" spans="2:18">
      <c r="B74" s="41" t="s">
        <v>43</v>
      </c>
      <c r="C74" s="71">
        <v>45660</v>
      </c>
      <c r="D74" s="41" t="str">
        <f>VLOOKUP(B74,辅助信息!E:K,7,FALSE)</f>
        <v>JWDDCD2024101600090</v>
      </c>
      <c r="E74" s="41" t="str">
        <f>VLOOKUP(F74,辅助信息!A:B,2,FALSE)</f>
        <v>螺纹钢</v>
      </c>
      <c r="F74" s="41" t="s">
        <v>18</v>
      </c>
      <c r="G74" s="37">
        <v>26</v>
      </c>
      <c r="H74" s="37" t="e">
        <f>_xlfn._xlws.FILTER(#REF!,#REF!&amp;#REF!&amp;#REF!&amp;#REF!=C74&amp;F74&amp;I74&amp;J74,"未发货")</f>
        <v>#REF!</v>
      </c>
      <c r="I74" s="41" t="str">
        <f>VLOOKUP(B74,辅助信息!E:I,3,FALSE)</f>
        <v>（达州市公共卫生医疗中心项目-二标-3号楼）达州市通川区西外复兴镇公共卫生临床医疗中心项目</v>
      </c>
      <c r="J74" s="41" t="str">
        <f>VLOOKUP(B74,辅助信息!E:I,4,FALSE)</f>
        <v>黄永林</v>
      </c>
      <c r="K74" s="41">
        <f>VLOOKUP(J74,辅助信息!H:I,2,FALSE)</f>
        <v>15982487227</v>
      </c>
      <c r="L74" s="77"/>
      <c r="M74" s="78"/>
      <c r="N74" s="78"/>
      <c r="O74" s="78"/>
      <c r="P74" s="78"/>
      <c r="Q74" s="41" t="str">
        <f>VLOOKUP(B74,辅助信息!E:M,9,FALSE)</f>
        <v>ZTWM-CDGS-XS-2024-0205-五冶钢构-达州市通川区西外复兴镇及临近片区建设项目</v>
      </c>
      <c r="R74" s="27"/>
    </row>
    <row r="75" hidden="1" spans="2:18">
      <c r="B75" s="41" t="s">
        <v>44</v>
      </c>
      <c r="C75" s="71">
        <v>45660</v>
      </c>
      <c r="D75" s="41" t="str">
        <f>VLOOKUP(B75,辅助信息!E:K,7,FALSE)</f>
        <v>JWDDCD2025060600053</v>
      </c>
      <c r="E75" s="41" t="str">
        <f>VLOOKUP(F75,辅助信息!A:B,2,FALSE)</f>
        <v>盘螺</v>
      </c>
      <c r="F75" s="41" t="s">
        <v>40</v>
      </c>
      <c r="G75" s="37">
        <v>30</v>
      </c>
      <c r="H75" s="37" t="e">
        <f>_xlfn._xlws.FILTER(#REF!,#REF!&amp;#REF!&amp;#REF!&amp;#REF!=C75&amp;F75&amp;I75&amp;J75,"未发货")</f>
        <v>#REF!</v>
      </c>
      <c r="I75" s="41" t="str">
        <f>VLOOKUP(B75,辅助信息!E:I,3,FALSE)</f>
        <v>（华西酒城南）成都市武侯区火车南站西路8号酒城南项目</v>
      </c>
      <c r="J75" s="41" t="str">
        <f>VLOOKUP(B75,辅助信息!E:I,4,FALSE)</f>
        <v>龙耀宇</v>
      </c>
      <c r="K75" s="41">
        <f>VLOOKUP(J75,辅助信息!H:I,2,FALSE)</f>
        <v>18384145895</v>
      </c>
      <c r="L75" s="78" t="s">
        <v>34</v>
      </c>
      <c r="M75" s="78"/>
      <c r="N75" s="78"/>
      <c r="O75" s="78"/>
      <c r="P75" s="78"/>
      <c r="Q75" s="41" t="str">
        <f>VLOOKUP(B75,辅助信息!E:M,9,FALSE)</f>
        <v>ZTWM-CDGS-XS-2024-0189-华西集采-酒城南项目</v>
      </c>
      <c r="R75" s="27"/>
    </row>
    <row r="76" hidden="1" spans="2:18">
      <c r="B76" s="41" t="s">
        <v>44</v>
      </c>
      <c r="C76" s="71">
        <v>45660</v>
      </c>
      <c r="D76" s="41" t="str">
        <f>VLOOKUP(B76,辅助信息!E:K,7,FALSE)</f>
        <v>JWDDCD2025060600053</v>
      </c>
      <c r="E76" s="41" t="str">
        <f>VLOOKUP(F76,辅助信息!A:B,2,FALSE)</f>
        <v>盘螺</v>
      </c>
      <c r="F76" s="41" t="s">
        <v>41</v>
      </c>
      <c r="G76" s="37">
        <v>12</v>
      </c>
      <c r="H76" s="37" t="e">
        <f>_xlfn._xlws.FILTER(#REF!,#REF!&amp;#REF!&amp;#REF!&amp;#REF!=C76&amp;F76&amp;I76&amp;J76,"未发货")</f>
        <v>#REF!</v>
      </c>
      <c r="I76" s="41" t="str">
        <f>VLOOKUP(B76,辅助信息!E:I,3,FALSE)</f>
        <v>（华西酒城南）成都市武侯区火车南站西路8号酒城南项目</v>
      </c>
      <c r="J76" s="41" t="str">
        <f>VLOOKUP(B76,辅助信息!E:I,4,FALSE)</f>
        <v>龙耀宇</v>
      </c>
      <c r="K76" s="41">
        <f>VLOOKUP(J76,辅助信息!H:I,2,FALSE)</f>
        <v>18384145895</v>
      </c>
      <c r="L76" s="79"/>
      <c r="M76" s="78"/>
      <c r="N76" s="78"/>
      <c r="O76" s="78"/>
      <c r="P76" s="78"/>
      <c r="Q76" s="41" t="str">
        <f>VLOOKUP(B76,辅助信息!E:M,9,FALSE)</f>
        <v>ZTWM-CDGS-XS-2024-0189-华西集采-酒城南项目</v>
      </c>
      <c r="R76" s="27"/>
    </row>
    <row r="77" hidden="1" spans="2:18">
      <c r="B77" s="41" t="s">
        <v>44</v>
      </c>
      <c r="C77" s="71">
        <v>45660</v>
      </c>
      <c r="D77" s="41" t="str">
        <f>VLOOKUP(B77,辅助信息!E:K,7,FALSE)</f>
        <v>JWDDCD2025060600053</v>
      </c>
      <c r="E77" s="41" t="str">
        <f>VLOOKUP(F77,辅助信息!A:B,2,FALSE)</f>
        <v>盘螺</v>
      </c>
      <c r="F77" s="41" t="s">
        <v>26</v>
      </c>
      <c r="G77" s="37">
        <v>15</v>
      </c>
      <c r="H77" s="37" t="e">
        <f>_xlfn._xlws.FILTER(#REF!,#REF!&amp;#REF!&amp;#REF!&amp;#REF!=C77&amp;F77&amp;I77&amp;J77,"未发货")</f>
        <v>#REF!</v>
      </c>
      <c r="I77" s="41" t="str">
        <f>VLOOKUP(B77,辅助信息!E:I,3,FALSE)</f>
        <v>（华西酒城南）成都市武侯区火车南站西路8号酒城南项目</v>
      </c>
      <c r="J77" s="41" t="str">
        <f>VLOOKUP(B77,辅助信息!E:I,4,FALSE)</f>
        <v>龙耀宇</v>
      </c>
      <c r="K77" s="41">
        <f>VLOOKUP(J77,辅助信息!H:I,2,FALSE)</f>
        <v>18384145895</v>
      </c>
      <c r="L77" s="79"/>
      <c r="M77" s="78"/>
      <c r="N77" s="78"/>
      <c r="O77" s="78"/>
      <c r="P77" s="78"/>
      <c r="Q77" s="41" t="str">
        <f>VLOOKUP(B77,辅助信息!E:M,9,FALSE)</f>
        <v>ZTWM-CDGS-XS-2024-0189-华西集采-酒城南项目</v>
      </c>
      <c r="R77" s="27"/>
    </row>
    <row r="78" hidden="1" spans="2:18">
      <c r="B78" s="41" t="s">
        <v>44</v>
      </c>
      <c r="C78" s="71">
        <v>45660</v>
      </c>
      <c r="D78" s="41" t="str">
        <f>VLOOKUP(B78,辅助信息!E:K,7,FALSE)</f>
        <v>JWDDCD2025060600053</v>
      </c>
      <c r="E78" s="41" t="str">
        <f>VLOOKUP(F78,辅助信息!A:B,2,FALSE)</f>
        <v>螺纹钢</v>
      </c>
      <c r="F78" s="41" t="s">
        <v>19</v>
      </c>
      <c r="G78" s="37">
        <v>25.5</v>
      </c>
      <c r="H78" s="37" t="e">
        <f>_xlfn._xlws.FILTER(#REF!,#REF!&amp;#REF!&amp;#REF!&amp;#REF!=C78&amp;F78&amp;I78&amp;J78,"未发货")</f>
        <v>#REF!</v>
      </c>
      <c r="I78" s="41" t="str">
        <f>VLOOKUP(B78,辅助信息!E:I,3,FALSE)</f>
        <v>（华西酒城南）成都市武侯区火车南站西路8号酒城南项目</v>
      </c>
      <c r="J78" s="41" t="str">
        <f>VLOOKUP(B78,辅助信息!E:I,4,FALSE)</f>
        <v>龙耀宇</v>
      </c>
      <c r="K78" s="41">
        <f>VLOOKUP(J78,辅助信息!H:I,2,FALSE)</f>
        <v>18384145895</v>
      </c>
      <c r="L78" s="79"/>
      <c r="M78" s="78"/>
      <c r="N78" s="78"/>
      <c r="O78" s="78"/>
      <c r="P78" s="78"/>
      <c r="Q78" s="41" t="str">
        <f>VLOOKUP(B78,辅助信息!E:M,9,FALSE)</f>
        <v>ZTWM-CDGS-XS-2024-0189-华西集采-酒城南项目</v>
      </c>
      <c r="R78" s="27"/>
    </row>
    <row r="79" hidden="1" spans="2:18">
      <c r="B79" s="41" t="s">
        <v>44</v>
      </c>
      <c r="C79" s="71">
        <v>45660</v>
      </c>
      <c r="D79" s="41" t="str">
        <f>VLOOKUP(B79,辅助信息!E:K,7,FALSE)</f>
        <v>JWDDCD2025060600053</v>
      </c>
      <c r="E79" s="41" t="str">
        <f>VLOOKUP(F79,辅助信息!A:B,2,FALSE)</f>
        <v>螺纹钢</v>
      </c>
      <c r="F79" s="41" t="s">
        <v>32</v>
      </c>
      <c r="G79" s="37">
        <v>9</v>
      </c>
      <c r="H79" s="37" t="e">
        <f>_xlfn._xlws.FILTER(#REF!,#REF!&amp;#REF!&amp;#REF!&amp;#REF!=C79&amp;F79&amp;I79&amp;J79,"未发货")</f>
        <v>#REF!</v>
      </c>
      <c r="I79" s="41" t="str">
        <f>VLOOKUP(B79,辅助信息!E:I,3,FALSE)</f>
        <v>（华西酒城南）成都市武侯区火车南站西路8号酒城南项目</v>
      </c>
      <c r="J79" s="41" t="str">
        <f>VLOOKUP(B79,辅助信息!E:I,4,FALSE)</f>
        <v>龙耀宇</v>
      </c>
      <c r="K79" s="41">
        <f>VLOOKUP(J79,辅助信息!H:I,2,FALSE)</f>
        <v>18384145895</v>
      </c>
      <c r="L79" s="79"/>
      <c r="M79" s="78"/>
      <c r="N79" s="78"/>
      <c r="O79" s="78"/>
      <c r="P79" s="78"/>
      <c r="Q79" s="41" t="str">
        <f>VLOOKUP(B79,辅助信息!E:M,9,FALSE)</f>
        <v>ZTWM-CDGS-XS-2024-0189-华西集采-酒城南项目</v>
      </c>
      <c r="R79" s="27"/>
    </row>
    <row r="80" hidden="1" spans="2:18">
      <c r="B80" s="41" t="s">
        <v>44</v>
      </c>
      <c r="C80" s="71">
        <v>45660</v>
      </c>
      <c r="D80" s="41" t="str">
        <f>VLOOKUP(B80,辅助信息!E:K,7,FALSE)</f>
        <v>JWDDCD2025060600053</v>
      </c>
      <c r="E80" s="41" t="str">
        <f>VLOOKUP(F80,辅助信息!A:B,2,FALSE)</f>
        <v>螺纹钢</v>
      </c>
      <c r="F80" s="41" t="s">
        <v>30</v>
      </c>
      <c r="G80" s="37">
        <v>8</v>
      </c>
      <c r="H80" s="37" t="e">
        <f>_xlfn._xlws.FILTER(#REF!,#REF!&amp;#REF!&amp;#REF!&amp;#REF!=C80&amp;F80&amp;I80&amp;J80,"未发货")</f>
        <v>#REF!</v>
      </c>
      <c r="I80" s="41" t="str">
        <f>VLOOKUP(B80,辅助信息!E:I,3,FALSE)</f>
        <v>（华西酒城南）成都市武侯区火车南站西路8号酒城南项目</v>
      </c>
      <c r="J80" s="41" t="str">
        <f>VLOOKUP(B80,辅助信息!E:I,4,FALSE)</f>
        <v>龙耀宇</v>
      </c>
      <c r="K80" s="41">
        <f>VLOOKUP(J80,辅助信息!H:I,2,FALSE)</f>
        <v>18384145895</v>
      </c>
      <c r="L80" s="79"/>
      <c r="M80" s="78"/>
      <c r="N80" s="78"/>
      <c r="O80" s="78"/>
      <c r="P80" s="78"/>
      <c r="Q80" s="41" t="str">
        <f>VLOOKUP(B80,辅助信息!E:M,9,FALSE)</f>
        <v>ZTWM-CDGS-XS-2024-0189-华西集采-酒城南项目</v>
      </c>
      <c r="R80" s="27"/>
    </row>
    <row r="81" hidden="1" spans="2:18">
      <c r="B81" s="41" t="s">
        <v>44</v>
      </c>
      <c r="C81" s="71">
        <v>45660</v>
      </c>
      <c r="D81" s="41" t="str">
        <f>VLOOKUP(B81,辅助信息!E:K,7,FALSE)</f>
        <v>JWDDCD2025060600053</v>
      </c>
      <c r="E81" s="41" t="str">
        <f>VLOOKUP(F81,辅助信息!A:B,2,FALSE)</f>
        <v>螺纹钢</v>
      </c>
      <c r="F81" s="41" t="s">
        <v>45</v>
      </c>
      <c r="G81" s="37">
        <v>3</v>
      </c>
      <c r="H81" s="37" t="e">
        <f>_xlfn._xlws.FILTER(#REF!,#REF!&amp;#REF!&amp;#REF!&amp;#REF!=C81&amp;F81&amp;I81&amp;J81,"未发货")</f>
        <v>#REF!</v>
      </c>
      <c r="I81" s="41" t="str">
        <f>VLOOKUP(B81,辅助信息!E:I,3,FALSE)</f>
        <v>（华西酒城南）成都市武侯区火车南站西路8号酒城南项目</v>
      </c>
      <c r="J81" s="41" t="str">
        <f>VLOOKUP(B81,辅助信息!E:I,4,FALSE)</f>
        <v>龙耀宇</v>
      </c>
      <c r="K81" s="41">
        <f>VLOOKUP(J81,辅助信息!H:I,2,FALSE)</f>
        <v>18384145895</v>
      </c>
      <c r="L81" s="79"/>
      <c r="M81" s="78"/>
      <c r="N81" s="78"/>
      <c r="O81" s="78"/>
      <c r="P81" s="78"/>
      <c r="Q81" s="41" t="str">
        <f>VLOOKUP(B81,辅助信息!E:M,9,FALSE)</f>
        <v>ZTWM-CDGS-XS-2024-0189-华西集采-酒城南项目</v>
      </c>
      <c r="R81" s="27"/>
    </row>
    <row r="82" hidden="1" spans="2:18">
      <c r="B82" s="41" t="s">
        <v>44</v>
      </c>
      <c r="C82" s="71">
        <v>45660</v>
      </c>
      <c r="D82" s="41" t="str">
        <f>VLOOKUP(B82,辅助信息!E:K,7,FALSE)</f>
        <v>JWDDCD2025060600053</v>
      </c>
      <c r="E82" s="41" t="str">
        <f>VLOOKUP(F82,辅助信息!A:B,2,FALSE)</f>
        <v>螺纹钢</v>
      </c>
      <c r="F82" s="41" t="s">
        <v>21</v>
      </c>
      <c r="G82" s="37">
        <v>3</v>
      </c>
      <c r="H82" s="37" t="e">
        <f>_xlfn._xlws.FILTER(#REF!,#REF!&amp;#REF!&amp;#REF!&amp;#REF!=C82&amp;F82&amp;I82&amp;J82,"未发货")</f>
        <v>#REF!</v>
      </c>
      <c r="I82" s="41" t="str">
        <f>VLOOKUP(B82,辅助信息!E:I,3,FALSE)</f>
        <v>（华西酒城南）成都市武侯区火车南站西路8号酒城南项目</v>
      </c>
      <c r="J82" s="41" t="str">
        <f>VLOOKUP(B82,辅助信息!E:I,4,FALSE)</f>
        <v>龙耀宇</v>
      </c>
      <c r="K82" s="41">
        <f>VLOOKUP(J82,辅助信息!H:I,2,FALSE)</f>
        <v>18384145895</v>
      </c>
      <c r="L82" s="79"/>
      <c r="M82" s="78"/>
      <c r="N82" s="78"/>
      <c r="O82" s="78"/>
      <c r="P82" s="78"/>
      <c r="Q82" s="41" t="str">
        <f>VLOOKUP(B82,辅助信息!E:M,9,FALSE)</f>
        <v>ZTWM-CDGS-XS-2024-0189-华西集采-酒城南项目</v>
      </c>
      <c r="R82" s="27"/>
    </row>
    <row r="83" hidden="1" spans="2:18">
      <c r="B83" s="41" t="s">
        <v>44</v>
      </c>
      <c r="C83" s="71">
        <v>45660</v>
      </c>
      <c r="D83" s="41" t="str">
        <f>VLOOKUP(B83,辅助信息!E:K,7,FALSE)</f>
        <v>JWDDCD2025060600053</v>
      </c>
      <c r="E83" s="41" t="str">
        <f>VLOOKUP(F83,辅助信息!A:B,2,FALSE)</f>
        <v>螺纹钢</v>
      </c>
      <c r="F83" s="41" t="s">
        <v>46</v>
      </c>
      <c r="G83" s="37">
        <v>11</v>
      </c>
      <c r="H83" s="37" t="e">
        <f>_xlfn._xlws.FILTER(#REF!,#REF!&amp;#REF!&amp;#REF!&amp;#REF!=C83&amp;F83&amp;I83&amp;J83,"未发货")</f>
        <v>#REF!</v>
      </c>
      <c r="I83" s="41" t="str">
        <f>VLOOKUP(B83,辅助信息!E:I,3,FALSE)</f>
        <v>（华西酒城南）成都市武侯区火车南站西路8号酒城南项目</v>
      </c>
      <c r="J83" s="41" t="str">
        <f>VLOOKUP(B83,辅助信息!E:I,4,FALSE)</f>
        <v>龙耀宇</v>
      </c>
      <c r="K83" s="41">
        <f>VLOOKUP(J83,辅助信息!H:I,2,FALSE)</f>
        <v>18384145895</v>
      </c>
      <c r="L83" s="79"/>
      <c r="M83" s="78"/>
      <c r="N83" s="78"/>
      <c r="O83" s="78"/>
      <c r="P83" s="78"/>
      <c r="Q83" s="41" t="str">
        <f>VLOOKUP(B83,辅助信息!E:M,9,FALSE)</f>
        <v>ZTWM-CDGS-XS-2024-0189-华西集采-酒城南项目</v>
      </c>
      <c r="R83" s="27"/>
    </row>
    <row r="84" hidden="1" spans="2:18">
      <c r="B84" s="41" t="s">
        <v>44</v>
      </c>
      <c r="C84" s="71">
        <v>45660</v>
      </c>
      <c r="D84" s="41" t="str">
        <f>VLOOKUP(B84,辅助信息!E:K,7,FALSE)</f>
        <v>JWDDCD2025060600053</v>
      </c>
      <c r="E84" s="41" t="str">
        <f>VLOOKUP(F84,辅助信息!A:B,2,FALSE)</f>
        <v>螺纹钢</v>
      </c>
      <c r="F84" s="41" t="s">
        <v>22</v>
      </c>
      <c r="G84" s="37">
        <v>16</v>
      </c>
      <c r="H84" s="37" t="e">
        <f>_xlfn._xlws.FILTER(#REF!,#REF!&amp;#REF!&amp;#REF!&amp;#REF!=C84&amp;F84&amp;I84&amp;J84,"未发货")</f>
        <v>#REF!</v>
      </c>
      <c r="I84" s="41" t="str">
        <f>VLOOKUP(B84,辅助信息!E:I,3,FALSE)</f>
        <v>（华西酒城南）成都市武侯区火车南站西路8号酒城南项目</v>
      </c>
      <c r="J84" s="41" t="str">
        <f>VLOOKUP(B84,辅助信息!E:I,4,FALSE)</f>
        <v>龙耀宇</v>
      </c>
      <c r="K84" s="41">
        <f>VLOOKUP(J84,辅助信息!H:I,2,FALSE)</f>
        <v>18384145895</v>
      </c>
      <c r="L84" s="77"/>
      <c r="M84" s="78"/>
      <c r="N84" s="78"/>
      <c r="O84" s="78"/>
      <c r="P84" s="78"/>
      <c r="Q84" s="41" t="str">
        <f>VLOOKUP(B84,辅助信息!E:M,9,FALSE)</f>
        <v>ZTWM-CDGS-XS-2024-0189-华西集采-酒城南项目</v>
      </c>
      <c r="R84" s="27"/>
    </row>
    <row r="85" hidden="1" spans="2:18">
      <c r="B85" s="41" t="s">
        <v>47</v>
      </c>
      <c r="C85" s="71">
        <v>45660</v>
      </c>
      <c r="D85" s="41" t="str">
        <f>VLOOKUP(B85,辅助信息!E:K,7,FALSE)</f>
        <v>JWDDCD2025052800131</v>
      </c>
      <c r="E85" s="41" t="str">
        <f>VLOOKUP(F85,辅助信息!A:B,2,FALSE)</f>
        <v>盘螺</v>
      </c>
      <c r="F85" s="41" t="s">
        <v>40</v>
      </c>
      <c r="G85" s="37">
        <v>6</v>
      </c>
      <c r="H85" s="37" t="e">
        <f>_xlfn._xlws.FILTER(#REF!,#REF!&amp;#REF!&amp;#REF!&amp;#REF!=C85&amp;F85&amp;I85&amp;J85,"未发货")</f>
        <v>#REF!</v>
      </c>
      <c r="I85" s="41" t="str">
        <f>VLOOKUP(B85,辅助信息!E:I,3,FALSE)</f>
        <v>（商投建工达州中医药科技园-1工区）达州市通川区达州中医药职业学院犀牛大道北段</v>
      </c>
      <c r="J85" s="41" t="str">
        <f>VLOOKUP(B85,辅助信息!E:I,4,FALSE)</f>
        <v>程黄刚</v>
      </c>
      <c r="K85" s="41">
        <f>VLOOKUP(J85,辅助信息!H:I,2,FALSE)</f>
        <v>15108211617</v>
      </c>
      <c r="L85" s="78" t="s">
        <v>34</v>
      </c>
      <c r="M85" s="78"/>
      <c r="N85" s="78"/>
      <c r="O85" s="78"/>
      <c r="P85" s="78"/>
      <c r="Q85" s="41" t="str">
        <f>VLOOKUP(B85,辅助信息!E:M,9,FALSE)</f>
        <v>ZTWM-CDGS-XS-2024-0134-商投建工达州中医药科技成果示范园项目</v>
      </c>
      <c r="R85" s="27"/>
    </row>
    <row r="86" hidden="1" spans="2:18">
      <c r="B86" s="41" t="s">
        <v>47</v>
      </c>
      <c r="C86" s="71">
        <v>45660</v>
      </c>
      <c r="D86" s="41" t="str">
        <f>VLOOKUP(B86,辅助信息!E:K,7,FALSE)</f>
        <v>JWDDCD2025052800131</v>
      </c>
      <c r="E86" s="41" t="str">
        <f>VLOOKUP(F86,辅助信息!A:B,2,FALSE)</f>
        <v>螺纹钢</v>
      </c>
      <c r="F86" s="41" t="s">
        <v>19</v>
      </c>
      <c r="G86" s="37">
        <v>39</v>
      </c>
      <c r="H86" s="37" t="e">
        <f>_xlfn._xlws.FILTER(#REF!,#REF!&amp;#REF!&amp;#REF!&amp;#REF!=C86&amp;F86&amp;I86&amp;J86,"未发货")</f>
        <v>#REF!</v>
      </c>
      <c r="I86" s="41" t="str">
        <f>VLOOKUP(B86,辅助信息!E:I,3,FALSE)</f>
        <v>（商投建工达州中医药科技园-1工区）达州市通川区达州中医药职业学院犀牛大道北段</v>
      </c>
      <c r="J86" s="41" t="str">
        <f>VLOOKUP(B86,辅助信息!E:I,4,FALSE)</f>
        <v>程黄刚</v>
      </c>
      <c r="K86" s="41">
        <f>VLOOKUP(J86,辅助信息!H:I,2,FALSE)</f>
        <v>15108211617</v>
      </c>
      <c r="L86" s="79"/>
      <c r="M86" s="78"/>
      <c r="N86" s="78"/>
      <c r="O86" s="78"/>
      <c r="P86" s="78"/>
      <c r="Q86" s="41" t="str">
        <f>VLOOKUP(B86,辅助信息!E:M,9,FALSE)</f>
        <v>ZTWM-CDGS-XS-2024-0134-商投建工达州中医药科技成果示范园项目</v>
      </c>
      <c r="R86" s="27"/>
    </row>
    <row r="87" hidden="1" spans="2:18">
      <c r="B87" s="41" t="s">
        <v>47</v>
      </c>
      <c r="C87" s="71">
        <v>45660</v>
      </c>
      <c r="D87" s="41" t="str">
        <f>VLOOKUP(B87,辅助信息!E:K,7,FALSE)</f>
        <v>JWDDCD2025052800131</v>
      </c>
      <c r="E87" s="41" t="str">
        <f>VLOOKUP(F87,辅助信息!A:B,2,FALSE)</f>
        <v>螺纹钢</v>
      </c>
      <c r="F87" s="41" t="s">
        <v>32</v>
      </c>
      <c r="G87" s="37">
        <v>3</v>
      </c>
      <c r="H87" s="37" t="e">
        <f>_xlfn._xlws.FILTER(#REF!,#REF!&amp;#REF!&amp;#REF!&amp;#REF!=C87&amp;F87&amp;I87&amp;J87,"未发货")</f>
        <v>#REF!</v>
      </c>
      <c r="I87" s="41" t="str">
        <f>VLOOKUP(B87,辅助信息!E:I,3,FALSE)</f>
        <v>（商投建工达州中医药科技园-1工区）达州市通川区达州中医药职业学院犀牛大道北段</v>
      </c>
      <c r="J87" s="41" t="str">
        <f>VLOOKUP(B87,辅助信息!E:I,4,FALSE)</f>
        <v>程黄刚</v>
      </c>
      <c r="K87" s="41">
        <f>VLOOKUP(J87,辅助信息!H:I,2,FALSE)</f>
        <v>15108211617</v>
      </c>
      <c r="L87" s="79"/>
      <c r="M87" s="78"/>
      <c r="N87" s="78"/>
      <c r="O87" s="78"/>
      <c r="P87" s="78"/>
      <c r="Q87" s="41" t="str">
        <f>VLOOKUP(B87,辅助信息!E:M,9,FALSE)</f>
        <v>ZTWM-CDGS-XS-2024-0134-商投建工达州中医药科技成果示范园项目</v>
      </c>
      <c r="R87" s="27"/>
    </row>
    <row r="88" hidden="1" spans="2:18">
      <c r="B88" s="41" t="s">
        <v>47</v>
      </c>
      <c r="C88" s="71">
        <v>45660</v>
      </c>
      <c r="D88" s="41" t="str">
        <f>VLOOKUP(B88,辅助信息!E:K,7,FALSE)</f>
        <v>JWDDCD2025052800131</v>
      </c>
      <c r="E88" s="41" t="str">
        <f>VLOOKUP(F88,辅助信息!A:B,2,FALSE)</f>
        <v>螺纹钢</v>
      </c>
      <c r="F88" s="41" t="s">
        <v>33</v>
      </c>
      <c r="G88" s="37">
        <v>6</v>
      </c>
      <c r="H88" s="37" t="e">
        <f>_xlfn._xlws.FILTER(#REF!,#REF!&amp;#REF!&amp;#REF!&amp;#REF!=C88&amp;F88&amp;I88&amp;J88,"未发货")</f>
        <v>#REF!</v>
      </c>
      <c r="I88" s="41" t="str">
        <f>VLOOKUP(B88,辅助信息!E:I,3,FALSE)</f>
        <v>（商投建工达州中医药科技园-1工区）达州市通川区达州中医药职业学院犀牛大道北段</v>
      </c>
      <c r="J88" s="41" t="str">
        <f>VLOOKUP(B88,辅助信息!E:I,4,FALSE)</f>
        <v>程黄刚</v>
      </c>
      <c r="K88" s="41">
        <f>VLOOKUP(J88,辅助信息!H:I,2,FALSE)</f>
        <v>15108211617</v>
      </c>
      <c r="L88" s="77"/>
      <c r="M88" s="78"/>
      <c r="N88" s="78"/>
      <c r="O88" s="78"/>
      <c r="P88" s="78"/>
      <c r="Q88" s="41" t="str">
        <f>VLOOKUP(B88,辅助信息!E:M,9,FALSE)</f>
        <v>ZTWM-CDGS-XS-2024-0134-商投建工达州中医药科技成果示范园项目</v>
      </c>
      <c r="R88" s="27"/>
    </row>
    <row r="89" hidden="1" spans="2:18">
      <c r="B89" s="41" t="s">
        <v>48</v>
      </c>
      <c r="C89" s="71">
        <v>45660</v>
      </c>
      <c r="D89" s="41" t="str">
        <f>VLOOKUP(B89,辅助信息!E:K,7,FALSE)</f>
        <v>ZTWM-CDGS-YL-20240529-006</v>
      </c>
      <c r="E89" s="41" t="str">
        <f>VLOOKUP(F89,辅助信息!A:B,2,FALSE)</f>
        <v>盘螺</v>
      </c>
      <c r="F89" s="41" t="s">
        <v>40</v>
      </c>
      <c r="G89" s="37">
        <v>6</v>
      </c>
      <c r="H89" s="37" t="e">
        <f>_xlfn._xlws.FILTER(#REF!,#REF!&amp;#REF!&amp;#REF!&amp;#REF!=C89&amp;F89&amp;I89&amp;J89,"未发货")</f>
        <v>#REF!</v>
      </c>
      <c r="I89" s="41" t="str">
        <f>VLOOKUP(B89,辅助信息!E:I,3,FALSE)</f>
        <v>(华西颐海-科创农业生态谷-1号钢筋房)成都市简阳市白金山水库</v>
      </c>
      <c r="J89" s="41" t="str">
        <f>VLOOKUP(B89,辅助信息!E:I,4,FALSE)</f>
        <v>石清国</v>
      </c>
      <c r="K89" s="41">
        <f>VLOOKUP(J89,辅助信息!H:I,2,FALSE)</f>
        <v>13458642015</v>
      </c>
      <c r="L89" s="78" t="s">
        <v>34</v>
      </c>
      <c r="M89" s="78"/>
      <c r="N89" s="78"/>
      <c r="O89" s="78"/>
      <c r="P89" s="78"/>
      <c r="Q89" s="41" t="str">
        <f>VLOOKUP(B89,辅助信息!E:M,9,FALSE)</f>
        <v>ZTWM-CDGS-XS-2024-0093-华西-颐海科创农业生态谷</v>
      </c>
      <c r="R89" s="27"/>
    </row>
    <row r="90" hidden="1" spans="2:18">
      <c r="B90" s="41" t="s">
        <v>48</v>
      </c>
      <c r="C90" s="71">
        <v>45660</v>
      </c>
      <c r="D90" s="41" t="str">
        <f>VLOOKUP(B90,辅助信息!E:K,7,FALSE)</f>
        <v>ZTWM-CDGS-YL-20240529-006</v>
      </c>
      <c r="E90" s="41" t="str">
        <f>VLOOKUP(F90,辅助信息!A:B,2,FALSE)</f>
        <v>盘螺</v>
      </c>
      <c r="F90" s="41" t="s">
        <v>41</v>
      </c>
      <c r="G90" s="37">
        <v>4</v>
      </c>
      <c r="H90" s="37" t="e">
        <f>_xlfn._xlws.FILTER(#REF!,#REF!&amp;#REF!&amp;#REF!&amp;#REF!=C90&amp;F90&amp;I90&amp;J90,"未发货")</f>
        <v>#REF!</v>
      </c>
      <c r="I90" s="41" t="str">
        <f>VLOOKUP(B90,辅助信息!E:I,3,FALSE)</f>
        <v>(华西颐海-科创农业生态谷-1号钢筋房)成都市简阳市白金山水库</v>
      </c>
      <c r="J90" s="41" t="str">
        <f>VLOOKUP(B90,辅助信息!E:I,4,FALSE)</f>
        <v>石清国</v>
      </c>
      <c r="K90" s="41">
        <f>VLOOKUP(J90,辅助信息!H:I,2,FALSE)</f>
        <v>13458642015</v>
      </c>
      <c r="L90" s="79"/>
      <c r="M90" s="78"/>
      <c r="N90" s="78"/>
      <c r="O90" s="78"/>
      <c r="P90" s="78"/>
      <c r="Q90" s="41" t="str">
        <f>VLOOKUP(B90,辅助信息!E:M,9,FALSE)</f>
        <v>ZTWM-CDGS-XS-2024-0093-华西-颐海科创农业生态谷</v>
      </c>
      <c r="R90" s="27"/>
    </row>
    <row r="91" hidden="1" spans="2:18">
      <c r="B91" s="41" t="s">
        <v>48</v>
      </c>
      <c r="C91" s="71">
        <v>45660</v>
      </c>
      <c r="D91" s="41" t="str">
        <f>VLOOKUP(B91,辅助信息!E:K,7,FALSE)</f>
        <v>ZTWM-CDGS-YL-20240529-006</v>
      </c>
      <c r="E91" s="41" t="str">
        <f>VLOOKUP(F91,辅助信息!A:B,2,FALSE)</f>
        <v>螺纹钢</v>
      </c>
      <c r="F91" s="41" t="s">
        <v>18</v>
      </c>
      <c r="G91" s="37">
        <v>25</v>
      </c>
      <c r="H91" s="37" t="e">
        <f>_xlfn._xlws.FILTER(#REF!,#REF!&amp;#REF!&amp;#REF!&amp;#REF!=C91&amp;F91&amp;I91&amp;J91,"未发货")</f>
        <v>#REF!</v>
      </c>
      <c r="I91" s="41" t="str">
        <f>VLOOKUP(B91,辅助信息!E:I,3,FALSE)</f>
        <v>(华西颐海-科创农业生态谷-1号钢筋房)成都市简阳市白金山水库</v>
      </c>
      <c r="J91" s="41" t="str">
        <f>VLOOKUP(B91,辅助信息!E:I,4,FALSE)</f>
        <v>石清国</v>
      </c>
      <c r="K91" s="41">
        <f>VLOOKUP(J91,辅助信息!H:I,2,FALSE)</f>
        <v>13458642015</v>
      </c>
      <c r="L91" s="77"/>
      <c r="M91" s="78"/>
      <c r="N91" s="78"/>
      <c r="O91" s="78"/>
      <c r="P91" s="78"/>
      <c r="Q91" s="41" t="str">
        <f>VLOOKUP(B91,辅助信息!E:M,9,FALSE)</f>
        <v>ZTWM-CDGS-XS-2024-0093-华西-颐海科创农业生态谷</v>
      </c>
      <c r="R91" s="27"/>
    </row>
    <row r="92" ht="22.5" hidden="1" customHeight="1" spans="2:18">
      <c r="B92" s="41" t="s">
        <v>17</v>
      </c>
      <c r="C92" s="71">
        <v>45661</v>
      </c>
      <c r="D92" s="41" t="str">
        <f>VLOOKUP(B92,辅助信息!E:K,7,FALSE)</f>
        <v>JWDDCD2024101600090</v>
      </c>
      <c r="E92" s="41" t="str">
        <f>VLOOKUP(F92,辅助信息!A:B,2,FALSE)</f>
        <v>螺纹钢</v>
      </c>
      <c r="F92" s="41" t="s">
        <v>18</v>
      </c>
      <c r="G92" s="37">
        <v>69</v>
      </c>
      <c r="H92" s="37" t="e">
        <f>_xlfn._xlws.FILTER(#REF!,#REF!&amp;#REF!&amp;#REF!&amp;#REF!=C92&amp;F92&amp;I92&amp;J92,"未发货")</f>
        <v>#REF!</v>
      </c>
      <c r="I92" s="41" t="str">
        <f>VLOOKUP(B92,辅助信息!E:I,3,FALSE)</f>
        <v>（达州市公共卫生临床医疗中心项目-一标-1号制作房）达州市通川区西外复兴镇公共卫生临床医疗中心项目</v>
      </c>
      <c r="J92" s="41" t="str">
        <f>VLOOKUP(B92,辅助信息!E:I,4,FALSE)</f>
        <v>潘建发</v>
      </c>
      <c r="K92" s="41">
        <f>VLOOKUP(J92,辅助信息!H:I,2,FALSE)</f>
        <v>13658059919</v>
      </c>
      <c r="L92" s="78" t="str">
        <f>VLOOKUP(B92,辅助信息!E:J,6,FALSE)</f>
        <v>提前联系到场规格,一天到场车辆不低于2车</v>
      </c>
      <c r="M92" s="78"/>
      <c r="N92" s="78"/>
      <c r="O92" s="78"/>
      <c r="P92" s="78"/>
      <c r="Q92" s="41" t="str">
        <f>VLOOKUP(B92,辅助信息!E:M,9,FALSE)</f>
        <v>ZTWM-CDGS-XS-2024-0205-五冶钢构-达州市通川区西外复兴镇及临近片区建设项目</v>
      </c>
      <c r="R92" s="27"/>
    </row>
    <row r="93" hidden="1" spans="2:18">
      <c r="B93" s="41" t="s">
        <v>24</v>
      </c>
      <c r="C93" s="71">
        <v>45661</v>
      </c>
      <c r="D93" s="41" t="str">
        <f>VLOOKUP(B93,辅助信息!E:K,7,FALSE)</f>
        <v>JWDDCD2025051000019</v>
      </c>
      <c r="E93" s="41" t="str">
        <f>VLOOKUP(F93,辅助信息!A:B,2,FALSE)</f>
        <v>螺纹钢</v>
      </c>
      <c r="F93" s="41" t="s">
        <v>21</v>
      </c>
      <c r="G93" s="37">
        <v>10</v>
      </c>
      <c r="H93" s="37" t="e">
        <f>_xlfn._xlws.FILTER(#REF!,#REF!&amp;#REF!&amp;#REF!&amp;#REF!=C93&amp;F93&amp;I93&amp;J93,"未发货")</f>
        <v>#REF!</v>
      </c>
      <c r="I93" s="41" t="str">
        <f>VLOOKUP(B93,辅助信息!E:I,3,FALSE)</f>
        <v>(五冶钢构医学科学产业园建设项目房建三部-一标（7-4）)四川省南充市顺庆区搬罾街道学府大道二段</v>
      </c>
      <c r="J93" s="41" t="str">
        <f>VLOOKUP(B93,辅助信息!E:I,4,FALSE)</f>
        <v>郑林</v>
      </c>
      <c r="K93" s="41">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1" t="str">
        <f>VLOOKUP(B93,辅助信息!E:M,9,FALSE)</f>
        <v>ZTWM-CDGS-XS-2024-0248-五冶钢构-南充市医学院项目</v>
      </c>
      <c r="R93" s="27"/>
    </row>
    <row r="94" hidden="1" spans="2:18">
      <c r="B94" s="41" t="s">
        <v>24</v>
      </c>
      <c r="C94" s="71">
        <v>45661</v>
      </c>
      <c r="D94" s="41" t="str">
        <f>VLOOKUP(B94,辅助信息!E:K,7,FALSE)</f>
        <v>JWDDCD2025051000019</v>
      </c>
      <c r="E94" s="41" t="str">
        <f>VLOOKUP(F94,辅助信息!A:B,2,FALSE)</f>
        <v>螺纹钢</v>
      </c>
      <c r="F94" s="41" t="s">
        <v>22</v>
      </c>
      <c r="G94" s="37">
        <v>25</v>
      </c>
      <c r="H94" s="37" t="e">
        <f>_xlfn._xlws.FILTER(#REF!,#REF!&amp;#REF!&amp;#REF!&amp;#REF!=C94&amp;F94&amp;I94&amp;J94,"未发货")</f>
        <v>#REF!</v>
      </c>
      <c r="I94" s="41" t="str">
        <f>VLOOKUP(B94,辅助信息!E:I,3,FALSE)</f>
        <v>(五冶钢构医学科学产业园建设项目房建三部-一标（7-4）)四川省南充市顺庆区搬罾街道学府大道二段</v>
      </c>
      <c r="J94" s="41" t="str">
        <f>VLOOKUP(B94,辅助信息!E:I,4,FALSE)</f>
        <v>郑林</v>
      </c>
      <c r="K94" s="41">
        <f>VLOOKUP(J94,辅助信息!H:I,2,FALSE)</f>
        <v>18349955455</v>
      </c>
      <c r="L94" s="77"/>
      <c r="M94" s="78"/>
      <c r="N94" s="78"/>
      <c r="O94" s="78"/>
      <c r="P94" s="78"/>
      <c r="Q94" s="41" t="str">
        <f>VLOOKUP(B94,辅助信息!E:M,9,FALSE)</f>
        <v>ZTWM-CDGS-XS-2024-0248-五冶钢构-南充市医学院项目</v>
      </c>
      <c r="R94" s="27"/>
    </row>
    <row r="95" hidden="1" spans="2:18">
      <c r="B95" s="41" t="s">
        <v>25</v>
      </c>
      <c r="C95" s="71">
        <v>45661</v>
      </c>
      <c r="D95" s="41" t="e">
        <f>VLOOKUP(B95,辅助信息!E:K,7,FALSE)</f>
        <v>#N/A</v>
      </c>
      <c r="E95" s="41" t="str">
        <f>VLOOKUP(F95,辅助信息!A:B,2,FALSE)</f>
        <v>盘螺</v>
      </c>
      <c r="F95" s="41" t="s">
        <v>26</v>
      </c>
      <c r="G95" s="37">
        <v>3</v>
      </c>
      <c r="H95" s="37" t="e">
        <f>_xlfn._xlws.FILTER(#REF!,#REF!&amp;#REF!&amp;#REF!&amp;#REF!=C95&amp;F95&amp;I95&amp;J95,"未发货")</f>
        <v>#REF!</v>
      </c>
      <c r="I95" s="41" t="e">
        <f>VLOOKUP(B95,辅助信息!E:I,3,FALSE)</f>
        <v>#N/A</v>
      </c>
      <c r="J95" s="41" t="e">
        <f>VLOOKUP(B95,辅助信息!E:I,4,FALSE)</f>
        <v>#N/A</v>
      </c>
      <c r="K95" s="41" t="e">
        <f>VLOOKUP(J95,辅助信息!H:I,2,FALSE)</f>
        <v>#N/A</v>
      </c>
      <c r="L95" s="78" t="e">
        <f>VLOOKUP(B95,辅助信息!E:J,6,FALSE)</f>
        <v>#N/A</v>
      </c>
      <c r="M95" s="78"/>
      <c r="N95" s="78"/>
      <c r="O95" s="78"/>
      <c r="P95" s="78"/>
      <c r="Q95" s="41" t="e">
        <f>VLOOKUP(B95,辅助信息!E:M,9,FALSE)</f>
        <v>#N/A</v>
      </c>
      <c r="R95" s="27"/>
    </row>
    <row r="96" hidden="1" spans="2:18">
      <c r="B96" s="41" t="s">
        <v>25</v>
      </c>
      <c r="C96" s="71">
        <v>45661</v>
      </c>
      <c r="D96" s="41" t="e">
        <f>VLOOKUP(B96,辅助信息!E:K,7,FALSE)</f>
        <v>#N/A</v>
      </c>
      <c r="E96" s="41" t="str">
        <f>VLOOKUP(F96,辅助信息!A:B,2,FALSE)</f>
        <v>螺纹钢</v>
      </c>
      <c r="F96" s="41" t="s">
        <v>27</v>
      </c>
      <c r="G96" s="37">
        <v>13</v>
      </c>
      <c r="H96" s="37" t="e">
        <f>_xlfn._xlws.FILTER(#REF!,#REF!&amp;#REF!&amp;#REF!&amp;#REF!=C96&amp;F96&amp;I96&amp;J96,"未发货")</f>
        <v>#REF!</v>
      </c>
      <c r="I96" s="41" t="e">
        <f>VLOOKUP(B96,辅助信息!E:I,3,FALSE)</f>
        <v>#N/A</v>
      </c>
      <c r="J96" s="41" t="e">
        <f>VLOOKUP(B96,辅助信息!E:I,4,FALSE)</f>
        <v>#N/A</v>
      </c>
      <c r="K96" s="41" t="e">
        <f>VLOOKUP(J96,辅助信息!H:I,2,FALSE)</f>
        <v>#N/A</v>
      </c>
      <c r="L96" s="79"/>
      <c r="M96" s="78"/>
      <c r="N96" s="78"/>
      <c r="O96" s="78"/>
      <c r="P96" s="78"/>
      <c r="Q96" s="41" t="e">
        <f>VLOOKUP(B96,辅助信息!E:M,9,FALSE)</f>
        <v>#N/A</v>
      </c>
      <c r="R96" s="27"/>
    </row>
    <row r="97" hidden="1" spans="2:18">
      <c r="B97" s="41" t="s">
        <v>25</v>
      </c>
      <c r="C97" s="71">
        <v>45661</v>
      </c>
      <c r="D97" s="41" t="e">
        <f>VLOOKUP(B97,辅助信息!E:K,7,FALSE)</f>
        <v>#N/A</v>
      </c>
      <c r="E97" s="41" t="str">
        <f>VLOOKUP(F97,辅助信息!A:B,2,FALSE)</f>
        <v>螺纹钢</v>
      </c>
      <c r="F97" s="41" t="s">
        <v>19</v>
      </c>
      <c r="G97" s="37">
        <v>10</v>
      </c>
      <c r="H97" s="37" t="e">
        <f>_xlfn._xlws.FILTER(#REF!,#REF!&amp;#REF!&amp;#REF!&amp;#REF!=C97&amp;F97&amp;I97&amp;J97,"未发货")</f>
        <v>#REF!</v>
      </c>
      <c r="I97" s="41" t="e">
        <f>VLOOKUP(B97,辅助信息!E:I,3,FALSE)</f>
        <v>#N/A</v>
      </c>
      <c r="J97" s="41" t="e">
        <f>VLOOKUP(B97,辅助信息!E:I,4,FALSE)</f>
        <v>#N/A</v>
      </c>
      <c r="K97" s="41" t="e">
        <f>VLOOKUP(J97,辅助信息!H:I,2,FALSE)</f>
        <v>#N/A</v>
      </c>
      <c r="L97" s="79"/>
      <c r="M97" s="78"/>
      <c r="N97" s="78"/>
      <c r="O97" s="78"/>
      <c r="P97" s="78"/>
      <c r="Q97" s="41" t="e">
        <f>VLOOKUP(B97,辅助信息!E:M,9,FALSE)</f>
        <v>#N/A</v>
      </c>
      <c r="R97" s="27"/>
    </row>
    <row r="98" hidden="1" spans="2:18">
      <c r="B98" s="41" t="s">
        <v>25</v>
      </c>
      <c r="C98" s="71">
        <v>45661</v>
      </c>
      <c r="D98" s="41" t="e">
        <f>VLOOKUP(B98,辅助信息!E:K,7,FALSE)</f>
        <v>#N/A</v>
      </c>
      <c r="E98" s="41" t="str">
        <f>VLOOKUP(F98,辅助信息!A:B,2,FALSE)</f>
        <v>螺纹钢</v>
      </c>
      <c r="F98" s="41" t="s">
        <v>28</v>
      </c>
      <c r="G98" s="37">
        <v>10</v>
      </c>
      <c r="H98" s="37" t="e">
        <f>_xlfn._xlws.FILTER(#REF!,#REF!&amp;#REF!&amp;#REF!&amp;#REF!=C98&amp;F98&amp;I98&amp;J98,"未发货")</f>
        <v>#REF!</v>
      </c>
      <c r="I98" s="41" t="e">
        <f>VLOOKUP(B98,辅助信息!E:I,3,FALSE)</f>
        <v>#N/A</v>
      </c>
      <c r="J98" s="41" t="e">
        <f>VLOOKUP(B98,辅助信息!E:I,4,FALSE)</f>
        <v>#N/A</v>
      </c>
      <c r="K98" s="41" t="e">
        <f>VLOOKUP(J98,辅助信息!H:I,2,FALSE)</f>
        <v>#N/A</v>
      </c>
      <c r="L98" s="77"/>
      <c r="M98" s="78"/>
      <c r="N98" s="78"/>
      <c r="O98" s="78"/>
      <c r="P98" s="78"/>
      <c r="Q98" s="41" t="e">
        <f>VLOOKUP(B98,辅助信息!E:M,9,FALSE)</f>
        <v>#N/A</v>
      </c>
      <c r="R98" s="27"/>
    </row>
    <row r="99" hidden="1" spans="2:18">
      <c r="B99" s="41" t="s">
        <v>39</v>
      </c>
      <c r="C99" s="71">
        <v>45661</v>
      </c>
      <c r="D99" s="41" t="str">
        <f>VLOOKUP(B99,辅助信息!E:K,7,FALSE)</f>
        <v>JWDDCD2024101600090</v>
      </c>
      <c r="E99" s="41" t="str">
        <f>VLOOKUP(F99,辅助信息!A:B,2,FALSE)</f>
        <v>螺纹钢</v>
      </c>
      <c r="F99" s="41" t="s">
        <v>28</v>
      </c>
      <c r="G99" s="37">
        <v>5</v>
      </c>
      <c r="H99" s="37" t="e">
        <f>_xlfn._xlws.FILTER(#REF!,#REF!&amp;#REF!&amp;#REF!&amp;#REF!=C99&amp;F99&amp;I99&amp;J99,"未发货")</f>
        <v>#REF!</v>
      </c>
      <c r="I99" s="41" t="str">
        <f>VLOOKUP(B99,辅助信息!E:I,3,FALSE)</f>
        <v>（达州市公共卫生临床医疗中心项目-一标-2号制作房）达州市通川区西外复兴镇公共卫生临床医疗中心项目</v>
      </c>
      <c r="J99" s="41" t="str">
        <f>VLOOKUP(B99,辅助信息!E:I,4,FALSE)</f>
        <v>潘建发</v>
      </c>
      <c r="K99" s="41">
        <f>VLOOKUP(J99,辅助信息!H:I,2,FALSE)</f>
        <v>13658059919</v>
      </c>
      <c r="L99" s="78" t="str">
        <f>VLOOKUP(B99,辅助信息!E:J,6,FALSE)</f>
        <v>提前联系到场规格,一天到场车辆不低于2车</v>
      </c>
      <c r="M99" s="78"/>
      <c r="N99" s="78"/>
      <c r="O99" s="78"/>
      <c r="P99" s="78"/>
      <c r="Q99" s="41" t="str">
        <f>VLOOKUP(B99,辅助信息!E:M,9,FALSE)</f>
        <v>ZTWM-CDGS-XS-2024-0205-五冶钢构-达州市通川区西外复兴镇及临近片区建设项目</v>
      </c>
      <c r="R99" s="27"/>
    </row>
    <row r="100" hidden="1" spans="2:18">
      <c r="B100" s="41" t="s">
        <v>39</v>
      </c>
      <c r="C100" s="71">
        <v>45661</v>
      </c>
      <c r="D100" s="41" t="str">
        <f>VLOOKUP(B100,辅助信息!E:K,7,FALSE)</f>
        <v>JWDDCD2024101600090</v>
      </c>
      <c r="E100" s="41" t="str">
        <f>VLOOKUP(F100,辅助信息!A:B,2,FALSE)</f>
        <v>螺纹钢</v>
      </c>
      <c r="F100" s="41" t="s">
        <v>18</v>
      </c>
      <c r="G100" s="37">
        <v>55</v>
      </c>
      <c r="H100" s="37" t="e">
        <f>_xlfn._xlws.FILTER(#REF!,#REF!&amp;#REF!&amp;#REF!&amp;#REF!=C100&amp;F100&amp;I100&amp;J100,"未发货")</f>
        <v>#REF!</v>
      </c>
      <c r="I100" s="41" t="str">
        <f>VLOOKUP(B100,辅助信息!E:I,3,FALSE)</f>
        <v>（达州市公共卫生临床医疗中心项目-一标-2号制作房）达州市通川区西外复兴镇公共卫生临床医疗中心项目</v>
      </c>
      <c r="J100" s="41" t="str">
        <f>VLOOKUP(B100,辅助信息!E:I,4,FALSE)</f>
        <v>潘建发</v>
      </c>
      <c r="K100" s="41">
        <f>VLOOKUP(J100,辅助信息!H:I,2,FALSE)</f>
        <v>13658059919</v>
      </c>
      <c r="L100" s="79"/>
      <c r="M100" s="78"/>
      <c r="N100" s="78"/>
      <c r="O100" s="78"/>
      <c r="P100" s="78"/>
      <c r="Q100" s="41" t="str">
        <f>VLOOKUP(B100,辅助信息!E:M,9,FALSE)</f>
        <v>ZTWM-CDGS-XS-2024-0205-五冶钢构-达州市通川区西外复兴镇及临近片区建设项目</v>
      </c>
      <c r="R100" s="27"/>
    </row>
    <row r="101" hidden="1" spans="2:18">
      <c r="B101" s="41" t="s">
        <v>17</v>
      </c>
      <c r="C101" s="71">
        <v>45661</v>
      </c>
      <c r="D101" s="41" t="str">
        <f>VLOOKUP(B101,辅助信息!E:K,7,FALSE)</f>
        <v>JWDDCD2024101600090</v>
      </c>
      <c r="E101" s="41" t="str">
        <f>VLOOKUP(F101,辅助信息!A:B,2,FALSE)</f>
        <v>螺纹钢</v>
      </c>
      <c r="F101" s="41" t="s">
        <v>33</v>
      </c>
      <c r="G101" s="37">
        <v>3</v>
      </c>
      <c r="H101" s="37" t="e">
        <f>_xlfn._xlws.FILTER(#REF!,#REF!&amp;#REF!&amp;#REF!&amp;#REF!=C101&amp;F101&amp;I101&amp;J101,"未发货")</f>
        <v>#REF!</v>
      </c>
      <c r="I101" s="41" t="str">
        <f>VLOOKUP(B101,辅助信息!E:I,3,FALSE)</f>
        <v>（达州市公共卫生临床医疗中心项目-一标-1号制作房）达州市通川区西外复兴镇公共卫生临床医疗中心项目</v>
      </c>
      <c r="J101" s="41" t="str">
        <f>VLOOKUP(B101,辅助信息!E:I,4,FALSE)</f>
        <v>潘建发</v>
      </c>
      <c r="K101" s="41">
        <f>VLOOKUP(J101,辅助信息!H:I,2,FALSE)</f>
        <v>13658059919</v>
      </c>
      <c r="L101" s="79"/>
      <c r="M101" s="78"/>
      <c r="N101" s="78"/>
      <c r="O101" s="78"/>
      <c r="P101" s="78"/>
      <c r="Q101" s="41" t="str">
        <f>VLOOKUP(B101,辅助信息!E:M,9,FALSE)</f>
        <v>ZTWM-CDGS-XS-2024-0205-五冶钢构-达州市通川区西外复兴镇及临近片区建设项目</v>
      </c>
      <c r="R101" s="27"/>
    </row>
    <row r="102" hidden="1" spans="2:18">
      <c r="B102" s="41" t="s">
        <v>17</v>
      </c>
      <c r="C102" s="71">
        <v>45661</v>
      </c>
      <c r="D102" s="41" t="str">
        <f>VLOOKUP(B102,辅助信息!E:K,7,FALSE)</f>
        <v>JWDDCD2024101600090</v>
      </c>
      <c r="E102" s="41" t="str">
        <f>VLOOKUP(F102,辅助信息!A:B,2,FALSE)</f>
        <v>螺纹钢</v>
      </c>
      <c r="F102" s="41" t="s">
        <v>28</v>
      </c>
      <c r="G102" s="37">
        <v>3</v>
      </c>
      <c r="H102" s="37" t="e">
        <f>_xlfn._xlws.FILTER(#REF!,#REF!&amp;#REF!&amp;#REF!&amp;#REF!=C102&amp;F102&amp;I102&amp;J102,"未发货")</f>
        <v>#REF!</v>
      </c>
      <c r="I102" s="41" t="str">
        <f>VLOOKUP(B102,辅助信息!E:I,3,FALSE)</f>
        <v>（达州市公共卫生临床医疗中心项目-一标-1号制作房）达州市通川区西外复兴镇公共卫生临床医疗中心项目</v>
      </c>
      <c r="J102" s="41" t="str">
        <f>VLOOKUP(B102,辅助信息!E:I,4,FALSE)</f>
        <v>潘建发</v>
      </c>
      <c r="K102" s="41">
        <f>VLOOKUP(J102,辅助信息!H:I,2,FALSE)</f>
        <v>13658059919</v>
      </c>
      <c r="L102" s="79"/>
      <c r="M102" s="78"/>
      <c r="N102" s="78"/>
      <c r="O102" s="78"/>
      <c r="P102" s="78"/>
      <c r="Q102" s="41" t="str">
        <f>VLOOKUP(B102,辅助信息!E:M,9,FALSE)</f>
        <v>ZTWM-CDGS-XS-2024-0205-五冶钢构-达州市通川区西外复兴镇及临近片区建设项目</v>
      </c>
      <c r="R102" s="27"/>
    </row>
    <row r="103" hidden="1" spans="2:18">
      <c r="B103" s="41" t="s">
        <v>17</v>
      </c>
      <c r="C103" s="71">
        <v>45661</v>
      </c>
      <c r="D103" s="41" t="str">
        <f>VLOOKUP(B103,辅助信息!E:K,7,FALSE)</f>
        <v>JWDDCD2024101600090</v>
      </c>
      <c r="E103" s="41" t="str">
        <f>VLOOKUP(F103,辅助信息!A:B,2,FALSE)</f>
        <v>螺纹钢</v>
      </c>
      <c r="F103" s="41" t="s">
        <v>18</v>
      </c>
      <c r="G103" s="37">
        <v>25</v>
      </c>
      <c r="H103" s="37" t="e">
        <f>_xlfn._xlws.FILTER(#REF!,#REF!&amp;#REF!&amp;#REF!&amp;#REF!=C103&amp;F103&amp;I103&amp;J103,"未发货")</f>
        <v>#REF!</v>
      </c>
      <c r="I103" s="41" t="str">
        <f>VLOOKUP(B103,辅助信息!E:I,3,FALSE)</f>
        <v>（达州市公共卫生临床医疗中心项目-一标-1号制作房）达州市通川区西外复兴镇公共卫生临床医疗中心项目</v>
      </c>
      <c r="J103" s="41" t="str">
        <f>VLOOKUP(B103,辅助信息!E:I,4,FALSE)</f>
        <v>潘建发</v>
      </c>
      <c r="K103" s="41">
        <f>VLOOKUP(J103,辅助信息!H:I,2,FALSE)</f>
        <v>13658059919</v>
      </c>
      <c r="L103" s="79"/>
      <c r="M103" s="78"/>
      <c r="N103" s="78"/>
      <c r="O103" s="78"/>
      <c r="P103" s="78"/>
      <c r="Q103" s="41" t="str">
        <f>VLOOKUP(B103,辅助信息!E:M,9,FALSE)</f>
        <v>ZTWM-CDGS-XS-2024-0205-五冶钢构-达州市通川区西外复兴镇及临近片区建设项目</v>
      </c>
      <c r="R103" s="27"/>
    </row>
    <row r="104" hidden="1" spans="2:18">
      <c r="B104" s="41" t="s">
        <v>17</v>
      </c>
      <c r="C104" s="71">
        <v>45661</v>
      </c>
      <c r="D104" s="41" t="str">
        <f>VLOOKUP(B104,辅助信息!E:K,7,FALSE)</f>
        <v>JWDDCD2024101600090</v>
      </c>
      <c r="E104" s="41" t="str">
        <f>VLOOKUP(F104,辅助信息!A:B,2,FALSE)</f>
        <v>螺纹钢</v>
      </c>
      <c r="F104" s="41" t="s">
        <v>27</v>
      </c>
      <c r="G104" s="37">
        <v>24</v>
      </c>
      <c r="H104" s="37" t="e">
        <f>_xlfn._xlws.FILTER(#REF!,#REF!&amp;#REF!&amp;#REF!&amp;#REF!=C104&amp;F104&amp;I104&amp;J104,"未发货")</f>
        <v>#REF!</v>
      </c>
      <c r="I104" s="41" t="str">
        <f>VLOOKUP(B104,辅助信息!E:I,3,FALSE)</f>
        <v>（达州市公共卫生临床医疗中心项目-一标-1号制作房）达州市通川区西外复兴镇公共卫生临床医疗中心项目</v>
      </c>
      <c r="J104" s="41" t="str">
        <f>VLOOKUP(B104,辅助信息!E:I,4,FALSE)</f>
        <v>潘建发</v>
      </c>
      <c r="K104" s="41">
        <f>VLOOKUP(J104,辅助信息!H:I,2,FALSE)</f>
        <v>13658059919</v>
      </c>
      <c r="L104" s="77"/>
      <c r="M104" s="78"/>
      <c r="N104" s="78"/>
      <c r="O104" s="78"/>
      <c r="P104" s="78"/>
      <c r="Q104" s="41" t="str">
        <f>VLOOKUP(B104,辅助信息!E:M,9,FALSE)</f>
        <v>ZTWM-CDGS-XS-2024-0205-五冶钢构-达州市通川区西外复兴镇及临近片区建设项目</v>
      </c>
      <c r="R104" s="27"/>
    </row>
    <row r="105" hidden="1" spans="2:18">
      <c r="B105" s="41" t="s">
        <v>44</v>
      </c>
      <c r="C105" s="71">
        <v>45661</v>
      </c>
      <c r="D105" s="41" t="str">
        <f>VLOOKUP(B105,辅助信息!E:K,7,FALSE)</f>
        <v>JWDDCD2025060600053</v>
      </c>
      <c r="E105" s="41" t="str">
        <f>VLOOKUP(F105,辅助信息!A:B,2,FALSE)</f>
        <v>盘螺</v>
      </c>
      <c r="F105" s="41" t="s">
        <v>41</v>
      </c>
      <c r="G105" s="37">
        <v>10</v>
      </c>
      <c r="H105" s="37" t="e">
        <f>_xlfn._xlws.FILTER(#REF!,#REF!&amp;#REF!&amp;#REF!&amp;#REF!=C105&amp;F105&amp;I105&amp;J105,"未发货")</f>
        <v>#REF!</v>
      </c>
      <c r="I105" s="41" t="str">
        <f>VLOOKUP(B105,辅助信息!E:I,3,FALSE)</f>
        <v>（华西酒城南）成都市武侯区火车南站西路8号酒城南项目</v>
      </c>
      <c r="J105" s="41" t="str">
        <f>VLOOKUP(B105,辅助信息!E:I,4,FALSE)</f>
        <v>龙耀宇</v>
      </c>
      <c r="K105" s="41">
        <f>VLOOKUP(J105,辅助信息!H:I,2,FALSE)</f>
        <v>18384145895</v>
      </c>
      <c r="L105" s="78" t="str">
        <f>VLOOKUP(B105,辅助信息!E:J,6,FALSE)</f>
        <v>对方卸车</v>
      </c>
      <c r="M105" s="78"/>
      <c r="N105" s="78"/>
      <c r="O105" s="78"/>
      <c r="P105" s="78"/>
      <c r="Q105" s="41" t="str">
        <f>VLOOKUP(B105,辅助信息!E:M,9,FALSE)</f>
        <v>ZTWM-CDGS-XS-2024-0189-华西集采-酒城南项目</v>
      </c>
      <c r="R105" s="27"/>
    </row>
    <row r="106" hidden="1" spans="2:18">
      <c r="B106" s="41" t="s">
        <v>44</v>
      </c>
      <c r="C106" s="71">
        <v>45661</v>
      </c>
      <c r="D106" s="41" t="str">
        <f>VLOOKUP(B106,辅助信息!E:K,7,FALSE)</f>
        <v>JWDDCD2025060600053</v>
      </c>
      <c r="E106" s="41" t="str">
        <f>VLOOKUP(F106,辅助信息!A:B,2,FALSE)</f>
        <v>盘螺</v>
      </c>
      <c r="F106" s="41" t="s">
        <v>26</v>
      </c>
      <c r="G106" s="37">
        <v>10</v>
      </c>
      <c r="H106" s="37" t="e">
        <f>_xlfn._xlws.FILTER(#REF!,#REF!&amp;#REF!&amp;#REF!&amp;#REF!=C106&amp;F106&amp;I106&amp;J106,"未发货")</f>
        <v>#REF!</v>
      </c>
      <c r="I106" s="41" t="str">
        <f>VLOOKUP(B106,辅助信息!E:I,3,FALSE)</f>
        <v>（华西酒城南）成都市武侯区火车南站西路8号酒城南项目</v>
      </c>
      <c r="J106" s="41" t="str">
        <f>VLOOKUP(B106,辅助信息!E:I,4,FALSE)</f>
        <v>龙耀宇</v>
      </c>
      <c r="K106" s="41">
        <f>VLOOKUP(J106,辅助信息!H:I,2,FALSE)</f>
        <v>18384145895</v>
      </c>
      <c r="L106" s="79"/>
      <c r="M106" s="78"/>
      <c r="N106" s="78"/>
      <c r="O106" s="78"/>
      <c r="P106" s="78"/>
      <c r="Q106" s="41" t="str">
        <f>VLOOKUP(B106,辅助信息!E:M,9,FALSE)</f>
        <v>ZTWM-CDGS-XS-2024-0189-华西集采-酒城南项目</v>
      </c>
      <c r="R106" s="27"/>
    </row>
    <row r="107" hidden="1" spans="2:18">
      <c r="B107" s="41" t="s">
        <v>44</v>
      </c>
      <c r="C107" s="71">
        <v>45661</v>
      </c>
      <c r="D107" s="41" t="str">
        <f>VLOOKUP(B107,辅助信息!E:K,7,FALSE)</f>
        <v>JWDDCD2025060600053</v>
      </c>
      <c r="E107" s="41" t="str">
        <f>VLOOKUP(F107,辅助信息!A:B,2,FALSE)</f>
        <v>螺纹钢</v>
      </c>
      <c r="F107" s="41" t="s">
        <v>22</v>
      </c>
      <c r="G107" s="37">
        <v>16</v>
      </c>
      <c r="H107" s="37" t="e">
        <f>_xlfn._xlws.FILTER(#REF!,#REF!&amp;#REF!&amp;#REF!&amp;#REF!=C107&amp;F107&amp;I107&amp;J107,"未发货")</f>
        <v>#REF!</v>
      </c>
      <c r="I107" s="41" t="str">
        <f>VLOOKUP(B107,辅助信息!E:I,3,FALSE)</f>
        <v>（华西酒城南）成都市武侯区火车南站西路8号酒城南项目</v>
      </c>
      <c r="J107" s="41" t="str">
        <f>VLOOKUP(B107,辅助信息!E:I,4,FALSE)</f>
        <v>龙耀宇</v>
      </c>
      <c r="K107" s="41">
        <f>VLOOKUP(J107,辅助信息!H:I,2,FALSE)</f>
        <v>18384145895</v>
      </c>
      <c r="L107" s="77"/>
      <c r="M107" s="78"/>
      <c r="N107" s="78"/>
      <c r="O107" s="78"/>
      <c r="P107" s="78"/>
      <c r="Q107" s="41" t="str">
        <f>VLOOKUP(B107,辅助信息!E:M,9,FALSE)</f>
        <v>ZTWM-CDGS-XS-2024-0189-华西集采-酒城南项目</v>
      </c>
      <c r="R107" s="27"/>
    </row>
    <row r="108" hidden="1" spans="2:18">
      <c r="B108" s="41" t="s">
        <v>31</v>
      </c>
      <c r="C108" s="71">
        <v>45661</v>
      </c>
      <c r="D108" s="41" t="str">
        <f>VLOOKUP(B108,辅助信息!E:K,7,FALSE)</f>
        <v>JWDDCD2024121000136</v>
      </c>
      <c r="E108" s="41" t="str">
        <f>VLOOKUP(F108,辅助信息!A:B,2,FALSE)</f>
        <v>盘螺</v>
      </c>
      <c r="F108" s="41" t="s">
        <v>49</v>
      </c>
      <c r="G108" s="37">
        <v>6</v>
      </c>
      <c r="H108" s="37" t="e">
        <f>_xlfn._xlws.FILTER(#REF!,#REF!&amp;#REF!&amp;#REF!&amp;#REF!=C108&amp;F108&amp;I108&amp;J108,"未发货")</f>
        <v>#REF!</v>
      </c>
      <c r="I108" s="41" t="str">
        <f>VLOOKUP(B108,辅助信息!E:I,3,FALSE)</f>
        <v>（四川商建-射洪城乡一体化项目）遂宁市射洪市忠新幼儿园北侧约220米新溪小区</v>
      </c>
      <c r="J108" s="41" t="str">
        <f>VLOOKUP(B108,辅助信息!E:I,4,FALSE)</f>
        <v>柏子刚</v>
      </c>
      <c r="K108" s="41">
        <f>VLOOKUP(J108,辅助信息!H:I,2,FALSE)</f>
        <v>15692885305</v>
      </c>
      <c r="L108" s="78" t="str">
        <f>VLOOKUP(B108,辅助信息!E:J,6,FALSE)</f>
        <v>提前联系到场规格及数量</v>
      </c>
      <c r="M108" s="78"/>
      <c r="N108" s="78"/>
      <c r="O108" s="78"/>
      <c r="P108" s="78"/>
      <c r="Q108" s="41" t="str">
        <f>VLOOKUP(B108,辅助信息!E:M,9,FALSE)</f>
        <v>ZTWM-CDGS-XS-2024-0179-四川商投-射洪城乡一体化建设项目</v>
      </c>
      <c r="R108" s="27"/>
    </row>
    <row r="109" hidden="1" spans="2:18">
      <c r="B109" s="41" t="s">
        <v>31</v>
      </c>
      <c r="C109" s="71">
        <v>45661</v>
      </c>
      <c r="D109" s="41" t="str">
        <f>VLOOKUP(B109,辅助信息!E:K,7,FALSE)</f>
        <v>JWDDCD2024121000136</v>
      </c>
      <c r="E109" s="41" t="str">
        <f>VLOOKUP(F109,辅助信息!A:B,2,FALSE)</f>
        <v>盘螺</v>
      </c>
      <c r="F109" s="41" t="s">
        <v>40</v>
      </c>
      <c r="G109" s="37">
        <v>9</v>
      </c>
      <c r="H109" s="37" t="e">
        <f>_xlfn._xlws.FILTER(#REF!,#REF!&amp;#REF!&amp;#REF!&amp;#REF!=C109&amp;F109&amp;I109&amp;J109,"未发货")</f>
        <v>#REF!</v>
      </c>
      <c r="I109" s="41" t="str">
        <f>VLOOKUP(B109,辅助信息!E:I,3,FALSE)</f>
        <v>（四川商建-射洪城乡一体化项目）遂宁市射洪市忠新幼儿园北侧约220米新溪小区</v>
      </c>
      <c r="J109" s="41" t="str">
        <f>VLOOKUP(B109,辅助信息!E:I,4,FALSE)</f>
        <v>柏子刚</v>
      </c>
      <c r="K109" s="41">
        <f>VLOOKUP(J109,辅助信息!H:I,2,FALSE)</f>
        <v>15692885305</v>
      </c>
      <c r="L109" s="79"/>
      <c r="M109" s="78"/>
      <c r="N109" s="78"/>
      <c r="O109" s="78"/>
      <c r="P109" s="78"/>
      <c r="Q109" s="41" t="str">
        <f>VLOOKUP(B109,辅助信息!E:M,9,FALSE)</f>
        <v>ZTWM-CDGS-XS-2024-0179-四川商投-射洪城乡一体化建设项目</v>
      </c>
      <c r="R109" s="27"/>
    </row>
    <row r="110" hidden="1" spans="2:18">
      <c r="B110" s="41" t="s">
        <v>31</v>
      </c>
      <c r="C110" s="71">
        <v>45661</v>
      </c>
      <c r="D110" s="41" t="str">
        <f>VLOOKUP(B110,辅助信息!E:K,7,FALSE)</f>
        <v>JWDDCD2024121000136</v>
      </c>
      <c r="E110" s="41" t="str">
        <f>VLOOKUP(F110,辅助信息!A:B,2,FALSE)</f>
        <v>盘螺</v>
      </c>
      <c r="F110" s="41" t="s">
        <v>41</v>
      </c>
      <c r="G110" s="37">
        <v>21</v>
      </c>
      <c r="H110" s="37" t="e">
        <f>_xlfn._xlws.FILTER(#REF!,#REF!&amp;#REF!&amp;#REF!&amp;#REF!=C110&amp;F110&amp;I110&amp;J110,"未发货")</f>
        <v>#REF!</v>
      </c>
      <c r="I110" s="41" t="str">
        <f>VLOOKUP(B110,辅助信息!E:I,3,FALSE)</f>
        <v>（四川商建-射洪城乡一体化项目）遂宁市射洪市忠新幼儿园北侧约220米新溪小区</v>
      </c>
      <c r="J110" s="41" t="str">
        <f>VLOOKUP(B110,辅助信息!E:I,4,FALSE)</f>
        <v>柏子刚</v>
      </c>
      <c r="K110" s="41">
        <f>VLOOKUP(J110,辅助信息!H:I,2,FALSE)</f>
        <v>15692885305</v>
      </c>
      <c r="L110" s="79"/>
      <c r="M110" s="78"/>
      <c r="N110" s="78"/>
      <c r="O110" s="78"/>
      <c r="P110" s="78"/>
      <c r="Q110" s="41" t="str">
        <f>VLOOKUP(B110,辅助信息!E:M,9,FALSE)</f>
        <v>ZTWM-CDGS-XS-2024-0179-四川商投-射洪城乡一体化建设项目</v>
      </c>
      <c r="R110" s="27"/>
    </row>
    <row r="111" hidden="1" spans="2:18">
      <c r="B111" s="41" t="s">
        <v>31</v>
      </c>
      <c r="C111" s="71">
        <v>45661</v>
      </c>
      <c r="D111" s="41" t="str">
        <f>VLOOKUP(B111,辅助信息!E:K,7,FALSE)</f>
        <v>JWDDCD2024121000136</v>
      </c>
      <c r="E111" s="41" t="str">
        <f>VLOOKUP(F111,辅助信息!A:B,2,FALSE)</f>
        <v>螺纹钢</v>
      </c>
      <c r="F111" s="41" t="s">
        <v>27</v>
      </c>
      <c r="G111" s="37">
        <v>3</v>
      </c>
      <c r="H111" s="37" t="e">
        <f>_xlfn._xlws.FILTER(#REF!,#REF!&amp;#REF!&amp;#REF!&amp;#REF!=C111&amp;F111&amp;I111&amp;J111,"未发货")</f>
        <v>#REF!</v>
      </c>
      <c r="I111" s="41" t="str">
        <f>VLOOKUP(B111,辅助信息!E:I,3,FALSE)</f>
        <v>（四川商建-射洪城乡一体化项目）遂宁市射洪市忠新幼儿园北侧约220米新溪小区</v>
      </c>
      <c r="J111" s="41" t="str">
        <f>VLOOKUP(B111,辅助信息!E:I,4,FALSE)</f>
        <v>柏子刚</v>
      </c>
      <c r="K111" s="41">
        <f>VLOOKUP(J111,辅助信息!H:I,2,FALSE)</f>
        <v>15692885305</v>
      </c>
      <c r="L111" s="79"/>
      <c r="M111" s="78"/>
      <c r="N111" s="78"/>
      <c r="O111" s="78"/>
      <c r="P111" s="78"/>
      <c r="Q111" s="41" t="str">
        <f>VLOOKUP(B111,辅助信息!E:M,9,FALSE)</f>
        <v>ZTWM-CDGS-XS-2024-0179-四川商投-射洪城乡一体化建设项目</v>
      </c>
      <c r="R111" s="27"/>
    </row>
    <row r="112" hidden="1" spans="2:18">
      <c r="B112" s="41" t="s">
        <v>31</v>
      </c>
      <c r="C112" s="71">
        <v>45661</v>
      </c>
      <c r="D112" s="41" t="str">
        <f>VLOOKUP(B112,辅助信息!E:K,7,FALSE)</f>
        <v>JWDDCD2024121000136</v>
      </c>
      <c r="E112" s="41" t="str">
        <f>VLOOKUP(F112,辅助信息!A:B,2,FALSE)</f>
        <v>螺纹钢</v>
      </c>
      <c r="F112" s="41" t="s">
        <v>19</v>
      </c>
      <c r="G112" s="37">
        <v>6</v>
      </c>
      <c r="H112" s="37" t="e">
        <f>_xlfn._xlws.FILTER(#REF!,#REF!&amp;#REF!&amp;#REF!&amp;#REF!=C112&amp;F112&amp;I112&amp;J112,"未发货")</f>
        <v>#REF!</v>
      </c>
      <c r="I112" s="41" t="str">
        <f>VLOOKUP(B112,辅助信息!E:I,3,FALSE)</f>
        <v>（四川商建-射洪城乡一体化项目）遂宁市射洪市忠新幼儿园北侧约220米新溪小区</v>
      </c>
      <c r="J112" s="41" t="str">
        <f>VLOOKUP(B112,辅助信息!E:I,4,FALSE)</f>
        <v>柏子刚</v>
      </c>
      <c r="K112" s="41">
        <f>VLOOKUP(J112,辅助信息!H:I,2,FALSE)</f>
        <v>15692885305</v>
      </c>
      <c r="L112" s="79"/>
      <c r="M112" s="78"/>
      <c r="N112" s="78"/>
      <c r="O112" s="78"/>
      <c r="P112" s="78"/>
      <c r="Q112" s="41" t="str">
        <f>VLOOKUP(B112,辅助信息!E:M,9,FALSE)</f>
        <v>ZTWM-CDGS-XS-2024-0179-四川商投-射洪城乡一体化建设项目</v>
      </c>
      <c r="R112" s="27"/>
    </row>
    <row r="113" hidden="1" spans="2:18">
      <c r="B113" s="41" t="s">
        <v>31</v>
      </c>
      <c r="C113" s="71">
        <v>45661</v>
      </c>
      <c r="D113" s="41" t="str">
        <f>VLOOKUP(B113,辅助信息!E:K,7,FALSE)</f>
        <v>JWDDCD2024121000136</v>
      </c>
      <c r="E113" s="41" t="str">
        <f>VLOOKUP(F113,辅助信息!A:B,2,FALSE)</f>
        <v>螺纹钢</v>
      </c>
      <c r="F113" s="41" t="s">
        <v>32</v>
      </c>
      <c r="G113" s="37">
        <v>9</v>
      </c>
      <c r="H113" s="37" t="e">
        <f>_xlfn._xlws.FILTER(#REF!,#REF!&amp;#REF!&amp;#REF!&amp;#REF!=C113&amp;F113&amp;I113&amp;J113,"未发货")</f>
        <v>#REF!</v>
      </c>
      <c r="I113" s="41" t="str">
        <f>VLOOKUP(B113,辅助信息!E:I,3,FALSE)</f>
        <v>（四川商建-射洪城乡一体化项目）遂宁市射洪市忠新幼儿园北侧约220米新溪小区</v>
      </c>
      <c r="J113" s="41" t="str">
        <f>VLOOKUP(B113,辅助信息!E:I,4,FALSE)</f>
        <v>柏子刚</v>
      </c>
      <c r="K113" s="41">
        <f>VLOOKUP(J113,辅助信息!H:I,2,FALSE)</f>
        <v>15692885305</v>
      </c>
      <c r="L113" s="79"/>
      <c r="M113" s="78"/>
      <c r="N113" s="78"/>
      <c r="O113" s="78"/>
      <c r="P113" s="78"/>
      <c r="Q113" s="41" t="str">
        <f>VLOOKUP(B113,辅助信息!E:M,9,FALSE)</f>
        <v>ZTWM-CDGS-XS-2024-0179-四川商投-射洪城乡一体化建设项目</v>
      </c>
      <c r="R113" s="27"/>
    </row>
    <row r="114" hidden="1" spans="2:18">
      <c r="B114" s="41" t="s">
        <v>31</v>
      </c>
      <c r="C114" s="71">
        <v>45661</v>
      </c>
      <c r="D114" s="41" t="str">
        <f>VLOOKUP(B114,辅助信息!E:K,7,FALSE)</f>
        <v>JWDDCD2024121000136</v>
      </c>
      <c r="E114" s="41" t="str">
        <f>VLOOKUP(F114,辅助信息!A:B,2,FALSE)</f>
        <v>螺纹钢</v>
      </c>
      <c r="F114" s="41" t="s">
        <v>30</v>
      </c>
      <c r="G114" s="37">
        <v>6</v>
      </c>
      <c r="H114" s="37" t="e">
        <f>_xlfn._xlws.FILTER(#REF!,#REF!&amp;#REF!&amp;#REF!&amp;#REF!=C114&amp;F114&amp;I114&amp;J114,"未发货")</f>
        <v>#REF!</v>
      </c>
      <c r="I114" s="41" t="str">
        <f>VLOOKUP(B114,辅助信息!E:I,3,FALSE)</f>
        <v>（四川商建-射洪城乡一体化项目）遂宁市射洪市忠新幼儿园北侧约220米新溪小区</v>
      </c>
      <c r="J114" s="41" t="str">
        <f>VLOOKUP(B114,辅助信息!E:I,4,FALSE)</f>
        <v>柏子刚</v>
      </c>
      <c r="K114" s="41">
        <f>VLOOKUP(J114,辅助信息!H:I,2,FALSE)</f>
        <v>15692885305</v>
      </c>
      <c r="L114" s="79"/>
      <c r="M114" s="78"/>
      <c r="N114" s="78"/>
      <c r="O114" s="78"/>
      <c r="P114" s="78"/>
      <c r="Q114" s="41" t="str">
        <f>VLOOKUP(B114,辅助信息!E:M,9,FALSE)</f>
        <v>ZTWM-CDGS-XS-2024-0179-四川商投-射洪城乡一体化建设项目</v>
      </c>
      <c r="R114" s="27"/>
    </row>
    <row r="115" hidden="1" spans="2:18">
      <c r="B115" s="41" t="s">
        <v>31</v>
      </c>
      <c r="C115" s="71">
        <v>45661</v>
      </c>
      <c r="D115" s="41" t="str">
        <f>VLOOKUP(B115,辅助信息!E:K,7,FALSE)</f>
        <v>JWDDCD2024121000136</v>
      </c>
      <c r="E115" s="41" t="str">
        <f>VLOOKUP(F115,辅助信息!A:B,2,FALSE)</f>
        <v>螺纹钢</v>
      </c>
      <c r="F115" s="41" t="s">
        <v>33</v>
      </c>
      <c r="G115" s="37">
        <v>35</v>
      </c>
      <c r="H115" s="37" t="e">
        <f>_xlfn._xlws.FILTER(#REF!,#REF!&amp;#REF!&amp;#REF!&amp;#REF!=C115&amp;F115&amp;I115&amp;J115,"未发货")</f>
        <v>#REF!</v>
      </c>
      <c r="I115" s="41" t="str">
        <f>VLOOKUP(B115,辅助信息!E:I,3,FALSE)</f>
        <v>（四川商建-射洪城乡一体化项目）遂宁市射洪市忠新幼儿园北侧约220米新溪小区</v>
      </c>
      <c r="J115" s="41" t="str">
        <f>VLOOKUP(B115,辅助信息!E:I,4,FALSE)</f>
        <v>柏子刚</v>
      </c>
      <c r="K115" s="41">
        <f>VLOOKUP(J115,辅助信息!H:I,2,FALSE)</f>
        <v>15692885305</v>
      </c>
      <c r="L115" s="79"/>
      <c r="M115" s="78"/>
      <c r="N115" s="78"/>
      <c r="O115" s="78"/>
      <c r="P115" s="78"/>
      <c r="Q115" s="41" t="str">
        <f>VLOOKUP(B115,辅助信息!E:M,9,FALSE)</f>
        <v>ZTWM-CDGS-XS-2024-0179-四川商投-射洪城乡一体化建设项目</v>
      </c>
      <c r="R115" s="27"/>
    </row>
    <row r="116" hidden="1" spans="2:18">
      <c r="B116" s="41" t="s">
        <v>31</v>
      </c>
      <c r="C116" s="71">
        <v>45661</v>
      </c>
      <c r="D116" s="41" t="str">
        <f>VLOOKUP(B116,辅助信息!E:K,7,FALSE)</f>
        <v>JWDDCD2024121000136</v>
      </c>
      <c r="E116" s="41" t="str">
        <f>VLOOKUP(F116,辅助信息!A:B,2,FALSE)</f>
        <v>螺纹钢</v>
      </c>
      <c r="F116" s="41" t="s">
        <v>46</v>
      </c>
      <c r="G116" s="37">
        <v>15</v>
      </c>
      <c r="H116" s="37" t="e">
        <f>_xlfn._xlws.FILTER(#REF!,#REF!&amp;#REF!&amp;#REF!&amp;#REF!=C116&amp;F116&amp;I116&amp;J116,"未发货")</f>
        <v>#REF!</v>
      </c>
      <c r="I116" s="41" t="str">
        <f>VLOOKUP(B116,辅助信息!E:I,3,FALSE)</f>
        <v>（四川商建-射洪城乡一体化项目）遂宁市射洪市忠新幼儿园北侧约220米新溪小区</v>
      </c>
      <c r="J116" s="41" t="str">
        <f>VLOOKUP(B116,辅助信息!E:I,4,FALSE)</f>
        <v>柏子刚</v>
      </c>
      <c r="K116" s="41">
        <f>VLOOKUP(J116,辅助信息!H:I,2,FALSE)</f>
        <v>15692885305</v>
      </c>
      <c r="L116" s="79"/>
      <c r="M116" s="78"/>
      <c r="N116" s="78"/>
      <c r="O116" s="78"/>
      <c r="P116" s="78"/>
      <c r="Q116" s="41" t="str">
        <f>VLOOKUP(B116,辅助信息!E:M,9,FALSE)</f>
        <v>ZTWM-CDGS-XS-2024-0179-四川商投-射洪城乡一体化建设项目</v>
      </c>
      <c r="R116" s="27"/>
    </row>
    <row r="117" hidden="1" spans="2:18">
      <c r="B117" s="41" t="s">
        <v>31</v>
      </c>
      <c r="C117" s="71">
        <v>45661</v>
      </c>
      <c r="D117" s="41" t="str">
        <f>VLOOKUP(B117,辅助信息!E:K,7,FALSE)</f>
        <v>JWDDCD2024121000136</v>
      </c>
      <c r="E117" s="41" t="str">
        <f>VLOOKUP(F117,辅助信息!A:B,2,FALSE)</f>
        <v>螺纹钢</v>
      </c>
      <c r="F117" s="41" t="s">
        <v>22</v>
      </c>
      <c r="G117" s="37">
        <v>35</v>
      </c>
      <c r="H117" s="37" t="e">
        <f>_xlfn._xlws.FILTER(#REF!,#REF!&amp;#REF!&amp;#REF!&amp;#REF!=C117&amp;F117&amp;I117&amp;J117,"未发货")</f>
        <v>#REF!</v>
      </c>
      <c r="I117" s="41" t="str">
        <f>VLOOKUP(B117,辅助信息!E:I,3,FALSE)</f>
        <v>（四川商建-射洪城乡一体化项目）遂宁市射洪市忠新幼儿园北侧约220米新溪小区</v>
      </c>
      <c r="J117" s="41" t="str">
        <f>VLOOKUP(B117,辅助信息!E:I,4,FALSE)</f>
        <v>柏子刚</v>
      </c>
      <c r="K117" s="41">
        <f>VLOOKUP(J117,辅助信息!H:I,2,FALSE)</f>
        <v>15692885305</v>
      </c>
      <c r="L117" s="77"/>
      <c r="M117" s="78"/>
      <c r="N117" s="78"/>
      <c r="O117" s="78"/>
      <c r="P117" s="78"/>
      <c r="Q117" s="41" t="str">
        <f>VLOOKUP(B117,辅助信息!E:M,9,FALSE)</f>
        <v>ZTWM-CDGS-XS-2024-0179-四川商投-射洪城乡一体化建设项目</v>
      </c>
      <c r="R117" s="27"/>
    </row>
    <row r="118" hidden="1" spans="2:18">
      <c r="B118" s="41" t="s">
        <v>50</v>
      </c>
      <c r="C118" s="71">
        <v>45661</v>
      </c>
      <c r="D118" s="41" t="e">
        <f>VLOOKUP(B118,辅助信息!E:K,7,FALSE)</f>
        <v>#N/A</v>
      </c>
      <c r="E118" s="41" t="str">
        <f>VLOOKUP(F118,辅助信息!A:B,2,FALSE)</f>
        <v>高线</v>
      </c>
      <c r="F118" s="41" t="s">
        <v>51</v>
      </c>
      <c r="G118" s="37">
        <v>2</v>
      </c>
      <c r="H118" s="37" t="e">
        <f>_xlfn._xlws.FILTER(#REF!,#REF!&amp;#REF!&amp;#REF!&amp;#REF!=C118&amp;F118&amp;I118&amp;J118,"未发货")</f>
        <v>#REF!</v>
      </c>
      <c r="I118" s="41" t="e">
        <f>VLOOKUP(B118,辅助信息!E:I,3,FALSE)</f>
        <v>#N/A</v>
      </c>
      <c r="J118" s="41" t="e">
        <f>VLOOKUP(B118,辅助信息!E:I,4,FALSE)</f>
        <v>#N/A</v>
      </c>
      <c r="K118" s="41" t="e">
        <f>VLOOKUP(J118,辅助信息!H:I,2,FALSE)</f>
        <v>#N/A</v>
      </c>
      <c r="L118" s="78" t="e">
        <f>VLOOKUP(B118,辅助信息!E:J,6,FALSE)</f>
        <v>#N/A</v>
      </c>
      <c r="M118" s="78"/>
      <c r="N118" s="78"/>
      <c r="O118" s="78"/>
      <c r="P118" s="78"/>
      <c r="Q118" s="41" t="e">
        <f>VLOOKUP(B118,辅助信息!E:M,9,FALSE)</f>
        <v>#N/A</v>
      </c>
      <c r="R118" s="27"/>
    </row>
    <row r="119" hidden="1" spans="2:18">
      <c r="B119" s="41" t="s">
        <v>50</v>
      </c>
      <c r="C119" s="71">
        <v>45661</v>
      </c>
      <c r="D119" s="41" t="e">
        <f>VLOOKUP(B119,辅助信息!E:K,7,FALSE)</f>
        <v>#N/A</v>
      </c>
      <c r="E119" s="41" t="str">
        <f>VLOOKUP(F119,辅助信息!A:B,2,FALSE)</f>
        <v>螺纹钢</v>
      </c>
      <c r="F119" s="41" t="s">
        <v>32</v>
      </c>
      <c r="G119" s="37">
        <v>12</v>
      </c>
      <c r="H119" s="37" t="e">
        <f>_xlfn._xlws.FILTER(#REF!,#REF!&amp;#REF!&amp;#REF!&amp;#REF!=C119&amp;F119&amp;I119&amp;J119,"未发货")</f>
        <v>#REF!</v>
      </c>
      <c r="I119" s="41" t="e">
        <f>VLOOKUP(B119,辅助信息!E:I,3,FALSE)</f>
        <v>#N/A</v>
      </c>
      <c r="J119" s="41" t="e">
        <f>VLOOKUP(B119,辅助信息!E:I,4,FALSE)</f>
        <v>#N/A</v>
      </c>
      <c r="K119" s="41" t="e">
        <f>VLOOKUP(J119,辅助信息!H:I,2,FALSE)</f>
        <v>#N/A</v>
      </c>
      <c r="L119" s="79"/>
      <c r="M119" s="78"/>
      <c r="N119" s="78"/>
      <c r="O119" s="78"/>
      <c r="P119" s="78"/>
      <c r="Q119" s="41" t="e">
        <f>VLOOKUP(B119,辅助信息!E:M,9,FALSE)</f>
        <v>#N/A</v>
      </c>
      <c r="R119" s="27"/>
    </row>
    <row r="120" hidden="1" spans="2:18">
      <c r="B120" s="41" t="s">
        <v>50</v>
      </c>
      <c r="C120" s="71">
        <v>45661</v>
      </c>
      <c r="D120" s="41" t="e">
        <f>VLOOKUP(B120,辅助信息!E:K,7,FALSE)</f>
        <v>#N/A</v>
      </c>
      <c r="E120" s="41" t="str">
        <f>VLOOKUP(F120,辅助信息!A:B,2,FALSE)</f>
        <v>螺纹钢</v>
      </c>
      <c r="F120" s="41" t="s">
        <v>52</v>
      </c>
      <c r="G120" s="37">
        <v>21</v>
      </c>
      <c r="H120" s="37" t="e">
        <f>_xlfn._xlws.FILTER(#REF!,#REF!&amp;#REF!&amp;#REF!&amp;#REF!=C120&amp;F120&amp;I120&amp;J120,"未发货")</f>
        <v>#REF!</v>
      </c>
      <c r="I120" s="41" t="e">
        <f>VLOOKUP(B120,辅助信息!E:I,3,FALSE)</f>
        <v>#N/A</v>
      </c>
      <c r="J120" s="41" t="e">
        <f>VLOOKUP(B120,辅助信息!E:I,4,FALSE)</f>
        <v>#N/A</v>
      </c>
      <c r="K120" s="41" t="e">
        <f>VLOOKUP(J120,辅助信息!H:I,2,FALSE)</f>
        <v>#N/A</v>
      </c>
      <c r="L120" s="77"/>
      <c r="M120" s="78"/>
      <c r="N120" s="78"/>
      <c r="O120" s="78"/>
      <c r="P120" s="78"/>
      <c r="Q120" s="41" t="e">
        <f>VLOOKUP(B120,辅助信息!E:M,9,FALSE)</f>
        <v>#N/A</v>
      </c>
      <c r="R120" s="27"/>
    </row>
    <row r="121" hidden="1" spans="2:18">
      <c r="B121" s="41" t="s">
        <v>29</v>
      </c>
      <c r="C121" s="71">
        <v>45661</v>
      </c>
      <c r="D121" s="41" t="e">
        <f>VLOOKUP(B121,辅助信息!E:K,7,FALSE)</f>
        <v>#N/A</v>
      </c>
      <c r="E121" s="41" t="str">
        <f>VLOOKUP(F121,辅助信息!A:B,2,FALSE)</f>
        <v>高线</v>
      </c>
      <c r="F121" s="41" t="s">
        <v>53</v>
      </c>
      <c r="G121" s="37">
        <v>70</v>
      </c>
      <c r="H121" s="37" t="e">
        <f>_xlfn._xlws.FILTER(#REF!,#REF!&amp;#REF!&amp;#REF!&amp;#REF!=C121&amp;F121&amp;I121&amp;J121,"未发货")</f>
        <v>#REF!</v>
      </c>
      <c r="I121" s="41" t="e">
        <f>VLOOKUP(B121,辅助信息!E:I,3,FALSE)</f>
        <v>#N/A</v>
      </c>
      <c r="J121" s="41" t="e">
        <f>VLOOKUP(B121,辅助信息!E:I,4,FALSE)</f>
        <v>#N/A</v>
      </c>
      <c r="K121" s="41" t="e">
        <f>VLOOKUP(J121,辅助信息!H:I,2,FALSE)</f>
        <v>#N/A</v>
      </c>
      <c r="L121" s="78" t="e">
        <f>VLOOKUP(B121,辅助信息!E:J,6,FALSE)</f>
        <v>#N/A</v>
      </c>
      <c r="M121" s="78"/>
      <c r="N121" s="78"/>
      <c r="O121" s="78"/>
      <c r="P121" s="78"/>
      <c r="Q121" s="41" t="e">
        <f>VLOOKUP(B121,辅助信息!E:M,9,FALSE)</f>
        <v>#N/A</v>
      </c>
      <c r="R121" s="27"/>
    </row>
    <row r="122" hidden="1" spans="2:18">
      <c r="B122" s="41" t="s">
        <v>29</v>
      </c>
      <c r="C122" s="71">
        <v>45661</v>
      </c>
      <c r="D122" s="41" t="e">
        <f>VLOOKUP(B122,辅助信息!E:K,7,FALSE)</f>
        <v>#N/A</v>
      </c>
      <c r="E122" s="41" t="str">
        <f>VLOOKUP(F122,辅助信息!A:B,2,FALSE)</f>
        <v>螺纹钢</v>
      </c>
      <c r="F122" s="41" t="s">
        <v>28</v>
      </c>
      <c r="G122" s="37">
        <v>70</v>
      </c>
      <c r="H122" s="37" t="e">
        <f>_xlfn._xlws.FILTER(#REF!,#REF!&amp;#REF!&amp;#REF!&amp;#REF!=C122&amp;F122&amp;I122&amp;J122,"未发货")</f>
        <v>#REF!</v>
      </c>
      <c r="I122" s="41" t="e">
        <f>VLOOKUP(B122,辅助信息!E:I,3,FALSE)</f>
        <v>#N/A</v>
      </c>
      <c r="J122" s="41" t="e">
        <f>VLOOKUP(B122,辅助信息!E:I,4,FALSE)</f>
        <v>#N/A</v>
      </c>
      <c r="K122" s="41" t="e">
        <f>VLOOKUP(J122,辅助信息!H:I,2,FALSE)</f>
        <v>#N/A</v>
      </c>
      <c r="L122" s="77"/>
      <c r="M122" s="78"/>
      <c r="N122" s="78"/>
      <c r="O122" s="78"/>
      <c r="P122" s="78"/>
      <c r="Q122" s="41" t="e">
        <f>VLOOKUP(B122,辅助信息!E:M,9,FALSE)</f>
        <v>#N/A</v>
      </c>
      <c r="R122" s="27"/>
    </row>
    <row r="123" hidden="1" spans="2:18">
      <c r="B123" s="41" t="s">
        <v>54</v>
      </c>
      <c r="C123" s="71">
        <v>45661</v>
      </c>
      <c r="D123" s="41" t="e">
        <f>VLOOKUP(B123,辅助信息!E:K,7,FALSE)</f>
        <v>#N/A</v>
      </c>
      <c r="E123" s="41" t="str">
        <f>VLOOKUP(F123,辅助信息!A:B,2,FALSE)</f>
        <v>螺纹钢</v>
      </c>
      <c r="F123" s="41" t="s">
        <v>32</v>
      </c>
      <c r="G123" s="37">
        <v>15</v>
      </c>
      <c r="H123" s="37" t="e">
        <f>_xlfn._xlws.FILTER(#REF!,#REF!&amp;#REF!&amp;#REF!&amp;#REF!=C123&amp;F123&amp;I123&amp;J123,"未发货")</f>
        <v>#REF!</v>
      </c>
      <c r="I123" s="41" t="e">
        <f>VLOOKUP(B123,辅助信息!E:I,3,FALSE)</f>
        <v>#N/A</v>
      </c>
      <c r="J123" s="41" t="e">
        <f>VLOOKUP(B123,辅助信息!E:I,4,FALSE)</f>
        <v>#N/A</v>
      </c>
      <c r="K123" s="41" t="e">
        <f>VLOOKUP(J123,辅助信息!H:I,2,FALSE)</f>
        <v>#N/A</v>
      </c>
      <c r="L123" s="78" t="e">
        <f>VLOOKUP(B123,辅助信息!E:J,6,FALSE)</f>
        <v>#N/A</v>
      </c>
      <c r="M123" s="78"/>
      <c r="N123" s="78"/>
      <c r="O123" s="78"/>
      <c r="P123" s="78"/>
      <c r="Q123" s="41" t="e">
        <f>VLOOKUP(B123,辅助信息!E:M,9,FALSE)</f>
        <v>#N/A</v>
      </c>
      <c r="R123" s="27"/>
    </row>
    <row r="124" hidden="1" spans="2:18">
      <c r="B124" s="41" t="s">
        <v>54</v>
      </c>
      <c r="C124" s="71">
        <v>45661</v>
      </c>
      <c r="D124" s="41" t="e">
        <f>VLOOKUP(B124,辅助信息!E:K,7,FALSE)</f>
        <v>#N/A</v>
      </c>
      <c r="E124" s="41" t="str">
        <f>VLOOKUP(F124,辅助信息!A:B,2,FALSE)</f>
        <v>螺纹钢</v>
      </c>
      <c r="F124" s="41" t="s">
        <v>33</v>
      </c>
      <c r="G124" s="37">
        <v>60</v>
      </c>
      <c r="H124" s="37" t="e">
        <f>_xlfn._xlws.FILTER(#REF!,#REF!&amp;#REF!&amp;#REF!&amp;#REF!=C124&amp;F124&amp;I124&amp;J124,"未发货")</f>
        <v>#REF!</v>
      </c>
      <c r="I124" s="41" t="e">
        <f>VLOOKUP(B124,辅助信息!E:I,3,FALSE)</f>
        <v>#N/A</v>
      </c>
      <c r="J124" s="41" t="e">
        <f>VLOOKUP(B124,辅助信息!E:I,4,FALSE)</f>
        <v>#N/A</v>
      </c>
      <c r="K124" s="41" t="e">
        <f>VLOOKUP(J124,辅助信息!H:I,2,FALSE)</f>
        <v>#N/A</v>
      </c>
      <c r="L124" s="79"/>
      <c r="M124" s="78"/>
      <c r="N124" s="78"/>
      <c r="O124" s="78"/>
      <c r="P124" s="78"/>
      <c r="Q124" s="41" t="e">
        <f>VLOOKUP(B124,辅助信息!E:M,9,FALSE)</f>
        <v>#N/A</v>
      </c>
      <c r="R124" s="27"/>
    </row>
    <row r="125" hidden="1" spans="2:18">
      <c r="B125" s="41" t="s">
        <v>54</v>
      </c>
      <c r="C125" s="71">
        <v>45661</v>
      </c>
      <c r="D125" s="41" t="e">
        <f>VLOOKUP(B125,辅助信息!E:K,7,FALSE)</f>
        <v>#N/A</v>
      </c>
      <c r="E125" s="41" t="str">
        <f>VLOOKUP(F125,辅助信息!A:B,2,FALSE)</f>
        <v>螺纹钢</v>
      </c>
      <c r="F125" s="41" t="s">
        <v>28</v>
      </c>
      <c r="G125" s="37">
        <v>15</v>
      </c>
      <c r="H125" s="37" t="e">
        <f>_xlfn._xlws.FILTER(#REF!,#REF!&amp;#REF!&amp;#REF!&amp;#REF!=C125&amp;F125&amp;I125&amp;J125,"未发货")</f>
        <v>#REF!</v>
      </c>
      <c r="I125" s="41" t="e">
        <f>VLOOKUP(B125,辅助信息!E:I,3,FALSE)</f>
        <v>#N/A</v>
      </c>
      <c r="J125" s="41" t="e">
        <f>VLOOKUP(B125,辅助信息!E:I,4,FALSE)</f>
        <v>#N/A</v>
      </c>
      <c r="K125" s="41" t="e">
        <f>VLOOKUP(J125,辅助信息!H:I,2,FALSE)</f>
        <v>#N/A</v>
      </c>
      <c r="L125" s="77"/>
      <c r="M125" s="78"/>
      <c r="N125" s="78"/>
      <c r="O125" s="78"/>
      <c r="P125" s="78"/>
      <c r="Q125" s="41" t="e">
        <f>VLOOKUP(B125,辅助信息!E:M,9,FALSE)</f>
        <v>#N/A</v>
      </c>
      <c r="R125" s="27"/>
    </row>
    <row r="126" hidden="1" spans="1:18">
      <c r="A126" s="83" t="s">
        <v>55</v>
      </c>
      <c r="B126" s="41" t="s">
        <v>56</v>
      </c>
      <c r="C126" s="71">
        <v>45661</v>
      </c>
      <c r="D126" s="41" t="str">
        <f>VLOOKUP(B126,辅助信息!E:K,7,FALSE)</f>
        <v>JWDDCD2025052800131</v>
      </c>
      <c r="E126" s="41" t="str">
        <f>VLOOKUP(F126,辅助信息!A:B,2,FALSE)</f>
        <v>高线</v>
      </c>
      <c r="F126" s="41" t="s">
        <v>57</v>
      </c>
      <c r="G126" s="37">
        <v>6</v>
      </c>
      <c r="H126" s="37" t="e">
        <f>_xlfn._xlws.FILTER(#REF!,#REF!&amp;#REF!&amp;#REF!&amp;#REF!=C126&amp;F126&amp;I126&amp;J126,"未发货")</f>
        <v>#REF!</v>
      </c>
      <c r="I126" s="41" t="str">
        <f>VLOOKUP(B126,辅助信息!E:I,3,FALSE)</f>
        <v>（商投建工达州中医药科技园-4工区-7号楼）达州市通川区达州中医药职业学院犀牛大道北段</v>
      </c>
      <c r="J126" s="41" t="str">
        <f>VLOOKUP(B126,辅助信息!E:I,4,FALSE)</f>
        <v>张扬</v>
      </c>
      <c r="K126" s="41">
        <f>VLOOKUP(J126,辅助信息!H:I,2,FALSE)</f>
        <v>18381904567</v>
      </c>
      <c r="L126" s="58"/>
      <c r="M126" s="58"/>
      <c r="N126" s="58"/>
      <c r="O126" s="58"/>
      <c r="P126" s="58"/>
      <c r="Q126" s="27"/>
      <c r="R126" s="27"/>
    </row>
    <row r="127" hidden="1" spans="1:18">
      <c r="A127" s="79"/>
      <c r="B127" s="41" t="s">
        <v>56</v>
      </c>
      <c r="C127" s="71">
        <v>45661</v>
      </c>
      <c r="D127" s="41" t="str">
        <f>VLOOKUP(B127,辅助信息!E:K,7,FALSE)</f>
        <v>JWDDCD2025052800131</v>
      </c>
      <c r="E127" s="41" t="str">
        <f>VLOOKUP(F127,辅助信息!A:B,2,FALSE)</f>
        <v>盘螺</v>
      </c>
      <c r="F127" s="41" t="s">
        <v>49</v>
      </c>
      <c r="G127" s="37">
        <v>9</v>
      </c>
      <c r="H127" s="37" t="e">
        <f>_xlfn._xlws.FILTER(#REF!,#REF!&amp;#REF!&amp;#REF!&amp;#REF!=C127&amp;F127&amp;I127&amp;J127,"未发货")</f>
        <v>#REF!</v>
      </c>
      <c r="I127" s="41" t="str">
        <f>VLOOKUP(B127,辅助信息!E:I,3,FALSE)</f>
        <v>（商投建工达州中医药科技园-4工区-7号楼）达州市通川区达州中医药职业学院犀牛大道北段</v>
      </c>
      <c r="J127" s="41" t="str">
        <f>VLOOKUP(B127,辅助信息!E:I,4,FALSE)</f>
        <v>张扬</v>
      </c>
      <c r="K127" s="41">
        <f>VLOOKUP(J127,辅助信息!H:I,2,FALSE)</f>
        <v>18381904567</v>
      </c>
      <c r="L127" s="58"/>
      <c r="M127" s="58"/>
      <c r="N127" s="58"/>
      <c r="O127" s="58"/>
      <c r="P127" s="58"/>
      <c r="Q127" s="27"/>
      <c r="R127" s="27"/>
    </row>
    <row r="128" hidden="1" spans="1:18">
      <c r="A128" s="79"/>
      <c r="B128" s="41" t="s">
        <v>56</v>
      </c>
      <c r="C128" s="71">
        <v>45661</v>
      </c>
      <c r="D128" s="41" t="str">
        <f>VLOOKUP(B128,辅助信息!E:K,7,FALSE)</f>
        <v>JWDDCD2025052800131</v>
      </c>
      <c r="E128" s="41" t="str">
        <f>VLOOKUP(F128,辅助信息!A:B,2,FALSE)</f>
        <v>螺纹钢</v>
      </c>
      <c r="F128" s="41" t="s">
        <v>30</v>
      </c>
      <c r="G128" s="37">
        <v>3</v>
      </c>
      <c r="H128" s="37" t="e">
        <f>_xlfn._xlws.FILTER(#REF!,#REF!&amp;#REF!&amp;#REF!&amp;#REF!=C128&amp;F128&amp;I128&amp;J128,"未发货")</f>
        <v>#REF!</v>
      </c>
      <c r="I128" s="41" t="str">
        <f>VLOOKUP(B128,辅助信息!E:I,3,FALSE)</f>
        <v>（商投建工达州中医药科技园-4工区-7号楼）达州市通川区达州中医药职业学院犀牛大道北段</v>
      </c>
      <c r="J128" s="41" t="str">
        <f>VLOOKUP(B128,辅助信息!E:I,4,FALSE)</f>
        <v>张扬</v>
      </c>
      <c r="K128" s="41">
        <f>VLOOKUP(J128,辅助信息!H:I,2,FALSE)</f>
        <v>18381904567</v>
      </c>
      <c r="L128" s="58"/>
      <c r="M128" s="58"/>
      <c r="N128" s="58"/>
      <c r="O128" s="58"/>
      <c r="P128" s="58"/>
      <c r="Q128" s="27"/>
      <c r="R128" s="27"/>
    </row>
    <row r="129" hidden="1" spans="1:18">
      <c r="A129" s="79"/>
      <c r="B129" s="41" t="s">
        <v>56</v>
      </c>
      <c r="C129" s="71">
        <v>45661</v>
      </c>
      <c r="D129" s="41" t="str">
        <f>VLOOKUP(B129,辅助信息!E:K,7,FALSE)</f>
        <v>JWDDCD2025052800131</v>
      </c>
      <c r="E129" s="41" t="str">
        <f>VLOOKUP(F129,辅助信息!A:B,2,FALSE)</f>
        <v>螺纹钢</v>
      </c>
      <c r="F129" s="41" t="s">
        <v>28</v>
      </c>
      <c r="G129" s="37">
        <v>15</v>
      </c>
      <c r="H129" s="37" t="e">
        <f>_xlfn._xlws.FILTER(#REF!,#REF!&amp;#REF!&amp;#REF!&amp;#REF!=C129&amp;F129&amp;I129&amp;J129,"未发货")</f>
        <v>#REF!</v>
      </c>
      <c r="I129" s="41" t="str">
        <f>VLOOKUP(B129,辅助信息!E:I,3,FALSE)</f>
        <v>（商投建工达州中医药科技园-4工区-7号楼）达州市通川区达州中医药职业学院犀牛大道北段</v>
      </c>
      <c r="J129" s="41" t="str">
        <f>VLOOKUP(B129,辅助信息!E:I,4,FALSE)</f>
        <v>张扬</v>
      </c>
      <c r="K129" s="41">
        <f>VLOOKUP(J129,辅助信息!H:I,2,FALSE)</f>
        <v>18381904567</v>
      </c>
      <c r="L129" s="58"/>
      <c r="M129" s="58"/>
      <c r="N129" s="58"/>
      <c r="O129" s="58"/>
      <c r="P129" s="58"/>
      <c r="Q129" s="27"/>
      <c r="R129" s="27"/>
    </row>
    <row r="130" hidden="1" spans="1:18">
      <c r="A130" s="79"/>
      <c r="B130" s="41" t="s">
        <v>56</v>
      </c>
      <c r="C130" s="71">
        <v>45661</v>
      </c>
      <c r="D130" s="41" t="str">
        <f>VLOOKUP(B130,辅助信息!E:K,7,FALSE)</f>
        <v>JWDDCD2025052800131</v>
      </c>
      <c r="E130" s="41" t="str">
        <f>VLOOKUP(F130,辅助信息!A:B,2,FALSE)</f>
        <v>螺纹钢</v>
      </c>
      <c r="F130" s="41" t="s">
        <v>21</v>
      </c>
      <c r="G130" s="37">
        <v>6</v>
      </c>
      <c r="H130" s="37" t="e">
        <f>_xlfn._xlws.FILTER(#REF!,#REF!&amp;#REF!&amp;#REF!&amp;#REF!=C130&amp;F130&amp;I130&amp;J130,"未发货")</f>
        <v>#REF!</v>
      </c>
      <c r="I130" s="41" t="str">
        <f>VLOOKUP(B130,辅助信息!E:I,3,FALSE)</f>
        <v>（商投建工达州中医药科技园-4工区-7号楼）达州市通川区达州中医药职业学院犀牛大道北段</v>
      </c>
      <c r="J130" s="41" t="str">
        <f>VLOOKUP(B130,辅助信息!E:I,4,FALSE)</f>
        <v>张扬</v>
      </c>
      <c r="K130" s="41">
        <f>VLOOKUP(J130,辅助信息!H:I,2,FALSE)</f>
        <v>18381904567</v>
      </c>
      <c r="L130" s="58"/>
      <c r="M130" s="58"/>
      <c r="N130" s="58"/>
      <c r="O130" s="58"/>
      <c r="P130" s="58"/>
      <c r="Q130" s="27"/>
      <c r="R130" s="27"/>
    </row>
    <row r="131" hidden="1" spans="1:18">
      <c r="A131" s="79"/>
      <c r="B131" s="41" t="s">
        <v>56</v>
      </c>
      <c r="C131" s="71">
        <v>45661</v>
      </c>
      <c r="D131" s="41" t="str">
        <f>VLOOKUP(B131,辅助信息!E:K,7,FALSE)</f>
        <v>JWDDCD2025052800131</v>
      </c>
      <c r="E131" s="41" t="str">
        <f>VLOOKUP(F131,辅助信息!A:B,2,FALSE)</f>
        <v>螺纹钢</v>
      </c>
      <c r="F131" s="41" t="s">
        <v>58</v>
      </c>
      <c r="G131" s="37">
        <v>27</v>
      </c>
      <c r="H131" s="37" t="e">
        <f>_xlfn._xlws.FILTER(#REF!,#REF!&amp;#REF!&amp;#REF!&amp;#REF!=C131&amp;F131&amp;I131&amp;J131,"未发货")</f>
        <v>#REF!</v>
      </c>
      <c r="I131" s="41" t="str">
        <f>VLOOKUP(B131,辅助信息!E:I,3,FALSE)</f>
        <v>（商投建工达州中医药科技园-4工区-7号楼）达州市通川区达州中医药职业学院犀牛大道北段</v>
      </c>
      <c r="J131" s="41" t="str">
        <f>VLOOKUP(B131,辅助信息!E:I,4,FALSE)</f>
        <v>张扬</v>
      </c>
      <c r="K131" s="41">
        <f>VLOOKUP(J131,辅助信息!H:I,2,FALSE)</f>
        <v>18381904567</v>
      </c>
      <c r="L131" s="58"/>
      <c r="M131" s="58"/>
      <c r="N131" s="58"/>
      <c r="O131" s="58"/>
      <c r="P131" s="58"/>
      <c r="Q131" s="27"/>
      <c r="R131" s="27"/>
    </row>
    <row r="132" hidden="1" spans="1:18">
      <c r="A132" s="79"/>
      <c r="B132" s="41" t="s">
        <v>56</v>
      </c>
      <c r="C132" s="71">
        <v>45661</v>
      </c>
      <c r="D132" s="41" t="str">
        <f>VLOOKUP(B132,辅助信息!E:K,7,FALSE)</f>
        <v>JWDDCD2025052800131</v>
      </c>
      <c r="E132" s="41" t="str">
        <f>VLOOKUP(F132,辅助信息!A:B,2,FALSE)</f>
        <v>螺纹钢</v>
      </c>
      <c r="F132" s="41" t="s">
        <v>46</v>
      </c>
      <c r="G132" s="37">
        <v>9</v>
      </c>
      <c r="H132" s="37" t="e">
        <f>_xlfn._xlws.FILTER(#REF!,#REF!&amp;#REF!&amp;#REF!&amp;#REF!=C132&amp;F132&amp;I132&amp;J132,"未发货")</f>
        <v>#REF!</v>
      </c>
      <c r="I132" s="41" t="str">
        <f>VLOOKUP(B132,辅助信息!E:I,3,FALSE)</f>
        <v>（商投建工达州中医药科技园-4工区-7号楼）达州市通川区达州中医药职业学院犀牛大道北段</v>
      </c>
      <c r="J132" s="41" t="str">
        <f>VLOOKUP(B132,辅助信息!E:I,4,FALSE)</f>
        <v>张扬</v>
      </c>
      <c r="K132" s="41">
        <f>VLOOKUP(J132,辅助信息!H:I,2,FALSE)</f>
        <v>18381904567</v>
      </c>
      <c r="L132" s="58"/>
      <c r="M132" s="58"/>
      <c r="N132" s="58"/>
      <c r="O132" s="58"/>
      <c r="P132" s="58"/>
      <c r="Q132" s="27"/>
      <c r="R132" s="27"/>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7"/>
      <c r="R133" s="27"/>
    </row>
    <row r="134" ht="78.75" hidden="1" customHeight="1" spans="1:18">
      <c r="A134" s="72"/>
      <c r="B134" s="41" t="s">
        <v>59</v>
      </c>
      <c r="C134" s="71">
        <v>45662</v>
      </c>
      <c r="D134" s="41" t="str">
        <f>VLOOKUP(B134,辅助信息!E:K,7,FALSE)</f>
        <v>JWDDCD2025051000019</v>
      </c>
      <c r="E134" s="41" t="str">
        <f>VLOOKUP(F134,辅助信息!A:B,2,FALSE)</f>
        <v>盘螺</v>
      </c>
      <c r="F134" s="41" t="s">
        <v>49</v>
      </c>
      <c r="G134" s="37">
        <v>35</v>
      </c>
      <c r="H134" s="37" t="e">
        <f>_xlfn._xlws.FILTER(#REF!,#REF!&amp;#REF!&amp;#REF!&amp;#REF!=C134&amp;F134&amp;I134&amp;J134,"未发货")</f>
        <v>#REF!</v>
      </c>
      <c r="I134" s="41" t="str">
        <f>VLOOKUP(B134,辅助信息!E:I,3,FALSE)</f>
        <v>(五冶钢构医学科学产业园建设项目房建二部-三标（1-2）)四川省南充市顺庆区搬罾街道学府大道二段</v>
      </c>
      <c r="J134" s="41" t="str">
        <f>VLOOKUP(B134,辅助信息!E:I,4,FALSE)</f>
        <v>安南</v>
      </c>
      <c r="K134" s="41">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1" t="str">
        <f>VLOOKUP(B134,辅助信息!E:M,9,FALSE)</f>
        <v>ZTWM-CDGS-XS-2024-0248-五冶钢构-南充市医学院项目</v>
      </c>
      <c r="R134" s="27"/>
    </row>
    <row r="135" hidden="1" spans="2:18">
      <c r="B135" s="41" t="s">
        <v>24</v>
      </c>
      <c r="C135" s="71">
        <v>45662</v>
      </c>
      <c r="D135" s="41" t="str">
        <f>VLOOKUP(B135,辅助信息!E:K,7,FALSE)</f>
        <v>JWDDCD2025051000019</v>
      </c>
      <c r="E135" s="41" t="str">
        <f>VLOOKUP(F135,辅助信息!A:B,2,FALSE)</f>
        <v>螺纹钢</v>
      </c>
      <c r="F135" s="41" t="s">
        <v>21</v>
      </c>
      <c r="G135" s="37">
        <v>10</v>
      </c>
      <c r="H135" s="37" t="e">
        <f>_xlfn._xlws.FILTER(#REF!,#REF!&amp;#REF!&amp;#REF!&amp;#REF!=C135&amp;F135&amp;I135&amp;J135,"未发货")</f>
        <v>#REF!</v>
      </c>
      <c r="I135" s="41" t="str">
        <f>VLOOKUP(B135,辅助信息!E:I,3,FALSE)</f>
        <v>(五冶钢构医学科学产业园建设项目房建三部-一标（7-4）)四川省南充市顺庆区搬罾街道学府大道二段</v>
      </c>
      <c r="J135" s="41" t="str">
        <f>VLOOKUP(B135,辅助信息!E:I,4,FALSE)</f>
        <v>郑林</v>
      </c>
      <c r="K135" s="41">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1" t="str">
        <f>VLOOKUP(B135,辅助信息!E:M,9,FALSE)</f>
        <v>ZTWM-CDGS-XS-2024-0248-五冶钢构-南充市医学院项目</v>
      </c>
      <c r="R135" s="27"/>
    </row>
    <row r="136" hidden="1" spans="2:18">
      <c r="B136" s="41" t="s">
        <v>24</v>
      </c>
      <c r="C136" s="71">
        <v>45662</v>
      </c>
      <c r="D136" s="41" t="str">
        <f>VLOOKUP(B136,辅助信息!E:K,7,FALSE)</f>
        <v>JWDDCD2025051000019</v>
      </c>
      <c r="E136" s="41" t="str">
        <f>VLOOKUP(F136,辅助信息!A:B,2,FALSE)</f>
        <v>螺纹钢</v>
      </c>
      <c r="F136" s="41" t="s">
        <v>22</v>
      </c>
      <c r="G136" s="37">
        <v>25</v>
      </c>
      <c r="H136" s="37" t="e">
        <f>_xlfn._xlws.FILTER(#REF!,#REF!&amp;#REF!&amp;#REF!&amp;#REF!=C136&amp;F136&amp;I136&amp;J136,"未发货")</f>
        <v>#REF!</v>
      </c>
      <c r="I136" s="41" t="str">
        <f>VLOOKUP(B136,辅助信息!E:I,3,FALSE)</f>
        <v>(五冶钢构医学科学产业园建设项目房建三部-一标（7-4）)四川省南充市顺庆区搬罾街道学府大道二段</v>
      </c>
      <c r="J136" s="41" t="str">
        <f>VLOOKUP(B136,辅助信息!E:I,4,FALSE)</f>
        <v>郑林</v>
      </c>
      <c r="K136" s="41">
        <f>VLOOKUP(J136,辅助信息!H:I,2,FALSE)</f>
        <v>18349955455</v>
      </c>
      <c r="L136" s="77"/>
      <c r="M136" s="78"/>
      <c r="N136" s="78"/>
      <c r="O136" s="78"/>
      <c r="P136" s="78"/>
      <c r="Q136" s="41" t="str">
        <f>VLOOKUP(B136,辅助信息!E:M,9,FALSE)</f>
        <v>ZTWM-CDGS-XS-2024-0248-五冶钢构-南充市医学院项目</v>
      </c>
      <c r="R136" s="27"/>
    </row>
    <row r="137" hidden="1" spans="2:18">
      <c r="B137" s="41" t="s">
        <v>25</v>
      </c>
      <c r="C137" s="71">
        <v>45662</v>
      </c>
      <c r="D137" s="41" t="e">
        <f>VLOOKUP(B137,辅助信息!E:K,7,FALSE)</f>
        <v>#N/A</v>
      </c>
      <c r="E137" s="41" t="str">
        <f>VLOOKUP(F137,辅助信息!A:B,2,FALSE)</f>
        <v>盘螺</v>
      </c>
      <c r="F137" s="41" t="s">
        <v>26</v>
      </c>
      <c r="G137" s="37">
        <v>3</v>
      </c>
      <c r="H137" s="37" t="e">
        <f>_xlfn._xlws.FILTER(#REF!,#REF!&amp;#REF!&amp;#REF!&amp;#REF!=C137&amp;F137&amp;I137&amp;J137,"未发货")</f>
        <v>#REF!</v>
      </c>
      <c r="I137" s="41" t="e">
        <f>VLOOKUP(B137,辅助信息!E:I,3,FALSE)</f>
        <v>#N/A</v>
      </c>
      <c r="J137" s="41" t="e">
        <f>VLOOKUP(B137,辅助信息!E:I,4,FALSE)</f>
        <v>#N/A</v>
      </c>
      <c r="K137" s="41" t="e">
        <f>VLOOKUP(J137,辅助信息!H:I,2,FALSE)</f>
        <v>#N/A</v>
      </c>
      <c r="L137" s="78" t="e">
        <f>VLOOKUP(B137,辅助信息!E:J,6,FALSE)</f>
        <v>#N/A</v>
      </c>
      <c r="M137" s="78"/>
      <c r="N137" s="78"/>
      <c r="O137" s="78"/>
      <c r="P137" s="78"/>
      <c r="Q137" s="41" t="e">
        <f>VLOOKUP(B137,辅助信息!E:M,9,FALSE)</f>
        <v>#N/A</v>
      </c>
      <c r="R137" s="27"/>
    </row>
    <row r="138" hidden="1" spans="2:18">
      <c r="B138" s="41" t="s">
        <v>25</v>
      </c>
      <c r="C138" s="71">
        <v>45662</v>
      </c>
      <c r="D138" s="41" t="e">
        <f>VLOOKUP(B138,辅助信息!E:K,7,FALSE)</f>
        <v>#N/A</v>
      </c>
      <c r="E138" s="41" t="str">
        <f>VLOOKUP(F138,辅助信息!A:B,2,FALSE)</f>
        <v>螺纹钢</v>
      </c>
      <c r="F138" s="41" t="s">
        <v>27</v>
      </c>
      <c r="G138" s="37">
        <v>13</v>
      </c>
      <c r="H138" s="37" t="e">
        <f>_xlfn._xlws.FILTER(#REF!,#REF!&amp;#REF!&amp;#REF!&amp;#REF!=C138&amp;F138&amp;I138&amp;J138,"未发货")</f>
        <v>#REF!</v>
      </c>
      <c r="I138" s="41" t="e">
        <f>VLOOKUP(B138,辅助信息!E:I,3,FALSE)</f>
        <v>#N/A</v>
      </c>
      <c r="J138" s="41" t="e">
        <f>VLOOKUP(B138,辅助信息!E:I,4,FALSE)</f>
        <v>#N/A</v>
      </c>
      <c r="K138" s="41" t="e">
        <f>VLOOKUP(J138,辅助信息!H:I,2,FALSE)</f>
        <v>#N/A</v>
      </c>
      <c r="L138" s="79"/>
      <c r="M138" s="78"/>
      <c r="N138" s="78"/>
      <c r="O138" s="78"/>
      <c r="P138" s="78"/>
      <c r="Q138" s="41" t="e">
        <f>VLOOKUP(B138,辅助信息!E:M,9,FALSE)</f>
        <v>#N/A</v>
      </c>
      <c r="R138" s="27"/>
    </row>
    <row r="139" hidden="1" spans="2:18">
      <c r="B139" s="41" t="s">
        <v>25</v>
      </c>
      <c r="C139" s="71">
        <v>45662</v>
      </c>
      <c r="D139" s="41" t="e">
        <f>VLOOKUP(B139,辅助信息!E:K,7,FALSE)</f>
        <v>#N/A</v>
      </c>
      <c r="E139" s="41" t="str">
        <f>VLOOKUP(F139,辅助信息!A:B,2,FALSE)</f>
        <v>螺纹钢</v>
      </c>
      <c r="F139" s="41" t="s">
        <v>19</v>
      </c>
      <c r="G139" s="37">
        <v>10</v>
      </c>
      <c r="H139" s="37" t="e">
        <f>_xlfn._xlws.FILTER(#REF!,#REF!&amp;#REF!&amp;#REF!&amp;#REF!=C139&amp;F139&amp;I139&amp;J139,"未发货")</f>
        <v>#REF!</v>
      </c>
      <c r="I139" s="41" t="e">
        <f>VLOOKUP(B139,辅助信息!E:I,3,FALSE)</f>
        <v>#N/A</v>
      </c>
      <c r="J139" s="41" t="e">
        <f>VLOOKUP(B139,辅助信息!E:I,4,FALSE)</f>
        <v>#N/A</v>
      </c>
      <c r="K139" s="41" t="e">
        <f>VLOOKUP(J139,辅助信息!H:I,2,FALSE)</f>
        <v>#N/A</v>
      </c>
      <c r="L139" s="79"/>
      <c r="M139" s="78"/>
      <c r="N139" s="78"/>
      <c r="O139" s="78"/>
      <c r="P139" s="78"/>
      <c r="Q139" s="41" t="e">
        <f>VLOOKUP(B139,辅助信息!E:M,9,FALSE)</f>
        <v>#N/A</v>
      </c>
      <c r="R139" s="27"/>
    </row>
    <row r="140" hidden="1" spans="2:18">
      <c r="B140" s="41" t="s">
        <v>25</v>
      </c>
      <c r="C140" s="71">
        <v>45662</v>
      </c>
      <c r="D140" s="41" t="e">
        <f>VLOOKUP(B140,辅助信息!E:K,7,FALSE)</f>
        <v>#N/A</v>
      </c>
      <c r="E140" s="41" t="str">
        <f>VLOOKUP(F140,辅助信息!A:B,2,FALSE)</f>
        <v>螺纹钢</v>
      </c>
      <c r="F140" s="41" t="s">
        <v>28</v>
      </c>
      <c r="G140" s="37">
        <v>10</v>
      </c>
      <c r="H140" s="37" t="e">
        <f>_xlfn._xlws.FILTER(#REF!,#REF!&amp;#REF!&amp;#REF!&amp;#REF!=C140&amp;F140&amp;I140&amp;J140,"未发货")</f>
        <v>#REF!</v>
      </c>
      <c r="I140" s="41" t="e">
        <f>VLOOKUP(B140,辅助信息!E:I,3,FALSE)</f>
        <v>#N/A</v>
      </c>
      <c r="J140" s="41" t="e">
        <f>VLOOKUP(B140,辅助信息!E:I,4,FALSE)</f>
        <v>#N/A</v>
      </c>
      <c r="K140" s="41" t="e">
        <f>VLOOKUP(J140,辅助信息!H:I,2,FALSE)</f>
        <v>#N/A</v>
      </c>
      <c r="L140" s="77"/>
      <c r="M140" s="78"/>
      <c r="N140" s="78"/>
      <c r="O140" s="78"/>
      <c r="P140" s="78"/>
      <c r="Q140" s="41" t="e">
        <f>VLOOKUP(B140,辅助信息!E:M,9,FALSE)</f>
        <v>#N/A</v>
      </c>
      <c r="R140" s="27"/>
    </row>
    <row r="141" hidden="1" spans="2:18">
      <c r="B141" s="41" t="s">
        <v>17</v>
      </c>
      <c r="C141" s="71">
        <v>45662</v>
      </c>
      <c r="D141" s="41" t="str">
        <f>VLOOKUP(B141,辅助信息!E:K,7,FALSE)</f>
        <v>JWDDCD2024101600090</v>
      </c>
      <c r="E141" s="41" t="str">
        <f>VLOOKUP(F141,辅助信息!A:B,2,FALSE)</f>
        <v>螺纹钢</v>
      </c>
      <c r="F141" s="41" t="s">
        <v>28</v>
      </c>
      <c r="G141" s="37">
        <v>8</v>
      </c>
      <c r="H141" s="37" t="e">
        <f>_xlfn._xlws.FILTER(#REF!,#REF!&amp;#REF!&amp;#REF!&amp;#REF!=C141&amp;F141&amp;I141&amp;J141,"未发货")</f>
        <v>#REF!</v>
      </c>
      <c r="I141" s="41" t="str">
        <f>VLOOKUP(B141,辅助信息!E:I,3,FALSE)</f>
        <v>（达州市公共卫生临床医疗中心项目-一标-1号制作房）达州市通川区西外复兴镇公共卫生临床医疗中心项目</v>
      </c>
      <c r="J141" s="41" t="str">
        <f>VLOOKUP(B141,辅助信息!E:I,4,FALSE)</f>
        <v>潘建发</v>
      </c>
      <c r="K141" s="41">
        <f>VLOOKUP(J141,辅助信息!H:I,2,FALSE)</f>
        <v>13658059919</v>
      </c>
      <c r="L141" s="78" t="str">
        <f>VLOOKUP(B141,辅助信息!E:J,6,FALSE)</f>
        <v>提前联系到场规格,一天到场车辆不低于2车</v>
      </c>
      <c r="M141" s="78"/>
      <c r="N141" s="78"/>
      <c r="O141" s="78"/>
      <c r="P141" s="78"/>
      <c r="Q141" s="41" t="str">
        <f>VLOOKUP(B141,辅助信息!E:M,9,FALSE)</f>
        <v>ZTWM-CDGS-XS-2024-0205-五冶钢构-达州市通川区西外复兴镇及临近片区建设项目</v>
      </c>
      <c r="R141" s="27"/>
    </row>
    <row r="142" hidden="1" spans="2:18">
      <c r="B142" s="41" t="s">
        <v>17</v>
      </c>
      <c r="C142" s="71">
        <v>45662</v>
      </c>
      <c r="D142" s="41" t="str">
        <f>VLOOKUP(B142,辅助信息!E:K,7,FALSE)</f>
        <v>JWDDCD2024101600090</v>
      </c>
      <c r="E142" s="41" t="str">
        <f>VLOOKUP(F142,辅助信息!A:B,2,FALSE)</f>
        <v>螺纹钢</v>
      </c>
      <c r="F142" s="41" t="s">
        <v>18</v>
      </c>
      <c r="G142" s="37">
        <v>149</v>
      </c>
      <c r="H142" s="37">
        <v>108</v>
      </c>
      <c r="I142" s="41" t="str">
        <f>VLOOKUP(B142,辅助信息!E:I,3,FALSE)</f>
        <v>（达州市公共卫生临床医疗中心项目-一标-1号制作房）达州市通川区西外复兴镇公共卫生临床医疗中心项目</v>
      </c>
      <c r="J142" s="41" t="str">
        <f>VLOOKUP(B142,辅助信息!E:I,4,FALSE)</f>
        <v>潘建发</v>
      </c>
      <c r="K142" s="41">
        <f>VLOOKUP(J142,辅助信息!H:I,2,FALSE)</f>
        <v>13658059919</v>
      </c>
      <c r="L142" s="79"/>
      <c r="M142" s="78"/>
      <c r="N142" s="78"/>
      <c r="O142" s="78"/>
      <c r="P142" s="78"/>
      <c r="Q142" s="41" t="str">
        <f>VLOOKUP(B142,辅助信息!E:M,9,FALSE)</f>
        <v>ZTWM-CDGS-XS-2024-0205-五冶钢构-达州市通川区西外复兴镇及临近片区建设项目</v>
      </c>
      <c r="R142" s="27"/>
    </row>
    <row r="143" hidden="1" spans="2:18">
      <c r="B143" s="41" t="s">
        <v>17</v>
      </c>
      <c r="C143" s="71">
        <v>45662</v>
      </c>
      <c r="D143" s="41" t="str">
        <f>VLOOKUP(B143,辅助信息!E:K,7,FALSE)</f>
        <v>JWDDCD2024101600090</v>
      </c>
      <c r="E143" s="41" t="str">
        <f>VLOOKUP(F143,辅助信息!A:B,2,FALSE)</f>
        <v>螺纹钢</v>
      </c>
      <c r="F143" s="41" t="s">
        <v>27</v>
      </c>
      <c r="G143" s="37">
        <v>31</v>
      </c>
      <c r="H143" s="37" t="e">
        <f>_xlfn._xlws.FILTER(#REF!,#REF!&amp;#REF!&amp;#REF!&amp;#REF!=C143&amp;F143&amp;I143&amp;J143,"未发货")</f>
        <v>#REF!</v>
      </c>
      <c r="I143" s="41" t="str">
        <f>VLOOKUP(B143,辅助信息!E:I,3,FALSE)</f>
        <v>（达州市公共卫生临床医疗中心项目-一标-1号制作房）达州市通川区西外复兴镇公共卫生临床医疗中心项目</v>
      </c>
      <c r="J143" s="41" t="str">
        <f>VLOOKUP(B143,辅助信息!E:I,4,FALSE)</f>
        <v>潘建发</v>
      </c>
      <c r="K143" s="41">
        <f>VLOOKUP(J143,辅助信息!H:I,2,FALSE)</f>
        <v>13658059919</v>
      </c>
      <c r="L143" s="77"/>
      <c r="M143" s="78"/>
      <c r="N143" s="78"/>
      <c r="O143" s="78"/>
      <c r="P143" s="78"/>
      <c r="Q143" s="41" t="str">
        <f>VLOOKUP(B143,辅助信息!E:M,9,FALSE)</f>
        <v>ZTWM-CDGS-XS-2024-0205-五冶钢构-达州市通川区西外复兴镇及临近片区建设项目</v>
      </c>
      <c r="R143" s="27"/>
    </row>
    <row r="144" hidden="1" spans="2:18">
      <c r="B144" s="41" t="s">
        <v>44</v>
      </c>
      <c r="C144" s="71">
        <v>45662</v>
      </c>
      <c r="D144" s="41" t="str">
        <f>VLOOKUP(B144,辅助信息!E:K,7,FALSE)</f>
        <v>JWDDCD2025060600053</v>
      </c>
      <c r="E144" s="41" t="str">
        <f>VLOOKUP(F144,辅助信息!A:B,2,FALSE)</f>
        <v>盘螺</v>
      </c>
      <c r="F144" s="41" t="s">
        <v>41</v>
      </c>
      <c r="G144" s="37">
        <v>10</v>
      </c>
      <c r="H144" s="37" t="e">
        <f>_xlfn._xlws.FILTER(#REF!,#REF!&amp;#REF!&amp;#REF!&amp;#REF!=C144&amp;F144&amp;I144&amp;J144,"未发货")</f>
        <v>#REF!</v>
      </c>
      <c r="I144" s="41" t="str">
        <f>VLOOKUP(B144,辅助信息!E:I,3,FALSE)</f>
        <v>（华西酒城南）成都市武侯区火车南站西路8号酒城南项目</v>
      </c>
      <c r="J144" s="41" t="str">
        <f>VLOOKUP(B144,辅助信息!E:I,4,FALSE)</f>
        <v>龙耀宇</v>
      </c>
      <c r="K144" s="41">
        <f>VLOOKUP(J144,辅助信息!H:I,2,FALSE)</f>
        <v>18384145895</v>
      </c>
      <c r="L144" s="78" t="str">
        <f>VLOOKUP(B144,辅助信息!E:J,6,FALSE)</f>
        <v>对方卸车</v>
      </c>
      <c r="M144" s="78"/>
      <c r="N144" s="78"/>
      <c r="O144" s="78"/>
      <c r="P144" s="78"/>
      <c r="Q144" s="41" t="str">
        <f>VLOOKUP(B144,辅助信息!E:M,9,FALSE)</f>
        <v>ZTWM-CDGS-XS-2024-0189-华西集采-酒城南项目</v>
      </c>
      <c r="R144" s="27"/>
    </row>
    <row r="145" hidden="1" spans="2:18">
      <c r="B145" s="41" t="s">
        <v>44</v>
      </c>
      <c r="C145" s="71">
        <v>45662</v>
      </c>
      <c r="D145" s="41" t="str">
        <f>VLOOKUP(B145,辅助信息!E:K,7,FALSE)</f>
        <v>JWDDCD2025060600053</v>
      </c>
      <c r="E145" s="41" t="str">
        <f>VLOOKUP(F145,辅助信息!A:B,2,FALSE)</f>
        <v>盘螺</v>
      </c>
      <c r="F145" s="41" t="s">
        <v>26</v>
      </c>
      <c r="G145" s="37">
        <v>10</v>
      </c>
      <c r="H145" s="37" t="e">
        <f>_xlfn._xlws.FILTER(#REF!,#REF!&amp;#REF!&amp;#REF!&amp;#REF!=C145&amp;F145&amp;I145&amp;J145,"未发货")</f>
        <v>#REF!</v>
      </c>
      <c r="I145" s="41" t="str">
        <f>VLOOKUP(B145,辅助信息!E:I,3,FALSE)</f>
        <v>（华西酒城南）成都市武侯区火车南站西路8号酒城南项目</v>
      </c>
      <c r="J145" s="41" t="str">
        <f>VLOOKUP(B145,辅助信息!E:I,4,FALSE)</f>
        <v>龙耀宇</v>
      </c>
      <c r="K145" s="41">
        <f>VLOOKUP(J145,辅助信息!H:I,2,FALSE)</f>
        <v>18384145895</v>
      </c>
      <c r="L145" s="79"/>
      <c r="M145" s="78"/>
      <c r="N145" s="78"/>
      <c r="O145" s="78"/>
      <c r="P145" s="78"/>
      <c r="Q145" s="41" t="str">
        <f>VLOOKUP(B145,辅助信息!E:M,9,FALSE)</f>
        <v>ZTWM-CDGS-XS-2024-0189-华西集采-酒城南项目</v>
      </c>
      <c r="R145" s="27"/>
    </row>
    <row r="146" hidden="1" spans="2:18">
      <c r="B146" s="41" t="s">
        <v>44</v>
      </c>
      <c r="C146" s="71">
        <v>45662</v>
      </c>
      <c r="D146" s="41" t="str">
        <f>VLOOKUP(B146,辅助信息!E:K,7,FALSE)</f>
        <v>JWDDCD2025060600053</v>
      </c>
      <c r="E146" s="41" t="str">
        <f>VLOOKUP(F146,辅助信息!A:B,2,FALSE)</f>
        <v>螺纹钢</v>
      </c>
      <c r="F146" s="41" t="s">
        <v>22</v>
      </c>
      <c r="G146" s="37">
        <v>16</v>
      </c>
      <c r="H146" s="37" t="e">
        <f>_xlfn._xlws.FILTER(#REF!,#REF!&amp;#REF!&amp;#REF!&amp;#REF!=C146&amp;F146&amp;I146&amp;J146,"未发货")</f>
        <v>#REF!</v>
      </c>
      <c r="I146" s="41" t="str">
        <f>VLOOKUP(B146,辅助信息!E:I,3,FALSE)</f>
        <v>（华西酒城南）成都市武侯区火车南站西路8号酒城南项目</v>
      </c>
      <c r="J146" s="41" t="str">
        <f>VLOOKUP(B146,辅助信息!E:I,4,FALSE)</f>
        <v>龙耀宇</v>
      </c>
      <c r="K146" s="41">
        <f>VLOOKUP(J146,辅助信息!H:I,2,FALSE)</f>
        <v>18384145895</v>
      </c>
      <c r="L146" s="77"/>
      <c r="M146" s="78"/>
      <c r="N146" s="78"/>
      <c r="O146" s="78"/>
      <c r="P146" s="78"/>
      <c r="Q146" s="41" t="str">
        <f>VLOOKUP(B146,辅助信息!E:M,9,FALSE)</f>
        <v>ZTWM-CDGS-XS-2024-0189-华西集采-酒城南项目</v>
      </c>
      <c r="R146" s="27"/>
    </row>
    <row r="147" hidden="1" spans="2:18">
      <c r="B147" s="41" t="s">
        <v>31</v>
      </c>
      <c r="C147" s="71">
        <v>45662</v>
      </c>
      <c r="D147" s="41" t="str">
        <f>VLOOKUP(B147,辅助信息!E:K,7,FALSE)</f>
        <v>JWDDCD2024121000136</v>
      </c>
      <c r="E147" s="41" t="str">
        <f>VLOOKUP(F147,辅助信息!A:B,2,FALSE)</f>
        <v>螺纹钢</v>
      </c>
      <c r="F147" s="41" t="s">
        <v>33</v>
      </c>
      <c r="G147" s="37">
        <v>35</v>
      </c>
      <c r="H147" s="37" t="e">
        <f>_xlfn._xlws.FILTER(#REF!,#REF!&amp;#REF!&amp;#REF!&amp;#REF!=C147&amp;F147&amp;I147&amp;J147,"未发货")</f>
        <v>#REF!</v>
      </c>
      <c r="I147" s="41" t="str">
        <f>VLOOKUP(B147,辅助信息!E:I,3,FALSE)</f>
        <v>（四川商建-射洪城乡一体化项目）遂宁市射洪市忠新幼儿园北侧约220米新溪小区</v>
      </c>
      <c r="J147" s="41" t="str">
        <f>VLOOKUP(B147,辅助信息!E:I,4,FALSE)</f>
        <v>柏子刚</v>
      </c>
      <c r="K147" s="41">
        <f>VLOOKUP(J147,辅助信息!H:I,2,FALSE)</f>
        <v>15692885305</v>
      </c>
      <c r="L147" s="78" t="str">
        <f>VLOOKUP(B147,辅助信息!E:J,6,FALSE)</f>
        <v>提前联系到场规格及数量</v>
      </c>
      <c r="M147" s="78"/>
      <c r="N147" s="78"/>
      <c r="O147" s="78"/>
      <c r="P147" s="78"/>
      <c r="Q147" s="41" t="str">
        <f>VLOOKUP(B147,辅助信息!E:M,9,FALSE)</f>
        <v>ZTWM-CDGS-XS-2024-0179-四川商投-射洪城乡一体化建设项目</v>
      </c>
      <c r="R147" s="27"/>
    </row>
    <row r="148" hidden="1" spans="2:18">
      <c r="B148" s="41" t="s">
        <v>31</v>
      </c>
      <c r="C148" s="71">
        <v>45662</v>
      </c>
      <c r="D148" s="41" t="str">
        <f>VLOOKUP(B148,辅助信息!E:K,7,FALSE)</f>
        <v>JWDDCD2024121000136</v>
      </c>
      <c r="E148" s="41" t="str">
        <f>VLOOKUP(F148,辅助信息!A:B,2,FALSE)</f>
        <v>螺纹钢</v>
      </c>
      <c r="F148" s="41" t="s">
        <v>46</v>
      </c>
      <c r="G148" s="37">
        <v>15</v>
      </c>
      <c r="H148" s="37" t="e">
        <f>_xlfn._xlws.FILTER(#REF!,#REF!&amp;#REF!&amp;#REF!&amp;#REF!=C148&amp;F148&amp;I148&amp;J148,"未发货")</f>
        <v>#REF!</v>
      </c>
      <c r="I148" s="41" t="str">
        <f>VLOOKUP(B148,辅助信息!E:I,3,FALSE)</f>
        <v>（四川商建-射洪城乡一体化项目）遂宁市射洪市忠新幼儿园北侧约220米新溪小区</v>
      </c>
      <c r="J148" s="41" t="str">
        <f>VLOOKUP(B148,辅助信息!E:I,4,FALSE)</f>
        <v>柏子刚</v>
      </c>
      <c r="K148" s="41">
        <f>VLOOKUP(J148,辅助信息!H:I,2,FALSE)</f>
        <v>15692885305</v>
      </c>
      <c r="L148" s="79"/>
      <c r="M148" s="78"/>
      <c r="N148" s="78"/>
      <c r="O148" s="78"/>
      <c r="P148" s="78"/>
      <c r="Q148" s="41" t="str">
        <f>VLOOKUP(B148,辅助信息!E:M,9,FALSE)</f>
        <v>ZTWM-CDGS-XS-2024-0179-四川商投-射洪城乡一体化建设项目</v>
      </c>
      <c r="R148" s="27"/>
    </row>
    <row r="149" hidden="1" spans="2:18">
      <c r="B149" s="41" t="s">
        <v>31</v>
      </c>
      <c r="C149" s="71">
        <v>45662</v>
      </c>
      <c r="D149" s="41" t="str">
        <f>VLOOKUP(B149,辅助信息!E:K,7,FALSE)</f>
        <v>JWDDCD2024121000136</v>
      </c>
      <c r="E149" s="41" t="str">
        <f>VLOOKUP(F149,辅助信息!A:B,2,FALSE)</f>
        <v>螺纹钢</v>
      </c>
      <c r="F149" s="41" t="s">
        <v>22</v>
      </c>
      <c r="G149" s="37">
        <v>35</v>
      </c>
      <c r="H149" s="37" t="e">
        <f>_xlfn._xlws.FILTER(#REF!,#REF!&amp;#REF!&amp;#REF!&amp;#REF!=C149&amp;F149&amp;I149&amp;J149,"未发货")</f>
        <v>#REF!</v>
      </c>
      <c r="I149" s="41" t="str">
        <f>VLOOKUP(B149,辅助信息!E:I,3,FALSE)</f>
        <v>（四川商建-射洪城乡一体化项目）遂宁市射洪市忠新幼儿园北侧约220米新溪小区</v>
      </c>
      <c r="J149" s="41" t="str">
        <f>VLOOKUP(B149,辅助信息!E:I,4,FALSE)</f>
        <v>柏子刚</v>
      </c>
      <c r="K149" s="41">
        <f>VLOOKUP(J149,辅助信息!H:I,2,FALSE)</f>
        <v>15692885305</v>
      </c>
      <c r="L149" s="77"/>
      <c r="M149" s="78"/>
      <c r="N149" s="78"/>
      <c r="O149" s="78"/>
      <c r="P149" s="78"/>
      <c r="Q149" s="41" t="str">
        <f>VLOOKUP(B149,辅助信息!E:M,9,FALSE)</f>
        <v>ZTWM-CDGS-XS-2024-0179-四川商投-射洪城乡一体化建设项目</v>
      </c>
      <c r="R149" s="27"/>
    </row>
    <row r="150" hidden="1" spans="2:18">
      <c r="B150" s="41" t="s">
        <v>50</v>
      </c>
      <c r="C150" s="71">
        <v>45662</v>
      </c>
      <c r="D150" s="41" t="e">
        <f>VLOOKUP(B150,辅助信息!E:K,7,FALSE)</f>
        <v>#N/A</v>
      </c>
      <c r="E150" s="41" t="str">
        <f>VLOOKUP(F150,辅助信息!A:B,2,FALSE)</f>
        <v>高线</v>
      </c>
      <c r="F150" s="41" t="s">
        <v>51</v>
      </c>
      <c r="G150" s="37">
        <v>2</v>
      </c>
      <c r="H150" s="37" t="e">
        <f>_xlfn._xlws.FILTER(#REF!,#REF!&amp;#REF!&amp;#REF!&amp;#REF!=C150&amp;F150&amp;I150&amp;J150,"未发货")</f>
        <v>#REF!</v>
      </c>
      <c r="I150" s="41" t="e">
        <f>VLOOKUP(B150,辅助信息!E:I,3,FALSE)</f>
        <v>#N/A</v>
      </c>
      <c r="J150" s="41" t="e">
        <f>VLOOKUP(B150,辅助信息!E:I,4,FALSE)</f>
        <v>#N/A</v>
      </c>
      <c r="K150" s="41" t="e">
        <f>VLOOKUP(J150,辅助信息!H:I,2,FALSE)</f>
        <v>#N/A</v>
      </c>
      <c r="L150" s="78" t="e">
        <f>VLOOKUP(B150,辅助信息!E:J,6,FALSE)</f>
        <v>#N/A</v>
      </c>
      <c r="M150" s="78"/>
      <c r="N150" s="78"/>
      <c r="O150" s="78"/>
      <c r="P150" s="78"/>
      <c r="Q150" s="41" t="e">
        <f>VLOOKUP(B150,辅助信息!E:M,9,FALSE)</f>
        <v>#N/A</v>
      </c>
      <c r="R150" s="27"/>
    </row>
    <row r="151" hidden="1" spans="2:18">
      <c r="B151" s="41" t="s">
        <v>50</v>
      </c>
      <c r="C151" s="71">
        <v>45662</v>
      </c>
      <c r="D151" s="41" t="e">
        <f>VLOOKUP(B151,辅助信息!E:K,7,FALSE)</f>
        <v>#N/A</v>
      </c>
      <c r="E151" s="41" t="str">
        <f>VLOOKUP(F151,辅助信息!A:B,2,FALSE)</f>
        <v>螺纹钢</v>
      </c>
      <c r="F151" s="41" t="s">
        <v>32</v>
      </c>
      <c r="G151" s="37">
        <v>12</v>
      </c>
      <c r="H151" s="37" t="e">
        <f>_xlfn._xlws.FILTER(#REF!,#REF!&amp;#REF!&amp;#REF!&amp;#REF!=C151&amp;F151&amp;I151&amp;J151,"未发货")</f>
        <v>#REF!</v>
      </c>
      <c r="I151" s="41" t="e">
        <f>VLOOKUP(B151,辅助信息!E:I,3,FALSE)</f>
        <v>#N/A</v>
      </c>
      <c r="J151" s="41" t="e">
        <f>VLOOKUP(B151,辅助信息!E:I,4,FALSE)</f>
        <v>#N/A</v>
      </c>
      <c r="K151" s="41" t="e">
        <f>VLOOKUP(J151,辅助信息!H:I,2,FALSE)</f>
        <v>#N/A</v>
      </c>
      <c r="L151" s="79"/>
      <c r="M151" s="78"/>
      <c r="N151" s="78"/>
      <c r="O151" s="78"/>
      <c r="P151" s="78"/>
      <c r="Q151" s="41" t="e">
        <f>VLOOKUP(B151,辅助信息!E:M,9,FALSE)</f>
        <v>#N/A</v>
      </c>
      <c r="R151" s="27"/>
    </row>
    <row r="152" hidden="1" spans="2:18">
      <c r="B152" s="41" t="s">
        <v>50</v>
      </c>
      <c r="C152" s="71">
        <v>45662</v>
      </c>
      <c r="D152" s="41" t="e">
        <f>VLOOKUP(B152,辅助信息!E:K,7,FALSE)</f>
        <v>#N/A</v>
      </c>
      <c r="E152" s="41" t="str">
        <f>VLOOKUP(F152,辅助信息!A:B,2,FALSE)</f>
        <v>螺纹钢</v>
      </c>
      <c r="F152" s="41" t="s">
        <v>52</v>
      </c>
      <c r="G152" s="37">
        <v>21</v>
      </c>
      <c r="H152" s="37" t="e">
        <f>_xlfn._xlws.FILTER(#REF!,#REF!&amp;#REF!&amp;#REF!&amp;#REF!=C152&amp;F152&amp;I152&amp;J152,"未发货")</f>
        <v>#REF!</v>
      </c>
      <c r="I152" s="41" t="e">
        <f>VLOOKUP(B152,辅助信息!E:I,3,FALSE)</f>
        <v>#N/A</v>
      </c>
      <c r="J152" s="41" t="e">
        <f>VLOOKUP(B152,辅助信息!E:I,4,FALSE)</f>
        <v>#N/A</v>
      </c>
      <c r="K152" s="41" t="e">
        <f>VLOOKUP(J152,辅助信息!H:I,2,FALSE)</f>
        <v>#N/A</v>
      </c>
      <c r="L152" s="77"/>
      <c r="M152" s="78"/>
      <c r="N152" s="78"/>
      <c r="O152" s="78"/>
      <c r="P152" s="78"/>
      <c r="Q152" s="41" t="e">
        <f>VLOOKUP(B152,辅助信息!E:M,9,FALSE)</f>
        <v>#N/A</v>
      </c>
      <c r="R152" s="27"/>
    </row>
    <row r="153" hidden="1" spans="2:18">
      <c r="B153" s="41" t="s">
        <v>29</v>
      </c>
      <c r="C153" s="71">
        <v>45662</v>
      </c>
      <c r="D153" s="41" t="e">
        <f>VLOOKUP(B153,辅助信息!E:K,7,FALSE)</f>
        <v>#N/A</v>
      </c>
      <c r="E153" s="41" t="str">
        <f>VLOOKUP(F153,辅助信息!A:B,2,FALSE)</f>
        <v>高线</v>
      </c>
      <c r="F153" s="41" t="s">
        <v>53</v>
      </c>
      <c r="G153" s="37">
        <v>70</v>
      </c>
      <c r="H153" s="37" t="e">
        <f>_xlfn._xlws.FILTER(#REF!,#REF!&amp;#REF!&amp;#REF!&amp;#REF!=C153&amp;F153&amp;I153&amp;J153,"未发货")</f>
        <v>#REF!</v>
      </c>
      <c r="I153" s="41" t="e">
        <f>VLOOKUP(B153,辅助信息!E:I,3,FALSE)</f>
        <v>#N/A</v>
      </c>
      <c r="J153" s="41" t="e">
        <f>VLOOKUP(B153,辅助信息!E:I,4,FALSE)</f>
        <v>#N/A</v>
      </c>
      <c r="K153" s="41" t="e">
        <f>VLOOKUP(J153,辅助信息!H:I,2,FALSE)</f>
        <v>#N/A</v>
      </c>
      <c r="L153" s="78" t="e">
        <f>VLOOKUP(B153,辅助信息!E:J,6,FALSE)</f>
        <v>#N/A</v>
      </c>
      <c r="M153" s="78"/>
      <c r="N153" s="78"/>
      <c r="O153" s="78"/>
      <c r="P153" s="78"/>
      <c r="Q153" s="41" t="e">
        <f>VLOOKUP(B153,辅助信息!E:M,9,FALSE)</f>
        <v>#N/A</v>
      </c>
      <c r="R153" s="27"/>
    </row>
    <row r="154" hidden="1" spans="2:18">
      <c r="B154" s="41" t="s">
        <v>29</v>
      </c>
      <c r="C154" s="71">
        <v>45662</v>
      </c>
      <c r="D154" s="41" t="e">
        <f>VLOOKUP(B154,辅助信息!E:K,7,FALSE)</f>
        <v>#N/A</v>
      </c>
      <c r="E154" s="41" t="str">
        <f>VLOOKUP(F154,辅助信息!A:B,2,FALSE)</f>
        <v>螺纹钢</v>
      </c>
      <c r="F154" s="41" t="s">
        <v>28</v>
      </c>
      <c r="G154" s="37">
        <v>70</v>
      </c>
      <c r="H154" s="37" t="e">
        <f>_xlfn._xlws.FILTER(#REF!,#REF!&amp;#REF!&amp;#REF!&amp;#REF!=C154&amp;F154&amp;I154&amp;J154,"未发货")</f>
        <v>#REF!</v>
      </c>
      <c r="I154" s="41" t="e">
        <f>VLOOKUP(B154,辅助信息!E:I,3,FALSE)</f>
        <v>#N/A</v>
      </c>
      <c r="J154" s="41" t="e">
        <f>VLOOKUP(B154,辅助信息!E:I,4,FALSE)</f>
        <v>#N/A</v>
      </c>
      <c r="K154" s="41" t="e">
        <f>VLOOKUP(J154,辅助信息!H:I,2,FALSE)</f>
        <v>#N/A</v>
      </c>
      <c r="L154" s="77"/>
      <c r="M154" s="78"/>
      <c r="N154" s="78"/>
      <c r="O154" s="78"/>
      <c r="P154" s="78"/>
      <c r="Q154" s="41" t="e">
        <f>VLOOKUP(B154,辅助信息!E:M,9,FALSE)</f>
        <v>#N/A</v>
      </c>
      <c r="R154" s="27"/>
    </row>
    <row r="155" hidden="1" spans="2:18">
      <c r="B155" s="41" t="s">
        <v>54</v>
      </c>
      <c r="C155" s="71">
        <v>45662</v>
      </c>
      <c r="D155" s="41" t="e">
        <f>VLOOKUP(B155,辅助信息!E:K,7,FALSE)</f>
        <v>#N/A</v>
      </c>
      <c r="E155" s="41" t="str">
        <f>VLOOKUP(F155,辅助信息!A:B,2,FALSE)</f>
        <v>螺纹钢</v>
      </c>
      <c r="F155" s="41" t="s">
        <v>32</v>
      </c>
      <c r="G155" s="37">
        <v>15</v>
      </c>
      <c r="H155" s="37" t="e">
        <f>_xlfn._xlws.FILTER(#REF!,#REF!&amp;#REF!&amp;#REF!&amp;#REF!=C155&amp;F155&amp;I155&amp;J155,"未发货")</f>
        <v>#REF!</v>
      </c>
      <c r="I155" s="41" t="e">
        <f>VLOOKUP(B155,辅助信息!E:I,3,FALSE)</f>
        <v>#N/A</v>
      </c>
      <c r="J155" s="41" t="e">
        <f>VLOOKUP(B155,辅助信息!E:I,4,FALSE)</f>
        <v>#N/A</v>
      </c>
      <c r="K155" s="41" t="e">
        <f>VLOOKUP(J155,辅助信息!H:I,2,FALSE)</f>
        <v>#N/A</v>
      </c>
      <c r="L155" s="78" t="e">
        <f>VLOOKUP(B155,辅助信息!E:J,6,FALSE)</f>
        <v>#N/A</v>
      </c>
      <c r="M155" s="78"/>
      <c r="N155" s="78"/>
      <c r="O155" s="78"/>
      <c r="P155" s="78"/>
      <c r="Q155" s="41" t="e">
        <f>VLOOKUP(B155,辅助信息!E:M,9,FALSE)</f>
        <v>#N/A</v>
      </c>
      <c r="R155" s="27"/>
    </row>
    <row r="156" hidden="1" spans="2:18">
      <c r="B156" s="41" t="s">
        <v>54</v>
      </c>
      <c r="C156" s="71">
        <v>45662</v>
      </c>
      <c r="D156" s="41" t="e">
        <f>VLOOKUP(B156,辅助信息!E:K,7,FALSE)</f>
        <v>#N/A</v>
      </c>
      <c r="E156" s="41" t="str">
        <f>VLOOKUP(F156,辅助信息!A:B,2,FALSE)</f>
        <v>螺纹钢</v>
      </c>
      <c r="F156" s="41" t="s">
        <v>33</v>
      </c>
      <c r="G156" s="37">
        <v>60</v>
      </c>
      <c r="H156" s="37" t="e">
        <f>_xlfn._xlws.FILTER(#REF!,#REF!&amp;#REF!&amp;#REF!&amp;#REF!=C156&amp;F156&amp;I156&amp;J156,"未发货")</f>
        <v>#REF!</v>
      </c>
      <c r="I156" s="41" t="e">
        <f>VLOOKUP(B156,辅助信息!E:I,3,FALSE)</f>
        <v>#N/A</v>
      </c>
      <c r="J156" s="41" t="e">
        <f>VLOOKUP(B156,辅助信息!E:I,4,FALSE)</f>
        <v>#N/A</v>
      </c>
      <c r="K156" s="41" t="e">
        <f>VLOOKUP(J156,辅助信息!H:I,2,FALSE)</f>
        <v>#N/A</v>
      </c>
      <c r="L156" s="79"/>
      <c r="M156" s="78"/>
      <c r="N156" s="78"/>
      <c r="O156" s="78"/>
      <c r="P156" s="78"/>
      <c r="Q156" s="41" t="e">
        <f>VLOOKUP(B156,辅助信息!E:M,9,FALSE)</f>
        <v>#N/A</v>
      </c>
      <c r="R156" s="27"/>
    </row>
    <row r="157" hidden="1" spans="2:18">
      <c r="B157" s="41" t="s">
        <v>54</v>
      </c>
      <c r="C157" s="71">
        <v>45662</v>
      </c>
      <c r="D157" s="41" t="e">
        <f>VLOOKUP(B157,辅助信息!E:K,7,FALSE)</f>
        <v>#N/A</v>
      </c>
      <c r="E157" s="41" t="str">
        <f>VLOOKUP(F157,辅助信息!A:B,2,FALSE)</f>
        <v>螺纹钢</v>
      </c>
      <c r="F157" s="41" t="s">
        <v>28</v>
      </c>
      <c r="G157" s="37">
        <v>15</v>
      </c>
      <c r="H157" s="37" t="e">
        <f>_xlfn._xlws.FILTER(#REF!,#REF!&amp;#REF!&amp;#REF!&amp;#REF!=C157&amp;F157&amp;I157&amp;J157,"未发货")</f>
        <v>#REF!</v>
      </c>
      <c r="I157" s="41" t="e">
        <f>VLOOKUP(B157,辅助信息!E:I,3,FALSE)</f>
        <v>#N/A</v>
      </c>
      <c r="J157" s="41" t="e">
        <f>VLOOKUP(B157,辅助信息!E:I,4,FALSE)</f>
        <v>#N/A</v>
      </c>
      <c r="K157" s="41" t="e">
        <f>VLOOKUP(J157,辅助信息!H:I,2,FALSE)</f>
        <v>#N/A</v>
      </c>
      <c r="L157" s="77"/>
      <c r="M157" s="78"/>
      <c r="N157" s="78"/>
      <c r="O157" s="78"/>
      <c r="P157" s="78"/>
      <c r="Q157" s="41" t="e">
        <f>VLOOKUP(B157,辅助信息!E:M,9,FALSE)</f>
        <v>#N/A</v>
      </c>
      <c r="R157" s="27"/>
    </row>
    <row r="158" hidden="1" spans="1:18">
      <c r="A158" s="58" t="s">
        <v>55</v>
      </c>
      <c r="B158" s="41" t="s">
        <v>56</v>
      </c>
      <c r="C158" s="71">
        <v>45662</v>
      </c>
      <c r="D158" s="41" t="str">
        <f>VLOOKUP(B158,辅助信息!E:K,7,FALSE)</f>
        <v>JWDDCD2025052800131</v>
      </c>
      <c r="E158" s="41" t="str">
        <f>VLOOKUP(F158,辅助信息!A:B,2,FALSE)</f>
        <v>高线</v>
      </c>
      <c r="F158" s="41" t="s">
        <v>57</v>
      </c>
      <c r="G158" s="37">
        <v>6</v>
      </c>
      <c r="H158" s="37" t="e">
        <f>_xlfn._xlws.FILTER(#REF!,#REF!&amp;#REF!&amp;#REF!&amp;#REF!=C158&amp;F158&amp;I158&amp;J158,"未发货")</f>
        <v>#REF!</v>
      </c>
      <c r="I158" s="41" t="str">
        <f>VLOOKUP(B158,辅助信息!E:I,3,FALSE)</f>
        <v>（商投建工达州中医药科技园-4工区-7号楼）达州市通川区达州中医药职业学院犀牛大道北段</v>
      </c>
      <c r="J158" s="41" t="str">
        <f>VLOOKUP(B158,辅助信息!E:I,4,FALSE)</f>
        <v>张扬</v>
      </c>
      <c r="K158" s="41">
        <f>VLOOKUP(J158,辅助信息!H:I,2,FALSE)</f>
        <v>18381904567</v>
      </c>
      <c r="L158" s="78" t="str">
        <f>VLOOKUP(B158,辅助信息!E:J,6,FALSE)</f>
        <v>控制炉批号！多了现场不收！,优先安排达钢,提前联系到场规格及数量</v>
      </c>
      <c r="M158" s="78"/>
      <c r="N158" s="78"/>
      <c r="O158" s="78"/>
      <c r="P158" s="78"/>
      <c r="Q158" s="41" t="str">
        <f>VLOOKUP(B158,辅助信息!E:M,9,FALSE)</f>
        <v>ZTWM-CDGS-XS-2024-0134-商投建工达州中医药科技成果示范园项目</v>
      </c>
      <c r="R158" s="27"/>
    </row>
    <row r="159" hidden="1" spans="2:18">
      <c r="B159" s="41" t="s">
        <v>56</v>
      </c>
      <c r="C159" s="71">
        <v>45662</v>
      </c>
      <c r="D159" s="41" t="str">
        <f>VLOOKUP(B159,辅助信息!E:K,7,FALSE)</f>
        <v>JWDDCD2025052800131</v>
      </c>
      <c r="E159" s="41" t="str">
        <f>VLOOKUP(F159,辅助信息!A:B,2,FALSE)</f>
        <v>盘螺</v>
      </c>
      <c r="F159" s="41" t="s">
        <v>49</v>
      </c>
      <c r="G159" s="37">
        <v>9</v>
      </c>
      <c r="H159" s="37" t="e">
        <f>_xlfn._xlws.FILTER(#REF!,#REF!&amp;#REF!&amp;#REF!&amp;#REF!=C159&amp;F159&amp;I159&amp;J159,"未发货")</f>
        <v>#REF!</v>
      </c>
      <c r="I159" s="41" t="str">
        <f>VLOOKUP(B159,辅助信息!E:I,3,FALSE)</f>
        <v>（商投建工达州中医药科技园-4工区-7号楼）达州市通川区达州中医药职业学院犀牛大道北段</v>
      </c>
      <c r="J159" s="41" t="str">
        <f>VLOOKUP(B159,辅助信息!E:I,4,FALSE)</f>
        <v>张扬</v>
      </c>
      <c r="K159" s="41">
        <f>VLOOKUP(J159,辅助信息!H:I,2,FALSE)</f>
        <v>18381904567</v>
      </c>
      <c r="L159" s="79"/>
      <c r="M159" s="78"/>
      <c r="N159" s="78"/>
      <c r="O159" s="78"/>
      <c r="P159" s="78"/>
      <c r="Q159" s="41" t="str">
        <f>VLOOKUP(B159,辅助信息!E:M,9,FALSE)</f>
        <v>ZTWM-CDGS-XS-2024-0134-商投建工达州中医药科技成果示范园项目</v>
      </c>
      <c r="R159" s="27"/>
    </row>
    <row r="160" hidden="1" spans="2:18">
      <c r="B160" s="41" t="s">
        <v>56</v>
      </c>
      <c r="C160" s="71">
        <v>45662</v>
      </c>
      <c r="D160" s="41" t="str">
        <f>VLOOKUP(B160,辅助信息!E:K,7,FALSE)</f>
        <v>JWDDCD2025052800131</v>
      </c>
      <c r="E160" s="41" t="str">
        <f>VLOOKUP(F160,辅助信息!A:B,2,FALSE)</f>
        <v>螺纹钢</v>
      </c>
      <c r="F160" s="41" t="s">
        <v>30</v>
      </c>
      <c r="G160" s="37">
        <v>3</v>
      </c>
      <c r="H160" s="37" t="e">
        <f>_xlfn._xlws.FILTER(#REF!,#REF!&amp;#REF!&amp;#REF!&amp;#REF!=C160&amp;F160&amp;I160&amp;J160,"未发货")</f>
        <v>#REF!</v>
      </c>
      <c r="I160" s="41" t="str">
        <f>VLOOKUP(B160,辅助信息!E:I,3,FALSE)</f>
        <v>（商投建工达州中医药科技园-4工区-7号楼）达州市通川区达州中医药职业学院犀牛大道北段</v>
      </c>
      <c r="J160" s="41" t="str">
        <f>VLOOKUP(B160,辅助信息!E:I,4,FALSE)</f>
        <v>张扬</v>
      </c>
      <c r="K160" s="41">
        <f>VLOOKUP(J160,辅助信息!H:I,2,FALSE)</f>
        <v>18381904567</v>
      </c>
      <c r="L160" s="79"/>
      <c r="M160" s="78"/>
      <c r="N160" s="78"/>
      <c r="O160" s="78"/>
      <c r="P160" s="78"/>
      <c r="Q160" s="41" t="str">
        <f>VLOOKUP(B160,辅助信息!E:M,9,FALSE)</f>
        <v>ZTWM-CDGS-XS-2024-0134-商投建工达州中医药科技成果示范园项目</v>
      </c>
      <c r="R160" s="27"/>
    </row>
    <row r="161" hidden="1" spans="2:18">
      <c r="B161" s="41" t="s">
        <v>56</v>
      </c>
      <c r="C161" s="71">
        <v>45662</v>
      </c>
      <c r="D161" s="41" t="str">
        <f>VLOOKUP(B161,辅助信息!E:K,7,FALSE)</f>
        <v>JWDDCD2025052800131</v>
      </c>
      <c r="E161" s="41" t="str">
        <f>VLOOKUP(F161,辅助信息!A:B,2,FALSE)</f>
        <v>螺纹钢</v>
      </c>
      <c r="F161" s="41" t="s">
        <v>28</v>
      </c>
      <c r="G161" s="37">
        <v>15</v>
      </c>
      <c r="H161" s="37" t="e">
        <f>_xlfn._xlws.FILTER(#REF!,#REF!&amp;#REF!&amp;#REF!&amp;#REF!=C161&amp;F161&amp;I161&amp;J161,"未发货")</f>
        <v>#REF!</v>
      </c>
      <c r="I161" s="41" t="str">
        <f>VLOOKUP(B161,辅助信息!E:I,3,FALSE)</f>
        <v>（商投建工达州中医药科技园-4工区-7号楼）达州市通川区达州中医药职业学院犀牛大道北段</v>
      </c>
      <c r="J161" s="41" t="str">
        <f>VLOOKUP(B161,辅助信息!E:I,4,FALSE)</f>
        <v>张扬</v>
      </c>
      <c r="K161" s="41">
        <f>VLOOKUP(J161,辅助信息!H:I,2,FALSE)</f>
        <v>18381904567</v>
      </c>
      <c r="L161" s="79"/>
      <c r="M161" s="78"/>
      <c r="N161" s="78"/>
      <c r="O161" s="78"/>
      <c r="P161" s="78"/>
      <c r="Q161" s="41" t="str">
        <f>VLOOKUP(B161,辅助信息!E:M,9,FALSE)</f>
        <v>ZTWM-CDGS-XS-2024-0134-商投建工达州中医药科技成果示范园项目</v>
      </c>
      <c r="R161" s="27"/>
    </row>
    <row r="162" hidden="1" spans="2:18">
      <c r="B162" s="41" t="s">
        <v>56</v>
      </c>
      <c r="C162" s="71">
        <v>45662</v>
      </c>
      <c r="D162" s="41" t="str">
        <f>VLOOKUP(B162,辅助信息!E:K,7,FALSE)</f>
        <v>JWDDCD2025052800131</v>
      </c>
      <c r="E162" s="41" t="str">
        <f>VLOOKUP(F162,辅助信息!A:B,2,FALSE)</f>
        <v>螺纹钢</v>
      </c>
      <c r="F162" s="41" t="s">
        <v>21</v>
      </c>
      <c r="G162" s="37">
        <v>6</v>
      </c>
      <c r="H162" s="37" t="e">
        <f>_xlfn._xlws.FILTER(#REF!,#REF!&amp;#REF!&amp;#REF!&amp;#REF!=C162&amp;F162&amp;I162&amp;J162,"未发货")</f>
        <v>#REF!</v>
      </c>
      <c r="I162" s="41" t="str">
        <f>VLOOKUP(B162,辅助信息!E:I,3,FALSE)</f>
        <v>（商投建工达州中医药科技园-4工区-7号楼）达州市通川区达州中医药职业学院犀牛大道北段</v>
      </c>
      <c r="J162" s="41" t="str">
        <f>VLOOKUP(B162,辅助信息!E:I,4,FALSE)</f>
        <v>张扬</v>
      </c>
      <c r="K162" s="41">
        <f>VLOOKUP(J162,辅助信息!H:I,2,FALSE)</f>
        <v>18381904567</v>
      </c>
      <c r="L162" s="79"/>
      <c r="M162" s="78"/>
      <c r="N162" s="78"/>
      <c r="O162" s="78"/>
      <c r="P162" s="78"/>
      <c r="Q162" s="41" t="str">
        <f>VLOOKUP(B162,辅助信息!E:M,9,FALSE)</f>
        <v>ZTWM-CDGS-XS-2024-0134-商投建工达州中医药科技成果示范园项目</v>
      </c>
      <c r="R162" s="27"/>
    </row>
    <row r="163" hidden="1" spans="2:18">
      <c r="B163" s="41" t="s">
        <v>56</v>
      </c>
      <c r="C163" s="71">
        <v>45662</v>
      </c>
      <c r="D163" s="41" t="str">
        <f>VLOOKUP(B163,辅助信息!E:K,7,FALSE)</f>
        <v>JWDDCD2025052800131</v>
      </c>
      <c r="E163" s="41" t="str">
        <f>VLOOKUP(F163,辅助信息!A:B,2,FALSE)</f>
        <v>螺纹钢</v>
      </c>
      <c r="F163" s="41" t="s">
        <v>58</v>
      </c>
      <c r="G163" s="37">
        <v>27</v>
      </c>
      <c r="H163" s="37" t="e">
        <f>_xlfn._xlws.FILTER(#REF!,#REF!&amp;#REF!&amp;#REF!&amp;#REF!=C163&amp;F163&amp;I163&amp;J163,"未发货")</f>
        <v>#REF!</v>
      </c>
      <c r="I163" s="41" t="str">
        <f>VLOOKUP(B163,辅助信息!E:I,3,FALSE)</f>
        <v>（商投建工达州中医药科技园-4工区-7号楼）达州市通川区达州中医药职业学院犀牛大道北段</v>
      </c>
      <c r="J163" s="41" t="str">
        <f>VLOOKUP(B163,辅助信息!E:I,4,FALSE)</f>
        <v>张扬</v>
      </c>
      <c r="K163" s="41">
        <f>VLOOKUP(J163,辅助信息!H:I,2,FALSE)</f>
        <v>18381904567</v>
      </c>
      <c r="L163" s="79"/>
      <c r="M163" s="78"/>
      <c r="N163" s="78"/>
      <c r="O163" s="78"/>
      <c r="P163" s="78"/>
      <c r="Q163" s="41" t="str">
        <f>VLOOKUP(B163,辅助信息!E:M,9,FALSE)</f>
        <v>ZTWM-CDGS-XS-2024-0134-商投建工达州中医药科技成果示范园项目</v>
      </c>
      <c r="R163" s="27"/>
    </row>
    <row r="164" hidden="1" spans="2:18">
      <c r="B164" s="41" t="s">
        <v>56</v>
      </c>
      <c r="C164" s="71">
        <v>45662</v>
      </c>
      <c r="D164" s="41" t="str">
        <f>VLOOKUP(B164,辅助信息!E:K,7,FALSE)</f>
        <v>JWDDCD2025052800131</v>
      </c>
      <c r="E164" s="41" t="str">
        <f>VLOOKUP(F164,辅助信息!A:B,2,FALSE)</f>
        <v>螺纹钢</v>
      </c>
      <c r="F164" s="41" t="s">
        <v>46</v>
      </c>
      <c r="G164" s="37">
        <v>9</v>
      </c>
      <c r="H164" s="37" t="e">
        <f>_xlfn._xlws.FILTER(#REF!,#REF!&amp;#REF!&amp;#REF!&amp;#REF!=C164&amp;F164&amp;I164&amp;J164,"未发货")</f>
        <v>#REF!</v>
      </c>
      <c r="I164" s="41" t="str">
        <f>VLOOKUP(B164,辅助信息!E:I,3,FALSE)</f>
        <v>（商投建工达州中医药科技园-4工区-7号楼）达州市通川区达州中医药职业学院犀牛大道北段</v>
      </c>
      <c r="J164" s="41" t="str">
        <f>VLOOKUP(B164,辅助信息!E:I,4,FALSE)</f>
        <v>张扬</v>
      </c>
      <c r="K164" s="41">
        <f>VLOOKUP(J164,辅助信息!H:I,2,FALSE)</f>
        <v>18381904567</v>
      </c>
      <c r="L164" s="79"/>
      <c r="M164" s="78"/>
      <c r="N164" s="78"/>
      <c r="O164" s="78"/>
      <c r="P164" s="78"/>
      <c r="Q164" s="41" t="str">
        <f>VLOOKUP(B164,辅助信息!E:M,9,FALSE)</f>
        <v>ZTWM-CDGS-XS-2024-0134-商投建工达州中医药科技成果示范园项目</v>
      </c>
      <c r="R164" s="27"/>
    </row>
    <row r="165" hidden="1" spans="2:18">
      <c r="B165" s="41" t="s">
        <v>56</v>
      </c>
      <c r="C165" s="71">
        <v>45662</v>
      </c>
      <c r="D165" s="41" t="str">
        <f>VLOOKUP(B165,辅助信息!E:K,7,FALSE)</f>
        <v>JWDDCD2025052800131</v>
      </c>
      <c r="E165" s="41" t="str">
        <f>VLOOKUP(F165,辅助信息!A:B,2,FALSE)</f>
        <v>螺纹钢</v>
      </c>
      <c r="F165" s="41" t="s">
        <v>22</v>
      </c>
      <c r="G165" s="37">
        <v>12</v>
      </c>
      <c r="H165" s="37" t="e">
        <f>_xlfn._xlws.FILTER(#REF!,#REF!&amp;#REF!&amp;#REF!&amp;#REF!=C165&amp;F165&amp;I165&amp;J165,"未发货")</f>
        <v>#REF!</v>
      </c>
      <c r="I165" s="41" t="str">
        <f>VLOOKUP(B165,辅助信息!E:I,3,FALSE)</f>
        <v>（商投建工达州中医药科技园-4工区-7号楼）达州市通川区达州中医药职业学院犀牛大道北段</v>
      </c>
      <c r="J165" s="41" t="str">
        <f>VLOOKUP(B165,辅助信息!E:I,4,FALSE)</f>
        <v>张扬</v>
      </c>
      <c r="K165" s="41">
        <f>VLOOKUP(J165,辅助信息!H:I,2,FALSE)</f>
        <v>18381904567</v>
      </c>
      <c r="L165" s="77"/>
      <c r="M165" s="78"/>
      <c r="N165" s="78"/>
      <c r="O165" s="78"/>
      <c r="P165" s="78"/>
      <c r="Q165" s="41" t="str">
        <f>VLOOKUP(B165,辅助信息!E:M,9,FALSE)</f>
        <v>ZTWM-CDGS-XS-2024-0134-商投建工达州中医药科技成果示范园项目</v>
      </c>
      <c r="R165" s="27"/>
    </row>
    <row r="166" hidden="1" spans="2:18">
      <c r="B166" s="41" t="s">
        <v>59</v>
      </c>
      <c r="C166" s="71">
        <v>45665</v>
      </c>
      <c r="D166" s="41" t="str">
        <f>VLOOKUP(B166,辅助信息!E:K,7,FALSE)</f>
        <v>JWDDCD2025051000019</v>
      </c>
      <c r="E166" s="41" t="str">
        <f>VLOOKUP(F166,辅助信息!A:B,2,FALSE)</f>
        <v>盘螺</v>
      </c>
      <c r="F166" s="41" t="s">
        <v>49</v>
      </c>
      <c r="G166" s="37">
        <v>35</v>
      </c>
      <c r="H166" s="37" t="e">
        <f>_xlfn._xlws.FILTER(#REF!,#REF!&amp;#REF!&amp;#REF!&amp;#REF!=C166&amp;F166&amp;I166&amp;J166,"未发货")</f>
        <v>#REF!</v>
      </c>
      <c r="I166" s="41" t="str">
        <f>VLOOKUP(B166,辅助信息!E:I,3,FALSE)</f>
        <v>(五冶钢构医学科学产业园建设项目房建二部-三标（1-2）)四川省南充市顺庆区搬罾街道学府大道二段</v>
      </c>
      <c r="J166" s="41" t="str">
        <f>VLOOKUP(B166,辅助信息!E:I,4,FALSE)</f>
        <v>安南</v>
      </c>
      <c r="K166" s="41">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1" t="str">
        <f>VLOOKUP(B166,辅助信息!E:M,9,FALSE)</f>
        <v>ZTWM-CDGS-XS-2024-0248-五冶钢构-南充市医学院项目</v>
      </c>
      <c r="R166" s="27"/>
    </row>
    <row r="167" hidden="1" spans="2:18">
      <c r="B167" s="41" t="s">
        <v>59</v>
      </c>
      <c r="C167" s="71">
        <v>45665</v>
      </c>
      <c r="D167" s="41" t="str">
        <f>VLOOKUP(B167,辅助信息!E:K,7,FALSE)</f>
        <v>JWDDCD2025051000019</v>
      </c>
      <c r="E167" s="41" t="str">
        <f>VLOOKUP(F167,辅助信息!A:B,2,FALSE)</f>
        <v>盘螺</v>
      </c>
      <c r="F167" s="41" t="s">
        <v>40</v>
      </c>
      <c r="G167" s="37">
        <v>25</v>
      </c>
      <c r="H167" s="37" t="e">
        <f>_xlfn._xlws.FILTER(#REF!,#REF!&amp;#REF!&amp;#REF!&amp;#REF!=C167&amp;F167&amp;I167&amp;J167,"未发货")</f>
        <v>#REF!</v>
      </c>
      <c r="I167" s="41" t="str">
        <f>VLOOKUP(B167,辅助信息!E:I,3,FALSE)</f>
        <v>(五冶钢构医学科学产业园建设项目房建二部-三标（1-2）)四川省南充市顺庆区搬罾街道学府大道二段</v>
      </c>
      <c r="J167" s="41" t="str">
        <f>VLOOKUP(B167,辅助信息!E:I,4,FALSE)</f>
        <v>安南</v>
      </c>
      <c r="K167" s="41">
        <f>VLOOKUP(J167,辅助信息!H:I,2,FALSE)</f>
        <v>19950525030</v>
      </c>
      <c r="L167" s="79"/>
      <c r="M167" s="78"/>
      <c r="N167" s="78"/>
      <c r="O167" s="78"/>
      <c r="P167" s="78"/>
      <c r="Q167" s="41" t="str">
        <f>VLOOKUP(B167,辅助信息!E:M,9,FALSE)</f>
        <v>ZTWM-CDGS-XS-2024-0248-五冶钢构-南充市医学院项目</v>
      </c>
      <c r="R167" s="27"/>
    </row>
    <row r="168" hidden="1" spans="2:18">
      <c r="B168" s="41" t="s">
        <v>59</v>
      </c>
      <c r="C168" s="71">
        <v>45665</v>
      </c>
      <c r="D168" s="41" t="str">
        <f>VLOOKUP(B168,辅助信息!E:K,7,FALSE)</f>
        <v>JWDDCD2025051000019</v>
      </c>
      <c r="E168" s="41" t="str">
        <f>VLOOKUP(F168,辅助信息!A:B,2,FALSE)</f>
        <v>盘螺</v>
      </c>
      <c r="F168" s="41" t="s">
        <v>41</v>
      </c>
      <c r="G168" s="37">
        <v>10</v>
      </c>
      <c r="H168" s="37" t="e">
        <f>_xlfn._xlws.FILTER(#REF!,#REF!&amp;#REF!&amp;#REF!&amp;#REF!=C168&amp;F168&amp;I168&amp;J168,"未发货")</f>
        <v>#REF!</v>
      </c>
      <c r="I168" s="41" t="str">
        <f>VLOOKUP(B168,辅助信息!E:I,3,FALSE)</f>
        <v>(五冶钢构医学科学产业园建设项目房建二部-三标（1-2）)四川省南充市顺庆区搬罾街道学府大道二段</v>
      </c>
      <c r="J168" s="41" t="str">
        <f>VLOOKUP(B168,辅助信息!E:I,4,FALSE)</f>
        <v>安南</v>
      </c>
      <c r="K168" s="41">
        <f>VLOOKUP(J168,辅助信息!H:I,2,FALSE)</f>
        <v>19950525030</v>
      </c>
      <c r="L168" s="79"/>
      <c r="M168" s="78"/>
      <c r="N168" s="78"/>
      <c r="O168" s="78"/>
      <c r="P168" s="78"/>
      <c r="Q168" s="41" t="str">
        <f>VLOOKUP(B168,辅助信息!E:M,9,FALSE)</f>
        <v>ZTWM-CDGS-XS-2024-0248-五冶钢构-南充市医学院项目</v>
      </c>
      <c r="R168" s="27"/>
    </row>
    <row r="169" hidden="1" spans="2:18">
      <c r="B169" s="41" t="s">
        <v>60</v>
      </c>
      <c r="C169" s="71">
        <v>45665</v>
      </c>
      <c r="D169" s="41" t="str">
        <f>VLOOKUP(B169,辅助信息!E:K,7,FALSE)</f>
        <v>JWDDCD2025051000019</v>
      </c>
      <c r="E169" s="41" t="str">
        <f>VLOOKUP(F169,辅助信息!A:B,2,FALSE)</f>
        <v>高线</v>
      </c>
      <c r="F169" s="41" t="s">
        <v>53</v>
      </c>
      <c r="G169" s="37">
        <v>2</v>
      </c>
      <c r="H169" s="37" t="e">
        <f>_xlfn._xlws.FILTER(#REF!,#REF!&amp;#REF!&amp;#REF!&amp;#REF!=C169&amp;F169&amp;I169&amp;J169,"未发货")</f>
        <v>#REF!</v>
      </c>
      <c r="I169" s="41" t="str">
        <f>VLOOKUP(B169,辅助信息!E:I,3,FALSE)</f>
        <v>(五冶钢构医学科学产业园建设项目房建二部-六标)四川省南充市顺庆区搬罾街道学府大道二段</v>
      </c>
      <c r="J169" s="41" t="str">
        <f>VLOOKUP(B169,辅助信息!E:I,4,FALSE)</f>
        <v>安南</v>
      </c>
      <c r="K169" s="41">
        <f>VLOOKUP(J169,辅助信息!H:I,2,FALSE)</f>
        <v>19950525030</v>
      </c>
      <c r="L169" s="79"/>
      <c r="M169" s="78"/>
      <c r="N169" s="78"/>
      <c r="O169" s="78"/>
      <c r="P169" s="78"/>
      <c r="Q169" s="41" t="str">
        <f>VLOOKUP(B169,辅助信息!E:M,9,FALSE)</f>
        <v>ZTWM-CDGS-XS-2024-0248-五冶钢构-南充市医学院项目</v>
      </c>
      <c r="R169" s="27"/>
    </row>
    <row r="170" hidden="1" spans="2:18">
      <c r="B170" s="41" t="s">
        <v>60</v>
      </c>
      <c r="C170" s="71">
        <v>45665</v>
      </c>
      <c r="D170" s="41" t="str">
        <f>VLOOKUP(B170,辅助信息!E:K,7,FALSE)</f>
        <v>JWDDCD2025051000019</v>
      </c>
      <c r="E170" s="41" t="str">
        <f>VLOOKUP(F170,辅助信息!A:B,2,FALSE)</f>
        <v>高线</v>
      </c>
      <c r="F170" s="41" t="s">
        <v>61</v>
      </c>
      <c r="G170" s="37">
        <v>8</v>
      </c>
      <c r="H170" s="37" t="e">
        <f>_xlfn._xlws.FILTER(#REF!,#REF!&amp;#REF!&amp;#REF!&amp;#REF!=C170&amp;F170&amp;I170&amp;J170,"未发货")</f>
        <v>#REF!</v>
      </c>
      <c r="I170" s="41" t="str">
        <f>VLOOKUP(B170,辅助信息!E:I,3,FALSE)</f>
        <v>(五冶钢构医学科学产业园建设项目房建二部-六标)四川省南充市顺庆区搬罾街道学府大道二段</v>
      </c>
      <c r="J170" s="41" t="str">
        <f>VLOOKUP(B170,辅助信息!E:I,4,FALSE)</f>
        <v>安南</v>
      </c>
      <c r="K170" s="41">
        <f>VLOOKUP(J170,辅助信息!H:I,2,FALSE)</f>
        <v>19950525030</v>
      </c>
      <c r="L170" s="79"/>
      <c r="M170" s="78"/>
      <c r="N170" s="78"/>
      <c r="O170" s="78"/>
      <c r="P170" s="78"/>
      <c r="Q170" s="41" t="str">
        <f>VLOOKUP(B170,辅助信息!E:M,9,FALSE)</f>
        <v>ZTWM-CDGS-XS-2024-0248-五冶钢构-南充市医学院项目</v>
      </c>
      <c r="R170" s="27"/>
    </row>
    <row r="171" hidden="1" spans="2:18">
      <c r="B171" s="41" t="s">
        <v>60</v>
      </c>
      <c r="C171" s="71">
        <v>45665</v>
      </c>
      <c r="D171" s="41" t="str">
        <f>VLOOKUP(B171,辅助信息!E:K,7,FALSE)</f>
        <v>JWDDCD2025051000019</v>
      </c>
      <c r="E171" s="41" t="str">
        <f>VLOOKUP(F171,辅助信息!A:B,2,FALSE)</f>
        <v>盘螺</v>
      </c>
      <c r="F171" s="41" t="s">
        <v>40</v>
      </c>
      <c r="G171" s="37">
        <v>2</v>
      </c>
      <c r="H171" s="37" t="e">
        <f>_xlfn._xlws.FILTER(#REF!,#REF!&amp;#REF!&amp;#REF!&amp;#REF!=C171&amp;F171&amp;I171&amp;J171,"未发货")</f>
        <v>#REF!</v>
      </c>
      <c r="I171" s="41" t="str">
        <f>VLOOKUP(B171,辅助信息!E:I,3,FALSE)</f>
        <v>(五冶钢构医学科学产业园建设项目房建二部-六标)四川省南充市顺庆区搬罾街道学府大道二段</v>
      </c>
      <c r="J171" s="41" t="str">
        <f>VLOOKUP(B171,辅助信息!E:I,4,FALSE)</f>
        <v>安南</v>
      </c>
      <c r="K171" s="41">
        <f>VLOOKUP(J171,辅助信息!H:I,2,FALSE)</f>
        <v>19950525030</v>
      </c>
      <c r="L171" s="79"/>
      <c r="M171" s="78"/>
      <c r="N171" s="78"/>
      <c r="O171" s="78"/>
      <c r="P171" s="78"/>
      <c r="Q171" s="41" t="str">
        <f>VLOOKUP(B171,辅助信息!E:M,9,FALSE)</f>
        <v>ZTWM-CDGS-XS-2024-0248-五冶钢构-南充市医学院项目</v>
      </c>
      <c r="R171" s="27"/>
    </row>
    <row r="172" hidden="1" spans="2:18">
      <c r="B172" s="41" t="s">
        <v>60</v>
      </c>
      <c r="C172" s="71">
        <v>45665</v>
      </c>
      <c r="D172" s="41" t="str">
        <f>VLOOKUP(B172,辅助信息!E:K,7,FALSE)</f>
        <v>JWDDCD2025051000019</v>
      </c>
      <c r="E172" s="41" t="str">
        <f>VLOOKUP(F172,辅助信息!A:B,2,FALSE)</f>
        <v>螺纹钢</v>
      </c>
      <c r="F172" s="41" t="s">
        <v>27</v>
      </c>
      <c r="G172" s="37">
        <v>20</v>
      </c>
      <c r="H172" s="37" t="e">
        <f>_xlfn._xlws.FILTER(#REF!,#REF!&amp;#REF!&amp;#REF!&amp;#REF!=C172&amp;F172&amp;I172&amp;J172,"未发货")</f>
        <v>#REF!</v>
      </c>
      <c r="I172" s="41" t="str">
        <f>VLOOKUP(B172,辅助信息!E:I,3,FALSE)</f>
        <v>(五冶钢构医学科学产业园建设项目房建二部-六标)四川省南充市顺庆区搬罾街道学府大道二段</v>
      </c>
      <c r="J172" s="41" t="str">
        <f>VLOOKUP(B172,辅助信息!E:I,4,FALSE)</f>
        <v>安南</v>
      </c>
      <c r="K172" s="41">
        <f>VLOOKUP(J172,辅助信息!H:I,2,FALSE)</f>
        <v>19950525030</v>
      </c>
      <c r="L172" s="79"/>
      <c r="M172" s="78"/>
      <c r="N172" s="78"/>
      <c r="O172" s="78"/>
      <c r="P172" s="78"/>
      <c r="Q172" s="41" t="str">
        <f>VLOOKUP(B172,辅助信息!E:M,9,FALSE)</f>
        <v>ZTWM-CDGS-XS-2024-0248-五冶钢构-南充市医学院项目</v>
      </c>
      <c r="R172" s="27"/>
    </row>
    <row r="173" hidden="1" spans="2:18">
      <c r="B173" s="41" t="s">
        <v>60</v>
      </c>
      <c r="C173" s="71">
        <v>45665</v>
      </c>
      <c r="D173" s="41" t="str">
        <f>VLOOKUP(B173,辅助信息!E:K,7,FALSE)</f>
        <v>JWDDCD2025051000019</v>
      </c>
      <c r="E173" s="41" t="str">
        <f>VLOOKUP(F173,辅助信息!A:B,2,FALSE)</f>
        <v>螺纹钢</v>
      </c>
      <c r="F173" s="41" t="s">
        <v>32</v>
      </c>
      <c r="G173" s="37">
        <v>3</v>
      </c>
      <c r="H173" s="37" t="e">
        <f>_xlfn._xlws.FILTER(#REF!,#REF!&amp;#REF!&amp;#REF!&amp;#REF!=C173&amp;F173&amp;I173&amp;J173,"未发货")</f>
        <v>#REF!</v>
      </c>
      <c r="I173" s="41" t="str">
        <f>VLOOKUP(B173,辅助信息!E:I,3,FALSE)</f>
        <v>(五冶钢构医学科学产业园建设项目房建二部-六标)四川省南充市顺庆区搬罾街道学府大道二段</v>
      </c>
      <c r="J173" s="41" t="str">
        <f>VLOOKUP(B173,辅助信息!E:I,4,FALSE)</f>
        <v>安南</v>
      </c>
      <c r="K173" s="41">
        <f>VLOOKUP(J173,辅助信息!H:I,2,FALSE)</f>
        <v>19950525030</v>
      </c>
      <c r="L173" s="77"/>
      <c r="M173" s="78"/>
      <c r="N173" s="78"/>
      <c r="O173" s="78"/>
      <c r="P173" s="78"/>
      <c r="Q173" s="41" t="str">
        <f>VLOOKUP(B173,辅助信息!E:M,9,FALSE)</f>
        <v>ZTWM-CDGS-XS-2024-0248-五冶钢构-南充市医学院项目</v>
      </c>
      <c r="R173" s="27"/>
    </row>
    <row r="174" ht="78.75" hidden="1" customHeight="1" spans="2:18">
      <c r="B174" s="41" t="s">
        <v>20</v>
      </c>
      <c r="C174" s="71">
        <v>45665</v>
      </c>
      <c r="D174" s="41" t="str">
        <f>VLOOKUP(B174,辅助信息!E:K,7,FALSE)</f>
        <v>JWDDCD2025051000019</v>
      </c>
      <c r="E174" s="41" t="str">
        <f>VLOOKUP(F174,辅助信息!A:B,2,FALSE)</f>
        <v>螺纹钢</v>
      </c>
      <c r="F174" s="41" t="s">
        <v>27</v>
      </c>
      <c r="G174" s="37">
        <v>35</v>
      </c>
      <c r="H174" s="37" t="e">
        <f>_xlfn._xlws.FILTER(#REF!,#REF!&amp;#REF!&amp;#REF!&amp;#REF!=C174&amp;F174&amp;I174&amp;J174,"未发货")</f>
        <v>#REF!</v>
      </c>
      <c r="I174" s="41" t="str">
        <f>VLOOKUP(B174,辅助信息!E:I,3,FALSE)</f>
        <v>(五冶钢构医学科学产业园建设项目房建三部-一标（7-2）)四川省南充市顺庆区搬罾街道学府大道二段</v>
      </c>
      <c r="J174" s="41" t="str">
        <f>VLOOKUP(B174,辅助信息!E:I,4,FALSE)</f>
        <v>郑林</v>
      </c>
      <c r="K174" s="41">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1" t="str">
        <f>VLOOKUP(B174,辅助信息!E:M,9,FALSE)</f>
        <v>ZTWM-CDGS-XS-2024-0248-五冶钢构-南充市医学院项目</v>
      </c>
      <c r="R174" s="27"/>
    </row>
    <row r="175" hidden="1" spans="2:18">
      <c r="B175" s="41" t="s">
        <v>17</v>
      </c>
      <c r="C175" s="71">
        <v>45665</v>
      </c>
      <c r="D175" s="41" t="str">
        <f>VLOOKUP(B175,辅助信息!E:K,7,FALSE)</f>
        <v>JWDDCD2024101600090</v>
      </c>
      <c r="E175" s="41" t="str">
        <f>VLOOKUP(F175,辅助信息!A:B,2,FALSE)</f>
        <v>螺纹钢</v>
      </c>
      <c r="F175" s="41" t="s">
        <v>18</v>
      </c>
      <c r="G175" s="37">
        <f>149-108</f>
        <v>41</v>
      </c>
      <c r="H175" s="37" t="e">
        <f>_xlfn._xlws.FILTER(#REF!,#REF!&amp;#REF!&amp;#REF!&amp;#REF!=C175&amp;F175&amp;I175&amp;J175,"未发货")</f>
        <v>#REF!</v>
      </c>
      <c r="I175" s="41" t="str">
        <f>VLOOKUP(B175,辅助信息!E:I,3,FALSE)</f>
        <v>（达州市公共卫生临床医疗中心项目-一标-1号制作房）达州市通川区西外复兴镇公共卫生临床医疗中心项目</v>
      </c>
      <c r="J175" s="41" t="str">
        <f>VLOOKUP(B175,辅助信息!E:I,4,FALSE)</f>
        <v>潘建发</v>
      </c>
      <c r="K175" s="41">
        <f>VLOOKUP(J175,辅助信息!H:I,2,FALSE)</f>
        <v>13658059919</v>
      </c>
      <c r="L175" s="78" t="str">
        <f>VLOOKUP(B175,辅助信息!E:J,6,FALSE)</f>
        <v>提前联系到场规格,一天到场车辆不低于2车</v>
      </c>
      <c r="M175" s="78"/>
      <c r="N175" s="78"/>
      <c r="O175" s="78"/>
      <c r="P175" s="78"/>
      <c r="Q175" s="41" t="str">
        <f>VLOOKUP(B175,辅助信息!E:M,9,FALSE)</f>
        <v>ZTWM-CDGS-XS-2024-0205-五冶钢构-达州市通川区西外复兴镇及临近片区建设项目</v>
      </c>
      <c r="R175" s="27"/>
    </row>
    <row r="176" hidden="1" spans="2:18">
      <c r="B176" s="41" t="s">
        <v>17</v>
      </c>
      <c r="C176" s="71">
        <v>45665</v>
      </c>
      <c r="D176" s="41" t="str">
        <f>VLOOKUP(B176,辅助信息!E:K,7,FALSE)</f>
        <v>JWDDCD2024101600090</v>
      </c>
      <c r="E176" s="41" t="str">
        <f>VLOOKUP(F176,辅助信息!A:B,2,FALSE)</f>
        <v>螺纹钢</v>
      </c>
      <c r="F176" s="41" t="s">
        <v>32</v>
      </c>
      <c r="G176" s="37">
        <v>9</v>
      </c>
      <c r="H176" s="37" t="e">
        <f>_xlfn._xlws.FILTER(#REF!,#REF!&amp;#REF!&amp;#REF!&amp;#REF!=C176&amp;F176&amp;I176&amp;J176,"未发货")</f>
        <v>#REF!</v>
      </c>
      <c r="I176" s="41" t="str">
        <f>VLOOKUP(B176,辅助信息!E:I,3,FALSE)</f>
        <v>（达州市公共卫生临床医疗中心项目-一标-1号制作房）达州市通川区西外复兴镇公共卫生临床医疗中心项目</v>
      </c>
      <c r="J176" s="41" t="str">
        <f>VLOOKUP(B176,辅助信息!E:I,4,FALSE)</f>
        <v>潘建发</v>
      </c>
      <c r="K176" s="41">
        <f>VLOOKUP(J176,辅助信息!H:I,2,FALSE)</f>
        <v>13658059919</v>
      </c>
      <c r="L176" s="79"/>
      <c r="M176" s="78"/>
      <c r="N176" s="78"/>
      <c r="O176" s="78"/>
      <c r="P176" s="78"/>
      <c r="Q176" s="41"/>
      <c r="R176" s="27"/>
    </row>
    <row r="177" hidden="1" spans="2:18">
      <c r="B177" s="41" t="s">
        <v>17</v>
      </c>
      <c r="C177" s="71">
        <v>45665</v>
      </c>
      <c r="D177" s="41" t="str">
        <f>VLOOKUP(B177,辅助信息!E:K,7,FALSE)</f>
        <v>JWDDCD2024101600090</v>
      </c>
      <c r="E177" s="41" t="str">
        <f>VLOOKUP(F177,辅助信息!A:B,2,FALSE)</f>
        <v>盘螺</v>
      </c>
      <c r="F177" s="41" t="s">
        <v>41</v>
      </c>
      <c r="G177" s="37">
        <v>5</v>
      </c>
      <c r="H177" s="37" t="e">
        <f>_xlfn._xlws.FILTER(#REF!,#REF!&amp;#REF!&amp;#REF!&amp;#REF!=C177&amp;F177&amp;I177&amp;J177,"未发货")</f>
        <v>#REF!</v>
      </c>
      <c r="I177" s="41" t="str">
        <f>VLOOKUP(B177,辅助信息!E:I,3,FALSE)</f>
        <v>（达州市公共卫生临床医疗中心项目-一标-1号制作房）达州市通川区西外复兴镇公共卫生临床医疗中心项目</v>
      </c>
      <c r="J177" s="41" t="str">
        <f>VLOOKUP(B177,辅助信息!E:I,4,FALSE)</f>
        <v>潘建发</v>
      </c>
      <c r="K177" s="41">
        <f>VLOOKUP(J177,辅助信息!H:I,2,FALSE)</f>
        <v>13658059919</v>
      </c>
      <c r="L177" s="77"/>
      <c r="M177" s="78"/>
      <c r="N177" s="78"/>
      <c r="O177" s="78"/>
      <c r="P177" s="78"/>
      <c r="Q177" s="41" t="str">
        <f>VLOOKUP(B177,辅助信息!E:M,9,FALSE)</f>
        <v>ZTWM-CDGS-XS-2024-0205-五冶钢构-达州市通川区西外复兴镇及临近片区建设项目</v>
      </c>
      <c r="R177" s="27"/>
    </row>
    <row r="178" hidden="1" spans="2:18">
      <c r="B178" s="41" t="s">
        <v>31</v>
      </c>
      <c r="C178" s="71">
        <v>45665</v>
      </c>
      <c r="D178" s="41" t="str">
        <f>VLOOKUP(B178,辅助信息!E:K,7,FALSE)</f>
        <v>JWDDCD2024121000136</v>
      </c>
      <c r="E178" s="41" t="str">
        <f>VLOOKUP(F178,辅助信息!A:B,2,FALSE)</f>
        <v>螺纹钢</v>
      </c>
      <c r="F178" s="41" t="s">
        <v>33</v>
      </c>
      <c r="G178" s="37">
        <v>15</v>
      </c>
      <c r="H178" s="37">
        <v>15</v>
      </c>
      <c r="I178" s="41" t="str">
        <f>VLOOKUP(B178,辅助信息!E:I,3,FALSE)</f>
        <v>（四川商建-射洪城乡一体化项目）遂宁市射洪市忠新幼儿园北侧约220米新溪小区</v>
      </c>
      <c r="J178" s="41" t="str">
        <f>VLOOKUP(B178,辅助信息!E:I,4,FALSE)</f>
        <v>柏子刚</v>
      </c>
      <c r="K178" s="41">
        <f>VLOOKUP(J178,辅助信息!H:I,2,FALSE)</f>
        <v>15692885305</v>
      </c>
      <c r="L178" s="78" t="str">
        <f>VLOOKUP(B178,辅助信息!E:J,6,FALSE)</f>
        <v>提前联系到场规格及数量</v>
      </c>
      <c r="M178" s="78"/>
      <c r="N178" s="78"/>
      <c r="O178" s="78"/>
      <c r="P178" s="78"/>
      <c r="Q178" s="41" t="str">
        <f>VLOOKUP(B178,辅助信息!E:M,9,FALSE)</f>
        <v>ZTWM-CDGS-XS-2024-0179-四川商投-射洪城乡一体化建设项目</v>
      </c>
      <c r="R178" s="27"/>
    </row>
    <row r="179" hidden="1" spans="2:18">
      <c r="B179" s="41" t="s">
        <v>31</v>
      </c>
      <c r="C179" s="71">
        <v>45665</v>
      </c>
      <c r="D179" s="41" t="str">
        <f>VLOOKUP(B179,辅助信息!E:K,7,FALSE)</f>
        <v>JWDDCD2024121000136</v>
      </c>
      <c r="E179" s="41" t="str">
        <f>VLOOKUP(F179,辅助信息!A:B,2,FALSE)</f>
        <v>盘螺</v>
      </c>
      <c r="F179" s="41" t="s">
        <v>40</v>
      </c>
      <c r="G179" s="37">
        <v>5</v>
      </c>
      <c r="H179" s="37">
        <v>5</v>
      </c>
      <c r="I179" s="41" t="str">
        <f>VLOOKUP(B179,辅助信息!E:I,3,FALSE)</f>
        <v>（四川商建-射洪城乡一体化项目）遂宁市射洪市忠新幼儿园北侧约220米新溪小区</v>
      </c>
      <c r="J179" s="41" t="str">
        <f>VLOOKUP(B179,辅助信息!E:I,4,FALSE)</f>
        <v>柏子刚</v>
      </c>
      <c r="K179" s="41">
        <f>VLOOKUP(J179,辅助信息!H:I,2,FALSE)</f>
        <v>15692885305</v>
      </c>
      <c r="L179" s="79"/>
      <c r="M179" s="78"/>
      <c r="N179" s="78"/>
      <c r="O179" s="78"/>
      <c r="P179" s="78"/>
      <c r="Q179" s="41" t="str">
        <f>VLOOKUP(B179,辅助信息!E:M,9,FALSE)</f>
        <v>ZTWM-CDGS-XS-2024-0179-四川商投-射洪城乡一体化建设项目</v>
      </c>
      <c r="R179" s="27"/>
    </row>
    <row r="180" hidden="1" spans="2:18">
      <c r="B180" s="41" t="s">
        <v>31</v>
      </c>
      <c r="C180" s="71">
        <v>45665</v>
      </c>
      <c r="D180" s="41" t="str">
        <f>VLOOKUP(B180,辅助信息!E:K,7,FALSE)</f>
        <v>JWDDCD2024121000136</v>
      </c>
      <c r="E180" s="41" t="str">
        <f>VLOOKUP(F180,辅助信息!A:B,2,FALSE)</f>
        <v>盘螺</v>
      </c>
      <c r="F180" s="41" t="s">
        <v>41</v>
      </c>
      <c r="G180" s="37">
        <v>15</v>
      </c>
      <c r="H180" s="37">
        <v>15</v>
      </c>
      <c r="I180" s="41" t="str">
        <f>VLOOKUP(B180,辅助信息!E:I,3,FALSE)</f>
        <v>（四川商建-射洪城乡一体化项目）遂宁市射洪市忠新幼儿园北侧约220米新溪小区</v>
      </c>
      <c r="J180" s="41" t="str">
        <f>VLOOKUP(B180,辅助信息!E:I,4,FALSE)</f>
        <v>柏子刚</v>
      </c>
      <c r="K180" s="41">
        <f>VLOOKUP(J180,辅助信息!H:I,2,FALSE)</f>
        <v>15692885305</v>
      </c>
      <c r="L180" s="79"/>
      <c r="M180" s="78"/>
      <c r="N180" s="78"/>
      <c r="O180" s="78"/>
      <c r="P180" s="78"/>
      <c r="Q180" s="41" t="str">
        <f>VLOOKUP(B180,辅助信息!E:M,9,FALSE)</f>
        <v>ZTWM-CDGS-XS-2024-0179-四川商投-射洪城乡一体化建设项目</v>
      </c>
      <c r="R180" s="27"/>
    </row>
    <row r="181" hidden="1" spans="1:18">
      <c r="A181" s="72" t="s">
        <v>62</v>
      </c>
      <c r="B181" s="41" t="s">
        <v>31</v>
      </c>
      <c r="C181" s="71">
        <v>45665</v>
      </c>
      <c r="D181" s="41" t="str">
        <f>VLOOKUP(B181,辅助信息!E:K,7,FALSE)</f>
        <v>JWDDCD2024121000136</v>
      </c>
      <c r="E181" s="41" t="str">
        <f>VLOOKUP(F181,辅助信息!A:B,2,FALSE)</f>
        <v>盘螺</v>
      </c>
      <c r="F181" s="41" t="s">
        <v>40</v>
      </c>
      <c r="G181" s="37">
        <v>21</v>
      </c>
      <c r="H181" s="37">
        <v>21</v>
      </c>
      <c r="I181" s="41" t="str">
        <f>VLOOKUP(B181,辅助信息!E:I,3,FALSE)</f>
        <v>（四川商建-射洪城乡一体化项目）遂宁市射洪市忠新幼儿园北侧约220米新溪小区</v>
      </c>
      <c r="J181" s="41" t="str">
        <f>VLOOKUP(B181,辅助信息!E:I,4,FALSE)</f>
        <v>柏子刚</v>
      </c>
      <c r="K181" s="41">
        <f>VLOOKUP(J181,辅助信息!H:I,2,FALSE)</f>
        <v>15692885305</v>
      </c>
      <c r="L181" s="79"/>
      <c r="M181" s="78"/>
      <c r="N181" s="78"/>
      <c r="O181" s="78"/>
      <c r="P181" s="78"/>
      <c r="Q181" s="41" t="str">
        <f>VLOOKUP(B181,辅助信息!E:M,9,FALSE)</f>
        <v>ZTWM-CDGS-XS-2024-0179-四川商投-射洪城乡一体化建设项目</v>
      </c>
      <c r="R181" s="27"/>
    </row>
    <row r="182" hidden="1" spans="2:18">
      <c r="B182" s="41" t="s">
        <v>31</v>
      </c>
      <c r="C182" s="71">
        <v>45665</v>
      </c>
      <c r="D182" s="41" t="str">
        <f>VLOOKUP(B182,辅助信息!E:K,7,FALSE)</f>
        <v>JWDDCD2024121000136</v>
      </c>
      <c r="E182" s="41" t="str">
        <f>VLOOKUP(F182,辅助信息!A:B,2,FALSE)</f>
        <v>盘螺</v>
      </c>
      <c r="F182" s="41" t="s">
        <v>41</v>
      </c>
      <c r="G182" s="37">
        <v>30</v>
      </c>
      <c r="H182" s="37">
        <v>30</v>
      </c>
      <c r="I182" s="41" t="str">
        <f>VLOOKUP(B182,辅助信息!E:I,3,FALSE)</f>
        <v>（四川商建-射洪城乡一体化项目）遂宁市射洪市忠新幼儿园北侧约220米新溪小区</v>
      </c>
      <c r="J182" s="41" t="str">
        <f>VLOOKUP(B182,辅助信息!E:I,4,FALSE)</f>
        <v>柏子刚</v>
      </c>
      <c r="K182" s="41">
        <f>VLOOKUP(J182,辅助信息!H:I,2,FALSE)</f>
        <v>15692885305</v>
      </c>
      <c r="L182" s="79"/>
      <c r="M182" s="78"/>
      <c r="N182" s="78"/>
      <c r="O182" s="78"/>
      <c r="P182" s="78"/>
      <c r="Q182" s="41" t="str">
        <f>VLOOKUP(B182,辅助信息!E:M,9,FALSE)</f>
        <v>ZTWM-CDGS-XS-2024-0179-四川商投-射洪城乡一体化建设项目</v>
      </c>
      <c r="R182" s="27"/>
    </row>
    <row r="183" hidden="1" spans="2:18">
      <c r="B183" s="41" t="s">
        <v>31</v>
      </c>
      <c r="C183" s="71">
        <v>45665</v>
      </c>
      <c r="D183" s="41" t="str">
        <f>VLOOKUP(B183,辅助信息!E:K,7,FALSE)</f>
        <v>JWDDCD2024121000136</v>
      </c>
      <c r="E183" s="41" t="str">
        <f>VLOOKUP(F183,辅助信息!A:B,2,FALSE)</f>
        <v>螺纹钢</v>
      </c>
      <c r="F183" s="41" t="s">
        <v>32</v>
      </c>
      <c r="G183" s="37">
        <v>21</v>
      </c>
      <c r="H183" s="37" t="e">
        <f>_xlfn._xlws.FILTER(#REF!,#REF!&amp;#REF!&amp;#REF!&amp;#REF!=C183&amp;F183&amp;I183&amp;J183,"未发货")</f>
        <v>#REF!</v>
      </c>
      <c r="I183" s="41" t="str">
        <f>VLOOKUP(B183,辅助信息!E:I,3,FALSE)</f>
        <v>（四川商建-射洪城乡一体化项目）遂宁市射洪市忠新幼儿园北侧约220米新溪小区</v>
      </c>
      <c r="J183" s="41" t="str">
        <f>VLOOKUP(B183,辅助信息!E:I,4,FALSE)</f>
        <v>柏子刚</v>
      </c>
      <c r="K183" s="41">
        <f>VLOOKUP(J183,辅助信息!H:I,2,FALSE)</f>
        <v>15692885305</v>
      </c>
      <c r="L183" s="79"/>
      <c r="M183" s="78"/>
      <c r="N183" s="78"/>
      <c r="O183" s="78"/>
      <c r="P183" s="78"/>
      <c r="Q183" s="41" t="str">
        <f>VLOOKUP(B183,辅助信息!E:M,9,FALSE)</f>
        <v>ZTWM-CDGS-XS-2024-0179-四川商投-射洪城乡一体化建设项目</v>
      </c>
      <c r="R183" s="27"/>
    </row>
    <row r="184" hidden="1" spans="2:18">
      <c r="B184" s="41" t="s">
        <v>31</v>
      </c>
      <c r="C184" s="71">
        <v>45665</v>
      </c>
      <c r="D184" s="41" t="str">
        <f>VLOOKUP(B184,辅助信息!E:K,7,FALSE)</f>
        <v>JWDDCD2024121000136</v>
      </c>
      <c r="E184" s="41" t="str">
        <f>VLOOKUP(F184,辅助信息!A:B,2,FALSE)</f>
        <v>螺纹钢</v>
      </c>
      <c r="F184" s="41" t="s">
        <v>33</v>
      </c>
      <c r="G184" s="37">
        <v>30</v>
      </c>
      <c r="H184" s="37">
        <v>30</v>
      </c>
      <c r="I184" s="41" t="str">
        <f>VLOOKUP(B184,辅助信息!E:I,3,FALSE)</f>
        <v>（四川商建-射洪城乡一体化项目）遂宁市射洪市忠新幼儿园北侧约220米新溪小区</v>
      </c>
      <c r="J184" s="41" t="str">
        <f>VLOOKUP(B184,辅助信息!E:I,4,FALSE)</f>
        <v>柏子刚</v>
      </c>
      <c r="K184" s="41">
        <f>VLOOKUP(J184,辅助信息!H:I,2,FALSE)</f>
        <v>15692885305</v>
      </c>
      <c r="L184" s="77"/>
      <c r="M184" s="78"/>
      <c r="N184" s="78"/>
      <c r="O184" s="78"/>
      <c r="P184" s="78"/>
      <c r="Q184" s="41" t="str">
        <f>VLOOKUP(B184,辅助信息!E:M,9,FALSE)</f>
        <v>ZTWM-CDGS-XS-2024-0179-四川商投-射洪城乡一体化建设项目</v>
      </c>
      <c r="R184" s="27"/>
    </row>
    <row r="185" ht="56.25" hidden="1" customHeight="1" spans="2:18">
      <c r="B185" s="41" t="s">
        <v>29</v>
      </c>
      <c r="C185" s="71">
        <v>45665</v>
      </c>
      <c r="D185" s="41" t="e">
        <f>VLOOKUP(B185,辅助信息!E:K,7,FALSE)</f>
        <v>#N/A</v>
      </c>
      <c r="E185" s="41" t="str">
        <f>VLOOKUP(F185,辅助信息!A:B,2,FALSE)</f>
        <v>螺纹钢</v>
      </c>
      <c r="F185" s="41" t="s">
        <v>28</v>
      </c>
      <c r="G185" s="37">
        <v>70</v>
      </c>
      <c r="H185" s="37" t="e">
        <f>_xlfn._xlws.FILTER(#REF!,#REF!&amp;#REF!&amp;#REF!&amp;#REF!=C185&amp;F185&amp;I185&amp;J185,"未发货")</f>
        <v>#REF!</v>
      </c>
      <c r="I185" s="41" t="e">
        <f>VLOOKUP(B185,辅助信息!E:I,3,FALSE)</f>
        <v>#N/A</v>
      </c>
      <c r="J185" s="41" t="e">
        <f>VLOOKUP(B185,辅助信息!E:I,4,FALSE)</f>
        <v>#N/A</v>
      </c>
      <c r="K185" s="41" t="e">
        <f>VLOOKUP(J185,辅助信息!H:I,2,FALSE)</f>
        <v>#N/A</v>
      </c>
      <c r="L185" s="87" t="e">
        <f>VLOOKUP(B185,辅助信息!E:J,6,FALSE)</f>
        <v>#N/A</v>
      </c>
      <c r="M185" s="87"/>
      <c r="N185" s="87"/>
      <c r="O185" s="87"/>
      <c r="P185" s="87"/>
      <c r="Q185" s="41" t="e">
        <f>VLOOKUP(B185,辅助信息!E:M,9,FALSE)</f>
        <v>#N/A</v>
      </c>
      <c r="R185" s="27"/>
    </row>
    <row r="186" ht="56.25" hidden="1" customHeight="1" spans="2:18">
      <c r="B186" s="41" t="s">
        <v>54</v>
      </c>
      <c r="C186" s="71">
        <v>45665</v>
      </c>
      <c r="D186" s="41" t="e">
        <f>VLOOKUP(B186,辅助信息!E:K,7,FALSE)</f>
        <v>#N/A</v>
      </c>
      <c r="E186" s="41" t="str">
        <f>VLOOKUP(F186,辅助信息!A:B,2,FALSE)</f>
        <v>螺纹钢</v>
      </c>
      <c r="F186" s="41" t="s">
        <v>33</v>
      </c>
      <c r="G186" s="37">
        <v>54</v>
      </c>
      <c r="H186" s="37" t="e">
        <f>_xlfn._xlws.FILTER(#REF!,#REF!&amp;#REF!&amp;#REF!&amp;#REF!=C186&amp;F186&amp;I186&amp;J186,"未发货")</f>
        <v>#REF!</v>
      </c>
      <c r="I186" s="41" t="e">
        <f>VLOOKUP(B186,辅助信息!E:I,3,FALSE)</f>
        <v>#N/A</v>
      </c>
      <c r="J186" s="41" t="e">
        <f>VLOOKUP(B186,辅助信息!E:I,4,FALSE)</f>
        <v>#N/A</v>
      </c>
      <c r="K186" s="41" t="e">
        <f>VLOOKUP(J186,辅助信息!H:I,2,FALSE)</f>
        <v>#N/A</v>
      </c>
      <c r="L186" s="87" t="e">
        <f>VLOOKUP(B186,辅助信息!E:J,6,FALSE)</f>
        <v>#N/A</v>
      </c>
      <c r="M186" s="87"/>
      <c r="N186" s="87"/>
      <c r="O186" s="87"/>
      <c r="P186" s="87"/>
      <c r="Q186" s="41" t="e">
        <f>VLOOKUP(B186,辅助信息!E:M,9,FALSE)</f>
        <v>#N/A</v>
      </c>
      <c r="R186" s="27"/>
    </row>
    <row r="187" ht="45" hidden="1" customHeight="1" spans="2:18">
      <c r="B187" s="41" t="s">
        <v>63</v>
      </c>
      <c r="C187" s="71">
        <v>45665</v>
      </c>
      <c r="D187" s="41" t="e">
        <f>VLOOKUP(B187,辅助信息!E:K,7,FALSE)</f>
        <v>#N/A</v>
      </c>
      <c r="E187" s="41" t="str">
        <f>VLOOKUP(F187,辅助信息!A:B,2,FALSE)</f>
        <v>螺纹钢</v>
      </c>
      <c r="F187" s="41" t="s">
        <v>52</v>
      </c>
      <c r="G187" s="37">
        <v>26</v>
      </c>
      <c r="H187" s="37" t="e">
        <f>_xlfn._xlws.FILTER(#REF!,#REF!&amp;#REF!&amp;#REF!&amp;#REF!=C187&amp;F187&amp;I187&amp;J187,"未发货")</f>
        <v>#REF!</v>
      </c>
      <c r="I187" s="41" t="e">
        <f>VLOOKUP(B187,辅助信息!E:I,3,FALSE)</f>
        <v>#N/A</v>
      </c>
      <c r="J187" s="41" t="e">
        <f>VLOOKUP(B187,辅助信息!E:I,4,FALSE)</f>
        <v>#N/A</v>
      </c>
      <c r="K187" s="41" t="e">
        <f>VLOOKUP(J187,辅助信息!H:I,2,FALSE)</f>
        <v>#N/A</v>
      </c>
      <c r="L187" s="78" t="e">
        <f>VLOOKUP(B187,辅助信息!E:J,6,FALSE)</f>
        <v>#N/A</v>
      </c>
      <c r="M187" s="78"/>
      <c r="N187" s="78"/>
      <c r="O187" s="78"/>
      <c r="P187" s="78"/>
      <c r="Q187" s="41" t="e">
        <f>VLOOKUP(B187,辅助信息!E:M,9,FALSE)</f>
        <v>#N/A</v>
      </c>
      <c r="R187" s="27"/>
    </row>
    <row r="188" hidden="1" spans="2:18">
      <c r="B188" s="41" t="s">
        <v>64</v>
      </c>
      <c r="C188" s="71">
        <v>45665</v>
      </c>
      <c r="D188" s="41" t="e">
        <f>VLOOKUP(B188,辅助信息!E:K,7,FALSE)</f>
        <v>#N/A</v>
      </c>
      <c r="E188" s="41" t="str">
        <f>VLOOKUP(F188,辅助信息!A:B,2,FALSE)</f>
        <v>螺纹钢</v>
      </c>
      <c r="F188" s="41" t="s">
        <v>27</v>
      </c>
      <c r="G188" s="37">
        <v>15</v>
      </c>
      <c r="H188" s="37" t="e">
        <f>_xlfn._xlws.FILTER(#REF!,#REF!&amp;#REF!&amp;#REF!&amp;#REF!=C188&amp;F188&amp;I188&amp;J188,"未发货")</f>
        <v>#REF!</v>
      </c>
      <c r="I188" s="41" t="e">
        <f>VLOOKUP(B188,辅助信息!E:I,3,FALSE)</f>
        <v>#N/A</v>
      </c>
      <c r="J188" s="41" t="e">
        <f>VLOOKUP(B188,辅助信息!E:I,4,FALSE)</f>
        <v>#N/A</v>
      </c>
      <c r="K188" s="41" t="e">
        <f>VLOOKUP(J188,辅助信息!H:I,2,FALSE)</f>
        <v>#N/A</v>
      </c>
      <c r="L188" s="78" t="e">
        <f>VLOOKUP(B188,辅助信息!E:J,6,FALSE)</f>
        <v>#N/A</v>
      </c>
      <c r="M188" s="78"/>
      <c r="N188" s="78"/>
      <c r="O188" s="78"/>
      <c r="P188" s="78"/>
      <c r="Q188" s="41" t="e">
        <f>VLOOKUP(B188,辅助信息!E:M,9,FALSE)</f>
        <v>#N/A</v>
      </c>
      <c r="R188" s="27"/>
    </row>
    <row r="189" hidden="1" spans="2:18">
      <c r="B189" s="41" t="s">
        <v>64</v>
      </c>
      <c r="C189" s="71">
        <v>45665</v>
      </c>
      <c r="D189" s="41" t="e">
        <f>VLOOKUP(B189,辅助信息!E:K,7,FALSE)</f>
        <v>#N/A</v>
      </c>
      <c r="E189" s="41" t="str">
        <f>VLOOKUP(F189,辅助信息!A:B,2,FALSE)</f>
        <v>螺纹钢</v>
      </c>
      <c r="F189" s="41" t="s">
        <v>32</v>
      </c>
      <c r="G189" s="37">
        <v>18</v>
      </c>
      <c r="H189" s="37" t="e">
        <f>_xlfn._xlws.FILTER(#REF!,#REF!&amp;#REF!&amp;#REF!&amp;#REF!=C189&amp;F189&amp;I189&amp;J189,"未发货")</f>
        <v>#REF!</v>
      </c>
      <c r="I189" s="41" t="e">
        <f>VLOOKUP(B189,辅助信息!E:I,3,FALSE)</f>
        <v>#N/A</v>
      </c>
      <c r="J189" s="41" t="e">
        <f>VLOOKUP(B189,辅助信息!E:I,4,FALSE)</f>
        <v>#N/A</v>
      </c>
      <c r="K189" s="41" t="e">
        <f>VLOOKUP(J189,辅助信息!H:I,2,FALSE)</f>
        <v>#N/A</v>
      </c>
      <c r="L189" s="79"/>
      <c r="M189" s="78"/>
      <c r="N189" s="78"/>
      <c r="O189" s="78"/>
      <c r="P189" s="78"/>
      <c r="Q189" s="41" t="e">
        <f>VLOOKUP(B189,辅助信息!E:M,9,FALSE)</f>
        <v>#N/A</v>
      </c>
      <c r="R189" s="27"/>
    </row>
    <row r="190" hidden="1" spans="2:18">
      <c r="B190" s="41" t="s">
        <v>64</v>
      </c>
      <c r="C190" s="71">
        <v>45665</v>
      </c>
      <c r="D190" s="41" t="e">
        <f>VLOOKUP(B190,辅助信息!E:K,7,FALSE)</f>
        <v>#N/A</v>
      </c>
      <c r="E190" s="41" t="str">
        <f>VLOOKUP(F190,辅助信息!A:B,2,FALSE)</f>
        <v>螺纹钢</v>
      </c>
      <c r="F190" s="41" t="s">
        <v>28</v>
      </c>
      <c r="G190" s="37">
        <v>6</v>
      </c>
      <c r="H190" s="37" t="e">
        <f>_xlfn._xlws.FILTER(#REF!,#REF!&amp;#REF!&amp;#REF!&amp;#REF!=C190&amp;F190&amp;I190&amp;J190,"未发货")</f>
        <v>#REF!</v>
      </c>
      <c r="I190" s="41" t="e">
        <f>VLOOKUP(B190,辅助信息!E:I,3,FALSE)</f>
        <v>#N/A</v>
      </c>
      <c r="J190" s="41" t="e">
        <f>VLOOKUP(B190,辅助信息!E:I,4,FALSE)</f>
        <v>#N/A</v>
      </c>
      <c r="K190" s="41" t="e">
        <f>VLOOKUP(J190,辅助信息!H:I,2,FALSE)</f>
        <v>#N/A</v>
      </c>
      <c r="L190" s="79"/>
      <c r="M190" s="78"/>
      <c r="N190" s="78"/>
      <c r="O190" s="78"/>
      <c r="P190" s="78"/>
      <c r="Q190" s="41" t="e">
        <f>VLOOKUP(B190,辅助信息!E:M,9,FALSE)</f>
        <v>#N/A</v>
      </c>
      <c r="R190" s="27"/>
    </row>
    <row r="191" hidden="1" spans="2:18">
      <c r="B191" s="41" t="s">
        <v>64</v>
      </c>
      <c r="C191" s="71">
        <v>45665</v>
      </c>
      <c r="D191" s="41" t="e">
        <f>VLOOKUP(B191,辅助信息!E:K,7,FALSE)</f>
        <v>#N/A</v>
      </c>
      <c r="E191" s="41" t="str">
        <f>VLOOKUP(F191,辅助信息!A:B,2,FALSE)</f>
        <v>螺纹钢</v>
      </c>
      <c r="F191" s="41" t="s">
        <v>65</v>
      </c>
      <c r="G191" s="37">
        <v>38</v>
      </c>
      <c r="H191" s="37" t="e">
        <f>_xlfn._xlws.FILTER(#REF!,#REF!&amp;#REF!&amp;#REF!&amp;#REF!=C191&amp;F191&amp;I191&amp;J191,"未发货")</f>
        <v>#REF!</v>
      </c>
      <c r="I191" s="41" t="e">
        <f>VLOOKUP(B191,辅助信息!E:I,3,FALSE)</f>
        <v>#N/A</v>
      </c>
      <c r="J191" s="41" t="e">
        <f>VLOOKUP(B191,辅助信息!E:I,4,FALSE)</f>
        <v>#N/A</v>
      </c>
      <c r="K191" s="41" t="e">
        <f>VLOOKUP(J191,辅助信息!H:I,2,FALSE)</f>
        <v>#N/A</v>
      </c>
      <c r="L191" s="79"/>
      <c r="M191" s="78"/>
      <c r="N191" s="78"/>
      <c r="O191" s="78"/>
      <c r="P191" s="78"/>
      <c r="Q191" s="41" t="e">
        <f>VLOOKUP(B191,辅助信息!E:M,9,FALSE)</f>
        <v>#N/A</v>
      </c>
      <c r="R191" s="27"/>
    </row>
    <row r="192" hidden="1" spans="2:18">
      <c r="B192" s="41" t="s">
        <v>64</v>
      </c>
      <c r="C192" s="71">
        <v>45665</v>
      </c>
      <c r="D192" s="41" t="e">
        <f>VLOOKUP(B192,辅助信息!E:K,7,FALSE)</f>
        <v>#N/A</v>
      </c>
      <c r="E192" s="41" t="str">
        <f>VLOOKUP(F192,辅助信息!A:B,2,FALSE)</f>
        <v>螺纹钢</v>
      </c>
      <c r="F192" s="41" t="s">
        <v>52</v>
      </c>
      <c r="G192" s="37">
        <v>6</v>
      </c>
      <c r="H192" s="37" t="e">
        <f>_xlfn._xlws.FILTER(#REF!,#REF!&amp;#REF!&amp;#REF!&amp;#REF!=C192&amp;F192&amp;I192&amp;J192,"未发货")</f>
        <v>#REF!</v>
      </c>
      <c r="I192" s="41" t="e">
        <f>VLOOKUP(B192,辅助信息!E:I,3,FALSE)</f>
        <v>#N/A</v>
      </c>
      <c r="J192" s="41" t="e">
        <f>VLOOKUP(B192,辅助信息!E:I,4,FALSE)</f>
        <v>#N/A</v>
      </c>
      <c r="K192" s="41" t="e">
        <f>VLOOKUP(J192,辅助信息!H:I,2,FALSE)</f>
        <v>#N/A</v>
      </c>
      <c r="L192" s="77"/>
      <c r="M192" s="78"/>
      <c r="N192" s="78"/>
      <c r="O192" s="78"/>
      <c r="P192" s="78"/>
      <c r="Q192" s="41" t="e">
        <f>VLOOKUP(B192,辅助信息!E:M,9,FALSE)</f>
        <v>#N/A</v>
      </c>
      <c r="R192" s="27"/>
    </row>
    <row r="193" hidden="1" spans="1:18">
      <c r="A193" s="83"/>
      <c r="B193" s="41" t="s">
        <v>56</v>
      </c>
      <c r="C193" s="71">
        <v>45665</v>
      </c>
      <c r="D193" s="41" t="str">
        <f>VLOOKUP(B193,辅助信息!E:K,7,FALSE)</f>
        <v>JWDDCD2025052800131</v>
      </c>
      <c r="E193" s="41" t="str">
        <f>VLOOKUP(F193,辅助信息!A:B,2,FALSE)</f>
        <v>螺纹钢</v>
      </c>
      <c r="F193" s="41" t="s">
        <v>30</v>
      </c>
      <c r="G193" s="37">
        <v>3</v>
      </c>
      <c r="H193" s="37" t="e">
        <f>_xlfn._xlws.FILTER(#REF!,#REF!&amp;#REF!&amp;#REF!&amp;#REF!=C193&amp;F193&amp;I193&amp;J193,"未发货")</f>
        <v>#REF!</v>
      </c>
      <c r="I193" s="41" t="str">
        <f>VLOOKUP(B193,辅助信息!E:I,3,FALSE)</f>
        <v>（商投建工达州中医药科技园-4工区-7号楼）达州市通川区达州中医药职业学院犀牛大道北段</v>
      </c>
      <c r="J193" s="41" t="str">
        <f>VLOOKUP(B193,辅助信息!E:I,4,FALSE)</f>
        <v>张扬</v>
      </c>
      <c r="K193" s="41">
        <f>VLOOKUP(J193,辅助信息!H:I,2,FALSE)</f>
        <v>18381904567</v>
      </c>
      <c r="L193" s="78" t="str">
        <f>VLOOKUP(B193,辅助信息!E:J,6,FALSE)</f>
        <v>控制炉批号！多了现场不收！,优先安排达钢,提前联系到场规格及数量</v>
      </c>
      <c r="M193" s="78"/>
      <c r="N193" s="78"/>
      <c r="O193" s="78"/>
      <c r="P193" s="78"/>
      <c r="Q193" s="41" t="str">
        <f>VLOOKUP(B193,辅助信息!E:M,9,FALSE)</f>
        <v>ZTWM-CDGS-XS-2024-0134-商投建工达州中医药科技成果示范园项目</v>
      </c>
      <c r="R193" s="27"/>
    </row>
    <row r="194" hidden="1" spans="1:18">
      <c r="A194" s="79"/>
      <c r="B194" s="41" t="s">
        <v>56</v>
      </c>
      <c r="C194" s="71">
        <v>45665</v>
      </c>
      <c r="D194" s="41" t="str">
        <f>VLOOKUP(B194,辅助信息!E:K,7,FALSE)</f>
        <v>JWDDCD2025052800131</v>
      </c>
      <c r="E194" s="41" t="str">
        <f>VLOOKUP(F194,辅助信息!A:B,2,FALSE)</f>
        <v>螺纹钢</v>
      </c>
      <c r="F194" s="41" t="s">
        <v>28</v>
      </c>
      <c r="G194" s="37">
        <v>15</v>
      </c>
      <c r="H194" s="37" t="e">
        <f>_xlfn._xlws.FILTER(#REF!,#REF!&amp;#REF!&amp;#REF!&amp;#REF!=C194&amp;F194&amp;I194&amp;J194,"未发货")</f>
        <v>#REF!</v>
      </c>
      <c r="I194" s="41" t="str">
        <f>VLOOKUP(B194,辅助信息!E:I,3,FALSE)</f>
        <v>（商投建工达州中医药科技园-4工区-7号楼）达州市通川区达州中医药职业学院犀牛大道北段</v>
      </c>
      <c r="J194" s="41" t="str">
        <f>VLOOKUP(B194,辅助信息!E:I,4,FALSE)</f>
        <v>张扬</v>
      </c>
      <c r="K194" s="41">
        <f>VLOOKUP(J194,辅助信息!H:I,2,FALSE)</f>
        <v>18381904567</v>
      </c>
      <c r="L194" s="79"/>
      <c r="M194" s="78"/>
      <c r="N194" s="78"/>
      <c r="O194" s="78"/>
      <c r="P194" s="78"/>
      <c r="Q194" s="41" t="str">
        <f>VLOOKUP(B194,辅助信息!E:M,9,FALSE)</f>
        <v>ZTWM-CDGS-XS-2024-0134-商投建工达州中医药科技成果示范园项目</v>
      </c>
      <c r="R194" s="27"/>
    </row>
    <row r="195" hidden="1" spans="1:18">
      <c r="A195" s="79"/>
      <c r="B195" s="41" t="s">
        <v>56</v>
      </c>
      <c r="C195" s="71">
        <v>45665</v>
      </c>
      <c r="D195" s="41" t="str">
        <f>VLOOKUP(B195,辅助信息!E:K,7,FALSE)</f>
        <v>JWDDCD2025052800131</v>
      </c>
      <c r="E195" s="41" t="str">
        <f>VLOOKUP(F195,辅助信息!A:B,2,FALSE)</f>
        <v>螺纹钢</v>
      </c>
      <c r="F195" s="41" t="s">
        <v>21</v>
      </c>
      <c r="G195" s="37">
        <v>6</v>
      </c>
      <c r="H195" s="37" t="e">
        <f>_xlfn._xlws.FILTER(#REF!,#REF!&amp;#REF!&amp;#REF!&amp;#REF!=C195&amp;F195&amp;I195&amp;J195,"未发货")</f>
        <v>#REF!</v>
      </c>
      <c r="I195" s="41" t="str">
        <f>VLOOKUP(B195,辅助信息!E:I,3,FALSE)</f>
        <v>（商投建工达州中医药科技园-4工区-7号楼）达州市通川区达州中医药职业学院犀牛大道北段</v>
      </c>
      <c r="J195" s="41" t="str">
        <f>VLOOKUP(B195,辅助信息!E:I,4,FALSE)</f>
        <v>张扬</v>
      </c>
      <c r="K195" s="41">
        <f>VLOOKUP(J195,辅助信息!H:I,2,FALSE)</f>
        <v>18381904567</v>
      </c>
      <c r="L195" s="79"/>
      <c r="M195" s="78"/>
      <c r="N195" s="78"/>
      <c r="O195" s="78"/>
      <c r="P195" s="78"/>
      <c r="Q195" s="41" t="str">
        <f>VLOOKUP(B195,辅助信息!E:M,9,FALSE)</f>
        <v>ZTWM-CDGS-XS-2024-0134-商投建工达州中医药科技成果示范园项目</v>
      </c>
      <c r="R195" s="27"/>
    </row>
    <row r="196" hidden="1" spans="1:18">
      <c r="A196" s="77"/>
      <c r="B196" s="41" t="s">
        <v>56</v>
      </c>
      <c r="C196" s="71">
        <v>45665</v>
      </c>
      <c r="D196" s="41" t="str">
        <f>VLOOKUP(B196,辅助信息!E:K,7,FALSE)</f>
        <v>JWDDCD2025052800131</v>
      </c>
      <c r="E196" s="41" t="str">
        <f>VLOOKUP(F196,辅助信息!A:B,2,FALSE)</f>
        <v>螺纹钢</v>
      </c>
      <c r="F196" s="41" t="s">
        <v>46</v>
      </c>
      <c r="G196" s="37">
        <v>9</v>
      </c>
      <c r="H196" s="37" t="e">
        <f>_xlfn._xlws.FILTER(#REF!,#REF!&amp;#REF!&amp;#REF!&amp;#REF!=C196&amp;F196&amp;I196&amp;J196,"未发货")</f>
        <v>#REF!</v>
      </c>
      <c r="I196" s="41" t="str">
        <f>VLOOKUP(B196,辅助信息!E:I,3,FALSE)</f>
        <v>（商投建工达州中医药科技园-4工区-7号楼）达州市通川区达州中医药职业学院犀牛大道北段</v>
      </c>
      <c r="J196" s="41" t="str">
        <f>VLOOKUP(B196,辅助信息!E:I,4,FALSE)</f>
        <v>张扬</v>
      </c>
      <c r="K196" s="41">
        <f>VLOOKUP(J196,辅助信息!H:I,2,FALSE)</f>
        <v>18381904567</v>
      </c>
      <c r="L196" s="77"/>
      <c r="M196" s="78"/>
      <c r="N196" s="78"/>
      <c r="O196" s="78"/>
      <c r="P196" s="78"/>
      <c r="Q196" s="41" t="str">
        <f>VLOOKUP(B196,辅助信息!E:M,9,FALSE)</f>
        <v>ZTWM-CDGS-XS-2024-0134-商投建工达州中医药科技成果示范园项目</v>
      </c>
      <c r="R196" s="27"/>
    </row>
    <row r="197" hidden="1" spans="2:18">
      <c r="B197" s="41" t="s">
        <v>48</v>
      </c>
      <c r="C197" s="71">
        <v>45665</v>
      </c>
      <c r="D197" s="41" t="str">
        <f>VLOOKUP(B197,辅助信息!E:K,7,FALSE)</f>
        <v>ZTWM-CDGS-YL-20240529-006</v>
      </c>
      <c r="E197" s="41" t="str">
        <f>VLOOKUP(F197,辅助信息!A:B,2,FALSE)</f>
        <v>螺纹钢</v>
      </c>
      <c r="F197" s="41" t="s">
        <v>66</v>
      </c>
      <c r="G197" s="37">
        <f>40-12</f>
        <v>28</v>
      </c>
      <c r="H197" s="37" t="e">
        <f>_xlfn._xlws.FILTER(#REF!,#REF!&amp;#REF!&amp;#REF!&amp;#REF!=C197&amp;F197&amp;I197&amp;J197,"未发货")</f>
        <v>#REF!</v>
      </c>
      <c r="I197" s="41" t="str">
        <f>VLOOKUP(B197,辅助信息!E:I,3,FALSE)</f>
        <v>(华西颐海-科创农业生态谷-1号钢筋房)成都市简阳市白金山水库</v>
      </c>
      <c r="J197" s="41" t="str">
        <f>VLOOKUP(B197,辅助信息!E:I,4,FALSE)</f>
        <v>石清国</v>
      </c>
      <c r="K197" s="41">
        <f>VLOOKUP(J197,辅助信息!H:I,2,FALSE)</f>
        <v>13458642015</v>
      </c>
      <c r="L197" s="78" t="str">
        <f>VLOOKUP(B197,辅助信息!E:J,6,FALSE)</f>
        <v>优先威钢,我方卸车,新老国标钢厂不加价可直发</v>
      </c>
      <c r="M197" s="78"/>
      <c r="N197" s="78"/>
      <c r="O197" s="78"/>
      <c r="P197" s="78"/>
      <c r="Q197" s="41" t="str">
        <f>VLOOKUP(B197,辅助信息!E:M,9,FALSE)</f>
        <v>ZTWM-CDGS-XS-2024-0093-华西-颐海科创农业生态谷</v>
      </c>
      <c r="R197" s="27"/>
    </row>
    <row r="198" hidden="1" spans="2:18">
      <c r="B198" s="41" t="s">
        <v>48</v>
      </c>
      <c r="C198" s="71">
        <v>45665</v>
      </c>
      <c r="D198" s="41" t="str">
        <f>VLOOKUP(B198,辅助信息!E:K,7,FALSE)</f>
        <v>ZTWM-CDGS-YL-20240529-006</v>
      </c>
      <c r="E198" s="41" t="str">
        <f>VLOOKUP(F198,辅助信息!A:B,2,FALSE)</f>
        <v>螺纹钢</v>
      </c>
      <c r="F198" s="41" t="s">
        <v>46</v>
      </c>
      <c r="G198" s="37">
        <v>6</v>
      </c>
      <c r="H198" s="37" t="e">
        <f>_xlfn._xlws.FILTER(#REF!,#REF!&amp;#REF!&amp;#REF!&amp;#REF!=C198&amp;F198&amp;I198&amp;J198,"未发货")</f>
        <v>#REF!</v>
      </c>
      <c r="I198" s="41" t="str">
        <f>VLOOKUP(B198,辅助信息!E:I,3,FALSE)</f>
        <v>(华西颐海-科创农业生态谷-1号钢筋房)成都市简阳市白金山水库</v>
      </c>
      <c r="J198" s="41" t="str">
        <f>VLOOKUP(B198,辅助信息!E:I,4,FALSE)</f>
        <v>石清国</v>
      </c>
      <c r="K198" s="41">
        <f>VLOOKUP(J198,辅助信息!H:I,2,FALSE)</f>
        <v>13458642015</v>
      </c>
      <c r="L198" s="79"/>
      <c r="M198" s="78"/>
      <c r="N198" s="78"/>
      <c r="O198" s="78"/>
      <c r="P198" s="78"/>
      <c r="Q198" s="41" t="str">
        <f>VLOOKUP(B198,辅助信息!E:M,9,FALSE)</f>
        <v>ZTWM-CDGS-XS-2024-0093-华西-颐海科创农业生态谷</v>
      </c>
      <c r="R198" s="27"/>
    </row>
    <row r="199" hidden="1" spans="2:18">
      <c r="B199" s="41" t="s">
        <v>48</v>
      </c>
      <c r="C199" s="71">
        <v>45665</v>
      </c>
      <c r="D199" s="41" t="str">
        <f>VLOOKUP(B199,辅助信息!E:K,7,FALSE)</f>
        <v>ZTWM-CDGS-YL-20240529-006</v>
      </c>
      <c r="E199" s="41" t="str">
        <f>VLOOKUP(F199,辅助信息!A:B,2,FALSE)</f>
        <v>螺纹钢</v>
      </c>
      <c r="F199" s="41" t="s">
        <v>22</v>
      </c>
      <c r="G199" s="37">
        <v>10</v>
      </c>
      <c r="H199" s="37" t="e">
        <f>_xlfn._xlws.FILTER(#REF!,#REF!&amp;#REF!&amp;#REF!&amp;#REF!=C199&amp;F199&amp;I199&amp;J199,"未发货")</f>
        <v>#REF!</v>
      </c>
      <c r="I199" s="41" t="str">
        <f>VLOOKUP(B199,辅助信息!E:I,3,FALSE)</f>
        <v>(华西颐海-科创农业生态谷-1号钢筋房)成都市简阳市白金山水库</v>
      </c>
      <c r="J199" s="41" t="str">
        <f>VLOOKUP(B199,辅助信息!E:I,4,FALSE)</f>
        <v>石清国</v>
      </c>
      <c r="K199" s="41">
        <f>VLOOKUP(J199,辅助信息!H:I,2,FALSE)</f>
        <v>13458642015</v>
      </c>
      <c r="L199" s="77"/>
      <c r="M199" s="78"/>
      <c r="N199" s="78"/>
      <c r="O199" s="78"/>
      <c r="P199" s="78"/>
      <c r="Q199" s="41" t="str">
        <f>VLOOKUP(B199,辅助信息!E:M,9,FALSE)</f>
        <v>ZTWM-CDGS-XS-2024-0093-华西-颐海科创农业生态谷</v>
      </c>
      <c r="R199" s="27"/>
    </row>
    <row r="200" hidden="1" spans="2:18">
      <c r="B200" s="41" t="s">
        <v>44</v>
      </c>
      <c r="C200" s="71">
        <v>45665</v>
      </c>
      <c r="D200" s="41" t="str">
        <f>VLOOKUP(B200,辅助信息!E:K,7,FALSE)</f>
        <v>JWDDCD2025060600053</v>
      </c>
      <c r="E200" s="41" t="str">
        <f>VLOOKUP(F200,辅助信息!A:B,2,FALSE)</f>
        <v>盘螺</v>
      </c>
      <c r="F200" s="41" t="s">
        <v>26</v>
      </c>
      <c r="G200" s="37">
        <v>52</v>
      </c>
      <c r="H200" s="37" t="e">
        <f>_xlfn._xlws.FILTER(#REF!,#REF!&amp;#REF!&amp;#REF!&amp;#REF!=C200&amp;F200&amp;I200&amp;J200,"未发货")</f>
        <v>#REF!</v>
      </c>
      <c r="I200" s="41" t="str">
        <f>VLOOKUP(B200,辅助信息!E:I,3,FALSE)</f>
        <v>（华西酒城南）成都市武侯区火车南站西路8号酒城南项目</v>
      </c>
      <c r="J200" s="41" t="str">
        <f>VLOOKUP(B200,辅助信息!E:I,4,FALSE)</f>
        <v>龙耀宇</v>
      </c>
      <c r="K200" s="41">
        <f>VLOOKUP(J200,辅助信息!H:I,2,FALSE)</f>
        <v>18384145895</v>
      </c>
      <c r="L200" s="87" t="str">
        <f>VLOOKUP(B200,辅助信息!E:J,6,FALSE)</f>
        <v>对方卸车</v>
      </c>
      <c r="M200" s="87"/>
      <c r="N200" s="87"/>
      <c r="O200" s="87"/>
      <c r="P200" s="87"/>
      <c r="Q200" s="41" t="str">
        <f>VLOOKUP(B200,辅助信息!E:M,9,FALSE)</f>
        <v>ZTWM-CDGS-XS-2024-0189-华西集采-酒城南项目</v>
      </c>
      <c r="R200" s="27"/>
    </row>
    <row r="201" hidden="1" spans="1:18">
      <c r="A201" s="72" t="s">
        <v>67</v>
      </c>
      <c r="B201" s="41" t="s">
        <v>17</v>
      </c>
      <c r="C201" s="71">
        <v>45667</v>
      </c>
      <c r="D201" s="41" t="str">
        <f>VLOOKUP(B201,辅助信息!E:K,7,FALSE)</f>
        <v>JWDDCD2024101600090</v>
      </c>
      <c r="E201" s="41" t="str">
        <f>VLOOKUP(F201,辅助信息!A:B,2,FALSE)</f>
        <v>螺纹钢</v>
      </c>
      <c r="F201" s="41" t="s">
        <v>18</v>
      </c>
      <c r="G201" s="37">
        <f>149-108</f>
        <v>41</v>
      </c>
      <c r="H201" s="37" t="e">
        <f>_xlfn._xlws.FILTER(#REF!,#REF!&amp;#REF!&amp;#REF!&amp;#REF!=C201&amp;F201&amp;I201&amp;J201,"未发货")</f>
        <v>#REF!</v>
      </c>
      <c r="I201" s="41" t="str">
        <f>VLOOKUP(B201,辅助信息!E:I,3,FALSE)</f>
        <v>（达州市公共卫生临床医疗中心项目-一标-1号制作房）达州市通川区西外复兴镇公共卫生临床医疗中心项目</v>
      </c>
      <c r="J201" s="41" t="str">
        <f>VLOOKUP(B201,辅助信息!E:I,4,FALSE)</f>
        <v>潘建发</v>
      </c>
      <c r="K201" s="41">
        <f>VLOOKUP(J201,辅助信息!H:I,2,FALSE)</f>
        <v>13658059919</v>
      </c>
      <c r="L201" s="78" t="str">
        <f>VLOOKUP(B201,辅助信息!E:J,6,FALSE)</f>
        <v>提前联系到场规格,一天到场车辆不低于2车</v>
      </c>
      <c r="M201" s="78"/>
      <c r="N201" s="78"/>
      <c r="O201" s="78"/>
      <c r="P201" s="78"/>
      <c r="Q201" s="41" t="str">
        <f>VLOOKUP(B201,辅助信息!E:M,9,FALSE)</f>
        <v>ZTWM-CDGS-XS-2024-0205-五冶钢构-达州市通川区西外复兴镇及临近片区建设项目</v>
      </c>
      <c r="R201" s="27"/>
    </row>
    <row r="202" hidden="1" spans="2:18">
      <c r="B202" s="41" t="s">
        <v>17</v>
      </c>
      <c r="C202" s="71">
        <v>45667</v>
      </c>
      <c r="D202" s="41" t="str">
        <f>VLOOKUP(B202,辅助信息!E:K,7,FALSE)</f>
        <v>JWDDCD2024101600090</v>
      </c>
      <c r="E202" s="41" t="str">
        <f>VLOOKUP(F202,辅助信息!A:B,2,FALSE)</f>
        <v>螺纹钢</v>
      </c>
      <c r="F202" s="41" t="s">
        <v>32</v>
      </c>
      <c r="G202" s="37">
        <v>9</v>
      </c>
      <c r="H202" s="37" t="e">
        <f>_xlfn._xlws.FILTER(#REF!,#REF!&amp;#REF!&amp;#REF!&amp;#REF!=C202&amp;F202&amp;I202&amp;J202,"未发货")</f>
        <v>#REF!</v>
      </c>
      <c r="I202" s="41" t="str">
        <f>VLOOKUP(B202,辅助信息!E:I,3,FALSE)</f>
        <v>（达州市公共卫生临床医疗中心项目-一标-1号制作房）达州市通川区西外复兴镇公共卫生临床医疗中心项目</v>
      </c>
      <c r="J202" s="41" t="str">
        <f>VLOOKUP(B202,辅助信息!E:I,4,FALSE)</f>
        <v>潘建发</v>
      </c>
      <c r="K202" s="41">
        <f>VLOOKUP(J202,辅助信息!H:I,2,FALSE)</f>
        <v>13658059919</v>
      </c>
      <c r="L202" s="79"/>
      <c r="M202" s="78"/>
      <c r="N202" s="78"/>
      <c r="O202" s="78"/>
      <c r="P202" s="78"/>
      <c r="Q202" s="41" t="str">
        <f>VLOOKUP(B202,辅助信息!E:M,9,FALSE)</f>
        <v>ZTWM-CDGS-XS-2024-0205-五冶钢构-达州市通川区西外复兴镇及临近片区建设项目</v>
      </c>
      <c r="R202" s="27"/>
    </row>
    <row r="203" hidden="1" spans="2:18">
      <c r="B203" s="41" t="s">
        <v>17</v>
      </c>
      <c r="C203" s="71">
        <v>45667</v>
      </c>
      <c r="D203" s="41" t="str">
        <f>VLOOKUP(B203,辅助信息!E:K,7,FALSE)</f>
        <v>JWDDCD2024101600090</v>
      </c>
      <c r="E203" s="41" t="str">
        <f>VLOOKUP(F203,辅助信息!A:B,2,FALSE)</f>
        <v>盘螺</v>
      </c>
      <c r="F203" s="41" t="s">
        <v>41</v>
      </c>
      <c r="G203" s="37">
        <v>5</v>
      </c>
      <c r="H203" s="37">
        <v>5.5</v>
      </c>
      <c r="I203" s="41" t="str">
        <f>VLOOKUP(B203,辅助信息!E:I,3,FALSE)</f>
        <v>（达州市公共卫生临床医疗中心项目-一标-1号制作房）达州市通川区西外复兴镇公共卫生临床医疗中心项目</v>
      </c>
      <c r="J203" s="41" t="str">
        <f>VLOOKUP(B203,辅助信息!E:I,4,FALSE)</f>
        <v>潘建发</v>
      </c>
      <c r="K203" s="41">
        <f>VLOOKUP(J203,辅助信息!H:I,2,FALSE)</f>
        <v>13658059919</v>
      </c>
      <c r="L203" s="77"/>
      <c r="M203" s="78"/>
      <c r="N203" s="78"/>
      <c r="O203" s="78"/>
      <c r="P203" s="78"/>
      <c r="Q203" s="41" t="str">
        <f>VLOOKUP(B203,辅助信息!E:M,9,FALSE)</f>
        <v>ZTWM-CDGS-XS-2024-0205-五冶钢构-达州市通川区西外复兴镇及临近片区建设项目</v>
      </c>
      <c r="R203" s="27"/>
    </row>
    <row r="204" ht="56.25" hidden="1" customHeight="1" spans="2:18">
      <c r="B204" s="41" t="s">
        <v>54</v>
      </c>
      <c r="C204" s="71">
        <v>45667</v>
      </c>
      <c r="D204" s="41" t="e">
        <f>VLOOKUP(B204,辅助信息!E:K,7,FALSE)</f>
        <v>#N/A</v>
      </c>
      <c r="E204" s="41" t="str">
        <f>VLOOKUP(F204,辅助信息!A:B,2,FALSE)</f>
        <v>螺纹钢</v>
      </c>
      <c r="F204" s="41" t="s">
        <v>33</v>
      </c>
      <c r="G204" s="37">
        <v>19</v>
      </c>
      <c r="H204" s="37" t="e">
        <f>_xlfn._xlws.FILTER(#REF!,#REF!&amp;#REF!&amp;#REF!&amp;#REF!=C204&amp;F204&amp;I204&amp;J204,"未发货")</f>
        <v>#REF!</v>
      </c>
      <c r="I204" s="41" t="e">
        <f>VLOOKUP(B204,辅助信息!E:I,3,FALSE)</f>
        <v>#N/A</v>
      </c>
      <c r="J204" s="41" t="e">
        <f>VLOOKUP(B204,辅助信息!E:I,4,FALSE)</f>
        <v>#N/A</v>
      </c>
      <c r="K204" s="41" t="e">
        <f>VLOOKUP(J204,辅助信息!H:I,2,FALSE)</f>
        <v>#N/A</v>
      </c>
      <c r="L204" s="78" t="e">
        <f>VLOOKUP(B204,辅助信息!E:J,6,FALSE)</f>
        <v>#N/A</v>
      </c>
      <c r="M204" s="78"/>
      <c r="N204" s="78"/>
      <c r="O204" s="78"/>
      <c r="P204" s="78"/>
      <c r="Q204" s="41" t="e">
        <f>VLOOKUP(B204,辅助信息!E:M,9,FALSE)</f>
        <v>#N/A</v>
      </c>
      <c r="R204" s="27"/>
    </row>
    <row r="205" hidden="1" spans="2:18">
      <c r="B205" s="41" t="s">
        <v>64</v>
      </c>
      <c r="C205" s="71">
        <v>45667</v>
      </c>
      <c r="D205" s="41" t="e">
        <f>VLOOKUP(B205,辅助信息!E:K,7,FALSE)</f>
        <v>#N/A</v>
      </c>
      <c r="E205" s="41" t="str">
        <f>VLOOKUP(F205,辅助信息!A:B,2,FALSE)</f>
        <v>螺纹钢</v>
      </c>
      <c r="F205" s="41" t="s">
        <v>32</v>
      </c>
      <c r="G205" s="37">
        <v>18</v>
      </c>
      <c r="H205" s="37" t="e">
        <f>_xlfn._xlws.FILTER(#REF!,#REF!&amp;#REF!&amp;#REF!&amp;#REF!=C205&amp;F205&amp;I205&amp;J205,"未发货")</f>
        <v>#REF!</v>
      </c>
      <c r="I205" s="41" t="e">
        <f>VLOOKUP(B205,辅助信息!E:I,3,FALSE)</f>
        <v>#N/A</v>
      </c>
      <c r="J205" s="41" t="e">
        <f>VLOOKUP(B205,辅助信息!E:I,4,FALSE)</f>
        <v>#N/A</v>
      </c>
      <c r="K205" s="41" t="e">
        <f>VLOOKUP(J205,辅助信息!H:I,2,FALSE)</f>
        <v>#N/A</v>
      </c>
      <c r="L205" s="78" t="e">
        <f>VLOOKUP(B205,辅助信息!E:J,6,FALSE)</f>
        <v>#N/A</v>
      </c>
      <c r="M205" s="78"/>
      <c r="N205" s="78"/>
      <c r="O205" s="78"/>
      <c r="P205" s="78"/>
      <c r="Q205" s="41" t="e">
        <f>VLOOKUP(B205,辅助信息!E:M,9,FALSE)</f>
        <v>#N/A</v>
      </c>
      <c r="R205" s="27"/>
    </row>
    <row r="206" hidden="1" spans="2:18">
      <c r="B206" s="41" t="s">
        <v>64</v>
      </c>
      <c r="C206" s="71">
        <v>45667</v>
      </c>
      <c r="D206" s="41" t="e">
        <f>VLOOKUP(B206,辅助信息!E:K,7,FALSE)</f>
        <v>#N/A</v>
      </c>
      <c r="E206" s="41" t="str">
        <f>VLOOKUP(F206,辅助信息!A:B,2,FALSE)</f>
        <v>螺纹钢</v>
      </c>
      <c r="F206" s="41" t="s">
        <v>28</v>
      </c>
      <c r="G206" s="37">
        <v>6</v>
      </c>
      <c r="H206" s="37" t="e">
        <f>_xlfn._xlws.FILTER(#REF!,#REF!&amp;#REF!&amp;#REF!&amp;#REF!=C206&amp;F206&amp;I206&amp;J206,"未发货")</f>
        <v>#REF!</v>
      </c>
      <c r="I206" s="41" t="e">
        <f>VLOOKUP(B206,辅助信息!E:I,3,FALSE)</f>
        <v>#N/A</v>
      </c>
      <c r="J206" s="41" t="e">
        <f>VLOOKUP(B206,辅助信息!E:I,4,FALSE)</f>
        <v>#N/A</v>
      </c>
      <c r="K206" s="41" t="e">
        <f>VLOOKUP(J206,辅助信息!H:I,2,FALSE)</f>
        <v>#N/A</v>
      </c>
      <c r="L206" s="79"/>
      <c r="M206" s="78"/>
      <c r="N206" s="78"/>
      <c r="O206" s="78"/>
      <c r="P206" s="78"/>
      <c r="Q206" s="41" t="e">
        <f>VLOOKUP(B206,辅助信息!E:M,9,FALSE)</f>
        <v>#N/A</v>
      </c>
      <c r="R206" s="27"/>
    </row>
    <row r="207" hidden="1" spans="2:18">
      <c r="B207" s="41" t="s">
        <v>64</v>
      </c>
      <c r="C207" s="71">
        <v>45667</v>
      </c>
      <c r="D207" s="41" t="e">
        <f>VLOOKUP(B207,辅助信息!E:K,7,FALSE)</f>
        <v>#N/A</v>
      </c>
      <c r="E207" s="41" t="str">
        <f>VLOOKUP(F207,辅助信息!A:B,2,FALSE)</f>
        <v>螺纹钢</v>
      </c>
      <c r="F207" s="41" t="s">
        <v>65</v>
      </c>
      <c r="G207" s="37">
        <v>38</v>
      </c>
      <c r="H207" s="37" t="e">
        <f>_xlfn._xlws.FILTER(#REF!,#REF!&amp;#REF!&amp;#REF!&amp;#REF!=C207&amp;F207&amp;I207&amp;J207,"未发货")</f>
        <v>#REF!</v>
      </c>
      <c r="I207" s="41" t="e">
        <f>VLOOKUP(B207,辅助信息!E:I,3,FALSE)</f>
        <v>#N/A</v>
      </c>
      <c r="J207" s="41" t="e">
        <f>VLOOKUP(B207,辅助信息!E:I,4,FALSE)</f>
        <v>#N/A</v>
      </c>
      <c r="K207" s="41" t="e">
        <f>VLOOKUP(J207,辅助信息!H:I,2,FALSE)</f>
        <v>#N/A</v>
      </c>
      <c r="L207" s="77"/>
      <c r="M207" s="78"/>
      <c r="N207" s="78"/>
      <c r="O207" s="78"/>
      <c r="P207" s="78"/>
      <c r="Q207" s="41" t="e">
        <f>VLOOKUP(B207,辅助信息!E:M,9,FALSE)</f>
        <v>#N/A</v>
      </c>
      <c r="R207" s="27"/>
    </row>
    <row r="208" hidden="1" spans="2:18">
      <c r="B208" s="41" t="s">
        <v>56</v>
      </c>
      <c r="C208" s="71">
        <v>45667</v>
      </c>
      <c r="D208" s="41" t="str">
        <f>VLOOKUP(B208,辅助信息!E:K,7,FALSE)</f>
        <v>JWDDCD2025052800131</v>
      </c>
      <c r="E208" s="41" t="str">
        <f>VLOOKUP(F208,辅助信息!A:B,2,FALSE)</f>
        <v>螺纹钢</v>
      </c>
      <c r="F208" s="41" t="s">
        <v>30</v>
      </c>
      <c r="G208" s="37">
        <v>3</v>
      </c>
      <c r="H208" s="37" t="e">
        <f>_xlfn._xlws.FILTER(#REF!,#REF!&amp;#REF!&amp;#REF!&amp;#REF!=C208&amp;F208&amp;I208&amp;J208,"未发货")</f>
        <v>#REF!</v>
      </c>
      <c r="I208" s="41" t="str">
        <f>VLOOKUP(B208,辅助信息!E:I,3,FALSE)</f>
        <v>（商投建工达州中医药科技园-4工区-7号楼）达州市通川区达州中医药职业学院犀牛大道北段</v>
      </c>
      <c r="J208" s="41" t="str">
        <f>VLOOKUP(B208,辅助信息!E:I,4,FALSE)</f>
        <v>张扬</v>
      </c>
      <c r="K208" s="41">
        <f>VLOOKUP(J208,辅助信息!H:I,2,FALSE)</f>
        <v>18381904567</v>
      </c>
      <c r="L208" s="78" t="str">
        <f>VLOOKUP(B208,辅助信息!E:J,6,FALSE)</f>
        <v>控制炉批号！多了现场不收！,优先安排达钢,提前联系到场规格及数量</v>
      </c>
      <c r="M208" s="78"/>
      <c r="N208" s="78"/>
      <c r="O208" s="78"/>
      <c r="P208" s="78"/>
      <c r="Q208" s="41" t="str">
        <f>VLOOKUP(B208,辅助信息!E:M,9,FALSE)</f>
        <v>ZTWM-CDGS-XS-2024-0134-商投建工达州中医药科技成果示范园项目</v>
      </c>
      <c r="R208" s="27"/>
    </row>
    <row r="209" hidden="1" spans="2:18">
      <c r="B209" s="41" t="s">
        <v>56</v>
      </c>
      <c r="C209" s="71">
        <v>45667</v>
      </c>
      <c r="D209" s="41" t="str">
        <f>VLOOKUP(B209,辅助信息!E:K,7,FALSE)</f>
        <v>JWDDCD2025052800131</v>
      </c>
      <c r="E209" s="41" t="str">
        <f>VLOOKUP(F209,辅助信息!A:B,2,FALSE)</f>
        <v>螺纹钢</v>
      </c>
      <c r="F209" s="41" t="s">
        <v>28</v>
      </c>
      <c r="G209" s="37">
        <v>15</v>
      </c>
      <c r="H209" s="37" t="e">
        <f>_xlfn._xlws.FILTER(#REF!,#REF!&amp;#REF!&amp;#REF!&amp;#REF!=C209&amp;F209&amp;I209&amp;J209,"未发货")</f>
        <v>#REF!</v>
      </c>
      <c r="I209" s="41" t="str">
        <f>VLOOKUP(B209,辅助信息!E:I,3,FALSE)</f>
        <v>（商投建工达州中医药科技园-4工区-7号楼）达州市通川区达州中医药职业学院犀牛大道北段</v>
      </c>
      <c r="J209" s="41" t="str">
        <f>VLOOKUP(B209,辅助信息!E:I,4,FALSE)</f>
        <v>张扬</v>
      </c>
      <c r="K209" s="41">
        <f>VLOOKUP(J209,辅助信息!H:I,2,FALSE)</f>
        <v>18381904567</v>
      </c>
      <c r="L209" s="79"/>
      <c r="M209" s="78"/>
      <c r="N209" s="78"/>
      <c r="O209" s="78"/>
      <c r="P209" s="78"/>
      <c r="Q209" s="41" t="str">
        <f>VLOOKUP(B209,辅助信息!E:M,9,FALSE)</f>
        <v>ZTWM-CDGS-XS-2024-0134-商投建工达州中医药科技成果示范园项目</v>
      </c>
      <c r="R209" s="27"/>
    </row>
    <row r="210" hidden="1" spans="2:18">
      <c r="B210" s="41" t="s">
        <v>56</v>
      </c>
      <c r="C210" s="71">
        <v>45667</v>
      </c>
      <c r="D210" s="41" t="str">
        <f>VLOOKUP(B210,辅助信息!E:K,7,FALSE)</f>
        <v>JWDDCD2025052800131</v>
      </c>
      <c r="E210" s="41" t="str">
        <f>VLOOKUP(F210,辅助信息!A:B,2,FALSE)</f>
        <v>螺纹钢</v>
      </c>
      <c r="F210" s="41" t="s">
        <v>21</v>
      </c>
      <c r="G210" s="37">
        <v>6</v>
      </c>
      <c r="H210" s="37" t="e">
        <f>_xlfn._xlws.FILTER(#REF!,#REF!&amp;#REF!&amp;#REF!&amp;#REF!=C210&amp;F210&amp;I210&amp;J210,"未发货")</f>
        <v>#REF!</v>
      </c>
      <c r="I210" s="41" t="str">
        <f>VLOOKUP(B210,辅助信息!E:I,3,FALSE)</f>
        <v>（商投建工达州中医药科技园-4工区-7号楼）达州市通川区达州中医药职业学院犀牛大道北段</v>
      </c>
      <c r="J210" s="41" t="str">
        <f>VLOOKUP(B210,辅助信息!E:I,4,FALSE)</f>
        <v>张扬</v>
      </c>
      <c r="K210" s="41">
        <f>VLOOKUP(J210,辅助信息!H:I,2,FALSE)</f>
        <v>18381904567</v>
      </c>
      <c r="L210" s="79"/>
      <c r="M210" s="78"/>
      <c r="N210" s="78"/>
      <c r="O210" s="78"/>
      <c r="P210" s="78"/>
      <c r="Q210" s="41" t="str">
        <f>VLOOKUP(B210,辅助信息!E:M,9,FALSE)</f>
        <v>ZTWM-CDGS-XS-2024-0134-商投建工达州中医药科技成果示范园项目</v>
      </c>
      <c r="R210" s="27"/>
    </row>
    <row r="211" hidden="1" spans="2:18">
      <c r="B211" s="41" t="s">
        <v>56</v>
      </c>
      <c r="C211" s="71">
        <v>45667</v>
      </c>
      <c r="D211" s="41" t="str">
        <f>VLOOKUP(B211,辅助信息!E:K,7,FALSE)</f>
        <v>JWDDCD2025052800131</v>
      </c>
      <c r="E211" s="41" t="str">
        <f>VLOOKUP(F211,辅助信息!A:B,2,FALSE)</f>
        <v>螺纹钢</v>
      </c>
      <c r="F211" s="41" t="s">
        <v>46</v>
      </c>
      <c r="G211" s="37">
        <v>9</v>
      </c>
      <c r="H211" s="37" t="e">
        <f>_xlfn._xlws.FILTER(#REF!,#REF!&amp;#REF!&amp;#REF!&amp;#REF!=C211&amp;F211&amp;I211&amp;J211,"未发货")</f>
        <v>#REF!</v>
      </c>
      <c r="I211" s="41" t="str">
        <f>VLOOKUP(B211,辅助信息!E:I,3,FALSE)</f>
        <v>（商投建工达州中医药科技园-4工区-7号楼）达州市通川区达州中医药职业学院犀牛大道北段</v>
      </c>
      <c r="J211" s="41" t="str">
        <f>VLOOKUP(B211,辅助信息!E:I,4,FALSE)</f>
        <v>张扬</v>
      </c>
      <c r="K211" s="41">
        <f>VLOOKUP(J211,辅助信息!H:I,2,FALSE)</f>
        <v>18381904567</v>
      </c>
      <c r="L211" s="77"/>
      <c r="M211" s="78"/>
      <c r="N211" s="78"/>
      <c r="O211" s="78"/>
      <c r="P211" s="78"/>
      <c r="Q211" s="41" t="str">
        <f>VLOOKUP(B211,辅助信息!E:M,9,FALSE)</f>
        <v>ZTWM-CDGS-XS-2024-0134-商投建工达州中医药科技成果示范园项目</v>
      </c>
      <c r="R211" s="27"/>
    </row>
    <row r="212" hidden="1" spans="2:18">
      <c r="B212" s="41" t="s">
        <v>48</v>
      </c>
      <c r="C212" s="71">
        <v>45667</v>
      </c>
      <c r="D212" s="41" t="str">
        <f>VLOOKUP(B212,辅助信息!E:K,7,FALSE)</f>
        <v>ZTWM-CDGS-YL-20240529-006</v>
      </c>
      <c r="E212" s="41" t="str">
        <f>VLOOKUP(F212,辅助信息!A:B,2,FALSE)</f>
        <v>螺纹钢</v>
      </c>
      <c r="F212" s="41" t="s">
        <v>66</v>
      </c>
      <c r="G212" s="37">
        <f>40-12</f>
        <v>28</v>
      </c>
      <c r="H212" s="37" t="e">
        <f>_xlfn._xlws.FILTER(#REF!,#REF!&amp;#REF!&amp;#REF!&amp;#REF!=C212&amp;F212&amp;I212&amp;J212,"未发货")</f>
        <v>#REF!</v>
      </c>
      <c r="I212" s="41" t="str">
        <f>VLOOKUP(B212,辅助信息!E:I,3,FALSE)</f>
        <v>(华西颐海-科创农业生态谷-1号钢筋房)成都市简阳市白金山水库</v>
      </c>
      <c r="J212" s="41" t="str">
        <f>VLOOKUP(B212,辅助信息!E:I,4,FALSE)</f>
        <v>石清国</v>
      </c>
      <c r="K212" s="41">
        <f>VLOOKUP(J212,辅助信息!H:I,2,FALSE)</f>
        <v>13458642015</v>
      </c>
      <c r="L212" s="78" t="str">
        <f>VLOOKUP(B212,辅助信息!E:J,6,FALSE)</f>
        <v>优先威钢,我方卸车,新老国标钢厂不加价可直发</v>
      </c>
      <c r="M212" s="78"/>
      <c r="N212" s="78"/>
      <c r="O212" s="78"/>
      <c r="P212" s="78"/>
      <c r="Q212" s="41" t="str">
        <f>VLOOKUP(B212,辅助信息!E:M,9,FALSE)</f>
        <v>ZTWM-CDGS-XS-2024-0093-华西-颐海科创农业生态谷</v>
      </c>
      <c r="R212" s="27"/>
    </row>
    <row r="213" hidden="1" spans="2:18">
      <c r="B213" s="41" t="s">
        <v>48</v>
      </c>
      <c r="C213" s="71">
        <v>45667</v>
      </c>
      <c r="D213" s="41" t="str">
        <f>VLOOKUP(B213,辅助信息!E:K,7,FALSE)</f>
        <v>ZTWM-CDGS-YL-20240529-006</v>
      </c>
      <c r="E213" s="41" t="str">
        <f>VLOOKUP(F213,辅助信息!A:B,2,FALSE)</f>
        <v>螺纹钢</v>
      </c>
      <c r="F213" s="41" t="s">
        <v>46</v>
      </c>
      <c r="G213" s="37">
        <v>6</v>
      </c>
      <c r="H213" s="37" t="e">
        <f>_xlfn._xlws.FILTER(#REF!,#REF!&amp;#REF!&amp;#REF!&amp;#REF!=C213&amp;F213&amp;I213&amp;J213,"未发货")</f>
        <v>#REF!</v>
      </c>
      <c r="I213" s="41" t="str">
        <f>VLOOKUP(B213,辅助信息!E:I,3,FALSE)</f>
        <v>(华西颐海-科创农业生态谷-1号钢筋房)成都市简阳市白金山水库</v>
      </c>
      <c r="J213" s="41" t="str">
        <f>VLOOKUP(B213,辅助信息!E:I,4,FALSE)</f>
        <v>石清国</v>
      </c>
      <c r="K213" s="41">
        <f>VLOOKUP(J213,辅助信息!H:I,2,FALSE)</f>
        <v>13458642015</v>
      </c>
      <c r="L213" s="79"/>
      <c r="M213" s="78"/>
      <c r="N213" s="78"/>
      <c r="O213" s="78"/>
      <c r="P213" s="78"/>
      <c r="Q213" s="41" t="str">
        <f>VLOOKUP(B213,辅助信息!E:M,9,FALSE)</f>
        <v>ZTWM-CDGS-XS-2024-0093-华西-颐海科创农业生态谷</v>
      </c>
      <c r="R213" s="27"/>
    </row>
    <row r="214" hidden="1" spans="2:18">
      <c r="B214" s="41" t="s">
        <v>48</v>
      </c>
      <c r="C214" s="71">
        <v>45667</v>
      </c>
      <c r="D214" s="41" t="str">
        <f>VLOOKUP(B214,辅助信息!E:K,7,FALSE)</f>
        <v>ZTWM-CDGS-YL-20240529-006</v>
      </c>
      <c r="E214" s="41" t="str">
        <f>VLOOKUP(F214,辅助信息!A:B,2,FALSE)</f>
        <v>螺纹钢</v>
      </c>
      <c r="F214" s="41" t="s">
        <v>22</v>
      </c>
      <c r="G214" s="37">
        <v>10</v>
      </c>
      <c r="H214" s="37" t="e">
        <f>_xlfn._xlws.FILTER(#REF!,#REF!&amp;#REF!&amp;#REF!&amp;#REF!=C214&amp;F214&amp;I214&amp;J214,"未发货")</f>
        <v>#REF!</v>
      </c>
      <c r="I214" s="41" t="str">
        <f>VLOOKUP(B214,辅助信息!E:I,3,FALSE)</f>
        <v>(华西颐海-科创农业生态谷-1号钢筋房)成都市简阳市白金山水库</v>
      </c>
      <c r="J214" s="41" t="str">
        <f>VLOOKUP(B214,辅助信息!E:I,4,FALSE)</f>
        <v>石清国</v>
      </c>
      <c r="K214" s="41">
        <f>VLOOKUP(J214,辅助信息!H:I,2,FALSE)</f>
        <v>13458642015</v>
      </c>
      <c r="L214" s="77"/>
      <c r="M214" s="78"/>
      <c r="N214" s="78"/>
      <c r="O214" s="78"/>
      <c r="P214" s="78"/>
      <c r="Q214" s="41" t="str">
        <f>VLOOKUP(B214,辅助信息!E:M,9,FALSE)</f>
        <v>ZTWM-CDGS-XS-2024-0093-华西-颐海科创农业生态谷</v>
      </c>
      <c r="R214" s="27"/>
    </row>
    <row r="215" hidden="1" spans="2:18">
      <c r="B215" s="41" t="s">
        <v>44</v>
      </c>
      <c r="C215" s="71">
        <v>45667</v>
      </c>
      <c r="D215" s="41" t="str">
        <f>VLOOKUP(B215,辅助信息!E:K,7,FALSE)</f>
        <v>JWDDCD2025060600053</v>
      </c>
      <c r="E215" s="41" t="str">
        <f>VLOOKUP(F215,辅助信息!A:B,2,FALSE)</f>
        <v>盘螺</v>
      </c>
      <c r="F215" s="41" t="s">
        <v>26</v>
      </c>
      <c r="G215" s="88">
        <v>35</v>
      </c>
      <c r="H215" s="37" t="e">
        <f>_xlfn._xlws.FILTER(#REF!,#REF!&amp;#REF!&amp;#REF!&amp;#REF!=C215&amp;F215&amp;I215&amp;J215,"未发货")</f>
        <v>#REF!</v>
      </c>
      <c r="I215" s="41" t="str">
        <f>VLOOKUP(B215,辅助信息!E:I,3,FALSE)</f>
        <v>（华西酒城南）成都市武侯区火车南站西路8号酒城南项目</v>
      </c>
      <c r="J215" s="41" t="str">
        <f>VLOOKUP(B215,辅助信息!E:I,4,FALSE)</f>
        <v>龙耀宇</v>
      </c>
      <c r="K215" s="41">
        <f>VLOOKUP(J215,辅助信息!H:I,2,FALSE)</f>
        <v>18384145895</v>
      </c>
      <c r="L215" s="78" t="str">
        <f>VLOOKUP(B215,辅助信息!E:J,6,FALSE)</f>
        <v>对方卸车</v>
      </c>
      <c r="M215" s="78"/>
      <c r="N215" s="78"/>
      <c r="O215" s="78"/>
      <c r="P215" s="78"/>
      <c r="Q215" s="41" t="str">
        <f>VLOOKUP(B215,辅助信息!E:M,9,FALSE)</f>
        <v>ZTWM-CDGS-XS-2024-0189-华西集采-酒城南项目</v>
      </c>
      <c r="R215" s="27"/>
    </row>
    <row r="216" hidden="1" spans="2:18">
      <c r="B216" s="41" t="s">
        <v>31</v>
      </c>
      <c r="C216" s="71">
        <v>45667</v>
      </c>
      <c r="D216" s="41" t="str">
        <f>VLOOKUP(B216,辅助信息!E:K,7,FALSE)</f>
        <v>JWDDCD2024121000136</v>
      </c>
      <c r="E216" s="41" t="str">
        <f>VLOOKUP(F216,辅助信息!A:B,2,FALSE)</f>
        <v>螺纹钢</v>
      </c>
      <c r="F216" s="41" t="s">
        <v>27</v>
      </c>
      <c r="G216" s="37">
        <v>15</v>
      </c>
      <c r="H216" s="37" t="e">
        <f>_xlfn._xlws.FILTER(#REF!,#REF!&amp;#REF!&amp;#REF!&amp;#REF!=C216&amp;F216&amp;I216&amp;J216,"未发货")</f>
        <v>#REF!</v>
      </c>
      <c r="I216" s="41" t="str">
        <f>VLOOKUP(B216,辅助信息!E:I,3,FALSE)</f>
        <v>（四川商建-射洪城乡一体化项目）遂宁市射洪市忠新幼儿园北侧约220米新溪小区</v>
      </c>
      <c r="J216" s="41" t="str">
        <f>VLOOKUP(B216,辅助信息!E:I,4,FALSE)</f>
        <v>柏子刚</v>
      </c>
      <c r="K216" s="41">
        <f>VLOOKUP(J216,辅助信息!H:I,2,FALSE)</f>
        <v>15692885305</v>
      </c>
      <c r="L216" s="78" t="str">
        <f>VLOOKUP(B216,辅助信息!E:J,6,FALSE)</f>
        <v>提前联系到场规格及数量</v>
      </c>
      <c r="M216" s="78"/>
      <c r="N216" s="78"/>
      <c r="O216" s="78"/>
      <c r="P216" s="78"/>
      <c r="Q216" s="41" t="str">
        <f>VLOOKUP(B216,辅助信息!E:M,9,FALSE)</f>
        <v>ZTWM-CDGS-XS-2024-0179-四川商投-射洪城乡一体化建设项目</v>
      </c>
      <c r="R216" s="27"/>
    </row>
    <row r="217" hidden="1" spans="2:18">
      <c r="B217" s="41" t="s">
        <v>31</v>
      </c>
      <c r="C217" s="71">
        <v>45667</v>
      </c>
      <c r="D217" s="41" t="str">
        <f>VLOOKUP(B217,辅助信息!E:K,7,FALSE)</f>
        <v>JWDDCD2024121000136</v>
      </c>
      <c r="E217" s="41" t="str">
        <f>VLOOKUP(F217,辅助信息!A:B,2,FALSE)</f>
        <v>螺纹钢</v>
      </c>
      <c r="F217" s="41" t="s">
        <v>19</v>
      </c>
      <c r="G217" s="37">
        <v>15</v>
      </c>
      <c r="H217" s="37" t="e">
        <f>_xlfn._xlws.FILTER(#REF!,#REF!&amp;#REF!&amp;#REF!&amp;#REF!=C217&amp;F217&amp;I217&amp;J217,"未发货")</f>
        <v>#REF!</v>
      </c>
      <c r="I217" s="41" t="str">
        <f>VLOOKUP(B217,辅助信息!E:I,3,FALSE)</f>
        <v>（四川商建-射洪城乡一体化项目）遂宁市射洪市忠新幼儿园北侧约220米新溪小区</v>
      </c>
      <c r="J217" s="41" t="str">
        <f>VLOOKUP(B217,辅助信息!E:I,4,FALSE)</f>
        <v>柏子刚</v>
      </c>
      <c r="K217" s="41">
        <f>VLOOKUP(J217,辅助信息!H:I,2,FALSE)</f>
        <v>15692885305</v>
      </c>
      <c r="L217" s="79"/>
      <c r="M217" s="78"/>
      <c r="N217" s="78"/>
      <c r="O217" s="78"/>
      <c r="P217" s="78"/>
      <c r="Q217" s="41" t="str">
        <f>VLOOKUP(B217,辅助信息!E:M,9,FALSE)</f>
        <v>ZTWM-CDGS-XS-2024-0179-四川商投-射洪城乡一体化建设项目</v>
      </c>
      <c r="R217" s="27"/>
    </row>
    <row r="218" hidden="1" spans="2:18">
      <c r="B218" s="41" t="s">
        <v>31</v>
      </c>
      <c r="C218" s="71">
        <v>45667</v>
      </c>
      <c r="D218" s="41" t="str">
        <f>VLOOKUP(B218,辅助信息!E:K,7,FALSE)</f>
        <v>JWDDCD2024121000136</v>
      </c>
      <c r="E218" s="41" t="str">
        <f>VLOOKUP(F218,辅助信息!A:B,2,FALSE)</f>
        <v>螺纹钢</v>
      </c>
      <c r="F218" s="41" t="s">
        <v>32</v>
      </c>
      <c r="G218" s="37">
        <v>54</v>
      </c>
      <c r="H218" s="37" t="e">
        <f>_xlfn._xlws.FILTER(#REF!,#REF!&amp;#REF!&amp;#REF!&amp;#REF!=C218&amp;F218&amp;I218&amp;J218,"未发货")</f>
        <v>#REF!</v>
      </c>
      <c r="I218" s="41" t="str">
        <f>VLOOKUP(B218,辅助信息!E:I,3,FALSE)</f>
        <v>（四川商建-射洪城乡一体化项目）遂宁市射洪市忠新幼儿园北侧约220米新溪小区</v>
      </c>
      <c r="J218" s="41" t="str">
        <f>VLOOKUP(B218,辅助信息!E:I,4,FALSE)</f>
        <v>柏子刚</v>
      </c>
      <c r="K218" s="41">
        <f>VLOOKUP(J218,辅助信息!H:I,2,FALSE)</f>
        <v>15692885305</v>
      </c>
      <c r="L218" s="79"/>
      <c r="M218" s="78"/>
      <c r="N218" s="78"/>
      <c r="O218" s="78"/>
      <c r="P218" s="78"/>
      <c r="Q218" s="41" t="str">
        <f>VLOOKUP(B218,辅助信息!E:M,9,FALSE)</f>
        <v>ZTWM-CDGS-XS-2024-0179-四川商投-射洪城乡一体化建设项目</v>
      </c>
      <c r="R218" s="27"/>
    </row>
    <row r="219" hidden="1" spans="2:18">
      <c r="B219" s="41" t="s">
        <v>31</v>
      </c>
      <c r="C219" s="71">
        <v>45667</v>
      </c>
      <c r="D219" s="41" t="str">
        <f>VLOOKUP(B219,辅助信息!E:K,7,FALSE)</f>
        <v>JWDDCD2024121000136</v>
      </c>
      <c r="E219" s="41" t="str">
        <f>VLOOKUP(F219,辅助信息!A:B,2,FALSE)</f>
        <v>螺纹钢</v>
      </c>
      <c r="F219" s="41" t="s">
        <v>30</v>
      </c>
      <c r="G219" s="37">
        <v>21</v>
      </c>
      <c r="H219" s="37" t="e">
        <f>_xlfn._xlws.FILTER(#REF!,#REF!&amp;#REF!&amp;#REF!&amp;#REF!=C219&amp;F219&amp;I219&amp;J219,"未发货")</f>
        <v>#REF!</v>
      </c>
      <c r="I219" s="41" t="str">
        <f>VLOOKUP(B219,辅助信息!E:I,3,FALSE)</f>
        <v>（四川商建-射洪城乡一体化项目）遂宁市射洪市忠新幼儿园北侧约220米新溪小区</v>
      </c>
      <c r="J219" s="41" t="str">
        <f>VLOOKUP(B219,辅助信息!E:I,4,FALSE)</f>
        <v>柏子刚</v>
      </c>
      <c r="K219" s="41">
        <f>VLOOKUP(J219,辅助信息!H:I,2,FALSE)</f>
        <v>15692885305</v>
      </c>
      <c r="L219" s="77"/>
      <c r="M219" s="78"/>
      <c r="N219" s="78"/>
      <c r="O219" s="78"/>
      <c r="P219" s="78"/>
      <c r="Q219" s="41" t="str">
        <f>VLOOKUP(B219,辅助信息!E:M,9,FALSE)</f>
        <v>ZTWM-CDGS-XS-2024-0179-四川商投-射洪城乡一体化建设项目</v>
      </c>
      <c r="R219" s="27"/>
    </row>
    <row r="220" hidden="1" spans="2:18">
      <c r="B220" s="41" t="s">
        <v>43</v>
      </c>
      <c r="C220" s="71">
        <v>45667</v>
      </c>
      <c r="D220" s="41" t="str">
        <f>VLOOKUP(B220,辅助信息!E:K,7,FALSE)</f>
        <v>JWDDCD2024101600090</v>
      </c>
      <c r="E220" s="41" t="str">
        <f>VLOOKUP(F220,辅助信息!A:B,2,FALSE)</f>
        <v>盘螺</v>
      </c>
      <c r="F220" s="41" t="s">
        <v>40</v>
      </c>
      <c r="G220" s="37">
        <v>16</v>
      </c>
      <c r="H220" s="37" t="e">
        <f>_xlfn._xlws.FILTER(#REF!,#REF!&amp;#REF!&amp;#REF!&amp;#REF!=C220&amp;F220&amp;I220&amp;J220,"未发货")</f>
        <v>#REF!</v>
      </c>
      <c r="I220" s="41" t="str">
        <f>VLOOKUP(B220,辅助信息!E:I,3,FALSE)</f>
        <v>（达州市公共卫生医疗中心项目-二标-3号楼）达州市通川区西外复兴镇公共卫生临床医疗中心项目</v>
      </c>
      <c r="J220" s="41" t="str">
        <f>VLOOKUP(B220,辅助信息!E:I,4,FALSE)</f>
        <v>黄永林</v>
      </c>
      <c r="K220" s="41">
        <f>VLOOKUP(J220,辅助信息!H:I,2,FALSE)</f>
        <v>15982487227</v>
      </c>
      <c r="L220" s="58"/>
      <c r="M220" s="58"/>
      <c r="N220" s="58"/>
      <c r="O220" s="58"/>
      <c r="P220" s="58"/>
      <c r="Q220" s="27"/>
      <c r="R220" s="27"/>
    </row>
    <row r="221" hidden="1" spans="2:18">
      <c r="B221" s="41" t="s">
        <v>43</v>
      </c>
      <c r="C221" s="71">
        <v>45667</v>
      </c>
      <c r="D221" s="41" t="str">
        <f>VLOOKUP(B221,辅助信息!E:K,7,FALSE)</f>
        <v>JWDDCD2024101600090</v>
      </c>
      <c r="E221" s="41" t="str">
        <f>VLOOKUP(F221,辅助信息!A:B,2,FALSE)</f>
        <v>盘螺</v>
      </c>
      <c r="F221" s="41" t="s">
        <v>41</v>
      </c>
      <c r="G221" s="37">
        <v>12</v>
      </c>
      <c r="H221" s="37">
        <v>12</v>
      </c>
      <c r="I221" s="41" t="str">
        <f>VLOOKUP(B221,辅助信息!E:I,3,FALSE)</f>
        <v>（达州市公共卫生医疗中心项目-二标-3号楼）达州市通川区西外复兴镇公共卫生临床医疗中心项目</v>
      </c>
      <c r="J221" s="41" t="str">
        <f>VLOOKUP(B221,辅助信息!E:I,4,FALSE)</f>
        <v>黄永林</v>
      </c>
      <c r="K221" s="41">
        <f>VLOOKUP(J221,辅助信息!H:I,2,FALSE)</f>
        <v>15982487227</v>
      </c>
      <c r="L221" s="58"/>
      <c r="M221" s="58"/>
      <c r="N221" s="58"/>
      <c r="O221" s="58"/>
      <c r="P221" s="58"/>
      <c r="Q221" s="27"/>
      <c r="R221" s="27"/>
    </row>
    <row r="222" hidden="1" spans="2:18">
      <c r="B222" s="41" t="s">
        <v>43</v>
      </c>
      <c r="C222" s="71">
        <v>45667</v>
      </c>
      <c r="D222" s="41" t="str">
        <f>VLOOKUP(B222,辅助信息!E:K,7,FALSE)</f>
        <v>JWDDCD2024101600090</v>
      </c>
      <c r="E222" s="41" t="str">
        <f>VLOOKUP(F222,辅助信息!A:B,2,FALSE)</f>
        <v>螺纹钢</v>
      </c>
      <c r="F222" s="41" t="s">
        <v>27</v>
      </c>
      <c r="G222" s="37">
        <v>25</v>
      </c>
      <c r="H222" s="37" t="e">
        <f>_xlfn._xlws.FILTER(#REF!,#REF!&amp;#REF!&amp;#REF!&amp;#REF!=C222&amp;F222&amp;I222&amp;J222,"未发货")</f>
        <v>#REF!</v>
      </c>
      <c r="I222" s="41" t="str">
        <f>VLOOKUP(B222,辅助信息!E:I,3,FALSE)</f>
        <v>（达州市公共卫生医疗中心项目-二标-3号楼）达州市通川区西外复兴镇公共卫生临床医疗中心项目</v>
      </c>
      <c r="J222" s="41" t="str">
        <f>VLOOKUP(B222,辅助信息!E:I,4,FALSE)</f>
        <v>黄永林</v>
      </c>
      <c r="K222" s="41">
        <f>VLOOKUP(J222,辅助信息!H:I,2,FALSE)</f>
        <v>15982487227</v>
      </c>
      <c r="L222" s="58"/>
      <c r="M222" s="58"/>
      <c r="N222" s="58"/>
      <c r="O222" s="58"/>
      <c r="P222" s="58"/>
      <c r="Q222" s="27"/>
      <c r="R222" s="27"/>
    </row>
    <row r="223" hidden="1" spans="2:18">
      <c r="B223" s="41" t="s">
        <v>68</v>
      </c>
      <c r="C223" s="71">
        <v>45667</v>
      </c>
      <c r="D223" s="41" t="str">
        <f>VLOOKUP(B223,辅助信息!E:K,7,FALSE)</f>
        <v>JWDDCD2025052800131</v>
      </c>
      <c r="E223" s="41" t="str">
        <f>VLOOKUP(F223,辅助信息!A:B,2,FALSE)</f>
        <v>盘螺</v>
      </c>
      <c r="F223" s="41" t="s">
        <v>26</v>
      </c>
      <c r="G223" s="37">
        <v>9</v>
      </c>
      <c r="H223" s="37" t="e">
        <f>_xlfn._xlws.FILTER(#REF!,#REF!&amp;#REF!&amp;#REF!&amp;#REF!=C223&amp;F223&amp;I223&amp;J223,"未发货")</f>
        <v>#REF!</v>
      </c>
      <c r="I223" s="41" t="str">
        <f>VLOOKUP(B223,辅助信息!E:I,3,FALSE)</f>
        <v>（商投建工达州中医药科技园-2工区-景观桥）达州市通川区达州中医药职业学院犀牛大道北段</v>
      </c>
      <c r="J223" s="41" t="str">
        <f>VLOOKUP(B223,辅助信息!E:I,4,FALSE)</f>
        <v>李波</v>
      </c>
      <c r="K223" s="41">
        <f>VLOOKUP(J223,辅助信息!H:I,2,FALSE)</f>
        <v>18381899787</v>
      </c>
      <c r="L223" s="58"/>
      <c r="M223" s="58"/>
      <c r="N223" s="58"/>
      <c r="O223" s="58"/>
      <c r="P223" s="58"/>
      <c r="Q223" s="27"/>
      <c r="R223" s="27"/>
    </row>
    <row r="224" hidden="1" spans="2:18">
      <c r="B224" s="41" t="s">
        <v>68</v>
      </c>
      <c r="C224" s="71">
        <v>45667</v>
      </c>
      <c r="D224" s="41" t="str">
        <f>VLOOKUP(B224,辅助信息!E:K,7,FALSE)</f>
        <v>JWDDCD2025052800131</v>
      </c>
      <c r="E224" s="41" t="str">
        <f>VLOOKUP(F224,辅助信息!A:B,2,FALSE)</f>
        <v>螺纹钢</v>
      </c>
      <c r="F224" s="41" t="s">
        <v>32</v>
      </c>
      <c r="G224" s="37">
        <v>3</v>
      </c>
      <c r="H224" s="37" t="e">
        <f>_xlfn._xlws.FILTER(#REF!,#REF!&amp;#REF!&amp;#REF!&amp;#REF!=C224&amp;F224&amp;I224&amp;J224,"未发货")</f>
        <v>#REF!</v>
      </c>
      <c r="I224" s="41" t="str">
        <f>VLOOKUP(B224,辅助信息!E:I,3,FALSE)</f>
        <v>（商投建工达州中医药科技园-2工区-景观桥）达州市通川区达州中医药职业学院犀牛大道北段</v>
      </c>
      <c r="J224" s="41" t="str">
        <f>VLOOKUP(B224,辅助信息!E:I,4,FALSE)</f>
        <v>李波</v>
      </c>
      <c r="K224" s="41">
        <f>VLOOKUP(J224,辅助信息!H:I,2,FALSE)</f>
        <v>18381899787</v>
      </c>
      <c r="L224" s="58"/>
      <c r="M224" s="58"/>
      <c r="N224" s="58"/>
      <c r="O224" s="58"/>
      <c r="P224" s="58"/>
      <c r="Q224" s="27"/>
      <c r="R224" s="27"/>
    </row>
    <row r="225" hidden="1" spans="2:18">
      <c r="B225" s="41" t="s">
        <v>68</v>
      </c>
      <c r="C225" s="71">
        <v>45667</v>
      </c>
      <c r="D225" s="41" t="str">
        <f>VLOOKUP(B225,辅助信息!E:K,7,FALSE)</f>
        <v>JWDDCD2025052800131</v>
      </c>
      <c r="E225" s="41" t="str">
        <f>VLOOKUP(F225,辅助信息!A:B,2,FALSE)</f>
        <v>螺纹钢</v>
      </c>
      <c r="F225" s="41" t="s">
        <v>65</v>
      </c>
      <c r="G225" s="37">
        <v>115</v>
      </c>
      <c r="H225" s="37" t="e">
        <f>_xlfn._xlws.FILTER(#REF!,#REF!&amp;#REF!&amp;#REF!&amp;#REF!=C225&amp;F225&amp;I225&amp;J225,"未发货")</f>
        <v>#REF!</v>
      </c>
      <c r="I225" s="41" t="str">
        <f>VLOOKUP(B225,辅助信息!E:I,3,FALSE)</f>
        <v>（商投建工达州中医药科技园-2工区-景观桥）达州市通川区达州中医药职业学院犀牛大道北段</v>
      </c>
      <c r="J225" s="41" t="str">
        <f>VLOOKUP(B225,辅助信息!E:I,4,FALSE)</f>
        <v>李波</v>
      </c>
      <c r="K225" s="41">
        <f>VLOOKUP(J225,辅助信息!H:I,2,FALSE)</f>
        <v>18381899787</v>
      </c>
      <c r="L225" s="58"/>
      <c r="M225" s="58"/>
      <c r="N225" s="58"/>
      <c r="O225" s="58"/>
      <c r="P225" s="58"/>
      <c r="Q225" s="27"/>
      <c r="R225" s="27"/>
    </row>
    <row r="226" hidden="1" spans="2:18">
      <c r="B226" s="41" t="s">
        <v>69</v>
      </c>
      <c r="C226" s="71">
        <v>45667</v>
      </c>
      <c r="D226" s="41" t="str">
        <f>VLOOKUP(B226,辅助信息!E:K,7,FALSE)</f>
        <v>JWDDCD2025052800131</v>
      </c>
      <c r="E226" s="41" t="str">
        <f>VLOOKUP(F226,辅助信息!A:B,2,FALSE)</f>
        <v>盘螺</v>
      </c>
      <c r="F226" s="41" t="s">
        <v>49</v>
      </c>
      <c r="G226" s="37">
        <v>9</v>
      </c>
      <c r="H226" s="37" t="e">
        <f>_xlfn._xlws.FILTER(#REF!,#REF!&amp;#REF!&amp;#REF!&amp;#REF!=C226&amp;F226&amp;I226&amp;J226,"未发货")</f>
        <v>#REF!</v>
      </c>
      <c r="I226" s="41" t="str">
        <f>VLOOKUP(B226,辅助信息!E:I,3,FALSE)</f>
        <v>（商投建工达州中医药科技园-4工区-2号楼）达州市通川区达州中医药职业学院犀牛大道北段</v>
      </c>
      <c r="J226" s="41" t="str">
        <f>VLOOKUP(B226,辅助信息!E:I,4,FALSE)</f>
        <v>张扬</v>
      </c>
      <c r="K226" s="41">
        <f>VLOOKUP(J226,辅助信息!H:I,2,FALSE)</f>
        <v>18381904567</v>
      </c>
      <c r="L226" s="58"/>
      <c r="M226" s="58"/>
      <c r="N226" s="58"/>
      <c r="O226" s="58"/>
      <c r="P226" s="58"/>
      <c r="Q226" s="27"/>
      <c r="R226" s="27"/>
    </row>
    <row r="227" hidden="1" spans="2:18">
      <c r="B227" s="41" t="s">
        <v>69</v>
      </c>
      <c r="C227" s="71">
        <v>45667</v>
      </c>
      <c r="D227" s="41" t="str">
        <f>VLOOKUP(B227,辅助信息!E:K,7,FALSE)</f>
        <v>JWDDCD2025052800131</v>
      </c>
      <c r="E227" s="41" t="str">
        <f>VLOOKUP(F227,辅助信息!A:B,2,FALSE)</f>
        <v>盘螺</v>
      </c>
      <c r="F227" s="41" t="s">
        <v>40</v>
      </c>
      <c r="G227" s="37">
        <v>45</v>
      </c>
      <c r="H227" s="37" t="e">
        <f>_xlfn._xlws.FILTER(#REF!,#REF!&amp;#REF!&amp;#REF!&amp;#REF!=C227&amp;F227&amp;I227&amp;J227,"未发货")</f>
        <v>#REF!</v>
      </c>
      <c r="I227" s="41" t="str">
        <f>VLOOKUP(B227,辅助信息!E:I,3,FALSE)</f>
        <v>（商投建工达州中医药科技园-4工区-2号楼）达州市通川区达州中医药职业学院犀牛大道北段</v>
      </c>
      <c r="J227" s="41" t="str">
        <f>VLOOKUP(B227,辅助信息!E:I,4,FALSE)</f>
        <v>张扬</v>
      </c>
      <c r="K227" s="41">
        <f>VLOOKUP(J227,辅助信息!H:I,2,FALSE)</f>
        <v>18381904567</v>
      </c>
      <c r="L227" s="58"/>
      <c r="M227" s="58"/>
      <c r="N227" s="58"/>
      <c r="O227" s="58"/>
      <c r="P227" s="58"/>
      <c r="Q227" s="27"/>
      <c r="R227" s="27"/>
    </row>
    <row r="228" hidden="1" spans="2:18">
      <c r="B228" s="41" t="s">
        <v>69</v>
      </c>
      <c r="C228" s="71">
        <v>45667</v>
      </c>
      <c r="D228" s="41" t="str">
        <f>VLOOKUP(B228,辅助信息!E:K,7,FALSE)</f>
        <v>JWDDCD2025052800131</v>
      </c>
      <c r="E228" s="41" t="str">
        <f>VLOOKUP(F228,辅助信息!A:B,2,FALSE)</f>
        <v>盘螺</v>
      </c>
      <c r="F228" s="41" t="s">
        <v>41</v>
      </c>
      <c r="G228" s="37">
        <v>15</v>
      </c>
      <c r="H228" s="37" t="e">
        <f>_xlfn._xlws.FILTER(#REF!,#REF!&amp;#REF!&amp;#REF!&amp;#REF!=C228&amp;F228&amp;I228&amp;J228,"未发货")</f>
        <v>#REF!</v>
      </c>
      <c r="I228" s="41" t="str">
        <f>VLOOKUP(B228,辅助信息!E:I,3,FALSE)</f>
        <v>（商投建工达州中医药科技园-4工区-2号楼）达州市通川区达州中医药职业学院犀牛大道北段</v>
      </c>
      <c r="J228" s="41" t="str">
        <f>VLOOKUP(B228,辅助信息!E:I,4,FALSE)</f>
        <v>张扬</v>
      </c>
      <c r="K228" s="41">
        <f>VLOOKUP(J228,辅助信息!H:I,2,FALSE)</f>
        <v>18381904567</v>
      </c>
      <c r="L228" s="58"/>
      <c r="M228" s="58"/>
      <c r="N228" s="58"/>
      <c r="O228" s="58"/>
      <c r="P228" s="58"/>
      <c r="Q228" s="27"/>
      <c r="R228" s="27"/>
    </row>
    <row r="229" hidden="1" spans="2:18">
      <c r="B229" s="41" t="s">
        <v>56</v>
      </c>
      <c r="C229" s="71">
        <v>45667</v>
      </c>
      <c r="D229" s="41" t="str">
        <f>VLOOKUP(B229,辅助信息!E:K,7,FALSE)</f>
        <v>JWDDCD2025052800131</v>
      </c>
      <c r="E229" s="41" t="str">
        <f>VLOOKUP(F229,辅助信息!A:B,2,FALSE)</f>
        <v>螺纹钢</v>
      </c>
      <c r="F229" s="41" t="s">
        <v>30</v>
      </c>
      <c r="G229" s="37">
        <v>3</v>
      </c>
      <c r="H229" s="37" t="e">
        <f>_xlfn._xlws.FILTER(#REF!,#REF!&amp;#REF!&amp;#REF!&amp;#REF!=C229&amp;F229&amp;I229&amp;J229,"未发货")</f>
        <v>#REF!</v>
      </c>
      <c r="I229" s="41" t="str">
        <f>VLOOKUP(B229,辅助信息!E:I,3,FALSE)</f>
        <v>（商投建工达州中医药科技园-4工区-7号楼）达州市通川区达州中医药职业学院犀牛大道北段</v>
      </c>
      <c r="J229" s="41" t="str">
        <f>VLOOKUP(B229,辅助信息!E:I,4,FALSE)</f>
        <v>张扬</v>
      </c>
      <c r="K229" s="41">
        <f>VLOOKUP(J229,辅助信息!H:I,2,FALSE)</f>
        <v>18381904567</v>
      </c>
      <c r="L229" s="58"/>
      <c r="M229" s="58"/>
      <c r="N229" s="58"/>
      <c r="O229" s="58"/>
      <c r="P229" s="58"/>
      <c r="Q229" s="27"/>
      <c r="R229" s="27"/>
    </row>
    <row r="230" hidden="1" spans="2:18">
      <c r="B230" s="41" t="s">
        <v>56</v>
      </c>
      <c r="C230" s="71">
        <v>45667</v>
      </c>
      <c r="D230" s="41" t="str">
        <f>VLOOKUP(B230,辅助信息!E:K,7,FALSE)</f>
        <v>JWDDCD2025052800131</v>
      </c>
      <c r="E230" s="41" t="str">
        <f>VLOOKUP(F230,辅助信息!A:B,2,FALSE)</f>
        <v>螺纹钢</v>
      </c>
      <c r="F230" s="41" t="s">
        <v>28</v>
      </c>
      <c r="G230" s="37">
        <v>15</v>
      </c>
      <c r="H230" s="37" t="e">
        <f>_xlfn._xlws.FILTER(#REF!,#REF!&amp;#REF!&amp;#REF!&amp;#REF!=C230&amp;F230&amp;I230&amp;J230,"未发货")</f>
        <v>#REF!</v>
      </c>
      <c r="I230" s="41" t="str">
        <f>VLOOKUP(B230,辅助信息!E:I,3,FALSE)</f>
        <v>（商投建工达州中医药科技园-4工区-7号楼）达州市通川区达州中医药职业学院犀牛大道北段</v>
      </c>
      <c r="J230" s="41" t="str">
        <f>VLOOKUP(B230,辅助信息!E:I,4,FALSE)</f>
        <v>张扬</v>
      </c>
      <c r="K230" s="41">
        <f>VLOOKUP(J230,辅助信息!H:I,2,FALSE)</f>
        <v>18381904567</v>
      </c>
      <c r="L230" s="58"/>
      <c r="M230" s="58"/>
      <c r="N230" s="58"/>
      <c r="O230" s="58"/>
      <c r="P230" s="58"/>
      <c r="Q230" s="27"/>
      <c r="R230" s="27"/>
    </row>
    <row r="231" hidden="1" spans="2:18">
      <c r="B231" s="41" t="s">
        <v>56</v>
      </c>
      <c r="C231" s="71">
        <v>45667</v>
      </c>
      <c r="D231" s="41" t="str">
        <f>VLOOKUP(B231,辅助信息!E:K,7,FALSE)</f>
        <v>JWDDCD2025052800131</v>
      </c>
      <c r="E231" s="41" t="str">
        <f>VLOOKUP(F231,辅助信息!A:B,2,FALSE)</f>
        <v>螺纹钢</v>
      </c>
      <c r="F231" s="41" t="s">
        <v>21</v>
      </c>
      <c r="G231" s="37">
        <v>6</v>
      </c>
      <c r="H231" s="37" t="e">
        <f>_xlfn._xlws.FILTER(#REF!,#REF!&amp;#REF!&amp;#REF!&amp;#REF!=C231&amp;F231&amp;I231&amp;J231,"未发货")</f>
        <v>#REF!</v>
      </c>
      <c r="I231" s="41" t="str">
        <f>VLOOKUP(B231,辅助信息!E:I,3,FALSE)</f>
        <v>（商投建工达州中医药科技园-4工区-7号楼）达州市通川区达州中医药职业学院犀牛大道北段</v>
      </c>
      <c r="J231" s="41" t="str">
        <f>VLOOKUP(B231,辅助信息!E:I,4,FALSE)</f>
        <v>张扬</v>
      </c>
      <c r="K231" s="41">
        <f>VLOOKUP(J231,辅助信息!H:I,2,FALSE)</f>
        <v>18381904567</v>
      </c>
      <c r="L231" s="58"/>
      <c r="M231" s="58"/>
      <c r="N231" s="58"/>
      <c r="O231" s="58"/>
      <c r="P231" s="58"/>
      <c r="Q231" s="27"/>
      <c r="R231" s="27"/>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7"/>
      <c r="R232" s="27"/>
    </row>
    <row r="233" hidden="1" spans="2:18">
      <c r="B233" s="41" t="s">
        <v>17</v>
      </c>
      <c r="C233" s="71">
        <v>45668</v>
      </c>
      <c r="D233" s="41" t="str">
        <f>VLOOKUP(B233,辅助信息!E:K,7,FALSE)</f>
        <v>JWDDCD2024101600090</v>
      </c>
      <c r="E233" s="41" t="str">
        <f>VLOOKUP(F233,辅助信息!A:B,2,FALSE)</f>
        <v>螺纹钢</v>
      </c>
      <c r="F233" s="41" t="s">
        <v>18</v>
      </c>
      <c r="G233" s="37">
        <f>149-108</f>
        <v>41</v>
      </c>
      <c r="H233" s="37">
        <v>41</v>
      </c>
      <c r="I233" s="41" t="str">
        <f>VLOOKUP(B233,辅助信息!E:I,3,FALSE)</f>
        <v>（达州市公共卫生临床医疗中心项目-一标-1号制作房）达州市通川区西外复兴镇公共卫生临床医疗中心项目</v>
      </c>
      <c r="J233" s="41" t="str">
        <f>VLOOKUP(B233,辅助信息!E:I,4,FALSE)</f>
        <v>潘建发</v>
      </c>
      <c r="K233" s="80">
        <f>VLOOKUP(J233,辅助信息!H:I,2,FALSE)</f>
        <v>13658059919</v>
      </c>
      <c r="L233" s="89"/>
      <c r="M233" s="58"/>
      <c r="N233" s="58"/>
      <c r="O233" s="58"/>
      <c r="P233" s="58"/>
      <c r="Q233" s="27" t="str">
        <f>VLOOKUP(B233,辅助信息!E:M,9,FALSE)</f>
        <v>ZTWM-CDGS-XS-2024-0205-五冶钢构-达州市通川区西外复兴镇及临近片区建设项目</v>
      </c>
      <c r="R233" s="27"/>
    </row>
    <row r="234" hidden="1" spans="2:18">
      <c r="B234" s="41" t="s">
        <v>48</v>
      </c>
      <c r="C234" s="71">
        <v>45668</v>
      </c>
      <c r="D234" s="41" t="str">
        <f>VLOOKUP(B234,辅助信息!E:K,7,FALSE)</f>
        <v>ZTWM-CDGS-YL-20240529-006</v>
      </c>
      <c r="E234" s="41" t="str">
        <f>VLOOKUP(F234,辅助信息!A:B,2,FALSE)</f>
        <v>螺纹钢</v>
      </c>
      <c r="F234" s="41" t="s">
        <v>66</v>
      </c>
      <c r="G234" s="37">
        <f>40-12</f>
        <v>28</v>
      </c>
      <c r="H234" s="37" t="e">
        <f>_xlfn._xlws.FILTER(#REF!,#REF!&amp;#REF!&amp;#REF!&amp;#REF!=C234&amp;F234&amp;I234&amp;J234,"未发货")</f>
        <v>#REF!</v>
      </c>
      <c r="I234" s="41" t="str">
        <f>VLOOKUP(B234,辅助信息!E:I,3,FALSE)</f>
        <v>(华西颐海-科创农业生态谷-1号钢筋房)成都市简阳市白金山水库</v>
      </c>
      <c r="J234" s="41" t="str">
        <f>VLOOKUP(B234,辅助信息!E:I,4,FALSE)</f>
        <v>石清国</v>
      </c>
      <c r="K234" s="41">
        <f>VLOOKUP(J234,辅助信息!H:I,2,FALSE)</f>
        <v>13458642015</v>
      </c>
      <c r="L234" s="78" t="str">
        <f>VLOOKUP(B234,辅助信息!E:J,6,FALSE)</f>
        <v>优先威钢,我方卸车,新老国标钢厂不加价可直发</v>
      </c>
      <c r="M234" s="58"/>
      <c r="N234" s="58"/>
      <c r="O234" s="58"/>
      <c r="P234" s="58"/>
      <c r="Q234" s="27" t="str">
        <f>VLOOKUP(B234,辅助信息!E:M,9,FALSE)</f>
        <v>ZTWM-CDGS-XS-2024-0093-华西-颐海科创农业生态谷</v>
      </c>
      <c r="R234" s="27"/>
    </row>
    <row r="235" hidden="1" spans="2:18">
      <c r="B235" s="41" t="s">
        <v>48</v>
      </c>
      <c r="C235" s="71">
        <v>45668</v>
      </c>
      <c r="D235" s="41" t="str">
        <f>VLOOKUP(B235,辅助信息!E:K,7,FALSE)</f>
        <v>ZTWM-CDGS-YL-20240529-006</v>
      </c>
      <c r="E235" s="41" t="str">
        <f>VLOOKUP(F235,辅助信息!A:B,2,FALSE)</f>
        <v>螺纹钢</v>
      </c>
      <c r="F235" s="41" t="s">
        <v>46</v>
      </c>
      <c r="G235" s="37">
        <v>6</v>
      </c>
      <c r="H235" s="37" t="e">
        <f>_xlfn._xlws.FILTER(#REF!,#REF!&amp;#REF!&amp;#REF!&amp;#REF!=C235&amp;F235&amp;I235&amp;J235,"未发货")</f>
        <v>#REF!</v>
      </c>
      <c r="I235" s="41" t="str">
        <f>VLOOKUP(B235,辅助信息!E:I,3,FALSE)</f>
        <v>(华西颐海-科创农业生态谷-1号钢筋房)成都市简阳市白金山水库</v>
      </c>
      <c r="J235" s="41" t="str">
        <f>VLOOKUP(B235,辅助信息!E:I,4,FALSE)</f>
        <v>石清国</v>
      </c>
      <c r="K235" s="41">
        <f>VLOOKUP(J235,辅助信息!H:I,2,FALSE)</f>
        <v>13458642015</v>
      </c>
      <c r="L235" s="79"/>
      <c r="M235" s="58"/>
      <c r="N235" s="58"/>
      <c r="O235" s="58"/>
      <c r="P235" s="58"/>
      <c r="Q235" s="27" t="str">
        <f>VLOOKUP(B235,辅助信息!E:M,9,FALSE)</f>
        <v>ZTWM-CDGS-XS-2024-0093-华西-颐海科创农业生态谷</v>
      </c>
      <c r="R235" s="27"/>
    </row>
    <row r="236" hidden="1" spans="2:18">
      <c r="B236" s="41" t="s">
        <v>48</v>
      </c>
      <c r="C236" s="71">
        <v>45668</v>
      </c>
      <c r="D236" s="41" t="str">
        <f>VLOOKUP(B236,辅助信息!E:K,7,FALSE)</f>
        <v>ZTWM-CDGS-YL-20240529-006</v>
      </c>
      <c r="E236" s="41" t="str">
        <f>VLOOKUP(F236,辅助信息!A:B,2,FALSE)</f>
        <v>螺纹钢</v>
      </c>
      <c r="F236" s="41" t="s">
        <v>22</v>
      </c>
      <c r="G236" s="37">
        <v>10</v>
      </c>
      <c r="H236" s="37" t="e">
        <f>_xlfn._xlws.FILTER(#REF!,#REF!&amp;#REF!&amp;#REF!&amp;#REF!=C236&amp;F236&amp;I236&amp;J236,"未发货")</f>
        <v>#REF!</v>
      </c>
      <c r="I236" s="41" t="str">
        <f>VLOOKUP(B236,辅助信息!E:I,3,FALSE)</f>
        <v>(华西颐海-科创农业生态谷-1号钢筋房)成都市简阳市白金山水库</v>
      </c>
      <c r="J236" s="41" t="str">
        <f>VLOOKUP(B236,辅助信息!E:I,4,FALSE)</f>
        <v>石清国</v>
      </c>
      <c r="K236" s="41">
        <f>VLOOKUP(J236,辅助信息!H:I,2,FALSE)</f>
        <v>13458642015</v>
      </c>
      <c r="L236" s="77"/>
      <c r="M236" s="58"/>
      <c r="N236" s="58"/>
      <c r="O236" s="58"/>
      <c r="P236" s="58"/>
      <c r="Q236" s="27" t="str">
        <f>VLOOKUP(B236,辅助信息!E:M,9,FALSE)</f>
        <v>ZTWM-CDGS-XS-2024-0093-华西-颐海科创农业生态谷</v>
      </c>
      <c r="R236" s="27"/>
    </row>
    <row r="237" hidden="1" spans="2:18">
      <c r="B237" s="41" t="s">
        <v>44</v>
      </c>
      <c r="C237" s="71">
        <v>45668</v>
      </c>
      <c r="D237" s="41" t="str">
        <f>VLOOKUP(B237,辅助信息!E:K,7,FALSE)</f>
        <v>JWDDCD2025060600053</v>
      </c>
      <c r="E237" s="41" t="str">
        <f>VLOOKUP(F237,辅助信息!A:B,2,FALSE)</f>
        <v>盘螺</v>
      </c>
      <c r="F237" s="41" t="s">
        <v>26</v>
      </c>
      <c r="G237" s="37">
        <v>35</v>
      </c>
      <c r="H237" s="37" t="e">
        <f>_xlfn._xlws.FILTER(#REF!,#REF!&amp;#REF!&amp;#REF!&amp;#REF!=C237&amp;F237&amp;I237&amp;J237,"未发货")</f>
        <v>#REF!</v>
      </c>
      <c r="I237" s="41" t="str">
        <f>VLOOKUP(B237,辅助信息!E:I,3,FALSE)</f>
        <v>（华西酒城南）成都市武侯区火车南站西路8号酒城南项目</v>
      </c>
      <c r="J237" s="41" t="str">
        <f>VLOOKUP(B237,辅助信息!E:I,4,FALSE)</f>
        <v>龙耀宇</v>
      </c>
      <c r="K237" s="41">
        <f>VLOOKUP(J237,辅助信息!H:I,2,FALSE)</f>
        <v>18384145895</v>
      </c>
      <c r="L237" s="78" t="str">
        <f>VLOOKUP(B237,辅助信息!E:J,6,FALSE)</f>
        <v>对方卸车</v>
      </c>
      <c r="M237" s="58"/>
      <c r="N237" s="58"/>
      <c r="O237" s="58"/>
      <c r="P237" s="58"/>
      <c r="Q237" s="27" t="str">
        <f>VLOOKUP(B237,辅助信息!E:M,9,FALSE)</f>
        <v>ZTWM-CDGS-XS-2024-0189-华西集采-酒城南项目</v>
      </c>
      <c r="R237" s="27"/>
    </row>
    <row r="238" hidden="1" spans="2:18">
      <c r="B238" s="41" t="s">
        <v>31</v>
      </c>
      <c r="C238" s="71">
        <v>45668</v>
      </c>
      <c r="D238" s="41" t="str">
        <f>VLOOKUP(B238,辅助信息!E:K,7,FALSE)</f>
        <v>JWDDCD2024121000136</v>
      </c>
      <c r="E238" s="41" t="str">
        <f>VLOOKUP(F238,辅助信息!A:B,2,FALSE)</f>
        <v>螺纹钢</v>
      </c>
      <c r="F238" s="41" t="s">
        <v>27</v>
      </c>
      <c r="G238" s="37">
        <v>15</v>
      </c>
      <c r="H238" s="37" t="e">
        <f>_xlfn._xlws.FILTER(#REF!,#REF!&amp;#REF!&amp;#REF!&amp;#REF!=C238&amp;F238&amp;I238&amp;J238,"未发货")</f>
        <v>#REF!</v>
      </c>
      <c r="I238" s="41" t="str">
        <f>VLOOKUP(B238,辅助信息!E:I,3,FALSE)</f>
        <v>（四川商建-射洪城乡一体化项目）遂宁市射洪市忠新幼儿园北侧约220米新溪小区</v>
      </c>
      <c r="J238" s="41" t="str">
        <f>VLOOKUP(B238,辅助信息!E:I,4,FALSE)</f>
        <v>柏子刚</v>
      </c>
      <c r="K238" s="41">
        <f>VLOOKUP(J238,辅助信息!H:I,2,FALSE)</f>
        <v>15692885305</v>
      </c>
      <c r="L238" s="78" t="str">
        <f>VLOOKUP(B238,辅助信息!E:J,6,FALSE)</f>
        <v>提前联系到场规格及数量</v>
      </c>
      <c r="M238" s="58"/>
      <c r="N238" s="58"/>
      <c r="O238" s="58"/>
      <c r="P238" s="58"/>
      <c r="Q238" s="27" t="str">
        <f>VLOOKUP(B238,辅助信息!E:M,9,FALSE)</f>
        <v>ZTWM-CDGS-XS-2024-0179-四川商投-射洪城乡一体化建设项目</v>
      </c>
      <c r="R238" s="27"/>
    </row>
    <row r="239" hidden="1" spans="2:18">
      <c r="B239" s="41" t="s">
        <v>31</v>
      </c>
      <c r="C239" s="71">
        <v>45668</v>
      </c>
      <c r="D239" s="41" t="str">
        <f>VLOOKUP(B239,辅助信息!E:K,7,FALSE)</f>
        <v>JWDDCD2024121000136</v>
      </c>
      <c r="E239" s="41" t="str">
        <f>VLOOKUP(F239,辅助信息!A:B,2,FALSE)</f>
        <v>螺纹钢</v>
      </c>
      <c r="F239" s="41" t="s">
        <v>32</v>
      </c>
      <c r="G239" s="37">
        <v>20</v>
      </c>
      <c r="H239" s="37" t="e">
        <f>_xlfn._xlws.FILTER(#REF!,#REF!&amp;#REF!&amp;#REF!&amp;#REF!=C239&amp;F239&amp;I239&amp;J239,"未发货")</f>
        <v>#REF!</v>
      </c>
      <c r="I239" s="41" t="str">
        <f>VLOOKUP(B239,辅助信息!E:I,3,FALSE)</f>
        <v>（四川商建-射洪城乡一体化项目）遂宁市射洪市忠新幼儿园北侧约220米新溪小区</v>
      </c>
      <c r="J239" s="41" t="str">
        <f>VLOOKUP(B239,辅助信息!E:I,4,FALSE)</f>
        <v>柏子刚</v>
      </c>
      <c r="K239" s="41">
        <f>VLOOKUP(J239,辅助信息!H:I,2,FALSE)</f>
        <v>15692885305</v>
      </c>
      <c r="L239" s="77"/>
      <c r="M239" s="58"/>
      <c r="N239" s="58"/>
      <c r="O239" s="58"/>
      <c r="P239" s="58"/>
      <c r="Q239" s="27"/>
      <c r="R239" s="27"/>
    </row>
    <row r="240" hidden="1" spans="2:18">
      <c r="B240" s="41" t="s">
        <v>68</v>
      </c>
      <c r="C240" s="71">
        <v>45668</v>
      </c>
      <c r="D240" s="41" t="str">
        <f>VLOOKUP(B240,辅助信息!E:K,7,FALSE)</f>
        <v>JWDDCD2025052800131</v>
      </c>
      <c r="E240" s="41" t="str">
        <f>VLOOKUP(F240,辅助信息!A:B,2,FALSE)</f>
        <v>盘螺</v>
      </c>
      <c r="F240" s="41" t="s">
        <v>26</v>
      </c>
      <c r="G240" s="37">
        <v>9</v>
      </c>
      <c r="H240" s="37" t="e">
        <f>_xlfn._xlws.FILTER(#REF!,#REF!&amp;#REF!&amp;#REF!&amp;#REF!=C240&amp;F240&amp;I240&amp;J240,"未发货")</f>
        <v>#REF!</v>
      </c>
      <c r="I240" s="41" t="str">
        <f>VLOOKUP(B240,辅助信息!E:I,3,FALSE)</f>
        <v>（商投建工达州中医药科技园-2工区-景观桥）达州市通川区达州中医药职业学院犀牛大道北段</v>
      </c>
      <c r="J240" s="41" t="str">
        <f>VLOOKUP(B240,辅助信息!E:I,4,FALSE)</f>
        <v>李波</v>
      </c>
      <c r="K240" s="41">
        <f>VLOOKUP(J240,辅助信息!H:I,2,FALSE)</f>
        <v>18381899787</v>
      </c>
      <c r="L240" s="78" t="str">
        <f>VLOOKUP(B240,辅助信息!E:J,6,FALSE)</f>
        <v>控制炉批号！多了现场不收！,优先安排达钢,提前联系到场规格及数量</v>
      </c>
      <c r="M240" s="58"/>
      <c r="N240" s="58"/>
      <c r="O240" s="58"/>
      <c r="P240" s="58"/>
      <c r="Q240" s="27" t="str">
        <f>VLOOKUP(B240,辅助信息!E:M,9,FALSE)</f>
        <v>ZTWM-CDGS-XS-2024-0134-商投建工达州中医药科技成果示范园项目</v>
      </c>
      <c r="R240" s="27"/>
    </row>
    <row r="241" hidden="1" spans="2:18">
      <c r="B241" s="41" t="s">
        <v>68</v>
      </c>
      <c r="C241" s="71">
        <v>45668</v>
      </c>
      <c r="D241" s="41" t="str">
        <f>VLOOKUP(B241,辅助信息!E:K,7,FALSE)</f>
        <v>JWDDCD2025052800131</v>
      </c>
      <c r="E241" s="41" t="str">
        <f>VLOOKUP(F241,辅助信息!A:B,2,FALSE)</f>
        <v>螺纹钢</v>
      </c>
      <c r="F241" s="41" t="s">
        <v>32</v>
      </c>
      <c r="G241" s="37">
        <v>3</v>
      </c>
      <c r="H241" s="37" t="e">
        <f>_xlfn._xlws.FILTER(#REF!,#REF!&amp;#REF!&amp;#REF!&amp;#REF!=C241&amp;F241&amp;I241&amp;J241,"未发货")</f>
        <v>#REF!</v>
      </c>
      <c r="I241" s="41" t="str">
        <f>VLOOKUP(B241,辅助信息!E:I,3,FALSE)</f>
        <v>（商投建工达州中医药科技园-2工区-景观桥）达州市通川区达州中医药职业学院犀牛大道北段</v>
      </c>
      <c r="J241" s="41" t="str">
        <f>VLOOKUP(B241,辅助信息!E:I,4,FALSE)</f>
        <v>李波</v>
      </c>
      <c r="K241" s="41">
        <f>VLOOKUP(J241,辅助信息!H:I,2,FALSE)</f>
        <v>18381899787</v>
      </c>
      <c r="L241" s="79"/>
      <c r="M241" s="58"/>
      <c r="N241" s="58"/>
      <c r="O241" s="58"/>
      <c r="P241" s="58"/>
      <c r="Q241" s="27" t="str">
        <f>VLOOKUP(B241,辅助信息!E:M,9,FALSE)</f>
        <v>ZTWM-CDGS-XS-2024-0134-商投建工达州中医药科技成果示范园项目</v>
      </c>
      <c r="R241" s="27"/>
    </row>
    <row r="242" hidden="1" spans="2:18">
      <c r="B242" s="41" t="s">
        <v>68</v>
      </c>
      <c r="C242" s="71">
        <v>45668</v>
      </c>
      <c r="D242" s="41" t="str">
        <f>VLOOKUP(B242,辅助信息!E:K,7,FALSE)</f>
        <v>JWDDCD2025052800131</v>
      </c>
      <c r="E242" s="41" t="str">
        <f>VLOOKUP(F242,辅助信息!A:B,2,FALSE)</f>
        <v>螺纹钢</v>
      </c>
      <c r="F242" s="41" t="s">
        <v>65</v>
      </c>
      <c r="G242" s="37">
        <f>115-51</f>
        <v>64</v>
      </c>
      <c r="H242" s="37" t="e">
        <f>_xlfn._xlws.FILTER(#REF!,#REF!&amp;#REF!&amp;#REF!&amp;#REF!=C242&amp;F242&amp;I242&amp;J242,"未发货")</f>
        <v>#REF!</v>
      </c>
      <c r="I242" s="41" t="str">
        <f>VLOOKUP(B242,辅助信息!E:I,3,FALSE)</f>
        <v>（商投建工达州中医药科技园-2工区-景观桥）达州市通川区达州中医药职业学院犀牛大道北段</v>
      </c>
      <c r="J242" s="41" t="str">
        <f>VLOOKUP(B242,辅助信息!E:I,4,FALSE)</f>
        <v>李波</v>
      </c>
      <c r="K242" s="41">
        <f>VLOOKUP(J242,辅助信息!H:I,2,FALSE)</f>
        <v>18381899787</v>
      </c>
      <c r="L242" s="77"/>
      <c r="M242" s="58"/>
      <c r="N242" s="58"/>
      <c r="O242" s="58"/>
      <c r="P242" s="58"/>
      <c r="Q242" s="27" t="str">
        <f>VLOOKUP(B242,辅助信息!E:M,9,FALSE)</f>
        <v>ZTWM-CDGS-XS-2024-0134-商投建工达州中医药科技成果示范园项目</v>
      </c>
      <c r="R242" s="27"/>
    </row>
    <row r="243" hidden="1" spans="2:18">
      <c r="B243" s="41" t="s">
        <v>69</v>
      </c>
      <c r="C243" s="71">
        <v>45668</v>
      </c>
      <c r="D243" s="41" t="str">
        <f>VLOOKUP(B243,辅助信息!E:K,7,FALSE)</f>
        <v>JWDDCD2025052800131</v>
      </c>
      <c r="E243" s="41" t="str">
        <f>VLOOKUP(F243,辅助信息!A:B,2,FALSE)</f>
        <v>盘螺</v>
      </c>
      <c r="F243" s="41" t="s">
        <v>49</v>
      </c>
      <c r="G243" s="37">
        <v>9</v>
      </c>
      <c r="H243" s="37" t="e">
        <f>_xlfn._xlws.FILTER(#REF!,#REF!&amp;#REF!&amp;#REF!&amp;#REF!=C243&amp;F243&amp;I243&amp;J243,"未发货")</f>
        <v>#REF!</v>
      </c>
      <c r="I243" s="41" t="str">
        <f>VLOOKUP(B243,辅助信息!E:I,3,FALSE)</f>
        <v>（商投建工达州中医药科技园-4工区-2号楼）达州市通川区达州中医药职业学院犀牛大道北段</v>
      </c>
      <c r="J243" s="41" t="str">
        <f>VLOOKUP(B243,辅助信息!E:I,4,FALSE)</f>
        <v>张扬</v>
      </c>
      <c r="K243" s="41">
        <f>VLOOKUP(J243,辅助信息!H:I,2,FALSE)</f>
        <v>18381904567</v>
      </c>
      <c r="L243" s="78" t="str">
        <f>VLOOKUP(B243,辅助信息!E:J,6,FALSE)</f>
        <v>控制炉批号！多了现场不收！,优先安排达钢,提前联系到场规格及数量</v>
      </c>
      <c r="M243" s="58"/>
      <c r="N243" s="58"/>
      <c r="O243" s="58"/>
      <c r="P243" s="58"/>
      <c r="Q243" s="27" t="str">
        <f>VLOOKUP(B243,辅助信息!E:M,9,FALSE)</f>
        <v>ZTWM-CDGS-XS-2024-0134-商投建工达州中医药科技成果示范园项目</v>
      </c>
      <c r="R243" s="27"/>
    </row>
    <row r="244" hidden="1" spans="2:18">
      <c r="B244" s="41" t="s">
        <v>69</v>
      </c>
      <c r="C244" s="71">
        <v>45668</v>
      </c>
      <c r="D244" s="41" t="str">
        <f>VLOOKUP(B244,辅助信息!E:K,7,FALSE)</f>
        <v>JWDDCD2025052800131</v>
      </c>
      <c r="E244" s="41" t="str">
        <f>VLOOKUP(F244,辅助信息!A:B,2,FALSE)</f>
        <v>盘螺</v>
      </c>
      <c r="F244" s="41" t="s">
        <v>40</v>
      </c>
      <c r="G244" s="37">
        <v>45</v>
      </c>
      <c r="H244" s="37" t="e">
        <f>_xlfn._xlws.FILTER(#REF!,#REF!&amp;#REF!&amp;#REF!&amp;#REF!=C244&amp;F244&amp;I244&amp;J244,"未发货")</f>
        <v>#REF!</v>
      </c>
      <c r="I244" s="41" t="str">
        <f>VLOOKUP(B244,辅助信息!E:I,3,FALSE)</f>
        <v>（商投建工达州中医药科技园-4工区-2号楼）达州市通川区达州中医药职业学院犀牛大道北段</v>
      </c>
      <c r="J244" s="41" t="str">
        <f>VLOOKUP(B244,辅助信息!E:I,4,FALSE)</f>
        <v>张扬</v>
      </c>
      <c r="K244" s="41">
        <f>VLOOKUP(J244,辅助信息!H:I,2,FALSE)</f>
        <v>18381904567</v>
      </c>
      <c r="L244" s="79"/>
      <c r="M244" s="58"/>
      <c r="N244" s="58"/>
      <c r="O244" s="58"/>
      <c r="P244" s="58"/>
      <c r="Q244" s="27" t="str">
        <f>VLOOKUP(B244,辅助信息!E:M,9,FALSE)</f>
        <v>ZTWM-CDGS-XS-2024-0134-商投建工达州中医药科技成果示范园项目</v>
      </c>
      <c r="R244" s="27"/>
    </row>
    <row r="245" hidden="1" spans="2:18">
      <c r="B245" s="41" t="s">
        <v>69</v>
      </c>
      <c r="C245" s="71">
        <v>45668</v>
      </c>
      <c r="D245" s="41" t="str">
        <f>VLOOKUP(B245,辅助信息!E:K,7,FALSE)</f>
        <v>JWDDCD2025052800131</v>
      </c>
      <c r="E245" s="41" t="str">
        <f>VLOOKUP(F245,辅助信息!A:B,2,FALSE)</f>
        <v>盘螺</v>
      </c>
      <c r="F245" s="41" t="s">
        <v>41</v>
      </c>
      <c r="G245" s="37">
        <v>15</v>
      </c>
      <c r="H245" s="37" t="e">
        <f>_xlfn._xlws.FILTER(#REF!,#REF!&amp;#REF!&amp;#REF!&amp;#REF!=C245&amp;F245&amp;I245&amp;J245,"未发货")</f>
        <v>#REF!</v>
      </c>
      <c r="I245" s="41" t="str">
        <f>VLOOKUP(B245,辅助信息!E:I,3,FALSE)</f>
        <v>（商投建工达州中医药科技园-4工区-2号楼）达州市通川区达州中医药职业学院犀牛大道北段</v>
      </c>
      <c r="J245" s="41" t="str">
        <f>VLOOKUP(B245,辅助信息!E:I,4,FALSE)</f>
        <v>张扬</v>
      </c>
      <c r="K245" s="41">
        <f>VLOOKUP(J245,辅助信息!H:I,2,FALSE)</f>
        <v>18381904567</v>
      </c>
      <c r="L245" s="79"/>
      <c r="M245" s="58"/>
      <c r="N245" s="58"/>
      <c r="O245" s="58"/>
      <c r="P245" s="58"/>
      <c r="Q245" s="27" t="str">
        <f>VLOOKUP(B245,辅助信息!E:M,9,FALSE)</f>
        <v>ZTWM-CDGS-XS-2024-0134-商投建工达州中医药科技成果示范园项目</v>
      </c>
      <c r="R245" s="27"/>
    </row>
    <row r="246" hidden="1" spans="2:18">
      <c r="B246" s="41" t="s">
        <v>56</v>
      </c>
      <c r="C246" s="71">
        <v>45668</v>
      </c>
      <c r="D246" s="41" t="str">
        <f>VLOOKUP(B246,辅助信息!E:K,7,FALSE)</f>
        <v>JWDDCD2025052800131</v>
      </c>
      <c r="E246" s="41" t="str">
        <f>VLOOKUP(F246,辅助信息!A:B,2,FALSE)</f>
        <v>螺纹钢</v>
      </c>
      <c r="F246" s="41" t="s">
        <v>30</v>
      </c>
      <c r="G246" s="37">
        <v>3</v>
      </c>
      <c r="H246" s="37" t="e">
        <f>_xlfn._xlws.FILTER(#REF!,#REF!&amp;#REF!&amp;#REF!&amp;#REF!=C246&amp;F246&amp;I246&amp;J246,"未发货")</f>
        <v>#REF!</v>
      </c>
      <c r="I246" s="41" t="str">
        <f>VLOOKUP(B246,辅助信息!E:I,3,FALSE)</f>
        <v>（商投建工达州中医药科技园-4工区-7号楼）达州市通川区达州中医药职业学院犀牛大道北段</v>
      </c>
      <c r="J246" s="41" t="str">
        <f>VLOOKUP(B246,辅助信息!E:I,4,FALSE)</f>
        <v>张扬</v>
      </c>
      <c r="K246" s="41">
        <f>VLOOKUP(J246,辅助信息!H:I,2,FALSE)</f>
        <v>18381904567</v>
      </c>
      <c r="L246" s="79"/>
      <c r="M246" s="58"/>
      <c r="N246" s="58"/>
      <c r="O246" s="58"/>
      <c r="P246" s="58"/>
      <c r="Q246" s="27" t="str">
        <f>VLOOKUP(B246,辅助信息!E:M,9,FALSE)</f>
        <v>ZTWM-CDGS-XS-2024-0134-商投建工达州中医药科技成果示范园项目</v>
      </c>
      <c r="R246" s="27"/>
    </row>
    <row r="247" hidden="1" spans="2:18">
      <c r="B247" s="41" t="s">
        <v>56</v>
      </c>
      <c r="C247" s="71">
        <v>45668</v>
      </c>
      <c r="D247" s="41" t="str">
        <f>VLOOKUP(B247,辅助信息!E:K,7,FALSE)</f>
        <v>JWDDCD2025052800131</v>
      </c>
      <c r="E247" s="41" t="str">
        <f>VLOOKUP(F247,辅助信息!A:B,2,FALSE)</f>
        <v>螺纹钢</v>
      </c>
      <c r="F247" s="41" t="s">
        <v>28</v>
      </c>
      <c r="G247" s="37">
        <v>15</v>
      </c>
      <c r="H247" s="37" t="e">
        <f>_xlfn._xlws.FILTER(#REF!,#REF!&amp;#REF!&amp;#REF!&amp;#REF!=C247&amp;F247&amp;I247&amp;J247,"未发货")</f>
        <v>#REF!</v>
      </c>
      <c r="I247" s="41" t="str">
        <f>VLOOKUP(B247,辅助信息!E:I,3,FALSE)</f>
        <v>（商投建工达州中医药科技园-4工区-7号楼）达州市通川区达州中医药职业学院犀牛大道北段</v>
      </c>
      <c r="J247" s="41" t="str">
        <f>VLOOKUP(B247,辅助信息!E:I,4,FALSE)</f>
        <v>张扬</v>
      </c>
      <c r="K247" s="41">
        <f>VLOOKUP(J247,辅助信息!H:I,2,FALSE)</f>
        <v>18381904567</v>
      </c>
      <c r="L247" s="79"/>
      <c r="M247" s="58"/>
      <c r="N247" s="58"/>
      <c r="O247" s="58"/>
      <c r="P247" s="58"/>
      <c r="Q247" s="27" t="str">
        <f>VLOOKUP(B247,辅助信息!E:M,9,FALSE)</f>
        <v>ZTWM-CDGS-XS-2024-0134-商投建工达州中医药科技成果示范园项目</v>
      </c>
      <c r="R247" s="27"/>
    </row>
    <row r="248" hidden="1" spans="2:18">
      <c r="B248" s="41" t="s">
        <v>56</v>
      </c>
      <c r="C248" s="71">
        <v>45668</v>
      </c>
      <c r="D248" s="41" t="str">
        <f>VLOOKUP(B248,辅助信息!E:K,7,FALSE)</f>
        <v>JWDDCD2025052800131</v>
      </c>
      <c r="E248" s="41" t="str">
        <f>VLOOKUP(F248,辅助信息!A:B,2,FALSE)</f>
        <v>螺纹钢</v>
      </c>
      <c r="F248" s="41" t="s">
        <v>21</v>
      </c>
      <c r="G248" s="37">
        <v>6</v>
      </c>
      <c r="H248" s="37" t="e">
        <f>_xlfn._xlws.FILTER(#REF!,#REF!&amp;#REF!&amp;#REF!&amp;#REF!=C248&amp;F248&amp;I248&amp;J248,"未发货")</f>
        <v>#REF!</v>
      </c>
      <c r="I248" s="41" t="str">
        <f>VLOOKUP(B248,辅助信息!E:I,3,FALSE)</f>
        <v>（商投建工达州中医药科技园-4工区-7号楼）达州市通川区达州中医药职业学院犀牛大道北段</v>
      </c>
      <c r="J248" s="41" t="str">
        <f>VLOOKUP(B248,辅助信息!E:I,4,FALSE)</f>
        <v>张扬</v>
      </c>
      <c r="K248" s="41">
        <f>VLOOKUP(J248,辅助信息!H:I,2,FALSE)</f>
        <v>18381904567</v>
      </c>
      <c r="L248" s="79"/>
      <c r="M248" s="58"/>
      <c r="N248" s="58"/>
      <c r="O248" s="58"/>
      <c r="P248" s="58"/>
      <c r="Q248" s="27" t="str">
        <f>VLOOKUP(B248,辅助信息!E:M,9,FALSE)</f>
        <v>ZTWM-CDGS-XS-2024-0134-商投建工达州中医药科技成果示范园项目</v>
      </c>
      <c r="R248" s="27"/>
    </row>
    <row r="249" hidden="1" spans="2:18">
      <c r="B249" s="41" t="s">
        <v>56</v>
      </c>
      <c r="C249" s="71">
        <v>45668</v>
      </c>
      <c r="D249" s="41" t="str">
        <f>VLOOKUP(B249,辅助信息!E:K,7,FALSE)</f>
        <v>JWDDCD2025052800131</v>
      </c>
      <c r="E249" s="41" t="str">
        <f>VLOOKUP(F249,辅助信息!A:B,2,FALSE)</f>
        <v>螺纹钢</v>
      </c>
      <c r="F249" s="41" t="s">
        <v>46</v>
      </c>
      <c r="G249" s="37">
        <v>9</v>
      </c>
      <c r="H249" s="37" t="e">
        <f>_xlfn._xlws.FILTER(#REF!,#REF!&amp;#REF!&amp;#REF!&amp;#REF!=C249&amp;F249&amp;I249&amp;J249,"未发货")</f>
        <v>#REF!</v>
      </c>
      <c r="I249" s="41" t="str">
        <f>VLOOKUP(B249,辅助信息!E:I,3,FALSE)</f>
        <v>（商投建工达州中医药科技园-4工区-7号楼）达州市通川区达州中医药职业学院犀牛大道北段</v>
      </c>
      <c r="J249" s="41" t="str">
        <f>VLOOKUP(B249,辅助信息!E:I,4,FALSE)</f>
        <v>张扬</v>
      </c>
      <c r="K249" s="41">
        <f>VLOOKUP(J249,辅助信息!H:I,2,FALSE)</f>
        <v>18381904567</v>
      </c>
      <c r="L249" s="77"/>
      <c r="M249" s="58"/>
      <c r="N249" s="58"/>
      <c r="O249" s="58"/>
      <c r="P249" s="58"/>
      <c r="Q249" s="27" t="str">
        <f>VLOOKUP(B249,辅助信息!E:M,9,FALSE)</f>
        <v>ZTWM-CDGS-XS-2024-0134-商投建工达州中医药科技成果示范园项目</v>
      </c>
      <c r="R249" s="27"/>
    </row>
    <row r="250" hidden="1" spans="2:18">
      <c r="B250" s="41" t="s">
        <v>17</v>
      </c>
      <c r="C250" s="71">
        <v>45668</v>
      </c>
      <c r="D250" s="41" t="str">
        <f>VLOOKUP(B250,辅助信息!E:K,7,FALSE)</f>
        <v>JWDDCD2024101600090</v>
      </c>
      <c r="E250" s="41" t="str">
        <f>VLOOKUP(F250,辅助信息!A:B,2,FALSE)</f>
        <v>盘螺</v>
      </c>
      <c r="F250" s="41" t="s">
        <v>40</v>
      </c>
      <c r="G250" s="37">
        <v>2</v>
      </c>
      <c r="H250" s="37" t="e">
        <f>_xlfn._xlws.FILTER(#REF!,#REF!&amp;#REF!&amp;#REF!&amp;#REF!=C250&amp;F250&amp;I250&amp;J250,"未发货")</f>
        <v>#REF!</v>
      </c>
      <c r="I250" s="41" t="str">
        <f>VLOOKUP(B250,辅助信息!E:I,3,FALSE)</f>
        <v>（达州市公共卫生临床医疗中心项目-一标-1号制作房）达州市通川区西外复兴镇公共卫生临床医疗中心项目</v>
      </c>
      <c r="J250" s="41" t="str">
        <f>VLOOKUP(B250,辅助信息!E:I,4,FALSE)</f>
        <v>潘建发</v>
      </c>
      <c r="K250" s="41">
        <f>VLOOKUP(J250,辅助信息!H:I,2,FALSE)</f>
        <v>13658059919</v>
      </c>
      <c r="L250" s="78" t="str">
        <f>VLOOKUP(B250,辅助信息!E:J,6,FALSE)</f>
        <v>提前联系到场规格,一天到场车辆不低于2车</v>
      </c>
      <c r="M250" s="58"/>
      <c r="N250" s="58"/>
      <c r="O250" s="58"/>
      <c r="P250" s="58"/>
      <c r="Q250" s="27" t="str">
        <f>VLOOKUP(B250,辅助信息!E:M,9,FALSE)</f>
        <v>ZTWM-CDGS-XS-2024-0205-五冶钢构-达州市通川区西外复兴镇及临近片区建设项目</v>
      </c>
      <c r="R250" s="27"/>
    </row>
    <row r="251" hidden="1" spans="2:18">
      <c r="B251" s="41" t="s">
        <v>17</v>
      </c>
      <c r="C251" s="71">
        <v>45668</v>
      </c>
      <c r="D251" s="41" t="str">
        <f>VLOOKUP(B251,辅助信息!E:K,7,FALSE)</f>
        <v>JWDDCD2024101600090</v>
      </c>
      <c r="E251" s="41" t="str">
        <f>VLOOKUP(F251,辅助信息!A:B,2,FALSE)</f>
        <v>盘螺</v>
      </c>
      <c r="F251" s="41" t="s">
        <v>41</v>
      </c>
      <c r="G251" s="37">
        <v>7</v>
      </c>
      <c r="H251" s="37" t="e">
        <f>_xlfn._xlws.FILTER(#REF!,#REF!&amp;#REF!&amp;#REF!&amp;#REF!=C251&amp;F251&amp;I251&amp;J251,"未发货")</f>
        <v>#REF!</v>
      </c>
      <c r="I251" s="41" t="str">
        <f>VLOOKUP(B251,辅助信息!E:I,3,FALSE)</f>
        <v>（达州市公共卫生临床医疗中心项目-一标-1号制作房）达州市通川区西外复兴镇公共卫生临床医疗中心项目</v>
      </c>
      <c r="J251" s="41" t="str">
        <f>VLOOKUP(B251,辅助信息!E:I,4,FALSE)</f>
        <v>潘建发</v>
      </c>
      <c r="K251" s="41">
        <f>VLOOKUP(J251,辅助信息!H:I,2,FALSE)</f>
        <v>13658059919</v>
      </c>
      <c r="L251" s="79"/>
      <c r="M251" s="58"/>
      <c r="N251" s="58"/>
      <c r="O251" s="58"/>
      <c r="P251" s="58"/>
      <c r="Q251" s="27" t="str">
        <f>VLOOKUP(B251,辅助信息!E:M,9,FALSE)</f>
        <v>ZTWM-CDGS-XS-2024-0205-五冶钢构-达州市通川区西外复兴镇及临近片区建设项目</v>
      </c>
      <c r="R251" s="27"/>
    </row>
    <row r="252" hidden="1" spans="2:18">
      <c r="B252" s="41" t="s">
        <v>17</v>
      </c>
      <c r="C252" s="71">
        <v>45668</v>
      </c>
      <c r="D252" s="41" t="str">
        <f>VLOOKUP(B252,辅助信息!E:K,7,FALSE)</f>
        <v>JWDDCD2024101600090</v>
      </c>
      <c r="E252" s="41" t="str">
        <f>VLOOKUP(F252,辅助信息!A:B,2,FALSE)</f>
        <v>螺纹钢</v>
      </c>
      <c r="F252" s="41" t="s">
        <v>27</v>
      </c>
      <c r="G252" s="37">
        <v>18</v>
      </c>
      <c r="H252" s="37" t="e">
        <f>_xlfn._xlws.FILTER(#REF!,#REF!&amp;#REF!&amp;#REF!&amp;#REF!=C252&amp;F252&amp;I252&amp;J252,"未发货")</f>
        <v>#REF!</v>
      </c>
      <c r="I252" s="41" t="str">
        <f>VLOOKUP(B252,辅助信息!E:I,3,FALSE)</f>
        <v>（达州市公共卫生临床医疗中心项目-一标-1号制作房）达州市通川区西外复兴镇公共卫生临床医疗中心项目</v>
      </c>
      <c r="J252" s="41" t="str">
        <f>VLOOKUP(B252,辅助信息!E:I,4,FALSE)</f>
        <v>潘建发</v>
      </c>
      <c r="K252" s="41">
        <f>VLOOKUP(J252,辅助信息!H:I,2,FALSE)</f>
        <v>13658059919</v>
      </c>
      <c r="L252" s="79"/>
      <c r="M252" s="58"/>
      <c r="N252" s="58"/>
      <c r="O252" s="58"/>
      <c r="P252" s="58"/>
      <c r="Q252" s="27" t="str">
        <f>VLOOKUP(B252,辅助信息!E:M,9,FALSE)</f>
        <v>ZTWM-CDGS-XS-2024-0205-五冶钢构-达州市通川区西外复兴镇及临近片区建设项目</v>
      </c>
      <c r="R252" s="27"/>
    </row>
    <row r="253" hidden="1" spans="2:18">
      <c r="B253" s="41" t="s">
        <v>17</v>
      </c>
      <c r="C253" s="71">
        <v>45668</v>
      </c>
      <c r="D253" s="41" t="str">
        <f>VLOOKUP(B253,辅助信息!E:K,7,FALSE)</f>
        <v>JWDDCD2024101600090</v>
      </c>
      <c r="E253" s="41" t="str">
        <f>VLOOKUP(F253,辅助信息!A:B,2,FALSE)</f>
        <v>螺纹钢</v>
      </c>
      <c r="F253" s="41" t="s">
        <v>19</v>
      </c>
      <c r="G253" s="37">
        <v>3</v>
      </c>
      <c r="H253" s="37" t="e">
        <f>_xlfn._xlws.FILTER(#REF!,#REF!&amp;#REF!&amp;#REF!&amp;#REF!=C253&amp;F253&amp;I253&amp;J253,"未发货")</f>
        <v>#REF!</v>
      </c>
      <c r="I253" s="41" t="str">
        <f>VLOOKUP(B253,辅助信息!E:I,3,FALSE)</f>
        <v>（达州市公共卫生临床医疗中心项目-一标-1号制作房）达州市通川区西外复兴镇公共卫生临床医疗中心项目</v>
      </c>
      <c r="J253" s="41" t="str">
        <f>VLOOKUP(B253,辅助信息!E:I,4,FALSE)</f>
        <v>潘建发</v>
      </c>
      <c r="K253" s="41">
        <f>VLOOKUP(J253,辅助信息!H:I,2,FALSE)</f>
        <v>13658059919</v>
      </c>
      <c r="L253" s="79"/>
      <c r="M253" s="58"/>
      <c r="N253" s="58"/>
      <c r="O253" s="58"/>
      <c r="P253" s="58"/>
      <c r="Q253" s="27" t="str">
        <f>VLOOKUP(B253,辅助信息!E:M,9,FALSE)</f>
        <v>ZTWM-CDGS-XS-2024-0205-五冶钢构-达州市通川区西外复兴镇及临近片区建设项目</v>
      </c>
      <c r="R253" s="27"/>
    </row>
    <row r="254" hidden="1" spans="2:18">
      <c r="B254" s="41" t="s">
        <v>17</v>
      </c>
      <c r="C254" s="71">
        <v>45668</v>
      </c>
      <c r="D254" s="41" t="str">
        <f>VLOOKUP(B254,辅助信息!E:K,7,FALSE)</f>
        <v>JWDDCD2024101600090</v>
      </c>
      <c r="E254" s="41" t="str">
        <f>VLOOKUP(F254,辅助信息!A:B,2,FALSE)</f>
        <v>螺纹钢</v>
      </c>
      <c r="F254" s="41" t="s">
        <v>32</v>
      </c>
      <c r="G254" s="37">
        <v>9</v>
      </c>
      <c r="H254" s="37" t="e">
        <f>_xlfn._xlws.FILTER(#REF!,#REF!&amp;#REF!&amp;#REF!&amp;#REF!=C254&amp;F254&amp;I254&amp;J254,"未发货")</f>
        <v>#REF!</v>
      </c>
      <c r="I254" s="41" t="str">
        <f>VLOOKUP(B254,辅助信息!E:I,3,FALSE)</f>
        <v>（达州市公共卫生临床医疗中心项目-一标-1号制作房）达州市通川区西外复兴镇公共卫生临床医疗中心项目</v>
      </c>
      <c r="J254" s="41" t="str">
        <f>VLOOKUP(B254,辅助信息!E:I,4,FALSE)</f>
        <v>潘建发</v>
      </c>
      <c r="K254" s="41">
        <f>VLOOKUP(J254,辅助信息!H:I,2,FALSE)</f>
        <v>13658059919</v>
      </c>
      <c r="L254" s="79"/>
      <c r="M254" s="58"/>
      <c r="N254" s="58"/>
      <c r="O254" s="58"/>
      <c r="P254" s="58"/>
      <c r="Q254" s="27" t="str">
        <f>VLOOKUP(B254,辅助信息!E:M,9,FALSE)</f>
        <v>ZTWM-CDGS-XS-2024-0205-五冶钢构-达州市通川区西外复兴镇及临近片区建设项目</v>
      </c>
      <c r="R254" s="27"/>
    </row>
    <row r="255" hidden="1" spans="2:18">
      <c r="B255" s="41" t="s">
        <v>17</v>
      </c>
      <c r="C255" s="71">
        <v>45668</v>
      </c>
      <c r="D255" s="41" t="str">
        <f>VLOOKUP(B255,辅助信息!E:K,7,FALSE)</f>
        <v>JWDDCD2024101600090</v>
      </c>
      <c r="E255" s="41" t="str">
        <f>VLOOKUP(F255,辅助信息!A:B,2,FALSE)</f>
        <v>螺纹钢</v>
      </c>
      <c r="F255" s="41" t="s">
        <v>33</v>
      </c>
      <c r="G255" s="37">
        <v>2</v>
      </c>
      <c r="H255" s="37" t="e">
        <f>_xlfn._xlws.FILTER(#REF!,#REF!&amp;#REF!&amp;#REF!&amp;#REF!=C255&amp;F255&amp;I255&amp;J255,"未发货")</f>
        <v>#REF!</v>
      </c>
      <c r="I255" s="41" t="str">
        <f>VLOOKUP(B255,辅助信息!E:I,3,FALSE)</f>
        <v>（达州市公共卫生临床医疗中心项目-一标-1号制作房）达州市通川区西外复兴镇公共卫生临床医疗中心项目</v>
      </c>
      <c r="J255" s="41" t="str">
        <f>VLOOKUP(B255,辅助信息!E:I,4,FALSE)</f>
        <v>潘建发</v>
      </c>
      <c r="K255" s="41">
        <f>VLOOKUP(J255,辅助信息!H:I,2,FALSE)</f>
        <v>13658059919</v>
      </c>
      <c r="L255" s="79"/>
      <c r="M255" s="58"/>
      <c r="N255" s="58"/>
      <c r="O255" s="58"/>
      <c r="P255" s="58"/>
      <c r="Q255" s="27" t="str">
        <f>VLOOKUP(B255,辅助信息!E:M,9,FALSE)</f>
        <v>ZTWM-CDGS-XS-2024-0205-五冶钢构-达州市通川区西外复兴镇及临近片区建设项目</v>
      </c>
      <c r="R255" s="27"/>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7" t="str">
        <f>VLOOKUP(B256,辅助信息!E:M,9,FALSE)</f>
        <v>ZTWM-CDGS-XS-2024-0205-五冶钢构-达州市通川区西外复兴镇及临近片区建设项目</v>
      </c>
      <c r="R256" s="27"/>
    </row>
    <row r="257" hidden="1" spans="2:18">
      <c r="B257" s="41" t="s">
        <v>43</v>
      </c>
      <c r="C257" s="71">
        <v>45668</v>
      </c>
      <c r="D257" s="41" t="str">
        <f>VLOOKUP(B257,辅助信息!E:K,7,FALSE)</f>
        <v>JWDDCD2024101600090</v>
      </c>
      <c r="E257" s="41" t="str">
        <f>VLOOKUP(F257,辅助信息!A:B,2,FALSE)</f>
        <v>盘螺</v>
      </c>
      <c r="F257" s="41" t="s">
        <v>40</v>
      </c>
      <c r="G257" s="37">
        <v>16</v>
      </c>
      <c r="H257" s="37" t="e">
        <f>_xlfn._xlws.FILTER(#REF!,#REF!&amp;#REF!&amp;#REF!&amp;#REF!=C257&amp;F257&amp;I257&amp;J257,"未发货")</f>
        <v>#REF!</v>
      </c>
      <c r="I257" s="41" t="str">
        <f>VLOOKUP(B257,辅助信息!E:I,3,FALSE)</f>
        <v>（达州市公共卫生医疗中心项目-二标-3号楼）达州市通川区西外复兴镇公共卫生临床医疗中心项目</v>
      </c>
      <c r="J257" s="41" t="str">
        <f>VLOOKUP(B257,辅助信息!E:I,4,FALSE)</f>
        <v>黄永林</v>
      </c>
      <c r="K257" s="41">
        <f>VLOOKUP(J257,辅助信息!H:I,2,FALSE)</f>
        <v>15982487227</v>
      </c>
      <c r="L257" s="78" t="str">
        <f>VLOOKUP(B257,辅助信息!E:J,6,FALSE)</f>
        <v>提前联系到场规格,一天到场车辆不低于2车</v>
      </c>
      <c r="M257" s="78"/>
      <c r="N257" s="78"/>
      <c r="O257" s="78"/>
      <c r="P257" s="78"/>
      <c r="Q257" s="41" t="str">
        <f>VLOOKUP(B257,辅助信息!E:M,9,FALSE)</f>
        <v>ZTWM-CDGS-XS-2024-0205-五冶钢构-达州市通川区西外复兴镇及临近片区建设项目</v>
      </c>
      <c r="R257" s="27"/>
    </row>
    <row r="258" hidden="1" spans="2:18">
      <c r="B258" s="41" t="s">
        <v>43</v>
      </c>
      <c r="C258" s="71">
        <v>45668</v>
      </c>
      <c r="D258" s="41" t="str">
        <f>VLOOKUP(B258,辅助信息!E:K,7,FALSE)</f>
        <v>JWDDCD2024101600090</v>
      </c>
      <c r="E258" s="41" t="str">
        <f>VLOOKUP(F258,辅助信息!A:B,2,FALSE)</f>
        <v>盘螺</v>
      </c>
      <c r="F258" s="41" t="s">
        <v>41</v>
      </c>
      <c r="G258" s="37">
        <v>12</v>
      </c>
      <c r="H258" s="37" t="e">
        <f>_xlfn._xlws.FILTER(#REF!,#REF!&amp;#REF!&amp;#REF!&amp;#REF!=C258&amp;F258&amp;I258&amp;J258,"未发货")</f>
        <v>#REF!</v>
      </c>
      <c r="I258" s="41" t="str">
        <f>VLOOKUP(B258,辅助信息!E:I,3,FALSE)</f>
        <v>（达州市公共卫生医疗中心项目-二标-3号楼）达州市通川区西外复兴镇公共卫生临床医疗中心项目</v>
      </c>
      <c r="J258" s="41" t="str">
        <f>VLOOKUP(B258,辅助信息!E:I,4,FALSE)</f>
        <v>黄永林</v>
      </c>
      <c r="K258" s="41">
        <f>VLOOKUP(J258,辅助信息!H:I,2,FALSE)</f>
        <v>15982487227</v>
      </c>
      <c r="L258" s="79"/>
      <c r="M258" s="78"/>
      <c r="N258" s="78"/>
      <c r="O258" s="78"/>
      <c r="P258" s="78"/>
      <c r="Q258" s="41" t="str">
        <f>VLOOKUP(B258,辅助信息!E:M,9,FALSE)</f>
        <v>ZTWM-CDGS-XS-2024-0205-五冶钢构-达州市通川区西外复兴镇及临近片区建设项目</v>
      </c>
      <c r="R258" s="27"/>
    </row>
    <row r="259" hidden="1" spans="2:18">
      <c r="B259" s="41" t="s">
        <v>43</v>
      </c>
      <c r="C259" s="71">
        <v>45668</v>
      </c>
      <c r="D259" s="41" t="str">
        <f>VLOOKUP(B259,辅助信息!E:K,7,FALSE)</f>
        <v>JWDDCD2024101600090</v>
      </c>
      <c r="E259" s="41" t="str">
        <f>VLOOKUP(F259,辅助信息!A:B,2,FALSE)</f>
        <v>螺纹钢</v>
      </c>
      <c r="F259" s="41" t="s">
        <v>27</v>
      </c>
      <c r="G259" s="37">
        <v>25</v>
      </c>
      <c r="H259" s="37" t="e">
        <f>_xlfn._xlws.FILTER(#REF!,#REF!&amp;#REF!&amp;#REF!&amp;#REF!=C259&amp;F259&amp;I259&amp;J259,"未发货")</f>
        <v>#REF!</v>
      </c>
      <c r="I259" s="41" t="str">
        <f>VLOOKUP(B259,辅助信息!E:I,3,FALSE)</f>
        <v>（达州市公共卫生医疗中心项目-二标-3号楼）达州市通川区西外复兴镇公共卫生临床医疗中心项目</v>
      </c>
      <c r="J259" s="41" t="str">
        <f>VLOOKUP(B259,辅助信息!E:I,4,FALSE)</f>
        <v>黄永林</v>
      </c>
      <c r="K259" s="41">
        <f>VLOOKUP(J259,辅助信息!H:I,2,FALSE)</f>
        <v>15982487227</v>
      </c>
      <c r="L259" s="77"/>
      <c r="M259" s="78"/>
      <c r="N259" s="78"/>
      <c r="O259" s="78"/>
      <c r="P259" s="78"/>
      <c r="Q259" s="41" t="str">
        <f>VLOOKUP(B259,辅助信息!E:M,9,FALSE)</f>
        <v>ZTWM-CDGS-XS-2024-0205-五冶钢构-达州市通川区西外复兴镇及临近片区建设项目</v>
      </c>
      <c r="R259" s="27"/>
    </row>
    <row r="260" hidden="1" spans="2:18">
      <c r="B260" s="41" t="s">
        <v>70</v>
      </c>
      <c r="C260" s="71">
        <v>45668</v>
      </c>
      <c r="D260" s="41" t="e">
        <f>VLOOKUP(B260,辅助信息!E:K,7,FALSE)</f>
        <v>#N/A</v>
      </c>
      <c r="E260" s="41" t="str">
        <f>VLOOKUP(F260,辅助信息!A:B,2,FALSE)</f>
        <v>螺纹钢</v>
      </c>
      <c r="F260" s="41" t="s">
        <v>27</v>
      </c>
      <c r="G260" s="37">
        <v>30</v>
      </c>
      <c r="H260" s="37" t="e">
        <f>_xlfn._xlws.FILTER(#REF!,#REF!&amp;#REF!&amp;#REF!&amp;#REF!=C260&amp;F260&amp;I260&amp;J260,"未发货")</f>
        <v>#REF!</v>
      </c>
      <c r="I260" s="41" t="e">
        <f>VLOOKUP(B260,辅助信息!E:I,3,FALSE)</f>
        <v>#N/A</v>
      </c>
      <c r="J260" s="41" t="e">
        <f>VLOOKUP(B260,辅助信息!E:I,4,FALSE)</f>
        <v>#N/A</v>
      </c>
      <c r="K260" s="41" t="e">
        <f>VLOOKUP(J260,辅助信息!H:I,2,FALSE)</f>
        <v>#N/A</v>
      </c>
      <c r="L260" s="78" t="e">
        <f>VLOOKUP(B260,辅助信息!E:J,6,FALSE)</f>
        <v>#N/A</v>
      </c>
      <c r="M260" s="78"/>
      <c r="N260" s="78"/>
      <c r="O260" s="78"/>
      <c r="P260" s="78"/>
      <c r="Q260" s="41" t="e">
        <f>VLOOKUP(B260,辅助信息!E:M,9,FALSE)</f>
        <v>#N/A</v>
      </c>
      <c r="R260" s="27"/>
    </row>
    <row r="261" hidden="1" spans="2:18">
      <c r="B261" s="41" t="s">
        <v>70</v>
      </c>
      <c r="C261" s="71">
        <v>45668</v>
      </c>
      <c r="D261" s="41" t="e">
        <f>VLOOKUP(B261,辅助信息!E:K,7,FALSE)</f>
        <v>#N/A</v>
      </c>
      <c r="E261" s="41" t="str">
        <f>VLOOKUP(F261,辅助信息!A:B,2,FALSE)</f>
        <v>螺纹钢</v>
      </c>
      <c r="F261" s="41" t="s">
        <v>32</v>
      </c>
      <c r="G261" s="37">
        <v>6</v>
      </c>
      <c r="H261" s="37" t="e">
        <f>_xlfn._xlws.FILTER(#REF!,#REF!&amp;#REF!&amp;#REF!&amp;#REF!=C261&amp;F261&amp;I261&amp;J261,"未发货")</f>
        <v>#REF!</v>
      </c>
      <c r="I261" s="41" t="e">
        <f>VLOOKUP(B261,辅助信息!E:I,3,FALSE)</f>
        <v>#N/A</v>
      </c>
      <c r="J261" s="41" t="e">
        <f>VLOOKUP(B261,辅助信息!E:I,4,FALSE)</f>
        <v>#N/A</v>
      </c>
      <c r="K261" s="41" t="e">
        <f>VLOOKUP(J261,辅助信息!H:I,2,FALSE)</f>
        <v>#N/A</v>
      </c>
      <c r="L261" s="77"/>
      <c r="M261" s="78"/>
      <c r="N261" s="78"/>
      <c r="O261" s="78"/>
      <c r="P261" s="78"/>
      <c r="Q261" s="41" t="e">
        <f>VLOOKUP(B261,辅助信息!E:M,9,FALSE)</f>
        <v>#N/A</v>
      </c>
      <c r="R261" s="27"/>
    </row>
    <row r="262" hidden="1" spans="2:18">
      <c r="B262" s="41" t="s">
        <v>64</v>
      </c>
      <c r="C262" s="71">
        <v>45668</v>
      </c>
      <c r="D262" s="41" t="e">
        <f>VLOOKUP(B262,辅助信息!E:K,7,FALSE)</f>
        <v>#N/A</v>
      </c>
      <c r="E262" s="41" t="str">
        <f>VLOOKUP(F262,辅助信息!A:B,2,FALSE)</f>
        <v>螺纹钢</v>
      </c>
      <c r="F262" s="41" t="s">
        <v>27</v>
      </c>
      <c r="G262" s="37">
        <v>15</v>
      </c>
      <c r="H262" s="37" t="e">
        <f>_xlfn._xlws.FILTER(#REF!,#REF!&amp;#REF!&amp;#REF!&amp;#REF!=C262&amp;F262&amp;I262&amp;J262,"未发货")</f>
        <v>#REF!</v>
      </c>
      <c r="I262" s="41" t="e">
        <f>VLOOKUP(B262,辅助信息!E:I,3,FALSE)</f>
        <v>#N/A</v>
      </c>
      <c r="J262" s="41" t="e">
        <f>VLOOKUP(B262,辅助信息!E:I,4,FALSE)</f>
        <v>#N/A</v>
      </c>
      <c r="K262" s="41" t="e">
        <f>VLOOKUP(J262,辅助信息!H:I,2,FALSE)</f>
        <v>#N/A</v>
      </c>
      <c r="L262" s="78" t="e">
        <f>VLOOKUP(B262,辅助信息!E:J,6,FALSE)</f>
        <v>#N/A</v>
      </c>
      <c r="M262" s="78"/>
      <c r="N262" s="78"/>
      <c r="O262" s="78"/>
      <c r="P262" s="78"/>
      <c r="Q262" s="41" t="e">
        <f>VLOOKUP(B262,辅助信息!E:M,9,FALSE)</f>
        <v>#N/A</v>
      </c>
      <c r="R262" s="27"/>
    </row>
    <row r="263" hidden="1" spans="2:18">
      <c r="B263" s="41" t="s">
        <v>64</v>
      </c>
      <c r="C263" s="71">
        <v>45668</v>
      </c>
      <c r="D263" s="41" t="e">
        <f>VLOOKUP(B263,辅助信息!E:K,7,FALSE)</f>
        <v>#N/A</v>
      </c>
      <c r="E263" s="41" t="str">
        <f>VLOOKUP(F263,辅助信息!A:B,2,FALSE)</f>
        <v>螺纹钢</v>
      </c>
      <c r="F263" s="41" t="s">
        <v>32</v>
      </c>
      <c r="G263" s="37">
        <v>18</v>
      </c>
      <c r="H263" s="37" t="e">
        <f>_xlfn._xlws.FILTER(#REF!,#REF!&amp;#REF!&amp;#REF!&amp;#REF!=C263&amp;F263&amp;I263&amp;J263,"未发货")</f>
        <v>#REF!</v>
      </c>
      <c r="I263" s="41" t="e">
        <f>VLOOKUP(B263,辅助信息!E:I,3,FALSE)</f>
        <v>#N/A</v>
      </c>
      <c r="J263" s="41" t="e">
        <f>VLOOKUP(B263,辅助信息!E:I,4,FALSE)</f>
        <v>#N/A</v>
      </c>
      <c r="K263" s="41" t="e">
        <f>VLOOKUP(J263,辅助信息!H:I,2,FALSE)</f>
        <v>#N/A</v>
      </c>
      <c r="L263" s="79"/>
      <c r="M263" s="78"/>
      <c r="N263" s="78"/>
      <c r="O263" s="78"/>
      <c r="P263" s="78"/>
      <c r="Q263" s="41" t="e">
        <f>VLOOKUP(B263,辅助信息!E:M,9,FALSE)</f>
        <v>#N/A</v>
      </c>
      <c r="R263" s="27"/>
    </row>
    <row r="264" hidden="1" spans="2:18">
      <c r="B264" s="41" t="s">
        <v>64</v>
      </c>
      <c r="C264" s="71">
        <v>45668</v>
      </c>
      <c r="D264" s="41" t="e">
        <f>VLOOKUP(B264,辅助信息!E:K,7,FALSE)</f>
        <v>#N/A</v>
      </c>
      <c r="E264" s="41" t="str">
        <f>VLOOKUP(F264,辅助信息!A:B,2,FALSE)</f>
        <v>螺纹钢</v>
      </c>
      <c r="F264" s="41" t="s">
        <v>28</v>
      </c>
      <c r="G264" s="37">
        <v>6</v>
      </c>
      <c r="H264" s="37" t="e">
        <f>_xlfn._xlws.FILTER(#REF!,#REF!&amp;#REF!&amp;#REF!&amp;#REF!=C264&amp;F264&amp;I264&amp;J264,"未发货")</f>
        <v>#REF!</v>
      </c>
      <c r="I264" s="41" t="e">
        <f>VLOOKUP(B264,辅助信息!E:I,3,FALSE)</f>
        <v>#N/A</v>
      </c>
      <c r="J264" s="41" t="e">
        <f>VLOOKUP(B264,辅助信息!E:I,4,FALSE)</f>
        <v>#N/A</v>
      </c>
      <c r="K264" s="41" t="e">
        <f>VLOOKUP(J264,辅助信息!H:I,2,FALSE)</f>
        <v>#N/A</v>
      </c>
      <c r="L264" s="79"/>
      <c r="M264" s="78"/>
      <c r="N264" s="78"/>
      <c r="O264" s="78"/>
      <c r="P264" s="78"/>
      <c r="Q264" s="41" t="e">
        <f>VLOOKUP(B264,辅助信息!E:M,9,FALSE)</f>
        <v>#N/A</v>
      </c>
      <c r="R264" s="27"/>
    </row>
    <row r="265" hidden="1" spans="2:18">
      <c r="B265" s="41" t="s">
        <v>64</v>
      </c>
      <c r="C265" s="71">
        <v>45668</v>
      </c>
      <c r="D265" s="41" t="e">
        <f>VLOOKUP(B265,辅助信息!E:K,7,FALSE)</f>
        <v>#N/A</v>
      </c>
      <c r="E265" s="41" t="str">
        <f>VLOOKUP(F265,辅助信息!A:B,2,FALSE)</f>
        <v>螺纹钢</v>
      </c>
      <c r="F265" s="41" t="s">
        <v>65</v>
      </c>
      <c r="G265" s="37">
        <v>38</v>
      </c>
      <c r="H265" s="37" t="e">
        <f>_xlfn._xlws.FILTER(#REF!,#REF!&amp;#REF!&amp;#REF!&amp;#REF!=C265&amp;F265&amp;I265&amp;J265,"未发货")</f>
        <v>#REF!</v>
      </c>
      <c r="I265" s="41" t="e">
        <f>VLOOKUP(B265,辅助信息!E:I,3,FALSE)</f>
        <v>#N/A</v>
      </c>
      <c r="J265" s="41" t="e">
        <f>VLOOKUP(B265,辅助信息!E:I,4,FALSE)</f>
        <v>#N/A</v>
      </c>
      <c r="K265" s="41" t="e">
        <f>VLOOKUP(J265,辅助信息!H:I,2,FALSE)</f>
        <v>#N/A</v>
      </c>
      <c r="L265" s="79"/>
      <c r="M265" s="78"/>
      <c r="N265" s="78"/>
      <c r="O265" s="78"/>
      <c r="P265" s="78"/>
      <c r="Q265" s="41" t="e">
        <f>VLOOKUP(B265,辅助信息!E:M,9,FALSE)</f>
        <v>#N/A</v>
      </c>
      <c r="R265" s="27"/>
    </row>
    <row r="266" hidden="1" spans="2:18">
      <c r="B266" s="41" t="s">
        <v>64</v>
      </c>
      <c r="C266" s="71">
        <v>45668</v>
      </c>
      <c r="D266" s="41" t="e">
        <f>VLOOKUP(B266,辅助信息!E:K,7,FALSE)</f>
        <v>#N/A</v>
      </c>
      <c r="E266" s="41" t="str">
        <f>VLOOKUP(F266,辅助信息!A:B,2,FALSE)</f>
        <v>螺纹钢</v>
      </c>
      <c r="F266" s="41" t="s">
        <v>52</v>
      </c>
      <c r="G266" s="37">
        <v>6</v>
      </c>
      <c r="H266" s="37" t="e">
        <f>_xlfn._xlws.FILTER(#REF!,#REF!&amp;#REF!&amp;#REF!&amp;#REF!=C266&amp;F266&amp;I266&amp;J266,"未发货")</f>
        <v>#REF!</v>
      </c>
      <c r="I266" s="41" t="e">
        <f>VLOOKUP(B266,辅助信息!E:I,3,FALSE)</f>
        <v>#N/A</v>
      </c>
      <c r="J266" s="41" t="e">
        <f>VLOOKUP(B266,辅助信息!E:I,4,FALSE)</f>
        <v>#N/A</v>
      </c>
      <c r="K266" s="41" t="e">
        <f>VLOOKUP(J266,辅助信息!H:I,2,FALSE)</f>
        <v>#N/A</v>
      </c>
      <c r="L266" s="77"/>
      <c r="M266" s="78"/>
      <c r="N266" s="78"/>
      <c r="O266" s="78"/>
      <c r="P266" s="78"/>
      <c r="Q266" s="41" t="e">
        <f>VLOOKUP(B266,辅助信息!E:M,9,FALSE)</f>
        <v>#N/A</v>
      </c>
      <c r="R266" s="27"/>
    </row>
    <row r="267" hidden="1" spans="2:18">
      <c r="B267" s="41" t="s">
        <v>48</v>
      </c>
      <c r="C267" s="71">
        <v>45673</v>
      </c>
      <c r="D267" s="41" t="str">
        <f>VLOOKUP(B267,辅助信息!E:K,7,FALSE)</f>
        <v>ZTWM-CDGS-YL-20240529-006</v>
      </c>
      <c r="E267" s="41" t="str">
        <f>VLOOKUP(F267,辅助信息!A:B,2,FALSE)</f>
        <v>螺纹钢</v>
      </c>
      <c r="F267" s="41" t="s">
        <v>66</v>
      </c>
      <c r="G267" s="37">
        <f>40-12</f>
        <v>28</v>
      </c>
      <c r="H267" s="37">
        <v>28</v>
      </c>
      <c r="I267" s="41" t="str">
        <f>VLOOKUP(B267,辅助信息!E:I,3,FALSE)</f>
        <v>(华西颐海-科创农业生态谷-1号钢筋房)成都市简阳市白金山水库</v>
      </c>
      <c r="J267" s="41" t="str">
        <f>VLOOKUP(B267,辅助信息!E:I,4,FALSE)</f>
        <v>石清国</v>
      </c>
      <c r="K267" s="41">
        <f>VLOOKUP(J267,辅助信息!H:I,2,FALSE)</f>
        <v>13458642015</v>
      </c>
      <c r="L267" s="78" t="str">
        <f>VLOOKUP(B267,辅助信息!E:J,6,FALSE)</f>
        <v>优先威钢,我方卸车,新老国标钢厂不加价可直发</v>
      </c>
      <c r="M267" s="78"/>
      <c r="N267" s="78"/>
      <c r="O267" s="78"/>
      <c r="P267" s="78"/>
      <c r="Q267" s="41" t="str">
        <f>VLOOKUP(B267,辅助信息!E:M,9,FALSE)</f>
        <v>ZTWM-CDGS-XS-2024-0093-华西-颐海科创农业生态谷</v>
      </c>
      <c r="R267" s="27"/>
    </row>
    <row r="268" hidden="1" spans="2:18">
      <c r="B268" s="41" t="s">
        <v>48</v>
      </c>
      <c r="C268" s="71">
        <v>45673</v>
      </c>
      <c r="D268" s="41" t="str">
        <f>VLOOKUP(B268,辅助信息!E:K,7,FALSE)</f>
        <v>ZTWM-CDGS-YL-20240529-006</v>
      </c>
      <c r="E268" s="41" t="str">
        <f>VLOOKUP(F268,辅助信息!A:B,2,FALSE)</f>
        <v>螺纹钢</v>
      </c>
      <c r="F268" s="41" t="s">
        <v>46</v>
      </c>
      <c r="G268" s="37">
        <v>6</v>
      </c>
      <c r="H268" s="37">
        <v>6</v>
      </c>
      <c r="I268" s="41" t="str">
        <f>VLOOKUP(B268,辅助信息!E:I,3,FALSE)</f>
        <v>(华西颐海-科创农业生态谷-1号钢筋房)成都市简阳市白金山水库</v>
      </c>
      <c r="J268" s="41" t="str">
        <f>VLOOKUP(B268,辅助信息!E:I,4,FALSE)</f>
        <v>石清国</v>
      </c>
      <c r="K268" s="41">
        <f>VLOOKUP(J268,辅助信息!H:I,2,FALSE)</f>
        <v>13458642015</v>
      </c>
      <c r="L268" s="79"/>
      <c r="M268" s="78"/>
      <c r="N268" s="78"/>
      <c r="O268" s="78"/>
      <c r="P268" s="78"/>
      <c r="Q268" s="41" t="str">
        <f>VLOOKUP(B268,辅助信息!E:M,9,FALSE)</f>
        <v>ZTWM-CDGS-XS-2024-0093-华西-颐海科创农业生态谷</v>
      </c>
      <c r="R268" s="27"/>
    </row>
    <row r="269" hidden="1" spans="2:18">
      <c r="B269" s="41" t="s">
        <v>48</v>
      </c>
      <c r="C269" s="71">
        <v>45673</v>
      </c>
      <c r="D269" s="41" t="str">
        <f>VLOOKUP(B269,辅助信息!E:K,7,FALSE)</f>
        <v>ZTWM-CDGS-YL-20240529-006</v>
      </c>
      <c r="E269" s="41" t="str">
        <f>VLOOKUP(F269,辅助信息!A:B,2,FALSE)</f>
        <v>螺纹钢</v>
      </c>
      <c r="F269" s="41" t="s">
        <v>22</v>
      </c>
      <c r="G269" s="37">
        <v>10</v>
      </c>
      <c r="H269" s="37">
        <v>10</v>
      </c>
      <c r="I269" s="41" t="str">
        <f>VLOOKUP(B269,辅助信息!E:I,3,FALSE)</f>
        <v>(华西颐海-科创农业生态谷-1号钢筋房)成都市简阳市白金山水库</v>
      </c>
      <c r="J269" s="41" t="str">
        <f>VLOOKUP(B269,辅助信息!E:I,4,FALSE)</f>
        <v>石清国</v>
      </c>
      <c r="K269" s="41">
        <f>VLOOKUP(J269,辅助信息!H:I,2,FALSE)</f>
        <v>13458642015</v>
      </c>
      <c r="L269" s="77"/>
      <c r="M269" s="78"/>
      <c r="N269" s="78"/>
      <c r="O269" s="78"/>
      <c r="P269" s="78"/>
      <c r="Q269" s="41" t="str">
        <f>VLOOKUP(B269,辅助信息!E:M,9,FALSE)</f>
        <v>ZTWM-CDGS-XS-2024-0093-华西-颐海科创农业生态谷</v>
      </c>
      <c r="R269" s="27"/>
    </row>
    <row r="270" hidden="1" spans="2:18">
      <c r="B270" s="41" t="s">
        <v>71</v>
      </c>
      <c r="C270" s="71">
        <v>45673</v>
      </c>
      <c r="D270" s="41" t="str">
        <f>VLOOKUP(B270,辅助信息!E:K,7,FALSE)</f>
        <v>JWDDCD2025051000019</v>
      </c>
      <c r="E270" s="41" t="str">
        <f>VLOOKUP(F270,辅助信息!A:B,2,FALSE)</f>
        <v>盘螺</v>
      </c>
      <c r="F270" s="41" t="s">
        <v>49</v>
      </c>
      <c r="G270" s="37">
        <v>105</v>
      </c>
      <c r="H270" s="37">
        <v>105</v>
      </c>
      <c r="I270" s="41" t="str">
        <f>VLOOKUP(B270,辅助信息!E:I,3,FALSE)</f>
        <v>(五冶钢构医学科学产业园建设项目房建二部-三标（1-5）)四川省南充市顺庆区搬罾街道学府大道二段</v>
      </c>
      <c r="J270" s="41" t="str">
        <f>VLOOKUP(B270,辅助信息!E:I,4,FALSE)</f>
        <v>安南</v>
      </c>
      <c r="K270" s="41">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1" t="str">
        <f>VLOOKUP(B270,辅助信息!E:M,9,FALSE)</f>
        <v>ZTWM-CDGS-XS-2024-0248-五冶钢构-南充市医学院项目</v>
      </c>
      <c r="R270" s="27"/>
    </row>
    <row r="271" hidden="1" spans="2:18">
      <c r="B271" s="41" t="s">
        <v>71</v>
      </c>
      <c r="C271" s="71">
        <v>45673</v>
      </c>
      <c r="D271" s="41" t="str">
        <f>VLOOKUP(B271,辅助信息!E:K,7,FALSE)</f>
        <v>JWDDCD2025051000019</v>
      </c>
      <c r="E271" s="41" t="str">
        <f>VLOOKUP(F271,辅助信息!A:B,2,FALSE)</f>
        <v>螺纹钢</v>
      </c>
      <c r="F271" s="41" t="s">
        <v>27</v>
      </c>
      <c r="G271" s="37">
        <v>70</v>
      </c>
      <c r="H271" s="37">
        <v>70</v>
      </c>
      <c r="I271" s="41" t="str">
        <f>VLOOKUP(B271,辅助信息!E:I,3,FALSE)</f>
        <v>(五冶钢构医学科学产业园建设项目房建二部-三标（1-5）)四川省南充市顺庆区搬罾街道学府大道二段</v>
      </c>
      <c r="J271" s="41" t="str">
        <f>VLOOKUP(B271,辅助信息!E:I,4,FALSE)</f>
        <v>安南</v>
      </c>
      <c r="K271" s="41">
        <f>VLOOKUP(J271,辅助信息!H:I,2,FALSE)</f>
        <v>19950525030</v>
      </c>
      <c r="L271" s="79"/>
      <c r="M271" s="78"/>
      <c r="N271" s="78"/>
      <c r="O271" s="78"/>
      <c r="P271" s="78"/>
      <c r="Q271" s="41" t="str">
        <f>VLOOKUP(B271,辅助信息!E:M,9,FALSE)</f>
        <v>ZTWM-CDGS-XS-2024-0248-五冶钢构-南充市医学院项目</v>
      </c>
      <c r="R271" s="27"/>
    </row>
    <row r="272" hidden="1" spans="2:18">
      <c r="B272" s="41" t="s">
        <v>72</v>
      </c>
      <c r="C272" s="71">
        <v>45674</v>
      </c>
      <c r="D272" s="41" t="str">
        <f>VLOOKUP(B272,辅助信息!E:K,7,FALSE)</f>
        <v>JWDDCD2025051000019</v>
      </c>
      <c r="E272" s="41" t="str">
        <f>VLOOKUP(F272,辅助信息!A:B,2,FALSE)</f>
        <v>螺纹钢</v>
      </c>
      <c r="F272" s="41" t="s">
        <v>19</v>
      </c>
      <c r="G272" s="37">
        <v>22</v>
      </c>
      <c r="H272" s="37">
        <v>22</v>
      </c>
      <c r="I272" s="41" t="str">
        <f>VLOOKUP(B272,辅助信息!E:I,3,FALSE)</f>
        <v>(五冶钢构医学科学产业园建设项目房建二部-网羽馆（6-5）)四川省南充市顺庆区搬罾街道学府大道二段</v>
      </c>
      <c r="J272" s="41" t="str">
        <f>VLOOKUP(B272,辅助信息!E:I,4,FALSE)</f>
        <v>安南</v>
      </c>
      <c r="K272" s="41">
        <f>VLOOKUP(J272,辅助信息!H:I,2,FALSE)</f>
        <v>19950525030</v>
      </c>
      <c r="L272" s="79"/>
      <c r="M272" s="78"/>
      <c r="N272" s="78"/>
      <c r="O272" s="78"/>
      <c r="P272" s="78"/>
      <c r="Q272" s="41" t="str">
        <f>VLOOKUP(B272,辅助信息!E:M,9,FALSE)</f>
        <v>ZTWM-CDGS-XS-2024-0248-五冶钢构-南充市医学院项目</v>
      </c>
      <c r="R272" s="27"/>
    </row>
    <row r="273" hidden="1" spans="2:18">
      <c r="B273" s="41" t="s">
        <v>72</v>
      </c>
      <c r="C273" s="71">
        <v>45674</v>
      </c>
      <c r="D273" s="41" t="str">
        <f>VLOOKUP(B273,辅助信息!E:K,7,FALSE)</f>
        <v>JWDDCD2025051000019</v>
      </c>
      <c r="E273" s="41" t="str">
        <f>VLOOKUP(F273,辅助信息!A:B,2,FALSE)</f>
        <v>螺纹钢</v>
      </c>
      <c r="F273" s="41" t="s">
        <v>32</v>
      </c>
      <c r="G273" s="37">
        <v>13</v>
      </c>
      <c r="H273" s="37">
        <v>13</v>
      </c>
      <c r="I273" s="41" t="str">
        <f>VLOOKUP(B273,辅助信息!E:I,3,FALSE)</f>
        <v>(五冶钢构医学科学产业园建设项目房建二部-网羽馆（6-5）)四川省南充市顺庆区搬罾街道学府大道二段</v>
      </c>
      <c r="J273" s="41" t="str">
        <f>VLOOKUP(B273,辅助信息!E:I,4,FALSE)</f>
        <v>安南</v>
      </c>
      <c r="K273" s="41">
        <f>VLOOKUP(J273,辅助信息!H:I,2,FALSE)</f>
        <v>19950525030</v>
      </c>
      <c r="L273" s="77"/>
      <c r="M273" s="78"/>
      <c r="N273" s="78"/>
      <c r="O273" s="78"/>
      <c r="P273" s="78"/>
      <c r="Q273" s="41" t="str">
        <f>VLOOKUP(B273,辅助信息!E:M,9,FALSE)</f>
        <v>ZTWM-CDGS-XS-2024-0248-五冶钢构-南充市医学院项目</v>
      </c>
      <c r="R273" s="27"/>
    </row>
    <row r="274" hidden="1" spans="2:18">
      <c r="B274" s="41" t="s">
        <v>20</v>
      </c>
      <c r="C274" s="71">
        <v>45674</v>
      </c>
      <c r="D274" s="41" t="str">
        <f>VLOOKUP(B274,辅助信息!E:K,7,FALSE)</f>
        <v>JWDDCD2025051000019</v>
      </c>
      <c r="E274" s="41" t="str">
        <f>VLOOKUP(F274,辅助信息!A:B,2,FALSE)</f>
        <v>盘螺</v>
      </c>
      <c r="F274" s="41" t="s">
        <v>49</v>
      </c>
      <c r="G274" s="37">
        <v>5</v>
      </c>
      <c r="H274" s="37">
        <v>5</v>
      </c>
      <c r="I274" s="41" t="str">
        <f>VLOOKUP(B274,辅助信息!E:I,3,FALSE)</f>
        <v>(五冶钢构医学科学产业园建设项目房建三部-一标（7-2）)四川省南充市顺庆区搬罾街道学府大道二段</v>
      </c>
      <c r="J274" s="41" t="str">
        <f>VLOOKUP(B274,辅助信息!E:I,4,FALSE)</f>
        <v>郑林</v>
      </c>
      <c r="K274" s="41">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1" t="str">
        <f>VLOOKUP(B274,辅助信息!E:M,9,FALSE)</f>
        <v>ZTWM-CDGS-XS-2024-0248-五冶钢构-南充市医学院项目</v>
      </c>
      <c r="R274" s="27"/>
    </row>
    <row r="275" hidden="1" spans="2:18">
      <c r="B275" s="41" t="s">
        <v>20</v>
      </c>
      <c r="C275" s="71">
        <v>45674</v>
      </c>
      <c r="D275" s="41" t="str">
        <f>VLOOKUP(B275,辅助信息!E:K,7,FALSE)</f>
        <v>JWDDCD2025051000019</v>
      </c>
      <c r="E275" s="41" t="str">
        <f>VLOOKUP(F275,辅助信息!A:B,2,FALSE)</f>
        <v>盘螺</v>
      </c>
      <c r="F275" s="41" t="s">
        <v>40</v>
      </c>
      <c r="G275" s="37">
        <v>15</v>
      </c>
      <c r="H275" s="37">
        <v>15</v>
      </c>
      <c r="I275" s="41" t="str">
        <f>VLOOKUP(B275,辅助信息!E:I,3,FALSE)</f>
        <v>(五冶钢构医学科学产业园建设项目房建三部-一标（7-2）)四川省南充市顺庆区搬罾街道学府大道二段</v>
      </c>
      <c r="J275" s="41" t="str">
        <f>VLOOKUP(B275,辅助信息!E:I,4,FALSE)</f>
        <v>郑林</v>
      </c>
      <c r="K275" s="41">
        <f>VLOOKUP(J275,辅助信息!H:I,2,FALSE)</f>
        <v>18349955455</v>
      </c>
      <c r="L275" s="79"/>
      <c r="M275" s="78"/>
      <c r="N275" s="78"/>
      <c r="O275" s="78"/>
      <c r="P275" s="78"/>
      <c r="Q275" s="41" t="str">
        <f>VLOOKUP(B275,辅助信息!E:M,9,FALSE)</f>
        <v>ZTWM-CDGS-XS-2024-0248-五冶钢构-南充市医学院项目</v>
      </c>
      <c r="R275" s="27"/>
    </row>
    <row r="276" hidden="1" spans="2:18">
      <c r="B276" s="41" t="s">
        <v>20</v>
      </c>
      <c r="C276" s="71">
        <v>45674</v>
      </c>
      <c r="D276" s="41" t="str">
        <f>VLOOKUP(B276,辅助信息!E:K,7,FALSE)</f>
        <v>JWDDCD2025051000019</v>
      </c>
      <c r="E276" s="41" t="str">
        <f>VLOOKUP(F276,辅助信息!A:B,2,FALSE)</f>
        <v>螺纹钢</v>
      </c>
      <c r="F276" s="41" t="s">
        <v>19</v>
      </c>
      <c r="G276" s="37">
        <v>5</v>
      </c>
      <c r="H276" s="37">
        <v>5</v>
      </c>
      <c r="I276" s="41" t="str">
        <f>VLOOKUP(B276,辅助信息!E:I,3,FALSE)</f>
        <v>(五冶钢构医学科学产业园建设项目房建三部-一标（7-2）)四川省南充市顺庆区搬罾街道学府大道二段</v>
      </c>
      <c r="J276" s="41" t="str">
        <f>VLOOKUP(B276,辅助信息!E:I,4,FALSE)</f>
        <v>郑林</v>
      </c>
      <c r="K276" s="41">
        <f>VLOOKUP(J276,辅助信息!H:I,2,FALSE)</f>
        <v>18349955455</v>
      </c>
      <c r="L276" s="79"/>
      <c r="M276" s="78"/>
      <c r="N276" s="78"/>
      <c r="O276" s="78"/>
      <c r="P276" s="78"/>
      <c r="Q276" s="41" t="str">
        <f>VLOOKUP(B276,辅助信息!E:M,9,FALSE)</f>
        <v>ZTWM-CDGS-XS-2024-0248-五冶钢构-南充市医学院项目</v>
      </c>
      <c r="R276" s="27"/>
    </row>
    <row r="277" hidden="1" spans="2:18">
      <c r="B277" s="41" t="s">
        <v>20</v>
      </c>
      <c r="C277" s="71">
        <v>45674</v>
      </c>
      <c r="D277" s="41" t="str">
        <f>VLOOKUP(B277,辅助信息!E:K,7,FALSE)</f>
        <v>JWDDCD2025051000019</v>
      </c>
      <c r="E277" s="41" t="str">
        <f>VLOOKUP(F277,辅助信息!A:B,2,FALSE)</f>
        <v>螺纹钢</v>
      </c>
      <c r="F277" s="41" t="s">
        <v>58</v>
      </c>
      <c r="G277" s="37">
        <v>15</v>
      </c>
      <c r="H277" s="37">
        <v>15</v>
      </c>
      <c r="I277" s="41" t="str">
        <f>VLOOKUP(B277,辅助信息!E:I,3,FALSE)</f>
        <v>(五冶钢构医学科学产业园建设项目房建三部-一标（7-2）)四川省南充市顺庆区搬罾街道学府大道二段</v>
      </c>
      <c r="J277" s="41" t="str">
        <f>VLOOKUP(B277,辅助信息!E:I,4,FALSE)</f>
        <v>郑林</v>
      </c>
      <c r="K277" s="41">
        <f>VLOOKUP(J277,辅助信息!H:I,2,FALSE)</f>
        <v>18349955455</v>
      </c>
      <c r="L277" s="77"/>
      <c r="M277" s="78"/>
      <c r="N277" s="78"/>
      <c r="O277" s="78"/>
      <c r="P277" s="78"/>
      <c r="Q277" s="41" t="str">
        <f>VLOOKUP(B277,辅助信息!E:M,9,FALSE)</f>
        <v>ZTWM-CDGS-XS-2024-0248-五冶钢构-南充市医学院项目</v>
      </c>
      <c r="R277" s="27"/>
    </row>
    <row r="278" hidden="1" spans="2:18">
      <c r="B278" s="41" t="s">
        <v>20</v>
      </c>
      <c r="C278" s="71">
        <v>45674</v>
      </c>
      <c r="D278" s="41" t="str">
        <f>VLOOKUP(B278,辅助信息!E:K,7,FALSE)</f>
        <v>JWDDCD2025051000019</v>
      </c>
      <c r="E278" s="41" t="str">
        <f>VLOOKUP(F278,辅助信息!A:B,2,FALSE)</f>
        <v>螺纹钢</v>
      </c>
      <c r="F278" s="41" t="s">
        <v>22</v>
      </c>
      <c r="G278" s="37">
        <v>25</v>
      </c>
      <c r="H278" s="37">
        <v>25</v>
      </c>
      <c r="I278" s="41" t="str">
        <f>VLOOKUP(B278,辅助信息!E:I,3,FALSE)</f>
        <v>(五冶钢构医学科学产业园建设项目房建三部-一标（7-2）)四川省南充市顺庆区搬罾街道学府大道二段</v>
      </c>
      <c r="J278" s="41" t="str">
        <f>VLOOKUP(B278,辅助信息!E:I,4,FALSE)</f>
        <v>郑林</v>
      </c>
      <c r="K278" s="41">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1" t="str">
        <f>VLOOKUP(B278,辅助信息!E:M,9,FALSE)</f>
        <v>ZTWM-CDGS-XS-2024-0248-五冶钢构-南充市医学院项目</v>
      </c>
      <c r="R278" s="27"/>
    </row>
    <row r="279" hidden="1" spans="2:18">
      <c r="B279" s="41" t="s">
        <v>23</v>
      </c>
      <c r="C279" s="71">
        <v>45674</v>
      </c>
      <c r="D279" s="41" t="str">
        <f>VLOOKUP(B279,辅助信息!E:K,7,FALSE)</f>
        <v>JWDDCD2025051000019</v>
      </c>
      <c r="E279" s="41" t="str">
        <f>VLOOKUP(F279,辅助信息!A:B,2,FALSE)</f>
        <v>盘螺</v>
      </c>
      <c r="F279" s="41" t="s">
        <v>40</v>
      </c>
      <c r="G279" s="37">
        <v>12.5</v>
      </c>
      <c r="H279" s="37">
        <v>12.5</v>
      </c>
      <c r="I279" s="41" t="str">
        <f>VLOOKUP(B279,辅助信息!E:I,3,FALSE)</f>
        <v>(五冶钢构医学科学产业园建设项目房建三部-一标（7-3）)四川省南充市顺庆区搬罾街道学府大道二段</v>
      </c>
      <c r="J279" s="41" t="str">
        <f>VLOOKUP(B279,辅助信息!E:I,4,FALSE)</f>
        <v>郑林</v>
      </c>
      <c r="K279" s="41">
        <f>VLOOKUP(J279,辅助信息!H:I,2,FALSE)</f>
        <v>18349955455</v>
      </c>
      <c r="L279" s="79"/>
      <c r="M279" s="78"/>
      <c r="N279" s="78"/>
      <c r="O279" s="78"/>
      <c r="P279" s="78"/>
      <c r="Q279" s="41" t="str">
        <f>VLOOKUP(B279,辅助信息!E:M,9,FALSE)</f>
        <v>ZTWM-CDGS-XS-2024-0248-五冶钢构-南充市医学院项目</v>
      </c>
      <c r="R279" s="27"/>
    </row>
    <row r="280" hidden="1" spans="2:18">
      <c r="B280" s="41" t="s">
        <v>23</v>
      </c>
      <c r="C280" s="71">
        <v>45674</v>
      </c>
      <c r="D280" s="41" t="str">
        <f>VLOOKUP(B280,辅助信息!E:K,7,FALSE)</f>
        <v>JWDDCD2025051000019</v>
      </c>
      <c r="E280" s="41" t="str">
        <f>VLOOKUP(F280,辅助信息!A:B,2,FALSE)</f>
        <v>螺纹钢</v>
      </c>
      <c r="F280" s="41" t="s">
        <v>21</v>
      </c>
      <c r="G280" s="37">
        <v>2.5</v>
      </c>
      <c r="H280" s="37">
        <v>2.5</v>
      </c>
      <c r="I280" s="41" t="str">
        <f>VLOOKUP(B280,辅助信息!E:I,3,FALSE)</f>
        <v>(五冶钢构医学科学产业园建设项目房建三部-一标（7-3）)四川省南充市顺庆区搬罾街道学府大道二段</v>
      </c>
      <c r="J280" s="41" t="str">
        <f>VLOOKUP(B280,辅助信息!E:I,4,FALSE)</f>
        <v>郑林</v>
      </c>
      <c r="K280" s="41">
        <f>VLOOKUP(J280,辅助信息!H:I,2,FALSE)</f>
        <v>18349955455</v>
      </c>
      <c r="L280" s="79"/>
      <c r="M280" s="78"/>
      <c r="N280" s="78"/>
      <c r="O280" s="78"/>
      <c r="P280" s="78"/>
      <c r="Q280" s="41" t="str">
        <f>VLOOKUP(B280,辅助信息!E:M,9,FALSE)</f>
        <v>ZTWM-CDGS-XS-2024-0248-五冶钢构-南充市医学院项目</v>
      </c>
      <c r="R280" s="27"/>
    </row>
    <row r="281" hidden="1" spans="2:18">
      <c r="B281" s="41" t="s">
        <v>23</v>
      </c>
      <c r="C281" s="71">
        <v>45674</v>
      </c>
      <c r="D281" s="41" t="str">
        <f>VLOOKUP(B281,辅助信息!E:K,7,FALSE)</f>
        <v>JWDDCD2025051000019</v>
      </c>
      <c r="E281" s="41" t="str">
        <f>VLOOKUP(F281,辅助信息!A:B,2,FALSE)</f>
        <v>螺纹钢</v>
      </c>
      <c r="F281" s="41" t="s">
        <v>58</v>
      </c>
      <c r="G281" s="37">
        <v>7.5</v>
      </c>
      <c r="H281" s="37"/>
      <c r="I281" s="41" t="str">
        <f>VLOOKUP(B281,辅助信息!E:I,3,FALSE)</f>
        <v>(五冶钢构医学科学产业园建设项目房建三部-一标（7-3）)四川省南充市顺庆区搬罾街道学府大道二段</v>
      </c>
      <c r="J281" s="41" t="str">
        <f>VLOOKUP(B281,辅助信息!E:I,4,FALSE)</f>
        <v>郑林</v>
      </c>
      <c r="K281" s="41">
        <f>VLOOKUP(J281,辅助信息!H:I,2,FALSE)</f>
        <v>18349955455</v>
      </c>
      <c r="L281" s="79"/>
      <c r="M281" s="78"/>
      <c r="N281" s="78"/>
      <c r="O281" s="78"/>
      <c r="P281" s="78"/>
      <c r="Q281" s="41" t="str">
        <f>VLOOKUP(B281,辅助信息!E:M,9,FALSE)</f>
        <v>ZTWM-CDGS-XS-2024-0248-五冶钢构-南充市医学院项目</v>
      </c>
      <c r="R281" s="27"/>
    </row>
    <row r="282" hidden="1" spans="2:18">
      <c r="B282" s="41" t="s">
        <v>23</v>
      </c>
      <c r="C282" s="71">
        <v>45674</v>
      </c>
      <c r="D282" s="41" t="str">
        <f>VLOOKUP(B282,辅助信息!E:K,7,FALSE)</f>
        <v>JWDDCD2025051000019</v>
      </c>
      <c r="E282" s="41" t="str">
        <f>VLOOKUP(F282,辅助信息!A:B,2,FALSE)</f>
        <v>螺纹钢</v>
      </c>
      <c r="F282" s="41" t="s">
        <v>46</v>
      </c>
      <c r="G282" s="37">
        <v>2.5</v>
      </c>
      <c r="H282" s="37">
        <v>2.5</v>
      </c>
      <c r="I282" s="41" t="str">
        <f>VLOOKUP(B282,辅助信息!E:I,3,FALSE)</f>
        <v>(五冶钢构医学科学产业园建设项目房建三部-一标（7-3）)四川省南充市顺庆区搬罾街道学府大道二段</v>
      </c>
      <c r="J282" s="41" t="str">
        <f>VLOOKUP(B282,辅助信息!E:I,4,FALSE)</f>
        <v>郑林</v>
      </c>
      <c r="K282" s="41">
        <f>VLOOKUP(J282,辅助信息!H:I,2,FALSE)</f>
        <v>18349955455</v>
      </c>
      <c r="L282" s="79"/>
      <c r="M282" s="78"/>
      <c r="N282" s="78"/>
      <c r="O282" s="78"/>
      <c r="P282" s="78"/>
      <c r="Q282" s="41" t="str">
        <f>VLOOKUP(B282,辅助信息!E:M,9,FALSE)</f>
        <v>ZTWM-CDGS-XS-2024-0248-五冶钢构-南充市医学院项目</v>
      </c>
      <c r="R282" s="27"/>
    </row>
    <row r="283" hidden="1" spans="2:18">
      <c r="B283" s="41" t="s">
        <v>23</v>
      </c>
      <c r="C283" s="71">
        <v>45674</v>
      </c>
      <c r="D283" s="41" t="str">
        <f>VLOOKUP(B283,辅助信息!E:K,7,FALSE)</f>
        <v>JWDDCD2025051000019</v>
      </c>
      <c r="E283" s="41" t="str">
        <f>VLOOKUP(F283,辅助信息!A:B,2,FALSE)</f>
        <v>螺纹钢</v>
      </c>
      <c r="F283" s="41" t="s">
        <v>22</v>
      </c>
      <c r="G283" s="37">
        <v>15</v>
      </c>
      <c r="H283" s="37">
        <v>15</v>
      </c>
      <c r="I283" s="41" t="str">
        <f>VLOOKUP(B283,辅助信息!E:I,3,FALSE)</f>
        <v>(五冶钢构医学科学产业园建设项目房建三部-一标（7-3）)四川省南充市顺庆区搬罾街道学府大道二段</v>
      </c>
      <c r="J283" s="41" t="str">
        <f>VLOOKUP(B283,辅助信息!E:I,4,FALSE)</f>
        <v>郑林</v>
      </c>
      <c r="K283" s="41">
        <f>VLOOKUP(J283,辅助信息!H:I,2,FALSE)</f>
        <v>18349955455</v>
      </c>
      <c r="L283" s="77"/>
      <c r="M283" s="78"/>
      <c r="N283" s="78"/>
      <c r="O283" s="78"/>
      <c r="P283" s="78"/>
      <c r="Q283" s="41" t="str">
        <f>VLOOKUP(B283,辅助信息!E:M,9,FALSE)</f>
        <v>ZTWM-CDGS-XS-2024-0248-五冶钢构-南充市医学院项目</v>
      </c>
      <c r="R283" s="27"/>
    </row>
    <row r="284" hidden="1" spans="2:18">
      <c r="B284" s="41" t="s">
        <v>73</v>
      </c>
      <c r="C284" s="71">
        <v>45674</v>
      </c>
      <c r="D284" s="41" t="str">
        <f>VLOOKUP(B284,辅助信息!E:K,7,FALSE)</f>
        <v>JWDDCD2025051000019</v>
      </c>
      <c r="E284" s="41" t="str">
        <f>VLOOKUP(F284,辅助信息!A:B,2,FALSE)</f>
        <v>盘螺</v>
      </c>
      <c r="F284" s="41" t="s">
        <v>41</v>
      </c>
      <c r="G284" s="37">
        <v>15</v>
      </c>
      <c r="H284" s="37"/>
      <c r="I284" s="41" t="str">
        <f>VLOOKUP(B284,辅助信息!E:I,3,FALSE)</f>
        <v>(五冶钢构医学科学产业园建设项目房建三部-一标（7-1）)四川省南充市顺庆区搬罾街道学府大道二段</v>
      </c>
      <c r="J284" s="41" t="str">
        <f>VLOOKUP(B284,辅助信息!E:I,4,FALSE)</f>
        <v>郑林</v>
      </c>
      <c r="K284" s="41">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1" t="str">
        <f>VLOOKUP(B284,辅助信息!E:M,9,FALSE)</f>
        <v>ZTWM-CDGS-XS-2024-0248-五冶钢构-南充市医学院项目</v>
      </c>
      <c r="R284" s="27"/>
    </row>
    <row r="285" hidden="1" spans="2:18">
      <c r="B285" s="41" t="s">
        <v>73</v>
      </c>
      <c r="C285" s="71">
        <v>45674</v>
      </c>
      <c r="D285" s="41" t="str">
        <f>VLOOKUP(B285,辅助信息!E:K,7,FALSE)</f>
        <v>JWDDCD2025051000019</v>
      </c>
      <c r="E285" s="41" t="str">
        <f>VLOOKUP(F285,辅助信息!A:B,2,FALSE)</f>
        <v>螺纹钢</v>
      </c>
      <c r="F285" s="41" t="s">
        <v>27</v>
      </c>
      <c r="G285" s="37">
        <v>20</v>
      </c>
      <c r="H285" s="37"/>
      <c r="I285" s="41" t="str">
        <f>VLOOKUP(B285,辅助信息!E:I,3,FALSE)</f>
        <v>(五冶钢构医学科学产业园建设项目房建三部-一标（7-1）)四川省南充市顺庆区搬罾街道学府大道二段</v>
      </c>
      <c r="J285" s="41" t="str">
        <f>VLOOKUP(B285,辅助信息!E:I,4,FALSE)</f>
        <v>郑林</v>
      </c>
      <c r="K285" s="41">
        <f>VLOOKUP(J285,辅助信息!H:I,2,FALSE)</f>
        <v>18349955455</v>
      </c>
      <c r="L285" s="77"/>
      <c r="M285" s="76"/>
      <c r="N285" s="76"/>
      <c r="O285" s="76"/>
      <c r="P285" s="76"/>
      <c r="Q285" s="41" t="str">
        <f>VLOOKUP(B285,辅助信息!E:M,9,FALSE)</f>
        <v>ZTWM-CDGS-XS-2024-0248-五冶钢构-南充市医学院项目</v>
      </c>
      <c r="R285" s="27"/>
    </row>
    <row r="286" hidden="1" spans="2:18">
      <c r="B286" s="41" t="s">
        <v>73</v>
      </c>
      <c r="C286" s="71">
        <v>45675</v>
      </c>
      <c r="D286" s="41" t="str">
        <f>VLOOKUP(B286,辅助信息!E:K,7,FALSE)</f>
        <v>JWDDCD2025051000019</v>
      </c>
      <c r="E286" s="41" t="str">
        <f>VLOOKUP(F286,辅助信息!A:B,2,FALSE)</f>
        <v>盘螺</v>
      </c>
      <c r="F286" s="41" t="s">
        <v>41</v>
      </c>
      <c r="G286" s="37">
        <v>15</v>
      </c>
      <c r="H286" s="37" t="e">
        <f>_xlfn._xlws.FILTER(#REF!,#REF!&amp;#REF!&amp;#REF!&amp;#REF!=C286&amp;F286&amp;I286&amp;J286,"未发货")</f>
        <v>#REF!</v>
      </c>
      <c r="I286" s="41" t="str">
        <f>VLOOKUP(B286,辅助信息!E:I,3,FALSE)</f>
        <v>(五冶钢构医学科学产业园建设项目房建三部-一标（7-1）)四川省南充市顺庆区搬罾街道学府大道二段</v>
      </c>
      <c r="J286" s="41" t="str">
        <f>VLOOKUP(B286,辅助信息!E:I,4,FALSE)</f>
        <v>郑林</v>
      </c>
      <c r="K286" s="41">
        <f>VLOOKUP(J286,辅助信息!H:I,2,FALSE)</f>
        <v>18349955455</v>
      </c>
      <c r="L286" s="78"/>
      <c r="M286" s="78"/>
      <c r="N286" s="78"/>
      <c r="O286" s="78"/>
      <c r="P286" s="78"/>
      <c r="Q286" s="41" t="str">
        <f>VLOOKUP(B286,辅助信息!E:M,9,FALSE)</f>
        <v>ZTWM-CDGS-XS-2024-0248-五冶钢构-南充市医学院项目</v>
      </c>
      <c r="R286" s="27"/>
    </row>
    <row r="287" hidden="1" spans="2:18">
      <c r="B287" s="41" t="s">
        <v>73</v>
      </c>
      <c r="C287" s="71">
        <v>45675</v>
      </c>
      <c r="D287" s="41" t="str">
        <f>VLOOKUP(B287,辅助信息!E:K,7,FALSE)</f>
        <v>JWDDCD2025051000019</v>
      </c>
      <c r="E287" s="41" t="str">
        <f>VLOOKUP(F287,辅助信息!A:B,2,FALSE)</f>
        <v>螺纹钢</v>
      </c>
      <c r="F287" s="41" t="s">
        <v>27</v>
      </c>
      <c r="G287" s="37">
        <v>20</v>
      </c>
      <c r="H287" s="37" t="e">
        <f>_xlfn._xlws.FILTER(#REF!,#REF!&amp;#REF!&amp;#REF!&amp;#REF!=C287&amp;F287&amp;I287&amp;J287,"未发货")</f>
        <v>#REF!</v>
      </c>
      <c r="I287" s="41" t="str">
        <f>VLOOKUP(B287,辅助信息!E:I,3,FALSE)</f>
        <v>(五冶钢构医学科学产业园建设项目房建三部-一标（7-1）)四川省南充市顺庆区搬罾街道学府大道二段</v>
      </c>
      <c r="J287" s="41" t="str">
        <f>VLOOKUP(B287,辅助信息!E:I,4,FALSE)</f>
        <v>郑林</v>
      </c>
      <c r="K287" s="41">
        <f>VLOOKUP(J287,辅助信息!H:I,2,FALSE)</f>
        <v>18349955455</v>
      </c>
      <c r="L287" s="77"/>
      <c r="M287" s="78"/>
      <c r="N287" s="78"/>
      <c r="O287" s="78"/>
      <c r="P287" s="78"/>
      <c r="Q287" s="41" t="str">
        <f>VLOOKUP(B287,辅助信息!E:M,9,FALSE)</f>
        <v>ZTWM-CDGS-XS-2024-0248-五冶钢构-南充市医学院项目</v>
      </c>
      <c r="R287" s="27"/>
    </row>
    <row r="288" hidden="1" spans="2:18">
      <c r="B288" s="41" t="s">
        <v>54</v>
      </c>
      <c r="C288" s="71">
        <v>45675</v>
      </c>
      <c r="D288" s="41" t="e">
        <f>VLOOKUP(B288,辅助信息!E:K,7,FALSE)</f>
        <v>#N/A</v>
      </c>
      <c r="E288" s="41" t="str">
        <f>VLOOKUP(F288,辅助信息!A:B,2,FALSE)</f>
        <v>螺纹钢</v>
      </c>
      <c r="F288" s="41" t="s">
        <v>19</v>
      </c>
      <c r="G288" s="37">
        <v>15</v>
      </c>
      <c r="H288" s="37" t="e">
        <f>_xlfn._xlws.FILTER(#REF!,#REF!&amp;#REF!&amp;#REF!&amp;#REF!=C288&amp;F288&amp;I288&amp;J288,"未发货")</f>
        <v>#REF!</v>
      </c>
      <c r="I288" s="41" t="e">
        <f>VLOOKUP(B288,辅助信息!E:I,3,FALSE)</f>
        <v>#N/A</v>
      </c>
      <c r="J288" s="41" t="e">
        <f>VLOOKUP(B288,辅助信息!E:I,4,FALSE)</f>
        <v>#N/A</v>
      </c>
      <c r="K288" s="41" t="e">
        <f>VLOOKUP(J288,辅助信息!H:I,2,FALSE)</f>
        <v>#N/A</v>
      </c>
      <c r="L288" s="78" t="e">
        <f>VLOOKUP(B288,辅助信息!E:J,6,FALSE)</f>
        <v>#N/A</v>
      </c>
      <c r="M288" s="78"/>
      <c r="N288" s="78"/>
      <c r="O288" s="78"/>
      <c r="P288" s="78"/>
      <c r="Q288" s="41" t="e">
        <f>VLOOKUP(B288,辅助信息!E:M,9,FALSE)</f>
        <v>#N/A</v>
      </c>
      <c r="R288" s="27"/>
    </row>
    <row r="289" hidden="1" spans="2:18">
      <c r="B289" s="41" t="s">
        <v>54</v>
      </c>
      <c r="C289" s="71">
        <v>45675</v>
      </c>
      <c r="D289" s="41" t="e">
        <f>VLOOKUP(B289,辅助信息!E:K,7,FALSE)</f>
        <v>#N/A</v>
      </c>
      <c r="E289" s="41" t="str">
        <f>VLOOKUP(F289,辅助信息!A:B,2,FALSE)</f>
        <v>螺纹钢</v>
      </c>
      <c r="F289" s="41" t="s">
        <v>33</v>
      </c>
      <c r="G289" s="37">
        <v>20</v>
      </c>
      <c r="H289" s="37" t="e">
        <f>_xlfn._xlws.FILTER(#REF!,#REF!&amp;#REF!&amp;#REF!&amp;#REF!=C289&amp;F289&amp;I289&amp;J289,"未发货")</f>
        <v>#REF!</v>
      </c>
      <c r="I289" s="41" t="e">
        <f>VLOOKUP(B289,辅助信息!E:I,3,FALSE)</f>
        <v>#N/A</v>
      </c>
      <c r="J289" s="41" t="e">
        <f>VLOOKUP(B289,辅助信息!E:I,4,FALSE)</f>
        <v>#N/A</v>
      </c>
      <c r="K289" s="41" t="e">
        <f>VLOOKUP(J289,辅助信息!H:I,2,FALSE)</f>
        <v>#N/A</v>
      </c>
      <c r="L289" s="77"/>
      <c r="M289" s="78"/>
      <c r="N289" s="78"/>
      <c r="O289" s="78"/>
      <c r="P289" s="78"/>
      <c r="Q289" s="41" t="e">
        <f>VLOOKUP(B289,辅助信息!E:M,9,FALSE)</f>
        <v>#N/A</v>
      </c>
      <c r="R289" s="27"/>
    </row>
    <row r="290" hidden="1" spans="2:18">
      <c r="B290" s="41" t="s">
        <v>64</v>
      </c>
      <c r="C290" s="71">
        <v>45696</v>
      </c>
      <c r="D290" s="41" t="e">
        <f>VLOOKUP(B290,辅助信息!E:K,7,FALSE)</f>
        <v>#N/A</v>
      </c>
      <c r="E290" s="41" t="str">
        <f>VLOOKUP(F290,辅助信息!A:B,2,FALSE)</f>
        <v>螺纹钢</v>
      </c>
      <c r="F290" s="41" t="s">
        <v>27</v>
      </c>
      <c r="G290" s="37">
        <v>20</v>
      </c>
      <c r="H290" s="37" t="e">
        <f>_xlfn._xlws.FILTER(#REF!,#REF!&amp;#REF!&amp;#REF!&amp;#REF!=C290&amp;F290&amp;I290&amp;J290,"未发货")</f>
        <v>#REF!</v>
      </c>
      <c r="I290" s="41" t="e">
        <f>VLOOKUP(B290,辅助信息!E:I,3,FALSE)</f>
        <v>#N/A</v>
      </c>
      <c r="J290" s="41" t="e">
        <f>VLOOKUP(B290,辅助信息!E:I,4,FALSE)</f>
        <v>#N/A</v>
      </c>
      <c r="K290" s="41" t="e">
        <f>VLOOKUP(J290,辅助信息!H:I,2,FALSE)</f>
        <v>#N/A</v>
      </c>
      <c r="L290" s="78" t="e">
        <f>VLOOKUP(B290,辅助信息!E:J,6,FALSE)</f>
        <v>#N/A</v>
      </c>
      <c r="M290" s="78"/>
      <c r="N290" s="78"/>
      <c r="O290" s="78"/>
      <c r="P290" s="78"/>
      <c r="Q290" s="41" t="e">
        <f>VLOOKUP(B290,辅助信息!E:M,9,FALSE)</f>
        <v>#N/A</v>
      </c>
      <c r="R290" s="27"/>
    </row>
    <row r="291" hidden="1" spans="2:18">
      <c r="B291" s="41" t="s">
        <v>64</v>
      </c>
      <c r="C291" s="71">
        <v>45696</v>
      </c>
      <c r="D291" s="41" t="e">
        <f>VLOOKUP(B291,辅助信息!E:K,7,FALSE)</f>
        <v>#N/A</v>
      </c>
      <c r="E291" s="41" t="str">
        <f>VLOOKUP(F291,辅助信息!A:B,2,FALSE)</f>
        <v>螺纹钢</v>
      </c>
      <c r="F291" s="41" t="s">
        <v>32</v>
      </c>
      <c r="G291" s="37">
        <v>30</v>
      </c>
      <c r="H291" s="37" t="e">
        <f>_xlfn._xlws.FILTER(#REF!,#REF!&amp;#REF!&amp;#REF!&amp;#REF!=C291&amp;F291&amp;I291&amp;J291,"未发货")</f>
        <v>#REF!</v>
      </c>
      <c r="I291" s="41" t="e">
        <f>VLOOKUP(B291,辅助信息!E:I,3,FALSE)</f>
        <v>#N/A</v>
      </c>
      <c r="J291" s="41" t="e">
        <f>VLOOKUP(B291,辅助信息!E:I,4,FALSE)</f>
        <v>#N/A</v>
      </c>
      <c r="K291" s="41" t="e">
        <f>VLOOKUP(J291,辅助信息!H:I,2,FALSE)</f>
        <v>#N/A</v>
      </c>
      <c r="L291" s="79"/>
      <c r="M291" s="78"/>
      <c r="N291" s="78"/>
      <c r="O291" s="78"/>
      <c r="P291" s="78"/>
      <c r="Q291" s="41" t="e">
        <f>VLOOKUP(B291,辅助信息!E:M,9,FALSE)</f>
        <v>#N/A</v>
      </c>
      <c r="R291" s="27"/>
    </row>
    <row r="292" hidden="1" spans="2:18">
      <c r="B292" s="41" t="s">
        <v>64</v>
      </c>
      <c r="C292" s="71">
        <v>45696</v>
      </c>
      <c r="D292" s="41" t="e">
        <f>VLOOKUP(B292,辅助信息!E:K,7,FALSE)</f>
        <v>#N/A</v>
      </c>
      <c r="E292" s="41" t="str">
        <f>VLOOKUP(F292,辅助信息!A:B,2,FALSE)</f>
        <v>螺纹钢</v>
      </c>
      <c r="F292" s="41" t="s">
        <v>33</v>
      </c>
      <c r="G292" s="37">
        <v>30</v>
      </c>
      <c r="H292" s="37" t="e">
        <f>_xlfn._xlws.FILTER(#REF!,#REF!&amp;#REF!&amp;#REF!&amp;#REF!=C292&amp;F292&amp;I292&amp;J292,"未发货")</f>
        <v>#REF!</v>
      </c>
      <c r="I292" s="41" t="e">
        <f>VLOOKUP(B292,辅助信息!E:I,3,FALSE)</f>
        <v>#N/A</v>
      </c>
      <c r="J292" s="41" t="e">
        <f>VLOOKUP(B292,辅助信息!E:I,4,FALSE)</f>
        <v>#N/A</v>
      </c>
      <c r="K292" s="41" t="e">
        <f>VLOOKUP(J292,辅助信息!H:I,2,FALSE)</f>
        <v>#N/A</v>
      </c>
      <c r="L292" s="79"/>
      <c r="M292" s="78"/>
      <c r="N292" s="78"/>
      <c r="O292" s="78"/>
      <c r="P292" s="78"/>
      <c r="Q292" s="41" t="e">
        <f>VLOOKUP(B292,辅助信息!E:M,9,FALSE)</f>
        <v>#N/A</v>
      </c>
      <c r="R292" s="27"/>
    </row>
    <row r="293" hidden="1" spans="2:18">
      <c r="B293" s="41" t="s">
        <v>64</v>
      </c>
      <c r="C293" s="71">
        <v>45696</v>
      </c>
      <c r="D293" s="41" t="e">
        <f>VLOOKUP(B293,辅助信息!E:K,7,FALSE)</f>
        <v>#N/A</v>
      </c>
      <c r="E293" s="41" t="str">
        <f>VLOOKUP(F293,辅助信息!A:B,2,FALSE)</f>
        <v>螺纹钢</v>
      </c>
      <c r="F293" s="41" t="s">
        <v>65</v>
      </c>
      <c r="G293" s="37">
        <v>60</v>
      </c>
      <c r="H293" s="37" t="e">
        <f>_xlfn._xlws.FILTER(#REF!,#REF!&amp;#REF!&amp;#REF!&amp;#REF!=C293&amp;F293&amp;I293&amp;J293,"未发货")</f>
        <v>#REF!</v>
      </c>
      <c r="I293" s="41" t="e">
        <f>VLOOKUP(B293,辅助信息!E:I,3,FALSE)</f>
        <v>#N/A</v>
      </c>
      <c r="J293" s="41" t="e">
        <f>VLOOKUP(B293,辅助信息!E:I,4,FALSE)</f>
        <v>#N/A</v>
      </c>
      <c r="K293" s="41" t="e">
        <f>VLOOKUP(J293,辅助信息!H:I,2,FALSE)</f>
        <v>#N/A</v>
      </c>
      <c r="L293" s="79"/>
      <c r="M293" s="78"/>
      <c r="N293" s="78"/>
      <c r="O293" s="78"/>
      <c r="P293" s="78"/>
      <c r="Q293" s="41" t="e">
        <f>VLOOKUP(B293,辅助信息!E:M,9,FALSE)</f>
        <v>#N/A</v>
      </c>
      <c r="R293" s="27"/>
    </row>
    <row r="294" hidden="1" spans="2:18">
      <c r="B294" s="41" t="s">
        <v>64</v>
      </c>
      <c r="C294" s="71">
        <v>45696</v>
      </c>
      <c r="D294" s="41" t="e">
        <f>VLOOKUP(B294,辅助信息!E:K,7,FALSE)</f>
        <v>#N/A</v>
      </c>
      <c r="E294" s="41" t="str">
        <f>VLOOKUP(F294,辅助信息!A:B,2,FALSE)</f>
        <v>螺纹钢</v>
      </c>
      <c r="F294" s="41" t="s">
        <v>52</v>
      </c>
      <c r="G294" s="37">
        <v>30</v>
      </c>
      <c r="H294" s="37" t="e">
        <f>_xlfn._xlws.FILTER(#REF!,#REF!&amp;#REF!&amp;#REF!&amp;#REF!=C294&amp;F294&amp;I294&amp;J294,"未发货")</f>
        <v>#REF!</v>
      </c>
      <c r="I294" s="41" t="e">
        <f>VLOOKUP(B294,辅助信息!E:I,3,FALSE)</f>
        <v>#N/A</v>
      </c>
      <c r="J294" s="41" t="e">
        <f>VLOOKUP(B294,辅助信息!E:I,4,FALSE)</f>
        <v>#N/A</v>
      </c>
      <c r="K294" s="41" t="e">
        <f>VLOOKUP(J294,辅助信息!H:I,2,FALSE)</f>
        <v>#N/A</v>
      </c>
      <c r="L294" s="77"/>
      <c r="M294" s="78"/>
      <c r="N294" s="78"/>
      <c r="O294" s="78"/>
      <c r="P294" s="78"/>
      <c r="Q294" s="41" t="e">
        <f>VLOOKUP(B294,辅助信息!E:M,9,FALSE)</f>
        <v>#N/A</v>
      </c>
      <c r="R294" s="27"/>
    </row>
    <row r="295" hidden="1" spans="2:18">
      <c r="B295" s="41" t="s">
        <v>74</v>
      </c>
      <c r="C295" s="71">
        <v>45696</v>
      </c>
      <c r="D295" s="41" t="e">
        <f>VLOOKUP(B295,辅助信息!E:K,7,FALSE)</f>
        <v>#N/A</v>
      </c>
      <c r="E295" s="41" t="str">
        <f>VLOOKUP(F295,辅助信息!A:B,2,FALSE)</f>
        <v>螺纹钢</v>
      </c>
      <c r="F295" s="41" t="s">
        <v>27</v>
      </c>
      <c r="G295" s="37">
        <v>15</v>
      </c>
      <c r="H295" s="37" t="e">
        <f>_xlfn._xlws.FILTER(#REF!,#REF!&amp;#REF!&amp;#REF!&amp;#REF!=C295&amp;F295&amp;I295&amp;J295,"未发货")</f>
        <v>#REF!</v>
      </c>
      <c r="I295" s="41" t="e">
        <f>VLOOKUP(B295,辅助信息!E:I,3,FALSE)</f>
        <v>#N/A</v>
      </c>
      <c r="J295" s="41" t="e">
        <f>VLOOKUP(B295,辅助信息!E:I,4,FALSE)</f>
        <v>#N/A</v>
      </c>
      <c r="K295" s="41" t="e">
        <f>VLOOKUP(J295,辅助信息!H:I,2,FALSE)</f>
        <v>#N/A</v>
      </c>
      <c r="L295" s="78" t="e">
        <f>VLOOKUP(B295,辅助信息!E:J,6,FALSE)</f>
        <v>#N/A</v>
      </c>
      <c r="M295" s="90"/>
      <c r="N295" s="90"/>
      <c r="O295" s="90"/>
      <c r="P295" s="90"/>
      <c r="Q295" s="41" t="e">
        <f>VLOOKUP(B295,辅助信息!E:M,9,FALSE)</f>
        <v>#N/A</v>
      </c>
      <c r="R295" s="27"/>
    </row>
    <row r="296" hidden="1" spans="2:18">
      <c r="B296" s="41" t="s">
        <v>74</v>
      </c>
      <c r="C296" s="71">
        <v>45696</v>
      </c>
      <c r="D296" s="41" t="e">
        <f>VLOOKUP(B296,辅助信息!E:K,7,FALSE)</f>
        <v>#N/A</v>
      </c>
      <c r="E296" s="41" t="str">
        <f>VLOOKUP(F296,辅助信息!A:B,2,FALSE)</f>
        <v>螺纹钢</v>
      </c>
      <c r="F296" s="41" t="s">
        <v>19</v>
      </c>
      <c r="G296" s="37">
        <v>12</v>
      </c>
      <c r="H296" s="37" t="e">
        <f>_xlfn._xlws.FILTER(#REF!,#REF!&amp;#REF!&amp;#REF!&amp;#REF!=C296&amp;F296&amp;I296&amp;J296,"未发货")</f>
        <v>#REF!</v>
      </c>
      <c r="I296" s="41" t="e">
        <f>VLOOKUP(B296,辅助信息!E:I,3,FALSE)</f>
        <v>#N/A</v>
      </c>
      <c r="J296" s="41" t="e">
        <f>VLOOKUP(B296,辅助信息!E:I,4,FALSE)</f>
        <v>#N/A</v>
      </c>
      <c r="K296" s="41" t="e">
        <f>VLOOKUP(J296,辅助信息!H:I,2,FALSE)</f>
        <v>#N/A</v>
      </c>
      <c r="L296" s="79"/>
      <c r="M296" s="91"/>
      <c r="N296" s="91"/>
      <c r="O296" s="91"/>
      <c r="P296" s="91"/>
      <c r="Q296" s="41" t="e">
        <f>VLOOKUP(B296,辅助信息!E:M,9,FALSE)</f>
        <v>#N/A</v>
      </c>
      <c r="R296" s="27"/>
    </row>
    <row r="297" hidden="1" spans="2:18">
      <c r="B297" s="41" t="s">
        <v>74</v>
      </c>
      <c r="C297" s="71">
        <v>45696</v>
      </c>
      <c r="D297" s="41" t="e">
        <f>VLOOKUP(B297,辅助信息!E:K,7,FALSE)</f>
        <v>#N/A</v>
      </c>
      <c r="E297" s="41" t="str">
        <f>VLOOKUP(F297,辅助信息!A:B,2,FALSE)</f>
        <v>螺纹钢</v>
      </c>
      <c r="F297" s="41" t="s">
        <v>32</v>
      </c>
      <c r="G297" s="37">
        <v>18</v>
      </c>
      <c r="H297" s="37" t="e">
        <f>_xlfn._xlws.FILTER(#REF!,#REF!&amp;#REF!&amp;#REF!&amp;#REF!=C297&amp;F297&amp;I297&amp;J297,"未发货")</f>
        <v>#REF!</v>
      </c>
      <c r="I297" s="41" t="e">
        <f>VLOOKUP(B297,辅助信息!E:I,3,FALSE)</f>
        <v>#N/A</v>
      </c>
      <c r="J297" s="41" t="e">
        <f>VLOOKUP(B297,辅助信息!E:I,4,FALSE)</f>
        <v>#N/A</v>
      </c>
      <c r="K297" s="41" t="e">
        <f>VLOOKUP(J297,辅助信息!H:I,2,FALSE)</f>
        <v>#N/A</v>
      </c>
      <c r="L297" s="79"/>
      <c r="M297" s="91"/>
      <c r="N297" s="91"/>
      <c r="O297" s="91"/>
      <c r="P297" s="91"/>
      <c r="Q297" s="41" t="e">
        <f>VLOOKUP(B297,辅助信息!E:M,9,FALSE)</f>
        <v>#N/A</v>
      </c>
      <c r="R297" s="27"/>
    </row>
    <row r="298" hidden="1" spans="2:18">
      <c r="B298" s="41" t="s">
        <v>74</v>
      </c>
      <c r="C298" s="71">
        <v>45696</v>
      </c>
      <c r="D298" s="41" t="e">
        <f>VLOOKUP(B298,辅助信息!E:K,7,FALSE)</f>
        <v>#N/A</v>
      </c>
      <c r="E298" s="41" t="str">
        <f>VLOOKUP(F298,辅助信息!A:B,2,FALSE)</f>
        <v>螺纹钢</v>
      </c>
      <c r="F298" s="41" t="s">
        <v>65</v>
      </c>
      <c r="G298" s="37">
        <v>30</v>
      </c>
      <c r="H298" s="37" t="e">
        <f>_xlfn._xlws.FILTER(#REF!,#REF!&amp;#REF!&amp;#REF!&amp;#REF!=C298&amp;F298&amp;I298&amp;J298,"未发货")</f>
        <v>#REF!</v>
      </c>
      <c r="I298" s="41" t="e">
        <f>VLOOKUP(B298,辅助信息!E:I,3,FALSE)</f>
        <v>#N/A</v>
      </c>
      <c r="J298" s="41" t="e">
        <f>VLOOKUP(B298,辅助信息!E:I,4,FALSE)</f>
        <v>#N/A</v>
      </c>
      <c r="K298" s="41" t="e">
        <f>VLOOKUP(J298,辅助信息!H:I,2,FALSE)</f>
        <v>#N/A</v>
      </c>
      <c r="L298" s="77"/>
      <c r="M298" s="76"/>
      <c r="N298" s="76"/>
      <c r="O298" s="76"/>
      <c r="P298" s="76"/>
      <c r="Q298" s="41" t="e">
        <f>VLOOKUP(B298,辅助信息!E:M,9,FALSE)</f>
        <v>#N/A</v>
      </c>
      <c r="R298" s="27"/>
    </row>
    <row r="299" hidden="1" spans="2:18">
      <c r="B299" s="41" t="s">
        <v>75</v>
      </c>
      <c r="C299" s="71">
        <v>45696</v>
      </c>
      <c r="D299" s="41" t="e">
        <f>VLOOKUP(B299,辅助信息!E:K,7,FALSE)</f>
        <v>#N/A</v>
      </c>
      <c r="E299" s="41" t="str">
        <f>VLOOKUP(F299,辅助信息!A:B,2,FALSE)</f>
        <v>螺纹钢</v>
      </c>
      <c r="F299" s="41" t="s">
        <v>52</v>
      </c>
      <c r="G299" s="37">
        <v>35</v>
      </c>
      <c r="H299" s="37" t="e">
        <f>_xlfn._xlws.FILTER(#REF!,#REF!&amp;#REF!&amp;#REF!&amp;#REF!=C299&amp;F299&amp;I299&amp;J299,"未发货")</f>
        <v>#REF!</v>
      </c>
      <c r="I299" s="41" t="e">
        <f>VLOOKUP(B299,辅助信息!E:I,3,FALSE)</f>
        <v>#N/A</v>
      </c>
      <c r="J299" s="41" t="e">
        <f>VLOOKUP(B299,辅助信息!E:I,4,FALSE)</f>
        <v>#N/A</v>
      </c>
      <c r="K299" s="41" t="e">
        <f>VLOOKUP(J299,辅助信息!H:I,2,FALSE)</f>
        <v>#N/A</v>
      </c>
      <c r="L299" s="78" t="e">
        <f>VLOOKUP(B299,辅助信息!E:J,6,FALSE)</f>
        <v>#N/A</v>
      </c>
      <c r="M299" s="78"/>
      <c r="N299" s="78"/>
      <c r="O299" s="78"/>
      <c r="P299" s="78"/>
      <c r="Q299" s="41" t="e">
        <f>VLOOKUP(B299,辅助信息!E:M,9,FALSE)</f>
        <v>#N/A</v>
      </c>
      <c r="R299" s="27"/>
    </row>
    <row r="300" hidden="1" spans="2:18">
      <c r="B300" s="41" t="s">
        <v>75</v>
      </c>
      <c r="C300" s="71">
        <v>45696</v>
      </c>
      <c r="D300" s="41" t="e">
        <f>VLOOKUP(B300,辅助信息!E:K,7,FALSE)</f>
        <v>#N/A</v>
      </c>
      <c r="E300" s="41" t="str">
        <f>VLOOKUP(F300,辅助信息!A:B,2,FALSE)</f>
        <v>螺纹钢</v>
      </c>
      <c r="F300" s="41" t="s">
        <v>76</v>
      </c>
      <c r="G300" s="37">
        <v>35</v>
      </c>
      <c r="H300" s="37" t="e">
        <f>_xlfn._xlws.FILTER(#REF!,#REF!&amp;#REF!&amp;#REF!&amp;#REF!=C300&amp;F300&amp;I300&amp;J300,"未发货")</f>
        <v>#REF!</v>
      </c>
      <c r="I300" s="41" t="e">
        <f>VLOOKUP(B300,辅助信息!E:I,3,FALSE)</f>
        <v>#N/A</v>
      </c>
      <c r="J300" s="41" t="e">
        <f>VLOOKUP(B300,辅助信息!E:I,4,FALSE)</f>
        <v>#N/A</v>
      </c>
      <c r="K300" s="41" t="e">
        <f>VLOOKUP(J300,辅助信息!H:I,2,FALSE)</f>
        <v>#N/A</v>
      </c>
      <c r="L300" s="79"/>
      <c r="M300" s="78"/>
      <c r="N300" s="78"/>
      <c r="O300" s="78"/>
      <c r="P300" s="78"/>
      <c r="Q300" s="41" t="e">
        <f>VLOOKUP(B300,辅助信息!E:M,9,FALSE)</f>
        <v>#N/A</v>
      </c>
      <c r="R300" s="27"/>
    </row>
    <row r="301" hidden="1" spans="2:18">
      <c r="B301" s="41" t="s">
        <v>75</v>
      </c>
      <c r="C301" s="71">
        <v>45696</v>
      </c>
      <c r="D301" s="41" t="e">
        <f>VLOOKUP(B301,辅助信息!E:K,7,FALSE)</f>
        <v>#N/A</v>
      </c>
      <c r="E301" s="41" t="str">
        <f>VLOOKUP(F301,辅助信息!A:B,2,FALSE)</f>
        <v>螺纹钢</v>
      </c>
      <c r="F301" s="41" t="s">
        <v>77</v>
      </c>
      <c r="G301" s="37">
        <v>35</v>
      </c>
      <c r="H301" s="37" t="e">
        <f>_xlfn._xlws.FILTER(#REF!,#REF!&amp;#REF!&amp;#REF!&amp;#REF!=C301&amp;F301&amp;I301&amp;J301,"未发货")</f>
        <v>#REF!</v>
      </c>
      <c r="I301" s="41" t="e">
        <f>VLOOKUP(B301,辅助信息!E:I,3,FALSE)</f>
        <v>#N/A</v>
      </c>
      <c r="J301" s="41" t="e">
        <f>VLOOKUP(B301,辅助信息!E:I,4,FALSE)</f>
        <v>#N/A</v>
      </c>
      <c r="K301" s="41" t="e">
        <f>VLOOKUP(J301,辅助信息!H:I,2,FALSE)</f>
        <v>#N/A</v>
      </c>
      <c r="L301" s="77"/>
      <c r="M301" s="78"/>
      <c r="N301" s="78"/>
      <c r="O301" s="78"/>
      <c r="P301" s="78"/>
      <c r="Q301" s="41" t="e">
        <f>VLOOKUP(B301,辅助信息!E:M,9,FALSE)</f>
        <v>#N/A</v>
      </c>
      <c r="R301" s="27"/>
    </row>
    <row r="302" ht="45" hidden="1" customHeight="1" spans="2:18">
      <c r="B302" s="41" t="s">
        <v>64</v>
      </c>
      <c r="C302" s="71">
        <v>45698</v>
      </c>
      <c r="D302" s="41" t="e">
        <f>VLOOKUP(B302,辅助信息!E:K,7,FALSE)</f>
        <v>#N/A</v>
      </c>
      <c r="E302" s="41" t="str">
        <f>VLOOKUP(F302,辅助信息!A:B,2,FALSE)</f>
        <v>螺纹钢</v>
      </c>
      <c r="F302" s="41" t="s">
        <v>65</v>
      </c>
      <c r="G302" s="37">
        <v>60</v>
      </c>
      <c r="H302" s="37" t="e">
        <f>_xlfn._xlws.FILTER(#REF!,#REF!&amp;#REF!&amp;#REF!&amp;#REF!=C302&amp;F302&amp;I302&amp;J302,"未发货")</f>
        <v>#REF!</v>
      </c>
      <c r="I302" s="41" t="e">
        <f>VLOOKUP(B302,辅助信息!E:I,3,FALSE)</f>
        <v>#N/A</v>
      </c>
      <c r="J302" s="41" t="e">
        <f>VLOOKUP(B302,辅助信息!E:I,4,FALSE)</f>
        <v>#N/A</v>
      </c>
      <c r="K302" s="41" t="e">
        <f>VLOOKUP(J302,辅助信息!H:I,2,FALSE)</f>
        <v>#N/A</v>
      </c>
      <c r="L302" s="78" t="e">
        <f>VLOOKUP(B302,辅助信息!E:J,6,FALSE)</f>
        <v>#N/A</v>
      </c>
      <c r="M302" s="58"/>
      <c r="N302" s="58"/>
      <c r="O302" s="58"/>
      <c r="P302" s="58"/>
      <c r="Q302" s="27" t="e">
        <f>VLOOKUP(B302,辅助信息!E:M,9,FALSE)</f>
        <v>#N/A</v>
      </c>
      <c r="R302" s="27"/>
    </row>
    <row r="303" ht="45" hidden="1" customHeight="1" spans="2:18">
      <c r="B303" s="41" t="s">
        <v>74</v>
      </c>
      <c r="C303" s="71">
        <v>45698</v>
      </c>
      <c r="D303" s="41" t="e">
        <f>VLOOKUP(B303,辅助信息!E:K,7,FALSE)</f>
        <v>#N/A</v>
      </c>
      <c r="E303" s="41" t="str">
        <f>VLOOKUP(F303,辅助信息!A:B,2,FALSE)</f>
        <v>螺纹钢</v>
      </c>
      <c r="F303" s="41" t="s">
        <v>65</v>
      </c>
      <c r="G303" s="37">
        <v>30</v>
      </c>
      <c r="H303" s="37" t="e">
        <f>_xlfn._xlws.FILTER(#REF!,#REF!&amp;#REF!&amp;#REF!&amp;#REF!=C303&amp;F303&amp;I303&amp;J303,"未发货")</f>
        <v>#REF!</v>
      </c>
      <c r="I303" s="41" t="e">
        <f>VLOOKUP(B303,辅助信息!E:I,3,FALSE)</f>
        <v>#N/A</v>
      </c>
      <c r="J303" s="41" t="e">
        <f>VLOOKUP(B303,辅助信息!E:I,4,FALSE)</f>
        <v>#N/A</v>
      </c>
      <c r="K303" s="41" t="e">
        <f>VLOOKUP(J303,辅助信息!H:I,2,FALSE)</f>
        <v>#N/A</v>
      </c>
      <c r="L303" s="78" t="e">
        <f>VLOOKUP(B303,辅助信息!E:J,6,FALSE)</f>
        <v>#N/A</v>
      </c>
      <c r="M303" s="58"/>
      <c r="N303" s="58"/>
      <c r="O303" s="58"/>
      <c r="P303" s="58"/>
      <c r="Q303" s="27" t="e">
        <f>VLOOKUP(B303,辅助信息!E:M,9,FALSE)</f>
        <v>#N/A</v>
      </c>
      <c r="R303" s="27"/>
    </row>
    <row r="304" hidden="1" spans="2:18">
      <c r="B304" s="41" t="s">
        <v>75</v>
      </c>
      <c r="C304" s="71">
        <v>45698</v>
      </c>
      <c r="D304" s="41" t="e">
        <f>VLOOKUP(B304,辅助信息!E:K,7,FALSE)</f>
        <v>#N/A</v>
      </c>
      <c r="E304" s="41" t="str">
        <f>VLOOKUP(F304,辅助信息!A:B,2,FALSE)</f>
        <v>螺纹钢</v>
      </c>
      <c r="F304" s="41" t="s">
        <v>52</v>
      </c>
      <c r="G304" s="37">
        <v>35</v>
      </c>
      <c r="H304" s="37" t="e">
        <f>_xlfn._xlws.FILTER(#REF!,#REF!&amp;#REF!&amp;#REF!&amp;#REF!=C304&amp;F304&amp;I304&amp;J304,"未发货")</f>
        <v>#REF!</v>
      </c>
      <c r="I304" s="41" t="e">
        <f>VLOOKUP(B304,辅助信息!E:I,3,FALSE)</f>
        <v>#N/A</v>
      </c>
      <c r="J304" s="41" t="e">
        <f>VLOOKUP(B304,辅助信息!E:I,4,FALSE)</f>
        <v>#N/A</v>
      </c>
      <c r="K304" s="41" t="e">
        <f>VLOOKUP(J304,辅助信息!H:I,2,FALSE)</f>
        <v>#N/A</v>
      </c>
      <c r="L304" s="78" t="e">
        <f>VLOOKUP(B304,辅助信息!E:J,6,FALSE)</f>
        <v>#N/A</v>
      </c>
      <c r="M304" s="58"/>
      <c r="N304" s="58"/>
      <c r="O304" s="58"/>
      <c r="P304" s="58"/>
      <c r="Q304" s="27" t="e">
        <f>VLOOKUP(B304,辅助信息!E:M,9,FALSE)</f>
        <v>#N/A</v>
      </c>
      <c r="R304" s="27"/>
    </row>
    <row r="305" hidden="1" spans="2:18">
      <c r="B305" s="41" t="s">
        <v>75</v>
      </c>
      <c r="C305" s="71">
        <v>45698</v>
      </c>
      <c r="D305" s="41" t="e">
        <f>VLOOKUP(B305,辅助信息!E:K,7,FALSE)</f>
        <v>#N/A</v>
      </c>
      <c r="E305" s="41" t="str">
        <f>VLOOKUP(F305,辅助信息!A:B,2,FALSE)</f>
        <v>螺纹钢</v>
      </c>
      <c r="F305" s="41" t="s">
        <v>76</v>
      </c>
      <c r="G305" s="37">
        <v>35</v>
      </c>
      <c r="H305" s="37" t="e">
        <f>_xlfn._xlws.FILTER(#REF!,#REF!&amp;#REF!&amp;#REF!&amp;#REF!=C305&amp;F305&amp;I305&amp;J305,"未发货")</f>
        <v>#REF!</v>
      </c>
      <c r="I305" s="41" t="e">
        <f>VLOOKUP(B305,辅助信息!E:I,3,FALSE)</f>
        <v>#N/A</v>
      </c>
      <c r="J305" s="41" t="e">
        <f>VLOOKUP(B305,辅助信息!E:I,4,FALSE)</f>
        <v>#N/A</v>
      </c>
      <c r="K305" s="41" t="e">
        <f>VLOOKUP(J305,辅助信息!H:I,2,FALSE)</f>
        <v>#N/A</v>
      </c>
      <c r="L305" s="79"/>
      <c r="M305" s="58"/>
      <c r="N305" s="58"/>
      <c r="O305" s="58"/>
      <c r="P305" s="58"/>
      <c r="Q305" s="27" t="e">
        <f>VLOOKUP(B305,辅助信息!E:M,9,FALSE)</f>
        <v>#N/A</v>
      </c>
      <c r="R305" s="27"/>
    </row>
    <row r="306" hidden="1" spans="2:18">
      <c r="B306" s="41" t="s">
        <v>75</v>
      </c>
      <c r="C306" s="71">
        <v>45698</v>
      </c>
      <c r="D306" s="41" t="e">
        <f>VLOOKUP(B306,辅助信息!E:K,7,FALSE)</f>
        <v>#N/A</v>
      </c>
      <c r="E306" s="41" t="str">
        <f>VLOOKUP(F306,辅助信息!A:B,2,FALSE)</f>
        <v>螺纹钢</v>
      </c>
      <c r="F306" s="41" t="s">
        <v>77</v>
      </c>
      <c r="G306" s="37">
        <v>35</v>
      </c>
      <c r="H306" s="37" t="e">
        <f>_xlfn._xlws.FILTER(#REF!,#REF!&amp;#REF!&amp;#REF!&amp;#REF!=C306&amp;F306&amp;I306&amp;J306,"未发货")</f>
        <v>#REF!</v>
      </c>
      <c r="I306" s="41" t="e">
        <f>VLOOKUP(B306,辅助信息!E:I,3,FALSE)</f>
        <v>#N/A</v>
      </c>
      <c r="J306" s="41" t="e">
        <f>VLOOKUP(B306,辅助信息!E:I,4,FALSE)</f>
        <v>#N/A</v>
      </c>
      <c r="K306" s="41" t="e">
        <f>VLOOKUP(J306,辅助信息!H:I,2,FALSE)</f>
        <v>#N/A</v>
      </c>
      <c r="L306" s="77"/>
      <c r="M306" s="58"/>
      <c r="N306" s="58"/>
      <c r="O306" s="58"/>
      <c r="P306" s="58"/>
      <c r="Q306" s="27" t="e">
        <f>VLOOKUP(B306,辅助信息!E:M,9,FALSE)</f>
        <v>#N/A</v>
      </c>
      <c r="R306" s="27"/>
    </row>
    <row r="307" hidden="1" spans="2:18">
      <c r="B307" s="41" t="s">
        <v>78</v>
      </c>
      <c r="C307" s="71">
        <v>45698</v>
      </c>
      <c r="D307" s="41" t="e">
        <f>VLOOKUP(B307,辅助信息!E:K,7,FALSE)</f>
        <v>#N/A</v>
      </c>
      <c r="E307" s="41" t="str">
        <f>VLOOKUP(F307,辅助信息!A:B,2,FALSE)</f>
        <v>螺纹钢</v>
      </c>
      <c r="F307" s="41" t="s">
        <v>33</v>
      </c>
      <c r="G307" s="37">
        <v>55</v>
      </c>
      <c r="H307" s="37" t="e">
        <f>_xlfn._xlws.FILTER(#REF!,#REF!&amp;#REF!&amp;#REF!&amp;#REF!=C307&amp;F307&amp;I307&amp;J307,"未发货")</f>
        <v>#REF!</v>
      </c>
      <c r="I307" s="41" t="e">
        <f>VLOOKUP(B307,辅助信息!E:I,3,FALSE)</f>
        <v>#N/A</v>
      </c>
      <c r="J307" s="41" t="e">
        <f>VLOOKUP(B307,辅助信息!E:I,4,FALSE)</f>
        <v>#N/A</v>
      </c>
      <c r="K307" s="41" t="e">
        <f>VLOOKUP(J307,辅助信息!H:I,2,FALSE)</f>
        <v>#N/A</v>
      </c>
      <c r="L307" s="78" t="e">
        <f>VLOOKUP(B307,辅助信息!E:J,6,FALSE)</f>
        <v>#N/A</v>
      </c>
      <c r="M307" s="58"/>
      <c r="N307" s="58"/>
      <c r="O307" s="58"/>
      <c r="P307" s="58"/>
      <c r="Q307" s="27" t="e">
        <f>VLOOKUP(B307,辅助信息!E:M,9,FALSE)</f>
        <v>#N/A</v>
      </c>
      <c r="R307" s="27"/>
    </row>
    <row r="308" hidden="1" spans="2:18">
      <c r="B308" s="41" t="s">
        <v>78</v>
      </c>
      <c r="C308" s="71">
        <v>45698</v>
      </c>
      <c r="D308" s="41" t="e">
        <f>VLOOKUP(B308,辅助信息!E:K,7,FALSE)</f>
        <v>#N/A</v>
      </c>
      <c r="E308" s="41" t="str">
        <f>VLOOKUP(F308,辅助信息!A:B,2,FALSE)</f>
        <v>螺纹钢</v>
      </c>
      <c r="F308" s="41" t="s">
        <v>28</v>
      </c>
      <c r="G308" s="37">
        <v>11</v>
      </c>
      <c r="H308" s="37" t="e">
        <f>_xlfn._xlws.FILTER(#REF!,#REF!&amp;#REF!&amp;#REF!&amp;#REF!=C308&amp;F308&amp;I308&amp;J308,"未发货")</f>
        <v>#REF!</v>
      </c>
      <c r="I308" s="41" t="e">
        <f>VLOOKUP(B308,辅助信息!E:I,3,FALSE)</f>
        <v>#N/A</v>
      </c>
      <c r="J308" s="41" t="e">
        <f>VLOOKUP(B308,辅助信息!E:I,4,FALSE)</f>
        <v>#N/A</v>
      </c>
      <c r="K308" s="41" t="e">
        <f>VLOOKUP(J308,辅助信息!H:I,2,FALSE)</f>
        <v>#N/A</v>
      </c>
      <c r="L308" s="79"/>
      <c r="M308" s="58"/>
      <c r="N308" s="58"/>
      <c r="O308" s="58"/>
      <c r="P308" s="58"/>
      <c r="Q308" s="27" t="e">
        <f>VLOOKUP(B308,辅助信息!E:M,9,FALSE)</f>
        <v>#N/A</v>
      </c>
      <c r="R308" s="27"/>
    </row>
    <row r="309" hidden="1" spans="2:18">
      <c r="B309" s="41" t="s">
        <v>78</v>
      </c>
      <c r="C309" s="71">
        <v>45698</v>
      </c>
      <c r="D309" s="41" t="e">
        <f>VLOOKUP(B309,辅助信息!E:K,7,FALSE)</f>
        <v>#N/A</v>
      </c>
      <c r="E309" s="41" t="str">
        <f>VLOOKUP(F309,辅助信息!A:B,2,FALSE)</f>
        <v>螺纹钢</v>
      </c>
      <c r="F309" s="41" t="s">
        <v>18</v>
      </c>
      <c r="G309" s="37">
        <v>3</v>
      </c>
      <c r="H309" s="37" t="e">
        <f>_xlfn._xlws.FILTER(#REF!,#REF!&amp;#REF!&amp;#REF!&amp;#REF!=C309&amp;F309&amp;I309&amp;J309,"未发货")</f>
        <v>#REF!</v>
      </c>
      <c r="I309" s="41" t="e">
        <f>VLOOKUP(B309,辅助信息!E:I,3,FALSE)</f>
        <v>#N/A</v>
      </c>
      <c r="J309" s="41" t="e">
        <f>VLOOKUP(B309,辅助信息!E:I,4,FALSE)</f>
        <v>#N/A</v>
      </c>
      <c r="K309" s="41" t="e">
        <f>VLOOKUP(J309,辅助信息!H:I,2,FALSE)</f>
        <v>#N/A</v>
      </c>
      <c r="L309" s="77"/>
      <c r="M309" s="58"/>
      <c r="N309" s="58"/>
      <c r="O309" s="58"/>
      <c r="P309" s="58"/>
      <c r="Q309" s="27" t="e">
        <f>VLOOKUP(B309,辅助信息!E:M,9,FALSE)</f>
        <v>#N/A</v>
      </c>
      <c r="R309" s="27"/>
    </row>
    <row r="310" hidden="1" spans="2:18">
      <c r="B310" s="41" t="s">
        <v>79</v>
      </c>
      <c r="C310" s="71">
        <v>45699</v>
      </c>
      <c r="D310" s="41" t="e">
        <f>VLOOKUP(B310,辅助信息!E:K,7,FALSE)</f>
        <v>#N/A</v>
      </c>
      <c r="E310" s="41" t="str">
        <f>VLOOKUP(F310,辅助信息!A:B,2,FALSE)</f>
        <v>盘螺</v>
      </c>
      <c r="F310" s="41" t="s">
        <v>40</v>
      </c>
      <c r="G310" s="37">
        <v>3</v>
      </c>
      <c r="H310" s="37" t="e">
        <f>_xlfn._xlws.FILTER(#REF!,#REF!&amp;#REF!&amp;#REF!&amp;#REF!=C310&amp;F310&amp;I310&amp;J310,"未发货")</f>
        <v>#REF!</v>
      </c>
      <c r="I310" s="41" t="e">
        <f>VLOOKUP(B310,辅助信息!E:I,3,FALSE)</f>
        <v>#N/A</v>
      </c>
      <c r="J310" s="41" t="e">
        <f>VLOOKUP(B310,辅助信息!E:I,4,FALSE)</f>
        <v>#N/A</v>
      </c>
      <c r="K310" s="80" t="e">
        <f>VLOOKUP(J310,辅助信息!H:I,2,FALSE)</f>
        <v>#N/A</v>
      </c>
      <c r="L310" s="78" t="e">
        <f>VLOOKUP(B310,辅助信息!E:J,6,FALSE)</f>
        <v>#N/A</v>
      </c>
      <c r="M310" s="58"/>
      <c r="N310" s="58"/>
      <c r="O310" s="58"/>
      <c r="P310" s="58"/>
      <c r="Q310" s="27" t="e">
        <f>VLOOKUP(B310,辅助信息!E:M,9,FALSE)</f>
        <v>#N/A</v>
      </c>
      <c r="R310" s="27"/>
    </row>
    <row r="311" hidden="1" spans="2:18">
      <c r="B311" s="41" t="s">
        <v>79</v>
      </c>
      <c r="C311" s="71">
        <v>45699</v>
      </c>
      <c r="D311" s="41" t="e">
        <f>VLOOKUP(B311,辅助信息!E:K,7,FALSE)</f>
        <v>#N/A</v>
      </c>
      <c r="E311" s="41" t="str">
        <f>VLOOKUP(F311,辅助信息!A:B,2,FALSE)</f>
        <v>盘螺</v>
      </c>
      <c r="F311" s="41" t="s">
        <v>41</v>
      </c>
      <c r="G311" s="37">
        <v>3</v>
      </c>
      <c r="H311" s="37" t="e">
        <f>_xlfn._xlws.FILTER(#REF!,#REF!&amp;#REF!&amp;#REF!&amp;#REF!=C311&amp;F311&amp;I311&amp;J311,"未发货")</f>
        <v>#REF!</v>
      </c>
      <c r="I311" s="41" t="e">
        <f>VLOOKUP(B311,辅助信息!E:I,3,FALSE)</f>
        <v>#N/A</v>
      </c>
      <c r="J311" s="41" t="e">
        <f>VLOOKUP(B311,辅助信息!E:I,4,FALSE)</f>
        <v>#N/A</v>
      </c>
      <c r="K311" s="80" t="e">
        <f>VLOOKUP(J311,辅助信息!H:I,2,FALSE)</f>
        <v>#N/A</v>
      </c>
      <c r="L311" s="79"/>
      <c r="M311" s="58"/>
      <c r="N311" s="58"/>
      <c r="O311" s="58"/>
      <c r="P311" s="58"/>
      <c r="Q311" s="27" t="e">
        <f>VLOOKUP(B311,辅助信息!E:M,9,FALSE)</f>
        <v>#N/A</v>
      </c>
      <c r="R311" s="27"/>
    </row>
    <row r="312" hidden="1" spans="2:18">
      <c r="B312" s="41" t="s">
        <v>79</v>
      </c>
      <c r="C312" s="71">
        <v>45699</v>
      </c>
      <c r="D312" s="41" t="e">
        <f>VLOOKUP(B312,辅助信息!E:K,7,FALSE)</f>
        <v>#N/A</v>
      </c>
      <c r="E312" s="41" t="str">
        <f>VLOOKUP(F312,辅助信息!A:B,2,FALSE)</f>
        <v>螺纹钢</v>
      </c>
      <c r="F312" s="41" t="s">
        <v>27</v>
      </c>
      <c r="G312" s="88">
        <v>9</v>
      </c>
      <c r="H312" s="37" t="e">
        <f>_xlfn._xlws.FILTER(#REF!,#REF!&amp;#REF!&amp;#REF!&amp;#REF!=C312&amp;F312&amp;I312&amp;J312,"未发货")</f>
        <v>#REF!</v>
      </c>
      <c r="I312" s="41" t="e">
        <f>VLOOKUP(B312,辅助信息!E:I,3,FALSE)</f>
        <v>#N/A</v>
      </c>
      <c r="J312" s="41" t="e">
        <f>VLOOKUP(B312,辅助信息!E:I,4,FALSE)</f>
        <v>#N/A</v>
      </c>
      <c r="K312" s="80" t="e">
        <f>VLOOKUP(J312,辅助信息!H:I,2,FALSE)</f>
        <v>#N/A</v>
      </c>
      <c r="L312" s="79"/>
      <c r="M312" s="58"/>
      <c r="N312" s="58"/>
      <c r="O312" s="58"/>
      <c r="P312" s="58"/>
      <c r="Q312" s="27" t="e">
        <f>VLOOKUP(B312,辅助信息!E:M,9,FALSE)</f>
        <v>#N/A</v>
      </c>
      <c r="R312" s="27"/>
    </row>
    <row r="313" hidden="1" spans="2:18">
      <c r="B313" s="41" t="s">
        <v>79</v>
      </c>
      <c r="C313" s="71">
        <v>45699</v>
      </c>
      <c r="D313" s="41" t="e">
        <f>VLOOKUP(B313,辅助信息!E:K,7,FALSE)</f>
        <v>#N/A</v>
      </c>
      <c r="E313" s="41" t="str">
        <f>VLOOKUP(F313,辅助信息!A:B,2,FALSE)</f>
        <v>螺纹钢</v>
      </c>
      <c r="F313" s="41" t="s">
        <v>19</v>
      </c>
      <c r="G313" s="37">
        <v>20</v>
      </c>
      <c r="H313" s="37" t="e">
        <f>_xlfn._xlws.FILTER(#REF!,#REF!&amp;#REF!&amp;#REF!&amp;#REF!=C313&amp;F313&amp;I313&amp;J313,"未发货")</f>
        <v>#REF!</v>
      </c>
      <c r="I313" s="41" t="e">
        <f>VLOOKUP(B313,辅助信息!E:I,3,FALSE)</f>
        <v>#N/A</v>
      </c>
      <c r="J313" s="41" t="e">
        <f>VLOOKUP(B313,辅助信息!E:I,4,FALSE)</f>
        <v>#N/A</v>
      </c>
      <c r="K313" s="80" t="e">
        <f>VLOOKUP(J313,辅助信息!H:I,2,FALSE)</f>
        <v>#N/A</v>
      </c>
      <c r="L313" s="79"/>
      <c r="M313" s="58"/>
      <c r="N313" s="58"/>
      <c r="O313" s="58"/>
      <c r="P313" s="58"/>
      <c r="Q313" s="27" t="e">
        <f>VLOOKUP(B313,辅助信息!E:M,9,FALSE)</f>
        <v>#N/A</v>
      </c>
      <c r="R313" s="27"/>
    </row>
    <row r="314" hidden="1" spans="2:18">
      <c r="B314" s="41" t="s">
        <v>79</v>
      </c>
      <c r="C314" s="71">
        <v>45699</v>
      </c>
      <c r="D314" s="41" t="e">
        <f>VLOOKUP(B314,辅助信息!E:K,7,FALSE)</f>
        <v>#N/A</v>
      </c>
      <c r="E314" s="41" t="str">
        <f>VLOOKUP(F314,辅助信息!A:B,2,FALSE)</f>
        <v>螺纹钢</v>
      </c>
      <c r="F314" s="41" t="s">
        <v>32</v>
      </c>
      <c r="G314" s="88">
        <v>9</v>
      </c>
      <c r="H314" s="37" t="e">
        <f>_xlfn._xlws.FILTER(#REF!,#REF!&amp;#REF!&amp;#REF!&amp;#REF!=C314&amp;F314&amp;I314&amp;J314,"未发货")</f>
        <v>#REF!</v>
      </c>
      <c r="I314" s="41" t="e">
        <f>VLOOKUP(B314,辅助信息!E:I,3,FALSE)</f>
        <v>#N/A</v>
      </c>
      <c r="J314" s="41" t="e">
        <f>VLOOKUP(B314,辅助信息!E:I,4,FALSE)</f>
        <v>#N/A</v>
      </c>
      <c r="K314" s="80" t="e">
        <f>VLOOKUP(J314,辅助信息!H:I,2,FALSE)</f>
        <v>#N/A</v>
      </c>
      <c r="L314" s="79"/>
      <c r="M314" s="58"/>
      <c r="N314" s="58"/>
      <c r="O314" s="58"/>
      <c r="P314" s="58"/>
      <c r="Q314" s="27" t="e">
        <f>VLOOKUP(B314,辅助信息!E:M,9,FALSE)</f>
        <v>#N/A</v>
      </c>
      <c r="R314" s="27"/>
    </row>
    <row r="315" hidden="1" spans="2:18">
      <c r="B315" s="41" t="s">
        <v>79</v>
      </c>
      <c r="C315" s="71">
        <v>45699</v>
      </c>
      <c r="D315" s="41" t="e">
        <f>VLOOKUP(B315,辅助信息!E:K,7,FALSE)</f>
        <v>#N/A</v>
      </c>
      <c r="E315" s="41" t="str">
        <f>VLOOKUP(F315,辅助信息!A:B,2,FALSE)</f>
        <v>螺纹钢</v>
      </c>
      <c r="F315" s="41" t="s">
        <v>30</v>
      </c>
      <c r="G315" s="37">
        <v>3</v>
      </c>
      <c r="H315" s="37" t="e">
        <f>_xlfn._xlws.FILTER(#REF!,#REF!&amp;#REF!&amp;#REF!&amp;#REF!=C315&amp;F315&amp;I315&amp;J315,"未发货")</f>
        <v>#REF!</v>
      </c>
      <c r="I315" s="41" t="e">
        <f>VLOOKUP(B315,辅助信息!E:I,3,FALSE)</f>
        <v>#N/A</v>
      </c>
      <c r="J315" s="41" t="e">
        <f>VLOOKUP(B315,辅助信息!E:I,4,FALSE)</f>
        <v>#N/A</v>
      </c>
      <c r="K315" s="80" t="e">
        <f>VLOOKUP(J315,辅助信息!H:I,2,FALSE)</f>
        <v>#N/A</v>
      </c>
      <c r="L315" s="79"/>
      <c r="M315" s="58"/>
      <c r="N315" s="58"/>
      <c r="O315" s="58"/>
      <c r="P315" s="58"/>
      <c r="Q315" s="27" t="e">
        <f>VLOOKUP(B315,辅助信息!E:M,9,FALSE)</f>
        <v>#N/A</v>
      </c>
      <c r="R315" s="27"/>
    </row>
    <row r="316" hidden="1" spans="2:18">
      <c r="B316" s="41" t="s">
        <v>79</v>
      </c>
      <c r="C316" s="71">
        <v>45699</v>
      </c>
      <c r="D316" s="41" t="e">
        <f>VLOOKUP(B316,辅助信息!E:K,7,FALSE)</f>
        <v>#N/A</v>
      </c>
      <c r="E316" s="41" t="str">
        <f>VLOOKUP(F316,辅助信息!A:B,2,FALSE)</f>
        <v>螺纹钢</v>
      </c>
      <c r="F316" s="41" t="s">
        <v>33</v>
      </c>
      <c r="G316" s="88">
        <v>25</v>
      </c>
      <c r="H316" s="37" t="e">
        <f>_xlfn._xlws.FILTER(#REF!,#REF!&amp;#REF!&amp;#REF!&amp;#REF!=C316&amp;F316&amp;I316&amp;J316,"未发货")</f>
        <v>#REF!</v>
      </c>
      <c r="I316" s="41" t="e">
        <f>VLOOKUP(B316,辅助信息!E:I,3,FALSE)</f>
        <v>#N/A</v>
      </c>
      <c r="J316" s="41" t="e">
        <f>VLOOKUP(B316,辅助信息!E:I,4,FALSE)</f>
        <v>#N/A</v>
      </c>
      <c r="K316" s="80" t="e">
        <f>VLOOKUP(J316,辅助信息!H:I,2,FALSE)</f>
        <v>#N/A</v>
      </c>
      <c r="L316" s="79"/>
      <c r="M316" s="58"/>
      <c r="N316" s="58"/>
      <c r="O316" s="58"/>
      <c r="P316" s="58"/>
      <c r="Q316" s="27" t="e">
        <f>VLOOKUP(B316,辅助信息!E:M,9,FALSE)</f>
        <v>#N/A</v>
      </c>
      <c r="R316" s="27"/>
    </row>
    <row r="317" hidden="1" spans="2:18">
      <c r="B317" s="41" t="s">
        <v>79</v>
      </c>
      <c r="C317" s="71">
        <v>45699</v>
      </c>
      <c r="D317" s="41" t="e">
        <f>VLOOKUP(B317,辅助信息!E:K,7,FALSE)</f>
        <v>#N/A</v>
      </c>
      <c r="E317" s="41" t="str">
        <f>VLOOKUP(F317,辅助信息!A:B,2,FALSE)</f>
        <v>螺纹钢</v>
      </c>
      <c r="F317" s="41" t="s">
        <v>18</v>
      </c>
      <c r="G317" s="88">
        <v>90</v>
      </c>
      <c r="H317" s="37" t="e">
        <f>_xlfn._xlws.FILTER(#REF!,#REF!&amp;#REF!&amp;#REF!&amp;#REF!=C317&amp;F317&amp;I317&amp;J317,"未发货")</f>
        <v>#REF!</v>
      </c>
      <c r="I317" s="41" t="e">
        <f>VLOOKUP(B317,辅助信息!E:I,3,FALSE)</f>
        <v>#N/A</v>
      </c>
      <c r="J317" s="41" t="e">
        <f>VLOOKUP(B317,辅助信息!E:I,4,FALSE)</f>
        <v>#N/A</v>
      </c>
      <c r="K317" s="80" t="e">
        <f>VLOOKUP(J317,辅助信息!H:I,2,FALSE)</f>
        <v>#N/A</v>
      </c>
      <c r="L317" s="77"/>
      <c r="M317" s="58"/>
      <c r="N317" s="58"/>
      <c r="O317" s="58"/>
      <c r="P317" s="58"/>
      <c r="Q317" s="27" t="e">
        <f>VLOOKUP(B317,辅助信息!E:M,9,FALSE)</f>
        <v>#N/A</v>
      </c>
      <c r="R317" s="27"/>
    </row>
    <row r="318" hidden="1" spans="2:18">
      <c r="B318" s="41" t="s">
        <v>80</v>
      </c>
      <c r="C318" s="71">
        <v>45700</v>
      </c>
      <c r="D318" s="41" t="e">
        <f>VLOOKUP(B318,辅助信息!E:K,7,FALSE)</f>
        <v>#N/A</v>
      </c>
      <c r="E318" s="41" t="str">
        <f>VLOOKUP(F318,辅助信息!A:B,2,FALSE)</f>
        <v>盘螺</v>
      </c>
      <c r="F318" s="41" t="s">
        <v>49</v>
      </c>
      <c r="G318" s="37">
        <v>7.5</v>
      </c>
      <c r="H318" s="37" t="e">
        <f>_xlfn._xlws.FILTER(#REF!,#REF!&amp;#REF!&amp;#REF!&amp;#REF!=C318&amp;F318&amp;I318&amp;J318,"未发货")</f>
        <v>#REF!</v>
      </c>
      <c r="I318" s="41" t="e">
        <f>VLOOKUP(B318,辅助信息!E:I,3,FALSE)</f>
        <v>#N/A</v>
      </c>
      <c r="J318" s="41"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256</v>
      </c>
      <c r="Q318" s="27" t="e">
        <f>VLOOKUP(B318,辅助信息!E:M,9,FALSE)</f>
        <v>#N/A</v>
      </c>
      <c r="R318" s="27"/>
    </row>
    <row r="319" s="27" customFormat="1" hidden="1" spans="2:17">
      <c r="B319" s="41" t="s">
        <v>80</v>
      </c>
      <c r="C319" s="71">
        <v>45700</v>
      </c>
      <c r="D319" s="41" t="e">
        <f>VLOOKUP(B319,辅助信息!E:K,7,FALSE)</f>
        <v>#N/A</v>
      </c>
      <c r="E319" s="41" t="str">
        <f>VLOOKUP(F319,辅助信息!A:B,2,FALSE)</f>
        <v>盘螺</v>
      </c>
      <c r="F319" s="41" t="s">
        <v>40</v>
      </c>
      <c r="G319" s="37">
        <v>15</v>
      </c>
      <c r="H319" s="37" t="e">
        <f>_xlfn._xlws.FILTER(#REF!,#REF!&amp;#REF!&amp;#REF!&amp;#REF!=C319&amp;F319&amp;I319&amp;J319,"未发货")</f>
        <v>#REF!</v>
      </c>
      <c r="I319" s="41" t="e">
        <f>VLOOKUP(B319,辅助信息!E:I,3,FALSE)</f>
        <v>#N/A</v>
      </c>
      <c r="J319" s="41" t="e">
        <f>VLOOKUP(B319,辅助信息!E:I,4,FALSE)</f>
        <v>#N/A</v>
      </c>
      <c r="K319" s="80" t="e">
        <f>VLOOKUP(J319,辅助信息!H:I,2,FALSE)</f>
        <v>#N/A</v>
      </c>
      <c r="L319" s="79"/>
      <c r="M319" s="92">
        <v>45703</v>
      </c>
      <c r="N319" s="92"/>
      <c r="O319" s="63">
        <f ca="1" t="shared" si="0"/>
        <v>0</v>
      </c>
      <c r="P319" s="63">
        <f ca="1" t="shared" si="1"/>
        <v>256</v>
      </c>
      <c r="Q319" s="27" t="e">
        <f>VLOOKUP(B319,辅助信息!E:M,9,FALSE)</f>
        <v>#N/A</v>
      </c>
    </row>
    <row r="320" s="27" customFormat="1" hidden="1" spans="2:17">
      <c r="B320" s="41" t="s">
        <v>80</v>
      </c>
      <c r="C320" s="71">
        <v>45700</v>
      </c>
      <c r="D320" s="41" t="e">
        <f>VLOOKUP(B320,辅助信息!E:K,7,FALSE)</f>
        <v>#N/A</v>
      </c>
      <c r="E320" s="41" t="str">
        <f>VLOOKUP(F320,辅助信息!A:B,2,FALSE)</f>
        <v>盘螺</v>
      </c>
      <c r="F320" s="41" t="s">
        <v>41</v>
      </c>
      <c r="G320" s="37">
        <v>17.5</v>
      </c>
      <c r="H320" s="37" t="e">
        <f>_xlfn._xlws.FILTER(#REF!,#REF!&amp;#REF!&amp;#REF!&amp;#REF!=C320&amp;F320&amp;I320&amp;J320,"未发货")</f>
        <v>#REF!</v>
      </c>
      <c r="I320" s="41" t="e">
        <f>VLOOKUP(B320,辅助信息!E:I,3,FALSE)</f>
        <v>#N/A</v>
      </c>
      <c r="J320" s="41" t="e">
        <f>VLOOKUP(B320,辅助信息!E:I,4,FALSE)</f>
        <v>#N/A</v>
      </c>
      <c r="K320" s="80" t="e">
        <f>VLOOKUP(J320,辅助信息!H:I,2,FALSE)</f>
        <v>#N/A</v>
      </c>
      <c r="L320" s="79"/>
      <c r="M320" s="92">
        <v>45703</v>
      </c>
      <c r="N320" s="92"/>
      <c r="O320" s="63">
        <f ca="1" t="shared" si="0"/>
        <v>0</v>
      </c>
      <c r="P320" s="63">
        <f ca="1" t="shared" si="1"/>
        <v>256</v>
      </c>
      <c r="Q320" s="27" t="e">
        <f>VLOOKUP(B320,辅助信息!E:M,9,FALSE)</f>
        <v>#N/A</v>
      </c>
    </row>
    <row r="321" s="27" customFormat="1" hidden="1" spans="2:17">
      <c r="B321" s="41" t="s">
        <v>80</v>
      </c>
      <c r="C321" s="71">
        <v>45700</v>
      </c>
      <c r="D321" s="41" t="e">
        <f>VLOOKUP(B321,辅助信息!E:K,7,FALSE)</f>
        <v>#N/A</v>
      </c>
      <c r="E321" s="41" t="str">
        <f>VLOOKUP(F321,辅助信息!A:B,2,FALSE)</f>
        <v>螺纹钢</v>
      </c>
      <c r="F321" s="41" t="s">
        <v>27</v>
      </c>
      <c r="G321" s="37">
        <v>15</v>
      </c>
      <c r="H321" s="37" t="e">
        <f>_xlfn._xlws.FILTER(#REF!,#REF!&amp;#REF!&amp;#REF!&amp;#REF!=C321&amp;F321&amp;I321&amp;J321,"未发货")</f>
        <v>#REF!</v>
      </c>
      <c r="I321" s="41" t="e">
        <f>VLOOKUP(B321,辅助信息!E:I,3,FALSE)</f>
        <v>#N/A</v>
      </c>
      <c r="J321" s="41" t="e">
        <f>VLOOKUP(B321,辅助信息!E:I,4,FALSE)</f>
        <v>#N/A</v>
      </c>
      <c r="K321" s="80" t="e">
        <f>VLOOKUP(J321,辅助信息!H:I,2,FALSE)</f>
        <v>#N/A</v>
      </c>
      <c r="L321" s="79"/>
      <c r="M321" s="92">
        <v>45703</v>
      </c>
      <c r="N321" s="92"/>
      <c r="O321" s="63">
        <f ca="1" t="shared" si="0"/>
        <v>0</v>
      </c>
      <c r="P321" s="63">
        <f ca="1" t="shared" si="1"/>
        <v>256</v>
      </c>
      <c r="Q321" s="27" t="e">
        <f>VLOOKUP(B321,辅助信息!E:M,9,FALSE)</f>
        <v>#N/A</v>
      </c>
    </row>
    <row r="322" s="27" customFormat="1" hidden="1" spans="2:17">
      <c r="B322" s="41" t="s">
        <v>80</v>
      </c>
      <c r="C322" s="71">
        <v>45700</v>
      </c>
      <c r="D322" s="41" t="e">
        <f>VLOOKUP(B322,辅助信息!E:K,7,FALSE)</f>
        <v>#N/A</v>
      </c>
      <c r="E322" s="41" t="str">
        <f>VLOOKUP(F322,辅助信息!A:B,2,FALSE)</f>
        <v>螺纹钢</v>
      </c>
      <c r="F322" s="41" t="s">
        <v>19</v>
      </c>
      <c r="G322" s="37">
        <v>6</v>
      </c>
      <c r="H322" s="37" t="e">
        <f>_xlfn._xlws.FILTER(#REF!,#REF!&amp;#REF!&amp;#REF!&amp;#REF!=C322&amp;F322&amp;I322&amp;J322,"未发货")</f>
        <v>#REF!</v>
      </c>
      <c r="I322" s="41" t="e">
        <f>VLOOKUP(B322,辅助信息!E:I,3,FALSE)</f>
        <v>#N/A</v>
      </c>
      <c r="J322" s="41" t="e">
        <f>VLOOKUP(B322,辅助信息!E:I,4,FALSE)</f>
        <v>#N/A</v>
      </c>
      <c r="K322" s="80" t="e">
        <f>VLOOKUP(J322,辅助信息!H:I,2,FALSE)</f>
        <v>#N/A</v>
      </c>
      <c r="L322" s="79"/>
      <c r="M322" s="92">
        <v>45703</v>
      </c>
      <c r="N322" s="92"/>
      <c r="O322" s="63">
        <f ca="1" t="shared" si="0"/>
        <v>0</v>
      </c>
      <c r="P322" s="63">
        <f ca="1" t="shared" si="1"/>
        <v>256</v>
      </c>
      <c r="Q322" s="27" t="e">
        <f>VLOOKUP(B322,辅助信息!E:M,9,FALSE)</f>
        <v>#N/A</v>
      </c>
    </row>
    <row r="323" s="27" customFormat="1" hidden="1" spans="2:17">
      <c r="B323" s="41" t="s">
        <v>80</v>
      </c>
      <c r="C323" s="71">
        <v>45700</v>
      </c>
      <c r="D323" s="41" t="e">
        <f>VLOOKUP(B323,辅助信息!E:K,7,FALSE)</f>
        <v>#N/A</v>
      </c>
      <c r="E323" s="41" t="str">
        <f>VLOOKUP(F323,辅助信息!A:B,2,FALSE)</f>
        <v>螺纹钢</v>
      </c>
      <c r="F323" s="41" t="s">
        <v>32</v>
      </c>
      <c r="G323" s="37">
        <v>12</v>
      </c>
      <c r="H323" s="37" t="e">
        <f>_xlfn._xlws.FILTER(#REF!,#REF!&amp;#REF!&amp;#REF!&amp;#REF!=C323&amp;F323&amp;I323&amp;J323,"未发货")</f>
        <v>#REF!</v>
      </c>
      <c r="I323" s="41" t="e">
        <f>VLOOKUP(B323,辅助信息!E:I,3,FALSE)</f>
        <v>#N/A</v>
      </c>
      <c r="J323" s="41" t="e">
        <f>VLOOKUP(B323,辅助信息!E:I,4,FALSE)</f>
        <v>#N/A</v>
      </c>
      <c r="K323" s="80" t="e">
        <f>VLOOKUP(J323,辅助信息!H:I,2,FALSE)</f>
        <v>#N/A</v>
      </c>
      <c r="L323" s="79"/>
      <c r="M323" s="92">
        <v>45703</v>
      </c>
      <c r="N323" s="92"/>
      <c r="O323" s="63">
        <f ca="1" t="shared" si="0"/>
        <v>0</v>
      </c>
      <c r="P323" s="63">
        <f ca="1" t="shared" si="1"/>
        <v>256</v>
      </c>
      <c r="Q323" s="27" t="e">
        <f>VLOOKUP(B323,辅助信息!E:M,9,FALSE)</f>
        <v>#N/A</v>
      </c>
    </row>
    <row r="324" s="27" customFormat="1" hidden="1" spans="2:17">
      <c r="B324" s="41" t="s">
        <v>80</v>
      </c>
      <c r="C324" s="71">
        <v>45700</v>
      </c>
      <c r="D324" s="41" t="e">
        <f>VLOOKUP(B324,辅助信息!E:K,7,FALSE)</f>
        <v>#N/A</v>
      </c>
      <c r="E324" s="41" t="str">
        <f>VLOOKUP(F324,辅助信息!A:B,2,FALSE)</f>
        <v>螺纹钢</v>
      </c>
      <c r="F324" s="41" t="s">
        <v>30</v>
      </c>
      <c r="G324" s="37">
        <v>12</v>
      </c>
      <c r="H324" s="37" t="e">
        <f>_xlfn._xlws.FILTER(#REF!,#REF!&amp;#REF!&amp;#REF!&amp;#REF!=C324&amp;F324&amp;I324&amp;J324,"未发货")</f>
        <v>#REF!</v>
      </c>
      <c r="I324" s="41" t="e">
        <f>VLOOKUP(B324,辅助信息!E:I,3,FALSE)</f>
        <v>#N/A</v>
      </c>
      <c r="J324" s="41" t="e">
        <f>VLOOKUP(B324,辅助信息!E:I,4,FALSE)</f>
        <v>#N/A</v>
      </c>
      <c r="K324" s="80" t="e">
        <f>VLOOKUP(J324,辅助信息!H:I,2,FALSE)</f>
        <v>#N/A</v>
      </c>
      <c r="L324" s="79"/>
      <c r="M324" s="92">
        <v>45703</v>
      </c>
      <c r="N324" s="92"/>
      <c r="O324" s="63">
        <f ca="1" t="shared" si="0"/>
        <v>0</v>
      </c>
      <c r="P324" s="63">
        <f ca="1" t="shared" si="1"/>
        <v>256</v>
      </c>
      <c r="Q324" s="27" t="e">
        <f>VLOOKUP(B324,辅助信息!E:M,9,FALSE)</f>
        <v>#N/A</v>
      </c>
    </row>
    <row r="325" s="27" customFormat="1" hidden="1" spans="2:17">
      <c r="B325" s="41" t="s">
        <v>80</v>
      </c>
      <c r="C325" s="71">
        <v>45700</v>
      </c>
      <c r="D325" s="41" t="e">
        <f>VLOOKUP(B325,辅助信息!E:K,7,FALSE)</f>
        <v>#N/A</v>
      </c>
      <c r="E325" s="41" t="str">
        <f>VLOOKUP(F325,辅助信息!A:B,2,FALSE)</f>
        <v>螺纹钢</v>
      </c>
      <c r="F325" s="41" t="s">
        <v>33</v>
      </c>
      <c r="G325" s="37">
        <v>6</v>
      </c>
      <c r="H325" s="37" t="e">
        <f>_xlfn._xlws.FILTER(#REF!,#REF!&amp;#REF!&amp;#REF!&amp;#REF!=C325&amp;F325&amp;I325&amp;J325,"未发货")</f>
        <v>#REF!</v>
      </c>
      <c r="I325" s="41" t="e">
        <f>VLOOKUP(B325,辅助信息!E:I,3,FALSE)</f>
        <v>#N/A</v>
      </c>
      <c r="J325" s="41" t="e">
        <f>VLOOKUP(B325,辅助信息!E:I,4,FALSE)</f>
        <v>#N/A</v>
      </c>
      <c r="K325" s="80" t="e">
        <f>VLOOKUP(J325,辅助信息!H:I,2,FALSE)</f>
        <v>#N/A</v>
      </c>
      <c r="L325" s="79"/>
      <c r="M325" s="92">
        <v>45703</v>
      </c>
      <c r="N325" s="92"/>
      <c r="O325" s="63">
        <f ca="1" t="shared" si="0"/>
        <v>0</v>
      </c>
      <c r="P325" s="63">
        <f ca="1" t="shared" si="1"/>
        <v>256</v>
      </c>
      <c r="Q325" s="27" t="e">
        <f>VLOOKUP(B325,辅助信息!E:M,9,FALSE)</f>
        <v>#N/A</v>
      </c>
    </row>
    <row r="326" s="27" customFormat="1" hidden="1" spans="2:17">
      <c r="B326" s="41" t="s">
        <v>80</v>
      </c>
      <c r="C326" s="71">
        <v>45700</v>
      </c>
      <c r="D326" s="41" t="e">
        <f>VLOOKUP(B326,辅助信息!E:K,7,FALSE)</f>
        <v>#N/A</v>
      </c>
      <c r="E326" s="41" t="str">
        <f>VLOOKUP(F326,辅助信息!A:B,2,FALSE)</f>
        <v>螺纹钢</v>
      </c>
      <c r="F326" s="41" t="s">
        <v>28</v>
      </c>
      <c r="G326" s="37">
        <v>6</v>
      </c>
      <c r="H326" s="37" t="e">
        <f>_xlfn._xlws.FILTER(#REF!,#REF!&amp;#REF!&amp;#REF!&amp;#REF!=C326&amp;F326&amp;I326&amp;J326,"未发货")</f>
        <v>#REF!</v>
      </c>
      <c r="I326" s="41" t="e">
        <f>VLOOKUP(B326,辅助信息!E:I,3,FALSE)</f>
        <v>#N/A</v>
      </c>
      <c r="J326" s="41" t="e">
        <f>VLOOKUP(B326,辅助信息!E:I,4,FALSE)</f>
        <v>#N/A</v>
      </c>
      <c r="K326" s="80" t="e">
        <f>VLOOKUP(J326,辅助信息!H:I,2,FALSE)</f>
        <v>#N/A</v>
      </c>
      <c r="L326" s="79"/>
      <c r="M326" s="92">
        <v>45703</v>
      </c>
      <c r="N326" s="92"/>
      <c r="O326" s="63">
        <f ca="1" t="shared" si="0"/>
        <v>0</v>
      </c>
      <c r="P326" s="63">
        <f ca="1" t="shared" si="1"/>
        <v>256</v>
      </c>
      <c r="Q326" s="27" t="e">
        <f>VLOOKUP(B326,辅助信息!E:M,9,FALSE)</f>
        <v>#N/A</v>
      </c>
    </row>
    <row r="327" s="27" customFormat="1" hidden="1" spans="2:17">
      <c r="B327" s="41" t="s">
        <v>80</v>
      </c>
      <c r="C327" s="71">
        <v>45700</v>
      </c>
      <c r="D327" s="41" t="e">
        <f>VLOOKUP(B327,辅助信息!E:K,7,FALSE)</f>
        <v>#N/A</v>
      </c>
      <c r="E327" s="41" t="str">
        <f>VLOOKUP(F327,辅助信息!A:B,2,FALSE)</f>
        <v>螺纹钢</v>
      </c>
      <c r="F327" s="41" t="s">
        <v>18</v>
      </c>
      <c r="G327" s="37">
        <v>6</v>
      </c>
      <c r="H327" s="37" t="e">
        <f>_xlfn._xlws.FILTER(#REF!,#REF!&amp;#REF!&amp;#REF!&amp;#REF!=C327&amp;F327&amp;I327&amp;J327,"未发货")</f>
        <v>#REF!</v>
      </c>
      <c r="I327" s="41" t="e">
        <f>VLOOKUP(B327,辅助信息!E:I,3,FALSE)</f>
        <v>#N/A</v>
      </c>
      <c r="J327" s="41" t="e">
        <f>VLOOKUP(B327,辅助信息!E:I,4,FALSE)</f>
        <v>#N/A</v>
      </c>
      <c r="K327" s="80" t="e">
        <f>VLOOKUP(J327,辅助信息!H:I,2,FALSE)</f>
        <v>#N/A</v>
      </c>
      <c r="L327" s="77"/>
      <c r="M327" s="92">
        <v>45703</v>
      </c>
      <c r="N327" s="92"/>
      <c r="O327" s="63">
        <f ca="1" t="shared" si="0"/>
        <v>0</v>
      </c>
      <c r="P327" s="63">
        <f ca="1" t="shared" si="1"/>
        <v>256</v>
      </c>
      <c r="Q327" s="27" t="e">
        <f>VLOOKUP(B327,辅助信息!E:M,9,FALSE)</f>
        <v>#N/A</v>
      </c>
    </row>
    <row r="328" s="27" customFormat="1" hidden="1" spans="2:17">
      <c r="B328" s="41" t="s">
        <v>73</v>
      </c>
      <c r="C328" s="71">
        <v>45700</v>
      </c>
      <c r="D328" s="41" t="str">
        <f>VLOOKUP(B328,辅助信息!E:K,7,FALSE)</f>
        <v>JWDDCD2025051000019</v>
      </c>
      <c r="E328" s="41" t="str">
        <f>VLOOKUP(F328,辅助信息!A:B,2,FALSE)</f>
        <v>盘螺</v>
      </c>
      <c r="F328" s="41" t="s">
        <v>40</v>
      </c>
      <c r="G328" s="37">
        <v>45</v>
      </c>
      <c r="H328" s="37" t="e">
        <f>_xlfn._xlws.FILTER(#REF!,#REF!&amp;#REF!&amp;#REF!&amp;#REF!=C328&amp;F328&amp;I328&amp;J328,"未发货")</f>
        <v>#REF!</v>
      </c>
      <c r="I328" s="41" t="str">
        <f>VLOOKUP(B328,辅助信息!E:I,3,FALSE)</f>
        <v>(五冶钢构医学科学产业园建设项目房建三部-一标（7-1）)四川省南充市顺庆区搬罾街道学府大道二段</v>
      </c>
      <c r="J328" s="41" t="str">
        <f>VLOOKUP(B328,辅助信息!E:I,4,FALSE)</f>
        <v>郑林</v>
      </c>
      <c r="K328" s="80">
        <f>VLOOKUP(J328,辅助信息!H:I,2,FALSE)</f>
        <v>18349955455</v>
      </c>
      <c r="L328" s="44"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256</v>
      </c>
      <c r="Q328" s="27" t="str">
        <f>VLOOKUP(B328,辅助信息!E:M,9,FALSE)</f>
        <v>ZTWM-CDGS-XS-2024-0248-五冶钢构-南充市医学院项目</v>
      </c>
    </row>
    <row r="329" s="27" customFormat="1" hidden="1" spans="2:17">
      <c r="B329" s="41" t="s">
        <v>73</v>
      </c>
      <c r="C329" s="71">
        <v>45700</v>
      </c>
      <c r="D329" s="41" t="str">
        <f>VLOOKUP(B329,辅助信息!E:K,7,FALSE)</f>
        <v>JWDDCD2025051000019</v>
      </c>
      <c r="E329" s="41" t="str">
        <f>VLOOKUP(F329,辅助信息!A:B,2,FALSE)</f>
        <v>盘螺</v>
      </c>
      <c r="F329" s="41" t="s">
        <v>41</v>
      </c>
      <c r="G329" s="37">
        <v>27</v>
      </c>
      <c r="H329" s="37" t="e">
        <f>_xlfn._xlws.FILTER(#REF!,#REF!&amp;#REF!&amp;#REF!&amp;#REF!=C329&amp;F329&amp;I329&amp;J329,"未发货")</f>
        <v>#REF!</v>
      </c>
      <c r="I329" s="41" t="str">
        <f>VLOOKUP(B329,辅助信息!E:I,3,FALSE)</f>
        <v>(五冶钢构医学科学产业园建设项目房建三部-一标（7-1）)四川省南充市顺庆区搬罾街道学府大道二段</v>
      </c>
      <c r="J329" s="41" t="str">
        <f>VLOOKUP(B329,辅助信息!E:I,4,FALSE)</f>
        <v>郑林</v>
      </c>
      <c r="K329" s="80">
        <f>VLOOKUP(J329,辅助信息!H:I,2,FALSE)</f>
        <v>18349955455</v>
      </c>
      <c r="L329" s="79"/>
      <c r="M329" s="92">
        <v>45703</v>
      </c>
      <c r="N329" s="92"/>
      <c r="O329" s="63">
        <f ca="1" t="shared" si="0"/>
        <v>0</v>
      </c>
      <c r="P329" s="63">
        <f ca="1" t="shared" si="1"/>
        <v>256</v>
      </c>
      <c r="Q329" s="27" t="str">
        <f>VLOOKUP(B329,辅助信息!E:M,9,FALSE)</f>
        <v>ZTWM-CDGS-XS-2024-0248-五冶钢构-南充市医学院项目</v>
      </c>
    </row>
    <row r="330" s="27" customFormat="1" hidden="1" spans="2:17">
      <c r="B330" s="41" t="s">
        <v>73</v>
      </c>
      <c r="C330" s="71">
        <v>45700</v>
      </c>
      <c r="D330" s="41" t="str">
        <f>VLOOKUP(B330,辅助信息!E:K,7,FALSE)</f>
        <v>JWDDCD2025051000019</v>
      </c>
      <c r="E330" s="41" t="str">
        <f>VLOOKUP(F330,辅助信息!A:B,2,FALSE)</f>
        <v>盘螺</v>
      </c>
      <c r="F330" s="41" t="s">
        <v>26</v>
      </c>
      <c r="G330" s="37">
        <v>33</v>
      </c>
      <c r="H330" s="37" t="e">
        <f>_xlfn._xlws.FILTER(#REF!,#REF!&amp;#REF!&amp;#REF!&amp;#REF!=C330&amp;F330&amp;I330&amp;J330,"未发货")</f>
        <v>#REF!</v>
      </c>
      <c r="I330" s="41" t="str">
        <f>VLOOKUP(B330,辅助信息!E:I,3,FALSE)</f>
        <v>(五冶钢构医学科学产业园建设项目房建三部-一标（7-1）)四川省南充市顺庆区搬罾街道学府大道二段</v>
      </c>
      <c r="J330" s="41" t="str">
        <f>VLOOKUP(B330,辅助信息!E:I,4,FALSE)</f>
        <v>郑林</v>
      </c>
      <c r="K330" s="80">
        <f>VLOOKUP(J330,辅助信息!H:I,2,FALSE)</f>
        <v>18349955455</v>
      </c>
      <c r="L330" s="79"/>
      <c r="M330" s="92">
        <v>45703</v>
      </c>
      <c r="N330" s="92"/>
      <c r="O330" s="63">
        <f ca="1" t="shared" si="0"/>
        <v>0</v>
      </c>
      <c r="P330" s="63">
        <f ca="1" t="shared" si="1"/>
        <v>256</v>
      </c>
      <c r="Q330" s="27" t="str">
        <f>VLOOKUP(B330,辅助信息!E:M,9,FALSE)</f>
        <v>ZTWM-CDGS-XS-2024-0248-五冶钢构-南充市医学院项目</v>
      </c>
    </row>
    <row r="331" s="27" customFormat="1" hidden="1" spans="2:17">
      <c r="B331" s="41" t="s">
        <v>73</v>
      </c>
      <c r="C331" s="71">
        <v>45700</v>
      </c>
      <c r="D331" s="41" t="str">
        <f>VLOOKUP(B331,辅助信息!E:K,7,FALSE)</f>
        <v>JWDDCD2025051000019</v>
      </c>
      <c r="E331" s="41" t="str">
        <f>VLOOKUP(F331,辅助信息!A:B,2,FALSE)</f>
        <v>螺纹钢</v>
      </c>
      <c r="F331" s="41" t="s">
        <v>22</v>
      </c>
      <c r="G331" s="37">
        <v>35</v>
      </c>
      <c r="H331" s="37" t="e">
        <f>_xlfn._xlws.FILTER(#REF!,#REF!&amp;#REF!&amp;#REF!&amp;#REF!=C331&amp;F331&amp;I331&amp;J331,"未发货")</f>
        <v>#REF!</v>
      </c>
      <c r="I331" s="41" t="str">
        <f>VLOOKUP(B331,辅助信息!E:I,3,FALSE)</f>
        <v>(五冶钢构医学科学产业园建设项目房建三部-一标（7-1）)四川省南充市顺庆区搬罾街道学府大道二段</v>
      </c>
      <c r="J331" s="41" t="str">
        <f>VLOOKUP(B331,辅助信息!E:I,4,FALSE)</f>
        <v>郑林</v>
      </c>
      <c r="K331" s="80">
        <f>VLOOKUP(J331,辅助信息!H:I,2,FALSE)</f>
        <v>18349955455</v>
      </c>
      <c r="L331" s="77"/>
      <c r="M331" s="92">
        <v>45703</v>
      </c>
      <c r="N331" s="92"/>
      <c r="O331" s="63">
        <f ca="1" t="shared" si="0"/>
        <v>0</v>
      </c>
      <c r="P331" s="63">
        <f ca="1" t="shared" si="1"/>
        <v>256</v>
      </c>
      <c r="Q331" s="27" t="str">
        <f>VLOOKUP(B331,辅助信息!E:M,9,FALSE)</f>
        <v>ZTWM-CDGS-XS-2024-0248-五冶钢构-南充市医学院项目</v>
      </c>
    </row>
    <row r="332" s="27" customFormat="1" hidden="1" spans="2:17">
      <c r="B332" s="41" t="s">
        <v>44</v>
      </c>
      <c r="C332" s="71">
        <v>45700</v>
      </c>
      <c r="D332" s="41" t="str">
        <f>VLOOKUP(B332,辅助信息!E:K,7,FALSE)</f>
        <v>JWDDCD2025060600053</v>
      </c>
      <c r="E332" s="41" t="str">
        <f>VLOOKUP(F332,辅助信息!A:B,2,FALSE)</f>
        <v>盘螺</v>
      </c>
      <c r="F332" s="41" t="s">
        <v>49</v>
      </c>
      <c r="G332" s="37">
        <v>10</v>
      </c>
      <c r="H332" s="37" t="e">
        <f>_xlfn._xlws.FILTER(#REF!,#REF!&amp;#REF!&amp;#REF!&amp;#REF!=C332&amp;F332&amp;I332&amp;J332,"未发货")</f>
        <v>#REF!</v>
      </c>
      <c r="I332" s="41" t="str">
        <f>VLOOKUP(B332,辅助信息!E:I,3,FALSE)</f>
        <v>（华西酒城南）成都市武侯区火车南站西路8号酒城南项目</v>
      </c>
      <c r="J332" s="41" t="str">
        <f>VLOOKUP(B332,辅助信息!E:I,4,FALSE)</f>
        <v>龙耀宇</v>
      </c>
      <c r="K332" s="80">
        <f>VLOOKUP(J332,辅助信息!H:I,2,FALSE)</f>
        <v>18384145895</v>
      </c>
      <c r="L332" s="44" t="str">
        <f>VLOOKUP(B332,辅助信息!E:J,6,FALSE)</f>
        <v>对方卸车</v>
      </c>
      <c r="M332" s="92">
        <v>45702</v>
      </c>
      <c r="N332" s="92"/>
      <c r="O332" s="63">
        <f ca="1" t="shared" si="0"/>
        <v>0</v>
      </c>
      <c r="P332" s="63">
        <f ca="1" t="shared" si="1"/>
        <v>257</v>
      </c>
      <c r="Q332" s="27" t="str">
        <f>VLOOKUP(B332,辅助信息!E:M,9,FALSE)</f>
        <v>ZTWM-CDGS-XS-2024-0189-华西集采-酒城南项目</v>
      </c>
    </row>
    <row r="333" s="27" customFormat="1" hidden="1" spans="2:17">
      <c r="B333" s="41" t="s">
        <v>44</v>
      </c>
      <c r="C333" s="71">
        <v>45700</v>
      </c>
      <c r="D333" s="41" t="str">
        <f>VLOOKUP(B333,辅助信息!E:K,7,FALSE)</f>
        <v>JWDDCD2025060600053</v>
      </c>
      <c r="E333" s="41" t="str">
        <f>VLOOKUP(F333,辅助信息!A:B,2,FALSE)</f>
        <v>盘螺</v>
      </c>
      <c r="F333" s="41" t="s">
        <v>40</v>
      </c>
      <c r="G333" s="37">
        <v>42</v>
      </c>
      <c r="H333" s="37" t="e">
        <f>_xlfn._xlws.FILTER(#REF!,#REF!&amp;#REF!&amp;#REF!&amp;#REF!=C333&amp;F333&amp;I333&amp;J333,"未发货")</f>
        <v>#REF!</v>
      </c>
      <c r="I333" s="41" t="str">
        <f>VLOOKUP(B333,辅助信息!E:I,3,FALSE)</f>
        <v>（华西酒城南）成都市武侯区火车南站西路8号酒城南项目</v>
      </c>
      <c r="J333" s="41" t="str">
        <f>VLOOKUP(B333,辅助信息!E:I,4,FALSE)</f>
        <v>龙耀宇</v>
      </c>
      <c r="K333" s="80">
        <f>VLOOKUP(J333,辅助信息!H:I,2,FALSE)</f>
        <v>18384145895</v>
      </c>
      <c r="L333" s="79"/>
      <c r="M333" s="92">
        <v>45702</v>
      </c>
      <c r="N333" s="92"/>
      <c r="O333" s="63">
        <f ca="1" t="shared" si="0"/>
        <v>0</v>
      </c>
      <c r="P333" s="63">
        <f ca="1" t="shared" si="1"/>
        <v>257</v>
      </c>
      <c r="Q333" s="27" t="str">
        <f>VLOOKUP(B333,辅助信息!E:M,9,FALSE)</f>
        <v>ZTWM-CDGS-XS-2024-0189-华西集采-酒城南项目</v>
      </c>
    </row>
    <row r="334" s="27" customFormat="1" hidden="1" spans="2:17">
      <c r="B334" s="41" t="s">
        <v>44</v>
      </c>
      <c r="C334" s="71">
        <v>45700</v>
      </c>
      <c r="D334" s="41" t="str">
        <f>VLOOKUP(B334,辅助信息!E:K,7,FALSE)</f>
        <v>JWDDCD2025060600053</v>
      </c>
      <c r="E334" s="41" t="str">
        <f>VLOOKUP(F334,辅助信息!A:B,2,FALSE)</f>
        <v>盘螺</v>
      </c>
      <c r="F334" s="41" t="s">
        <v>41</v>
      </c>
      <c r="G334" s="37">
        <v>9</v>
      </c>
      <c r="H334" s="37" t="e">
        <f>_xlfn._xlws.FILTER(#REF!,#REF!&amp;#REF!&amp;#REF!&amp;#REF!=C334&amp;F334&amp;I334&amp;J334,"未发货")</f>
        <v>#REF!</v>
      </c>
      <c r="I334" s="41" t="str">
        <f>VLOOKUP(B334,辅助信息!E:I,3,FALSE)</f>
        <v>（华西酒城南）成都市武侯区火车南站西路8号酒城南项目</v>
      </c>
      <c r="J334" s="41" t="str">
        <f>VLOOKUP(B334,辅助信息!E:I,4,FALSE)</f>
        <v>龙耀宇</v>
      </c>
      <c r="K334" s="80">
        <f>VLOOKUP(J334,辅助信息!H:I,2,FALSE)</f>
        <v>18384145895</v>
      </c>
      <c r="L334" s="79"/>
      <c r="M334" s="92">
        <v>45702</v>
      </c>
      <c r="N334" s="92"/>
      <c r="O334" s="63">
        <f ca="1" t="shared" si="0"/>
        <v>0</v>
      </c>
      <c r="P334" s="63">
        <f ca="1" t="shared" si="1"/>
        <v>257</v>
      </c>
      <c r="Q334" s="27" t="str">
        <f>VLOOKUP(B334,辅助信息!E:M,9,FALSE)</f>
        <v>ZTWM-CDGS-XS-2024-0189-华西集采-酒城南项目</v>
      </c>
    </row>
    <row r="335" s="27" customFormat="1" hidden="1" spans="2:17">
      <c r="B335" s="41" t="s">
        <v>44</v>
      </c>
      <c r="C335" s="71">
        <v>45700</v>
      </c>
      <c r="D335" s="41" t="str">
        <f>VLOOKUP(B335,辅助信息!E:K,7,FALSE)</f>
        <v>JWDDCD2025060600053</v>
      </c>
      <c r="E335" s="41" t="str">
        <f>VLOOKUP(F335,辅助信息!A:B,2,FALSE)</f>
        <v>盘螺</v>
      </c>
      <c r="F335" s="41" t="s">
        <v>26</v>
      </c>
      <c r="G335" s="37">
        <v>10</v>
      </c>
      <c r="H335" s="37" t="e">
        <f>_xlfn._xlws.FILTER(#REF!,#REF!&amp;#REF!&amp;#REF!&amp;#REF!=C335&amp;F335&amp;I335&amp;J335,"未发货")</f>
        <v>#REF!</v>
      </c>
      <c r="I335" s="41" t="str">
        <f>VLOOKUP(B335,辅助信息!E:I,3,FALSE)</f>
        <v>（华西酒城南）成都市武侯区火车南站西路8号酒城南项目</v>
      </c>
      <c r="J335" s="41" t="str">
        <f>VLOOKUP(B335,辅助信息!E:I,4,FALSE)</f>
        <v>龙耀宇</v>
      </c>
      <c r="K335" s="80">
        <f>VLOOKUP(J335,辅助信息!H:I,2,FALSE)</f>
        <v>18384145895</v>
      </c>
      <c r="L335" s="77"/>
      <c r="M335" s="92">
        <v>45702</v>
      </c>
      <c r="N335" s="92"/>
      <c r="O335" s="63">
        <f ca="1" t="shared" si="0"/>
        <v>0</v>
      </c>
      <c r="P335" s="63">
        <f ca="1" t="shared" si="1"/>
        <v>257</v>
      </c>
      <c r="Q335" s="27" t="str">
        <f>VLOOKUP(B335,辅助信息!E:M,9,FALSE)</f>
        <v>ZTWM-CDGS-XS-2024-0189-华西集采-酒城南项目</v>
      </c>
    </row>
    <row r="336" s="27" customFormat="1" hidden="1" spans="2:17">
      <c r="B336" s="41" t="s">
        <v>80</v>
      </c>
      <c r="C336" s="71">
        <v>45701</v>
      </c>
      <c r="D336" s="41" t="e">
        <f>VLOOKUP(B336,辅助信息!E:K,7,FALSE)</f>
        <v>#N/A</v>
      </c>
      <c r="E336" s="41" t="str">
        <f>VLOOKUP(F336,辅助信息!A:B,2,FALSE)</f>
        <v>盘螺</v>
      </c>
      <c r="F336" s="41" t="s">
        <v>49</v>
      </c>
      <c r="G336" s="37">
        <v>7.5</v>
      </c>
      <c r="H336" s="37" t="e">
        <f>_xlfn._xlws.FILTER(#REF!,#REF!&amp;#REF!&amp;#REF!&amp;#REF!=C336&amp;F336&amp;I336&amp;J336,"未发货")</f>
        <v>#REF!</v>
      </c>
      <c r="I336" s="41" t="e">
        <f>VLOOKUP(B336,辅助信息!E:I,3,FALSE)</f>
        <v>#N/A</v>
      </c>
      <c r="J336" s="41" t="e">
        <f>VLOOKUP(B336,辅助信息!E:I,4,FALSE)</f>
        <v>#N/A</v>
      </c>
      <c r="K336" s="41" t="e">
        <f>VLOOKUP(J336,辅助信息!H:I,2,FALSE)</f>
        <v>#N/A</v>
      </c>
      <c r="L336" s="44" t="e">
        <f>VLOOKUP(B336,辅助信息!E:J,6,FALSE)</f>
        <v>#N/A</v>
      </c>
      <c r="M336" s="92">
        <v>45703</v>
      </c>
      <c r="N336" s="92"/>
      <c r="O336" s="63">
        <f ca="1" t="shared" si="0"/>
        <v>0</v>
      </c>
      <c r="P336" s="63">
        <f ca="1" t="shared" si="1"/>
        <v>256</v>
      </c>
      <c r="Q336" s="27" t="e">
        <f>VLOOKUP(B336,辅助信息!E:M,9,FALSE)</f>
        <v>#N/A</v>
      </c>
    </row>
    <row r="337" s="27" customFormat="1" hidden="1" spans="2:17">
      <c r="B337" s="41" t="s">
        <v>80</v>
      </c>
      <c r="C337" s="71">
        <v>45701</v>
      </c>
      <c r="D337" s="41" t="e">
        <f>VLOOKUP(B337,辅助信息!E:K,7,FALSE)</f>
        <v>#N/A</v>
      </c>
      <c r="E337" s="41" t="str">
        <f>VLOOKUP(F337,辅助信息!A:B,2,FALSE)</f>
        <v>盘螺</v>
      </c>
      <c r="F337" s="41" t="s">
        <v>40</v>
      </c>
      <c r="G337" s="37">
        <v>15</v>
      </c>
      <c r="H337" s="37" t="e">
        <f>_xlfn._xlws.FILTER(#REF!,#REF!&amp;#REF!&amp;#REF!&amp;#REF!=C337&amp;F337&amp;I337&amp;J337,"未发货")</f>
        <v>#REF!</v>
      </c>
      <c r="I337" s="41" t="e">
        <f>VLOOKUP(B337,辅助信息!E:I,3,FALSE)</f>
        <v>#N/A</v>
      </c>
      <c r="J337" s="41" t="e">
        <f>VLOOKUP(B337,辅助信息!E:I,4,FALSE)</f>
        <v>#N/A</v>
      </c>
      <c r="K337" s="41" t="e">
        <f>VLOOKUP(J337,辅助信息!H:I,2,FALSE)</f>
        <v>#N/A</v>
      </c>
      <c r="L337" s="79"/>
      <c r="M337" s="92">
        <v>45703</v>
      </c>
      <c r="N337" s="92"/>
      <c r="O337" s="63">
        <f ca="1" t="shared" si="0"/>
        <v>0</v>
      </c>
      <c r="P337" s="63">
        <f ca="1" t="shared" si="1"/>
        <v>256</v>
      </c>
      <c r="Q337" s="27" t="e">
        <f>VLOOKUP(B337,辅助信息!E:M,9,FALSE)</f>
        <v>#N/A</v>
      </c>
    </row>
    <row r="338" s="27" customFormat="1" hidden="1" spans="2:17">
      <c r="B338" s="41" t="s">
        <v>80</v>
      </c>
      <c r="C338" s="71">
        <v>45701</v>
      </c>
      <c r="D338" s="41" t="e">
        <f>VLOOKUP(B338,辅助信息!E:K,7,FALSE)</f>
        <v>#N/A</v>
      </c>
      <c r="E338" s="41" t="str">
        <f>VLOOKUP(F338,辅助信息!A:B,2,FALSE)</f>
        <v>螺纹钢</v>
      </c>
      <c r="F338" s="41" t="s">
        <v>30</v>
      </c>
      <c r="G338" s="37">
        <v>12</v>
      </c>
      <c r="H338" s="37" t="e">
        <f>_xlfn._xlws.FILTER(#REF!,#REF!&amp;#REF!&amp;#REF!&amp;#REF!=C338&amp;F338&amp;I338&amp;J338,"未发货")</f>
        <v>#REF!</v>
      </c>
      <c r="I338" s="41" t="e">
        <f>VLOOKUP(B338,辅助信息!E:I,3,FALSE)</f>
        <v>#N/A</v>
      </c>
      <c r="J338" s="41" t="e">
        <f>VLOOKUP(B338,辅助信息!E:I,4,FALSE)</f>
        <v>#N/A</v>
      </c>
      <c r="K338" s="41" t="e">
        <f>VLOOKUP(J338,辅助信息!H:I,2,FALSE)</f>
        <v>#N/A</v>
      </c>
      <c r="L338" s="77"/>
      <c r="M338" s="92">
        <v>45703</v>
      </c>
      <c r="N338" s="92"/>
      <c r="O338" s="63">
        <f ca="1" t="shared" si="0"/>
        <v>0</v>
      </c>
      <c r="P338" s="63">
        <f ca="1" t="shared" si="1"/>
        <v>256</v>
      </c>
      <c r="Q338" s="27" t="e">
        <f>VLOOKUP(B338,辅助信息!E:M,9,FALSE)</f>
        <v>#N/A</v>
      </c>
    </row>
    <row r="339" s="27" customFormat="1" hidden="1" spans="2:17">
      <c r="B339" s="41" t="s">
        <v>73</v>
      </c>
      <c r="C339" s="71">
        <v>45701</v>
      </c>
      <c r="D339" s="41" t="str">
        <f>VLOOKUP(B339,辅助信息!E:K,7,FALSE)</f>
        <v>JWDDCD2025051000019</v>
      </c>
      <c r="E339" s="41" t="str">
        <f>VLOOKUP(F339,辅助信息!A:B,2,FALSE)</f>
        <v>盘螺</v>
      </c>
      <c r="F339" s="41" t="s">
        <v>40</v>
      </c>
      <c r="G339" s="37">
        <v>45</v>
      </c>
      <c r="H339" s="37" t="e">
        <f>_xlfn._xlws.FILTER(#REF!,#REF!&amp;#REF!&amp;#REF!&amp;#REF!=C339&amp;F339&amp;I339&amp;J339,"未发货")</f>
        <v>#REF!</v>
      </c>
      <c r="I339" s="41" t="str">
        <f>VLOOKUP(B339,辅助信息!E:I,3,FALSE)</f>
        <v>(五冶钢构医学科学产业园建设项目房建三部-一标（7-1）)四川省南充市顺庆区搬罾街道学府大道二段</v>
      </c>
      <c r="J339" s="41" t="str">
        <f>VLOOKUP(B339,辅助信息!E:I,4,FALSE)</f>
        <v>郑林</v>
      </c>
      <c r="K339" s="41">
        <f>VLOOKUP(J339,辅助信息!H:I,2,FALSE)</f>
        <v>18349955455</v>
      </c>
      <c r="L339" s="44"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256</v>
      </c>
      <c r="Q339" s="27" t="str">
        <f>VLOOKUP(B339,辅助信息!E:M,9,FALSE)</f>
        <v>ZTWM-CDGS-XS-2024-0248-五冶钢构-南充市医学院项目</v>
      </c>
    </row>
    <row r="340" s="27" customFormat="1" hidden="1" spans="2:17">
      <c r="B340" s="41" t="s">
        <v>73</v>
      </c>
      <c r="C340" s="71">
        <v>45701</v>
      </c>
      <c r="D340" s="41" t="str">
        <f>VLOOKUP(B340,辅助信息!E:K,7,FALSE)</f>
        <v>JWDDCD2025051000019</v>
      </c>
      <c r="E340" s="41" t="str">
        <f>VLOOKUP(F340,辅助信息!A:B,2,FALSE)</f>
        <v>盘螺</v>
      </c>
      <c r="F340" s="41" t="s">
        <v>41</v>
      </c>
      <c r="G340" s="37">
        <v>7</v>
      </c>
      <c r="H340" s="37" t="e">
        <f>_xlfn._xlws.FILTER(#REF!,#REF!&amp;#REF!&amp;#REF!&amp;#REF!=C340&amp;F340&amp;I340&amp;J340,"未发货")</f>
        <v>#REF!</v>
      </c>
      <c r="I340" s="41" t="str">
        <f>VLOOKUP(B340,辅助信息!E:I,3,FALSE)</f>
        <v>(五冶钢构医学科学产业园建设项目房建三部-一标（7-1）)四川省南充市顺庆区搬罾街道学府大道二段</v>
      </c>
      <c r="J340" s="41" t="str">
        <f>VLOOKUP(B340,辅助信息!E:I,4,FALSE)</f>
        <v>郑林</v>
      </c>
      <c r="K340" s="41">
        <f>VLOOKUP(J340,辅助信息!H:I,2,FALSE)</f>
        <v>18349955455</v>
      </c>
      <c r="L340" s="79"/>
      <c r="M340" s="92">
        <v>45703</v>
      </c>
      <c r="N340" s="92"/>
      <c r="O340" s="63">
        <f ca="1" t="shared" si="0"/>
        <v>0</v>
      </c>
      <c r="P340" s="63">
        <f ca="1" t="shared" si="1"/>
        <v>256</v>
      </c>
      <c r="Q340" s="27" t="str">
        <f>VLOOKUP(B340,辅助信息!E:M,9,FALSE)</f>
        <v>ZTWM-CDGS-XS-2024-0248-五冶钢构-南充市医学院项目</v>
      </c>
    </row>
    <row r="341" s="27" customFormat="1" hidden="1" spans="2:17">
      <c r="B341" s="41" t="s">
        <v>73</v>
      </c>
      <c r="C341" s="71">
        <v>45701</v>
      </c>
      <c r="D341" s="41" t="str">
        <f>VLOOKUP(B341,辅助信息!E:K,7,FALSE)</f>
        <v>JWDDCD2025051000019</v>
      </c>
      <c r="E341" s="41" t="str">
        <f>VLOOKUP(F341,辅助信息!A:B,2,FALSE)</f>
        <v>盘螺</v>
      </c>
      <c r="F341" s="41" t="s">
        <v>26</v>
      </c>
      <c r="G341" s="37">
        <f>33-15</f>
        <v>18</v>
      </c>
      <c r="H341" s="37" t="e">
        <f>_xlfn._xlws.FILTER(#REF!,#REF!&amp;#REF!&amp;#REF!&amp;#REF!=C341&amp;F341&amp;I341&amp;J341,"未发货")</f>
        <v>#REF!</v>
      </c>
      <c r="I341" s="41" t="str">
        <f>VLOOKUP(B341,辅助信息!E:I,3,FALSE)</f>
        <v>(五冶钢构医学科学产业园建设项目房建三部-一标（7-1）)四川省南充市顺庆区搬罾街道学府大道二段</v>
      </c>
      <c r="J341" s="41" t="str">
        <f>VLOOKUP(B341,辅助信息!E:I,4,FALSE)</f>
        <v>郑林</v>
      </c>
      <c r="K341" s="41">
        <f>VLOOKUP(J341,辅助信息!H:I,2,FALSE)</f>
        <v>18349955455</v>
      </c>
      <c r="L341" s="77"/>
      <c r="M341" s="92">
        <v>45703</v>
      </c>
      <c r="N341" s="92"/>
      <c r="O341" s="63">
        <f ca="1" t="shared" si="0"/>
        <v>0</v>
      </c>
      <c r="P341" s="63">
        <f ca="1" t="shared" si="1"/>
        <v>256</v>
      </c>
      <c r="Q341" s="27" t="str">
        <f>VLOOKUP(B341,辅助信息!E:M,9,FALSE)</f>
        <v>ZTWM-CDGS-XS-2024-0248-五冶钢构-南充市医学院项目</v>
      </c>
    </row>
    <row r="342" s="27" customFormat="1" hidden="1" spans="2:17">
      <c r="B342" s="41" t="s">
        <v>44</v>
      </c>
      <c r="C342" s="71">
        <v>45701</v>
      </c>
      <c r="D342" s="41" t="str">
        <f>VLOOKUP(B342,辅助信息!E:K,7,FALSE)</f>
        <v>JWDDCD2025060600053</v>
      </c>
      <c r="E342" s="41" t="str">
        <f>VLOOKUP(F342,辅助信息!A:B,2,FALSE)</f>
        <v>盘螺</v>
      </c>
      <c r="F342" s="41" t="s">
        <v>49</v>
      </c>
      <c r="G342" s="37">
        <v>10</v>
      </c>
      <c r="H342" s="37" t="e">
        <f>_xlfn._xlws.FILTER(#REF!,#REF!&amp;#REF!&amp;#REF!&amp;#REF!=C342&amp;F342&amp;I342&amp;J342,"未发货")</f>
        <v>#REF!</v>
      </c>
      <c r="I342" s="41" t="str">
        <f>VLOOKUP(B342,辅助信息!E:I,3,FALSE)</f>
        <v>（华西酒城南）成都市武侯区火车南站西路8号酒城南项目</v>
      </c>
      <c r="J342" s="41" t="str">
        <f>VLOOKUP(B342,辅助信息!E:I,4,FALSE)</f>
        <v>龙耀宇</v>
      </c>
      <c r="K342" s="41">
        <f>VLOOKUP(J342,辅助信息!H:I,2,FALSE)</f>
        <v>18384145895</v>
      </c>
      <c r="L342" s="44" t="str">
        <f>VLOOKUP(B342,辅助信息!E:J,6,FALSE)</f>
        <v>对方卸车</v>
      </c>
      <c r="M342" s="92">
        <v>45702</v>
      </c>
      <c r="N342" s="92"/>
      <c r="O342" s="63">
        <f ca="1" t="shared" si="0"/>
        <v>0</v>
      </c>
      <c r="P342" s="63">
        <f ca="1" t="shared" si="1"/>
        <v>257</v>
      </c>
      <c r="Q342" s="27" t="str">
        <f>VLOOKUP(B342,辅助信息!E:M,9,FALSE)</f>
        <v>ZTWM-CDGS-XS-2024-0189-华西集采-酒城南项目</v>
      </c>
    </row>
    <row r="343" s="27" customFormat="1" hidden="1" spans="2:17">
      <c r="B343" s="41" t="s">
        <v>44</v>
      </c>
      <c r="C343" s="71">
        <v>45701</v>
      </c>
      <c r="D343" s="41" t="str">
        <f>VLOOKUP(B343,辅助信息!E:K,7,FALSE)</f>
        <v>JWDDCD2025060600053</v>
      </c>
      <c r="E343" s="41" t="str">
        <f>VLOOKUP(F343,辅助信息!A:B,2,FALSE)</f>
        <v>盘螺</v>
      </c>
      <c r="F343" s="41" t="s">
        <v>40</v>
      </c>
      <c r="G343" s="37">
        <v>42</v>
      </c>
      <c r="H343" s="37" t="e">
        <f>_xlfn._xlws.FILTER(#REF!,#REF!&amp;#REF!&amp;#REF!&amp;#REF!=C343&amp;F343&amp;I343&amp;J343,"未发货")</f>
        <v>#REF!</v>
      </c>
      <c r="I343" s="41" t="str">
        <f>VLOOKUP(B343,辅助信息!E:I,3,FALSE)</f>
        <v>（华西酒城南）成都市武侯区火车南站西路8号酒城南项目</v>
      </c>
      <c r="J343" s="41" t="str">
        <f>VLOOKUP(B343,辅助信息!E:I,4,FALSE)</f>
        <v>龙耀宇</v>
      </c>
      <c r="K343" s="41">
        <f>VLOOKUP(J343,辅助信息!H:I,2,FALSE)</f>
        <v>18384145895</v>
      </c>
      <c r="L343" s="79"/>
      <c r="M343" s="92">
        <v>45702</v>
      </c>
      <c r="N343" s="92"/>
      <c r="O343" s="63">
        <f ca="1" t="shared" si="0"/>
        <v>0</v>
      </c>
      <c r="P343" s="63">
        <f ca="1" t="shared" si="1"/>
        <v>257</v>
      </c>
      <c r="Q343" s="27" t="str">
        <f>VLOOKUP(B343,辅助信息!E:M,9,FALSE)</f>
        <v>ZTWM-CDGS-XS-2024-0189-华西集采-酒城南项目</v>
      </c>
    </row>
    <row r="344" s="27" customFormat="1" hidden="1" spans="2:17">
      <c r="B344" s="41" t="s">
        <v>44</v>
      </c>
      <c r="C344" s="71">
        <v>45701</v>
      </c>
      <c r="D344" s="41" t="str">
        <f>VLOOKUP(B344,辅助信息!E:K,7,FALSE)</f>
        <v>JWDDCD2025060600053</v>
      </c>
      <c r="E344" s="41" t="str">
        <f>VLOOKUP(F344,辅助信息!A:B,2,FALSE)</f>
        <v>盘螺</v>
      </c>
      <c r="F344" s="41" t="s">
        <v>41</v>
      </c>
      <c r="G344" s="37">
        <v>9</v>
      </c>
      <c r="H344" s="37" t="e">
        <f>_xlfn._xlws.FILTER(#REF!,#REF!&amp;#REF!&amp;#REF!&amp;#REF!=C344&amp;F344&amp;I344&amp;J344,"未发货")</f>
        <v>#REF!</v>
      </c>
      <c r="I344" s="41" t="str">
        <f>VLOOKUP(B344,辅助信息!E:I,3,FALSE)</f>
        <v>（华西酒城南）成都市武侯区火车南站西路8号酒城南项目</v>
      </c>
      <c r="J344" s="41" t="str">
        <f>VLOOKUP(B344,辅助信息!E:I,4,FALSE)</f>
        <v>龙耀宇</v>
      </c>
      <c r="K344" s="41">
        <f>VLOOKUP(J344,辅助信息!H:I,2,FALSE)</f>
        <v>18384145895</v>
      </c>
      <c r="L344" s="79"/>
      <c r="M344" s="92">
        <v>45702</v>
      </c>
      <c r="N344" s="92"/>
      <c r="O344" s="63">
        <f ca="1" t="shared" si="0"/>
        <v>0</v>
      </c>
      <c r="P344" s="63">
        <f ca="1" t="shared" si="1"/>
        <v>257</v>
      </c>
      <c r="Q344" s="27" t="str">
        <f>VLOOKUP(B344,辅助信息!E:M,9,FALSE)</f>
        <v>ZTWM-CDGS-XS-2024-0189-华西集采-酒城南项目</v>
      </c>
    </row>
    <row r="345" s="27" customFormat="1" hidden="1" spans="2:17">
      <c r="B345" s="41" t="s">
        <v>44</v>
      </c>
      <c r="C345" s="71">
        <v>45701</v>
      </c>
      <c r="D345" s="41" t="str">
        <f>VLOOKUP(B345,辅助信息!E:K,7,FALSE)</f>
        <v>JWDDCD2025060600053</v>
      </c>
      <c r="E345" s="41" t="str">
        <f>VLOOKUP(F345,辅助信息!A:B,2,FALSE)</f>
        <v>盘螺</v>
      </c>
      <c r="F345" s="41" t="s">
        <v>26</v>
      </c>
      <c r="G345" s="37">
        <v>10</v>
      </c>
      <c r="H345" s="37" t="e">
        <f>_xlfn._xlws.FILTER(#REF!,#REF!&amp;#REF!&amp;#REF!&amp;#REF!=C345&amp;F345&amp;I345&amp;J345,"未发货")</f>
        <v>#REF!</v>
      </c>
      <c r="I345" s="41" t="str">
        <f>VLOOKUP(B345,辅助信息!E:I,3,FALSE)</f>
        <v>（华西酒城南）成都市武侯区火车南站西路8号酒城南项目</v>
      </c>
      <c r="J345" s="41" t="str">
        <f>VLOOKUP(B345,辅助信息!E:I,4,FALSE)</f>
        <v>龙耀宇</v>
      </c>
      <c r="K345" s="41">
        <f>VLOOKUP(J345,辅助信息!H:I,2,FALSE)</f>
        <v>18384145895</v>
      </c>
      <c r="L345" s="77"/>
      <c r="M345" s="92">
        <v>45702</v>
      </c>
      <c r="N345" s="92"/>
      <c r="O345" s="63">
        <f ca="1" t="shared" si="0"/>
        <v>0</v>
      </c>
      <c r="P345" s="63">
        <f ca="1" t="shared" si="1"/>
        <v>257</v>
      </c>
      <c r="Q345" s="27" t="str">
        <f>VLOOKUP(B345,辅助信息!E:M,9,FALSE)</f>
        <v>ZTWM-CDGS-XS-2024-0189-华西集采-酒城南项目</v>
      </c>
    </row>
    <row r="346" ht="36" hidden="1" customHeight="1" spans="2:18">
      <c r="B346" s="41" t="s">
        <v>81</v>
      </c>
      <c r="C346" s="71">
        <v>45701</v>
      </c>
      <c r="D346" s="41" t="str">
        <f>VLOOKUP(B346,辅助信息!E:K,7,FALSE)</f>
        <v>JWDDCD2025060900080</v>
      </c>
      <c r="E346" s="41" t="str">
        <f>VLOOKUP(F346,辅助信息!A:B,2,FALSE)</f>
        <v>螺纹钢</v>
      </c>
      <c r="F346" s="41" t="s">
        <v>18</v>
      </c>
      <c r="G346" s="37">
        <v>35</v>
      </c>
      <c r="H346" s="37" t="e">
        <f>_xlfn._xlws.FILTER(#REF!,#REF!&amp;#REF!&amp;#REF!&amp;#REF!=C346&amp;F346&amp;I346&amp;J346,"未发货")</f>
        <v>#REF!</v>
      </c>
      <c r="I346" s="41" t="str">
        <f>VLOOKUP(B346,辅助信息!E:I,3,FALSE)</f>
        <v>（华西简阳西城嘉苑）四川省成都市简阳市简城街道高屋村</v>
      </c>
      <c r="J346" s="41" t="str">
        <f>VLOOKUP(B346,辅助信息!E:I,4,FALSE)</f>
        <v>张瀚镭</v>
      </c>
      <c r="K346" s="41">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258</v>
      </c>
      <c r="Q346" s="27" t="str">
        <f>VLOOKUP(B346,辅助信息!E:M,9,FALSE)</f>
        <v>ZTWM-CDGS-XS-2024-0030-华西集采-简州大道</v>
      </c>
      <c r="R346" s="27"/>
    </row>
    <row r="347" hidden="1" spans="2:18">
      <c r="B347" s="41" t="s">
        <v>60</v>
      </c>
      <c r="C347" s="71">
        <v>45701</v>
      </c>
      <c r="D347" s="41" t="str">
        <f>VLOOKUP(B347,辅助信息!E:K,7,FALSE)</f>
        <v>JWDDCD2025051000019</v>
      </c>
      <c r="E347" s="41" t="str">
        <f>VLOOKUP(F347,辅助信息!A:B,2,FALSE)</f>
        <v>螺纹钢</v>
      </c>
      <c r="F347" s="41" t="s">
        <v>27</v>
      </c>
      <c r="G347" s="37">
        <v>35</v>
      </c>
      <c r="H347" s="37" t="e">
        <f>_xlfn._xlws.FILTER(#REF!,#REF!&amp;#REF!&amp;#REF!&amp;#REF!=C347&amp;F347&amp;I347&amp;J347,"未发货")</f>
        <v>#REF!</v>
      </c>
      <c r="I347" s="41" t="str">
        <f>VLOOKUP(B347,辅助信息!E:I,3,FALSE)</f>
        <v>(五冶钢构医学科学产业园建设项目房建二部-六标)四川省南充市顺庆区搬罾街道学府大道二段</v>
      </c>
      <c r="J347" s="41" t="str">
        <f>VLOOKUP(B347,辅助信息!E:I,4,FALSE)</f>
        <v>安南</v>
      </c>
      <c r="K347" s="41">
        <f>VLOOKUP(J347,辅助信息!H:I,2,FALSE)</f>
        <v>19950525030</v>
      </c>
      <c r="L347" s="44"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257</v>
      </c>
      <c r="Q347" s="27" t="str">
        <f>VLOOKUP(B347,辅助信息!E:M,9,FALSE)</f>
        <v>ZTWM-CDGS-XS-2024-0248-五冶钢构-南充市医学院项目</v>
      </c>
      <c r="R347" s="27"/>
    </row>
    <row r="348" hidden="1" spans="2:18">
      <c r="B348" s="41" t="s">
        <v>60</v>
      </c>
      <c r="C348" s="71">
        <v>45701</v>
      </c>
      <c r="D348" s="41" t="str">
        <f>VLOOKUP(B348,辅助信息!E:K,7,FALSE)</f>
        <v>JWDDCD2025051000019</v>
      </c>
      <c r="E348" s="41" t="str">
        <f>VLOOKUP(F348,辅助信息!A:B,2,FALSE)</f>
        <v>螺纹钢</v>
      </c>
      <c r="F348" s="41" t="s">
        <v>32</v>
      </c>
      <c r="G348" s="37">
        <v>35</v>
      </c>
      <c r="H348" s="37" t="e">
        <f>_xlfn._xlws.FILTER(#REF!,#REF!&amp;#REF!&amp;#REF!&amp;#REF!=C348&amp;F348&amp;I348&amp;J348,"未发货")</f>
        <v>#REF!</v>
      </c>
      <c r="I348" s="41" t="str">
        <f>VLOOKUP(B348,辅助信息!E:I,3,FALSE)</f>
        <v>(五冶钢构医学科学产业园建设项目房建二部-六标)四川省南充市顺庆区搬罾街道学府大道二段</v>
      </c>
      <c r="J348" s="41" t="str">
        <f>VLOOKUP(B348,辅助信息!E:I,4,FALSE)</f>
        <v>安南</v>
      </c>
      <c r="K348" s="41">
        <f>VLOOKUP(J348,辅助信息!H:I,2,FALSE)</f>
        <v>19950525030</v>
      </c>
      <c r="L348" s="79"/>
      <c r="M348" s="92">
        <v>45702</v>
      </c>
      <c r="N348" s="58"/>
      <c r="O348" s="63">
        <f ca="1" t="shared" si="0"/>
        <v>0</v>
      </c>
      <c r="P348" s="63">
        <f ca="1" t="shared" si="1"/>
        <v>257</v>
      </c>
      <c r="Q348" s="27" t="str">
        <f>VLOOKUP(B348,辅助信息!E:M,9,FALSE)</f>
        <v>ZTWM-CDGS-XS-2024-0248-五冶钢构-南充市医学院项目</v>
      </c>
      <c r="R348" s="27"/>
    </row>
    <row r="349" hidden="1" spans="2:18">
      <c r="B349" s="41" t="s">
        <v>60</v>
      </c>
      <c r="C349" s="71">
        <v>45701</v>
      </c>
      <c r="D349" s="41" t="str">
        <f>VLOOKUP(B349,辅助信息!E:K,7,FALSE)</f>
        <v>JWDDCD2025051000019</v>
      </c>
      <c r="E349" s="41" t="str">
        <f>VLOOKUP(F349,辅助信息!A:B,2,FALSE)</f>
        <v>螺纹钢</v>
      </c>
      <c r="F349" s="41" t="s">
        <v>18</v>
      </c>
      <c r="G349" s="37">
        <v>70</v>
      </c>
      <c r="H349" s="37" t="e">
        <f>_xlfn._xlws.FILTER(#REF!,#REF!&amp;#REF!&amp;#REF!&amp;#REF!=C349&amp;F349&amp;I349&amp;J349,"未发货")</f>
        <v>#REF!</v>
      </c>
      <c r="I349" s="41" t="str">
        <f>VLOOKUP(B349,辅助信息!E:I,3,FALSE)</f>
        <v>(五冶钢构医学科学产业园建设项目房建二部-六标)四川省南充市顺庆区搬罾街道学府大道二段</v>
      </c>
      <c r="J349" s="41" t="str">
        <f>VLOOKUP(B349,辅助信息!E:I,4,FALSE)</f>
        <v>安南</v>
      </c>
      <c r="K349" s="41">
        <f>VLOOKUP(J349,辅助信息!H:I,2,FALSE)</f>
        <v>19950525030</v>
      </c>
      <c r="L349" s="77"/>
      <c r="M349" s="92">
        <v>45702</v>
      </c>
      <c r="N349" s="58"/>
      <c r="O349" s="63">
        <f ca="1" t="shared" si="0"/>
        <v>0</v>
      </c>
      <c r="P349" s="63">
        <f ca="1" t="shared" si="1"/>
        <v>257</v>
      </c>
      <c r="Q349" s="27" t="str">
        <f>VLOOKUP(B349,辅助信息!E:M,9,FALSE)</f>
        <v>ZTWM-CDGS-XS-2024-0248-五冶钢构-南充市医学院项目</v>
      </c>
      <c r="R349" s="27"/>
    </row>
    <row r="350" s="27" customFormat="1" hidden="1" spans="2:17">
      <c r="B350" s="41" t="s">
        <v>80</v>
      </c>
      <c r="C350" s="71">
        <v>45702</v>
      </c>
      <c r="D350" s="41" t="e">
        <f>VLOOKUP(B350,辅助信息!E:K,7,FALSE)</f>
        <v>#N/A</v>
      </c>
      <c r="E350" s="41" t="str">
        <f>VLOOKUP(F350,辅助信息!A:B,2,FALSE)</f>
        <v>盘螺</v>
      </c>
      <c r="F350" s="41" t="s">
        <v>49</v>
      </c>
      <c r="G350" s="37">
        <v>7.5</v>
      </c>
      <c r="H350" s="37" t="e">
        <f>_xlfn._xlws.FILTER(#REF!,#REF!&amp;#REF!&amp;#REF!&amp;#REF!=C350&amp;F350&amp;I350&amp;J350,"未发货")</f>
        <v>#REF!</v>
      </c>
      <c r="I350" s="41" t="e">
        <f>VLOOKUP(B350,辅助信息!E:I,3,FALSE)</f>
        <v>#N/A</v>
      </c>
      <c r="J350" s="41" t="e">
        <f>VLOOKUP(B350,辅助信息!E:I,4,FALSE)</f>
        <v>#N/A</v>
      </c>
      <c r="K350" s="41" t="e">
        <f>VLOOKUP(J350,辅助信息!H:I,2,FALSE)</f>
        <v>#N/A</v>
      </c>
      <c r="L350" s="44" t="e">
        <f>VLOOKUP(B350,辅助信息!E:J,6,FALSE)</f>
        <v>#N/A</v>
      </c>
      <c r="M350" s="92">
        <v>45703</v>
      </c>
      <c r="N350" s="92"/>
      <c r="O350" s="63">
        <f ca="1" t="shared" si="0"/>
        <v>0</v>
      </c>
      <c r="P350" s="63">
        <f ca="1" t="shared" si="1"/>
        <v>256</v>
      </c>
      <c r="Q350" s="27" t="e">
        <f>VLOOKUP(B350,辅助信息!E:M,9,FALSE)</f>
        <v>#N/A</v>
      </c>
    </row>
    <row r="351" s="27" customFormat="1" hidden="1" spans="2:17">
      <c r="B351" s="41" t="s">
        <v>80</v>
      </c>
      <c r="C351" s="71">
        <v>45702</v>
      </c>
      <c r="D351" s="41" t="e">
        <f>VLOOKUP(B351,辅助信息!E:K,7,FALSE)</f>
        <v>#N/A</v>
      </c>
      <c r="E351" s="41" t="str">
        <f>VLOOKUP(F351,辅助信息!A:B,2,FALSE)</f>
        <v>盘螺</v>
      </c>
      <c r="F351" s="41" t="s">
        <v>40</v>
      </c>
      <c r="G351" s="37">
        <v>15</v>
      </c>
      <c r="H351" s="37" t="e">
        <f>_xlfn._xlws.FILTER(#REF!,#REF!&amp;#REF!&amp;#REF!&amp;#REF!=C351&amp;F351&amp;I351&amp;J351,"未发货")</f>
        <v>#REF!</v>
      </c>
      <c r="I351" s="41" t="e">
        <f>VLOOKUP(B351,辅助信息!E:I,3,FALSE)</f>
        <v>#N/A</v>
      </c>
      <c r="J351" s="41" t="e">
        <f>VLOOKUP(B351,辅助信息!E:I,4,FALSE)</f>
        <v>#N/A</v>
      </c>
      <c r="K351" s="41" t="e">
        <f>VLOOKUP(J351,辅助信息!H:I,2,FALSE)</f>
        <v>#N/A</v>
      </c>
      <c r="L351" s="79"/>
      <c r="M351" s="92">
        <v>45703</v>
      </c>
      <c r="N351" s="92"/>
      <c r="O351" s="63">
        <f ca="1" t="shared" si="0"/>
        <v>0</v>
      </c>
      <c r="P351" s="63">
        <f ca="1" t="shared" si="1"/>
        <v>256</v>
      </c>
      <c r="Q351" s="27" t="e">
        <f>VLOOKUP(B351,辅助信息!E:M,9,FALSE)</f>
        <v>#N/A</v>
      </c>
    </row>
    <row r="352" s="27" customFormat="1" hidden="1" spans="2:17">
      <c r="B352" s="41" t="s">
        <v>80</v>
      </c>
      <c r="C352" s="71">
        <v>45702</v>
      </c>
      <c r="D352" s="41" t="e">
        <f>VLOOKUP(B352,辅助信息!E:K,7,FALSE)</f>
        <v>#N/A</v>
      </c>
      <c r="E352" s="41" t="str">
        <f>VLOOKUP(F352,辅助信息!A:B,2,FALSE)</f>
        <v>螺纹钢</v>
      </c>
      <c r="F352" s="41" t="s">
        <v>30</v>
      </c>
      <c r="G352" s="37">
        <v>12</v>
      </c>
      <c r="H352" s="37" t="e">
        <f>_xlfn._xlws.FILTER(#REF!,#REF!&amp;#REF!&amp;#REF!&amp;#REF!=C352&amp;F352&amp;I352&amp;J352,"未发货")</f>
        <v>#REF!</v>
      </c>
      <c r="I352" s="41" t="e">
        <f>VLOOKUP(B352,辅助信息!E:I,3,FALSE)</f>
        <v>#N/A</v>
      </c>
      <c r="J352" s="41" t="e">
        <f>VLOOKUP(B352,辅助信息!E:I,4,FALSE)</f>
        <v>#N/A</v>
      </c>
      <c r="K352" s="41" t="e">
        <f>VLOOKUP(J352,辅助信息!H:I,2,FALSE)</f>
        <v>#N/A</v>
      </c>
      <c r="L352" s="77"/>
      <c r="M352" s="92">
        <v>45703</v>
      </c>
      <c r="N352" s="92"/>
      <c r="O352" s="63">
        <f ca="1" t="shared" si="0"/>
        <v>0</v>
      </c>
      <c r="P352" s="63">
        <f ca="1" t="shared" si="1"/>
        <v>256</v>
      </c>
      <c r="Q352" s="27" t="e">
        <f>VLOOKUP(B352,辅助信息!E:M,9,FALSE)</f>
        <v>#N/A</v>
      </c>
    </row>
    <row r="353" hidden="1" spans="1:18">
      <c r="A353" s="27"/>
      <c r="B353" s="41" t="s">
        <v>64</v>
      </c>
      <c r="C353" s="71">
        <v>45702</v>
      </c>
      <c r="D353" s="41" t="e">
        <f>VLOOKUP(B353,辅助信息!E:K,7,FALSE)</f>
        <v>#N/A</v>
      </c>
      <c r="E353" s="41" t="str">
        <f>VLOOKUP(F353,辅助信息!A:B,2,FALSE)</f>
        <v>螺纹钢</v>
      </c>
      <c r="F353" s="41" t="s">
        <v>27</v>
      </c>
      <c r="G353" s="37">
        <v>21</v>
      </c>
      <c r="H353" s="37" t="e">
        <f>_xlfn._xlws.FILTER(#REF!,#REF!&amp;#REF!&amp;#REF!&amp;#REF!=C353&amp;F353&amp;I353&amp;J353,"未发货")</f>
        <v>#REF!</v>
      </c>
      <c r="I353" s="41" t="e">
        <f>VLOOKUP(B353,辅助信息!E:I,3,FALSE)</f>
        <v>#N/A</v>
      </c>
      <c r="J353" s="41" t="e">
        <f>VLOOKUP(B353,辅助信息!E:I,4,FALSE)</f>
        <v>#N/A</v>
      </c>
      <c r="K353" s="41" t="e">
        <f>VLOOKUP(J353,辅助信息!H:I,2,FALSE)</f>
        <v>#N/A</v>
      </c>
      <c r="L353" s="95" t="e">
        <f>VLOOKUP(B356,辅助信息!E:J,6,FALSE)</f>
        <v>#N/A</v>
      </c>
      <c r="M353" s="92">
        <v>45704</v>
      </c>
      <c r="N353" s="58"/>
      <c r="O353" s="63">
        <f ca="1" t="shared" si="0"/>
        <v>0</v>
      </c>
      <c r="P353" s="63">
        <f ca="1" t="shared" si="1"/>
        <v>255</v>
      </c>
      <c r="Q353" s="27" t="e">
        <f>VLOOKUP(B353,辅助信息!E:M,9,FALSE)</f>
        <v>#N/A</v>
      </c>
      <c r="R353" s="27"/>
    </row>
    <row r="354" hidden="1" spans="1:18">
      <c r="A354" s="27"/>
      <c r="B354" s="41" t="s">
        <v>64</v>
      </c>
      <c r="C354" s="71">
        <v>45702</v>
      </c>
      <c r="D354" s="41" t="e">
        <f>VLOOKUP(B354,辅助信息!E:K,7,FALSE)</f>
        <v>#N/A</v>
      </c>
      <c r="E354" s="41" t="str">
        <f>VLOOKUP(F354,辅助信息!A:B,2,FALSE)</f>
        <v>螺纹钢</v>
      </c>
      <c r="F354" s="41" t="s">
        <v>32</v>
      </c>
      <c r="G354" s="37">
        <v>21</v>
      </c>
      <c r="H354" s="37" t="e">
        <f>_xlfn._xlws.FILTER(#REF!,#REF!&amp;#REF!&amp;#REF!&amp;#REF!=C354&amp;F354&amp;I354&amp;J354,"未发货")</f>
        <v>#REF!</v>
      </c>
      <c r="I354" s="41" t="e">
        <f>VLOOKUP(B354,辅助信息!E:I,3,FALSE)</f>
        <v>#N/A</v>
      </c>
      <c r="J354" s="41" t="e">
        <f>VLOOKUP(B354,辅助信息!E:I,4,FALSE)</f>
        <v>#N/A</v>
      </c>
      <c r="K354" s="41" t="e">
        <f>VLOOKUP(J354,辅助信息!H:I,2,FALSE)</f>
        <v>#N/A</v>
      </c>
      <c r="L354" s="79"/>
      <c r="M354" s="92">
        <v>45704</v>
      </c>
      <c r="N354" s="58"/>
      <c r="O354" s="63">
        <f ca="1" t="shared" si="0"/>
        <v>0</v>
      </c>
      <c r="P354" s="63">
        <f ca="1" t="shared" si="1"/>
        <v>255</v>
      </c>
      <c r="Q354" s="27" t="e">
        <f>VLOOKUP(B354,辅助信息!E:M,9,FALSE)</f>
        <v>#N/A</v>
      </c>
      <c r="R354" s="27"/>
    </row>
    <row r="355" hidden="1" spans="1:18">
      <c r="A355" s="27"/>
      <c r="B355" s="41" t="s">
        <v>64</v>
      </c>
      <c r="C355" s="71">
        <v>45702</v>
      </c>
      <c r="D355" s="41" t="e">
        <f>VLOOKUP(B355,辅助信息!E:K,7,FALSE)</f>
        <v>#N/A</v>
      </c>
      <c r="E355" s="41" t="str">
        <f>VLOOKUP(F355,辅助信息!A:B,2,FALSE)</f>
        <v>螺纹钢</v>
      </c>
      <c r="F355" s="41" t="s">
        <v>18</v>
      </c>
      <c r="G355" s="37">
        <v>21</v>
      </c>
      <c r="H355" s="37" t="e">
        <f>_xlfn._xlws.FILTER(#REF!,#REF!&amp;#REF!&amp;#REF!&amp;#REF!=C355&amp;F355&amp;I355&amp;J355,"未发货")</f>
        <v>#REF!</v>
      </c>
      <c r="I355" s="41" t="e">
        <f>VLOOKUP(B355,辅助信息!E:I,3,FALSE)</f>
        <v>#N/A</v>
      </c>
      <c r="J355" s="41" t="e">
        <f>VLOOKUP(B355,辅助信息!E:I,4,FALSE)</f>
        <v>#N/A</v>
      </c>
      <c r="K355" s="41" t="e">
        <f>VLOOKUP(J355,辅助信息!H:I,2,FALSE)</f>
        <v>#N/A</v>
      </c>
      <c r="L355" s="79"/>
      <c r="M355" s="92">
        <v>45704</v>
      </c>
      <c r="N355" s="58"/>
      <c r="O355" s="63">
        <f ca="1" t="shared" si="0"/>
        <v>0</v>
      </c>
      <c r="P355" s="63">
        <f ca="1" t="shared" si="1"/>
        <v>255</v>
      </c>
      <c r="Q355" s="27" t="e">
        <f>VLOOKUP(B355,辅助信息!E:M,9,FALSE)</f>
        <v>#N/A</v>
      </c>
      <c r="R355" s="27"/>
    </row>
    <row r="356" hidden="1" spans="2:18">
      <c r="B356" s="41" t="s">
        <v>64</v>
      </c>
      <c r="C356" s="71">
        <v>45702</v>
      </c>
      <c r="D356" s="41" t="e">
        <f>VLOOKUP(B356,辅助信息!E:K,7,FALSE)</f>
        <v>#N/A</v>
      </c>
      <c r="E356" s="41" t="str">
        <f>VLOOKUP(F356,辅助信息!A:B,2,FALSE)</f>
        <v>螺纹钢</v>
      </c>
      <c r="F356" s="41" t="s">
        <v>65</v>
      </c>
      <c r="G356" s="37">
        <v>42</v>
      </c>
      <c r="H356" s="37" t="e">
        <f>_xlfn._xlws.FILTER(#REF!,#REF!&amp;#REF!&amp;#REF!&amp;#REF!=C356&amp;F356&amp;I356&amp;J356,"未发货")</f>
        <v>#REF!</v>
      </c>
      <c r="I356" s="41" t="e">
        <f>VLOOKUP(B356,辅助信息!E:I,3,FALSE)</f>
        <v>#N/A</v>
      </c>
      <c r="J356" s="41" t="e">
        <f>VLOOKUP(B356,辅助信息!E:I,4,FALSE)</f>
        <v>#N/A</v>
      </c>
      <c r="K356" s="41" t="e">
        <f>VLOOKUP(J356,辅助信息!H:I,2,FALSE)</f>
        <v>#N/A</v>
      </c>
      <c r="L356" s="77"/>
      <c r="M356" s="92">
        <v>45704</v>
      </c>
      <c r="N356" s="58"/>
      <c r="O356" s="63">
        <f ca="1" t="shared" si="0"/>
        <v>0</v>
      </c>
      <c r="P356" s="63">
        <f ca="1" t="shared" si="1"/>
        <v>255</v>
      </c>
      <c r="Q356" s="27" t="e">
        <f>VLOOKUP(B356,辅助信息!E:M,9,FALSE)</f>
        <v>#N/A</v>
      </c>
      <c r="R356" s="27"/>
    </row>
    <row r="357" hidden="1" spans="2:18">
      <c r="B357" s="41" t="s">
        <v>48</v>
      </c>
      <c r="C357" s="71">
        <v>45702</v>
      </c>
      <c r="D357" s="41" t="str">
        <f>VLOOKUP(B357,辅助信息!E:K,7,FALSE)</f>
        <v>ZTWM-CDGS-YL-20240529-006</v>
      </c>
      <c r="E357" s="41" t="str">
        <f>VLOOKUP(F357,辅助信息!A:B,2,FALSE)</f>
        <v>盘螺</v>
      </c>
      <c r="F357" s="41" t="s">
        <v>49</v>
      </c>
      <c r="G357" s="37">
        <v>3</v>
      </c>
      <c r="H357" s="37" t="e">
        <f>_xlfn._xlws.FILTER(#REF!,#REF!&amp;#REF!&amp;#REF!&amp;#REF!=C357&amp;F357&amp;I357&amp;J357,"未发货")</f>
        <v>#REF!</v>
      </c>
      <c r="I357" s="41" t="str">
        <f>VLOOKUP(B357,辅助信息!E:I,3,FALSE)</f>
        <v>(华西颐海-科创农业生态谷-1号钢筋房)成都市简阳市白金山水库</v>
      </c>
      <c r="J357" s="41" t="str">
        <f>VLOOKUP(B357,辅助信息!E:I,4,FALSE)</f>
        <v>石清国</v>
      </c>
      <c r="K357" s="41">
        <f>VLOOKUP(J357,辅助信息!H:I,2,FALSE)</f>
        <v>13458642015</v>
      </c>
      <c r="L357" s="44" t="str">
        <f>VLOOKUP(B357,辅助信息!E:J,6,FALSE)</f>
        <v>优先威钢,我方卸车,新老国标钢厂不加价可直发</v>
      </c>
      <c r="M357" s="92">
        <v>45705</v>
      </c>
      <c r="N357" s="58"/>
      <c r="O357" s="63">
        <f ca="1" t="shared" si="0"/>
        <v>0</v>
      </c>
      <c r="P357" s="63">
        <f ca="1" t="shared" si="1"/>
        <v>254</v>
      </c>
      <c r="Q357" s="27" t="str">
        <f>VLOOKUP(B357,辅助信息!E:M,9,FALSE)</f>
        <v>ZTWM-CDGS-XS-2024-0093-华西-颐海科创农业生态谷</v>
      </c>
      <c r="R357" s="27"/>
    </row>
    <row r="358" hidden="1" spans="2:18">
      <c r="B358" s="41" t="s">
        <v>48</v>
      </c>
      <c r="C358" s="71">
        <v>45702</v>
      </c>
      <c r="D358" s="41" t="str">
        <f>VLOOKUP(B358,辅助信息!E:K,7,FALSE)</f>
        <v>ZTWM-CDGS-YL-20240529-006</v>
      </c>
      <c r="E358" s="41" t="str">
        <f>VLOOKUP(F358,辅助信息!A:B,2,FALSE)</f>
        <v>盘螺</v>
      </c>
      <c r="F358" s="41" t="s">
        <v>40</v>
      </c>
      <c r="G358" s="37">
        <v>10</v>
      </c>
      <c r="H358" s="37" t="e">
        <f>_xlfn._xlws.FILTER(#REF!,#REF!&amp;#REF!&amp;#REF!&amp;#REF!=C358&amp;F358&amp;I358&amp;J358,"未发货")</f>
        <v>#REF!</v>
      </c>
      <c r="I358" s="41" t="str">
        <f>VLOOKUP(B358,辅助信息!E:I,3,FALSE)</f>
        <v>(华西颐海-科创农业生态谷-1号钢筋房)成都市简阳市白金山水库</v>
      </c>
      <c r="J358" s="41" t="str">
        <f>VLOOKUP(B358,辅助信息!E:I,4,FALSE)</f>
        <v>石清国</v>
      </c>
      <c r="K358" s="41">
        <f>VLOOKUP(J358,辅助信息!H:I,2,FALSE)</f>
        <v>13458642015</v>
      </c>
      <c r="L358" s="79"/>
      <c r="M358" s="92">
        <v>45705</v>
      </c>
      <c r="N358" s="58"/>
      <c r="O358" s="63">
        <f ca="1" t="shared" si="0"/>
        <v>0</v>
      </c>
      <c r="P358" s="63">
        <f ca="1" t="shared" si="1"/>
        <v>254</v>
      </c>
      <c r="Q358" s="27" t="str">
        <f>VLOOKUP(B358,辅助信息!E:M,9,FALSE)</f>
        <v>ZTWM-CDGS-XS-2024-0093-华西-颐海科创农业生态谷</v>
      </c>
      <c r="R358" s="27"/>
    </row>
    <row r="359" hidden="1" spans="2:18">
      <c r="B359" s="41" t="s">
        <v>48</v>
      </c>
      <c r="C359" s="71">
        <v>45702</v>
      </c>
      <c r="D359" s="41" t="str">
        <f>VLOOKUP(B359,辅助信息!E:K,7,FALSE)</f>
        <v>ZTWM-CDGS-YL-20240529-006</v>
      </c>
      <c r="E359" s="41" t="str">
        <f>VLOOKUP(F359,辅助信息!A:B,2,FALSE)</f>
        <v>盘螺</v>
      </c>
      <c r="F359" s="41" t="s">
        <v>41</v>
      </c>
      <c r="G359" s="37">
        <v>10</v>
      </c>
      <c r="H359" s="37" t="e">
        <f>_xlfn._xlws.FILTER(#REF!,#REF!&amp;#REF!&amp;#REF!&amp;#REF!=C359&amp;F359&amp;I359&amp;J359,"未发货")</f>
        <v>#REF!</v>
      </c>
      <c r="I359" s="41" t="str">
        <f>VLOOKUP(B359,辅助信息!E:I,3,FALSE)</f>
        <v>(华西颐海-科创农业生态谷-1号钢筋房)成都市简阳市白金山水库</v>
      </c>
      <c r="J359" s="41" t="str">
        <f>VLOOKUP(B359,辅助信息!E:I,4,FALSE)</f>
        <v>石清国</v>
      </c>
      <c r="K359" s="41">
        <f>VLOOKUP(J359,辅助信息!H:I,2,FALSE)</f>
        <v>13458642015</v>
      </c>
      <c r="L359" s="79"/>
      <c r="M359" s="92">
        <v>45705</v>
      </c>
      <c r="N359" s="58"/>
      <c r="O359" s="63">
        <f ca="1" t="shared" si="0"/>
        <v>0</v>
      </c>
      <c r="P359" s="63">
        <f ca="1" t="shared" si="1"/>
        <v>254</v>
      </c>
      <c r="Q359" s="27" t="str">
        <f>VLOOKUP(B359,辅助信息!E:M,9,FALSE)</f>
        <v>ZTWM-CDGS-XS-2024-0093-华西-颐海科创农业生态谷</v>
      </c>
      <c r="R359" s="27"/>
    </row>
    <row r="360" hidden="1" spans="2:18">
      <c r="B360" s="41" t="s">
        <v>48</v>
      </c>
      <c r="C360" s="71">
        <v>45702</v>
      </c>
      <c r="D360" s="41" t="str">
        <f>VLOOKUP(B360,辅助信息!E:K,7,FALSE)</f>
        <v>ZTWM-CDGS-YL-20240529-006</v>
      </c>
      <c r="E360" s="41" t="str">
        <f>VLOOKUP(F360,辅助信息!A:B,2,FALSE)</f>
        <v>螺纹钢</v>
      </c>
      <c r="F360" s="41" t="s">
        <v>66</v>
      </c>
      <c r="G360" s="37">
        <v>12</v>
      </c>
      <c r="H360" s="37" t="e">
        <f>_xlfn._xlws.FILTER(#REF!,#REF!&amp;#REF!&amp;#REF!&amp;#REF!=C360&amp;F360&amp;I360&amp;J360,"未发货")</f>
        <v>#REF!</v>
      </c>
      <c r="I360" s="41" t="str">
        <f>VLOOKUP(B360,辅助信息!E:I,3,FALSE)</f>
        <v>(华西颐海-科创农业生态谷-1号钢筋房)成都市简阳市白金山水库</v>
      </c>
      <c r="J360" s="41" t="str">
        <f>VLOOKUP(B360,辅助信息!E:I,4,FALSE)</f>
        <v>石清国</v>
      </c>
      <c r="K360" s="41">
        <f>VLOOKUP(J360,辅助信息!H:I,2,FALSE)</f>
        <v>13458642015</v>
      </c>
      <c r="L360" s="79"/>
      <c r="M360" s="92">
        <v>45705</v>
      </c>
      <c r="N360" s="58"/>
      <c r="O360" s="63">
        <f ca="1" t="shared" si="0"/>
        <v>0</v>
      </c>
      <c r="P360" s="63">
        <f ca="1" t="shared" si="1"/>
        <v>254</v>
      </c>
      <c r="Q360" s="27" t="str">
        <f>VLOOKUP(B360,辅助信息!E:M,9,FALSE)</f>
        <v>ZTWM-CDGS-XS-2024-0093-华西-颐海科创农业生态谷</v>
      </c>
      <c r="R360" s="27"/>
    </row>
    <row r="361" hidden="1" spans="2:18">
      <c r="B361" s="41" t="s">
        <v>48</v>
      </c>
      <c r="C361" s="71">
        <v>45702</v>
      </c>
      <c r="D361" s="41" t="str">
        <f>VLOOKUP(B361,辅助信息!E:K,7,FALSE)</f>
        <v>ZTWM-CDGS-YL-20240529-006</v>
      </c>
      <c r="E361" s="41" t="str">
        <f>VLOOKUP(F361,辅助信息!A:B,2,FALSE)</f>
        <v>螺纹钢</v>
      </c>
      <c r="F361" s="41" t="s">
        <v>22</v>
      </c>
      <c r="G361" s="37">
        <v>6</v>
      </c>
      <c r="H361" s="37" t="e">
        <f>_xlfn._xlws.FILTER(#REF!,#REF!&amp;#REF!&amp;#REF!&amp;#REF!=C361&amp;F361&amp;I361&amp;J361,"未发货")</f>
        <v>#REF!</v>
      </c>
      <c r="I361" s="41" t="str">
        <f>VLOOKUP(B361,辅助信息!E:I,3,FALSE)</f>
        <v>(华西颐海-科创农业生态谷-1号钢筋房)成都市简阳市白金山水库</v>
      </c>
      <c r="J361" s="41" t="str">
        <f>VLOOKUP(B361,辅助信息!E:I,4,FALSE)</f>
        <v>石清国</v>
      </c>
      <c r="K361" s="41">
        <f>VLOOKUP(J361,辅助信息!H:I,2,FALSE)</f>
        <v>13458642015</v>
      </c>
      <c r="L361" s="77"/>
      <c r="M361" s="92">
        <v>45705</v>
      </c>
      <c r="N361" s="58"/>
      <c r="O361" s="63">
        <f ca="1" t="shared" si="0"/>
        <v>0</v>
      </c>
      <c r="P361" s="63">
        <f ca="1" t="shared" si="1"/>
        <v>254</v>
      </c>
      <c r="Q361" s="27" t="str">
        <f>VLOOKUP(B361,辅助信息!E:M,9,FALSE)</f>
        <v>ZTWM-CDGS-XS-2024-0093-华西-颐海科创农业生态谷</v>
      </c>
      <c r="R361" s="27"/>
    </row>
    <row r="362" hidden="1" spans="2:18">
      <c r="B362" s="41" t="s">
        <v>29</v>
      </c>
      <c r="C362" s="71">
        <v>45702</v>
      </c>
      <c r="D362" s="41" t="e">
        <f>VLOOKUP(B362,辅助信息!E:K,7,FALSE)</f>
        <v>#N/A</v>
      </c>
      <c r="E362" s="41" t="str">
        <f>VLOOKUP(F362,辅助信息!A:B,2,FALSE)</f>
        <v>螺纹钢</v>
      </c>
      <c r="F362" s="41" t="s">
        <v>27</v>
      </c>
      <c r="G362" s="37">
        <v>15</v>
      </c>
      <c r="H362" s="37" t="e">
        <f>_xlfn._xlws.FILTER(#REF!,#REF!&amp;#REF!&amp;#REF!&amp;#REF!=C362&amp;F362&amp;I362&amp;J362,"未发货")</f>
        <v>#REF!</v>
      </c>
      <c r="I362" s="41" t="e">
        <f>VLOOKUP(B362,辅助信息!E:I,3,FALSE)</f>
        <v>#N/A</v>
      </c>
      <c r="J362" s="41" t="e">
        <f>VLOOKUP(B362,辅助信息!E:I,4,FALSE)</f>
        <v>#N/A</v>
      </c>
      <c r="K362" s="41" t="e">
        <f>VLOOKUP(J362,辅助信息!H:I,2,FALSE)</f>
        <v>#N/A</v>
      </c>
      <c r="L362" s="44" t="e">
        <f>VLOOKUP(B362,辅助信息!E:J,6,FALSE)</f>
        <v>#N/A</v>
      </c>
      <c r="M362" s="92">
        <v>45705</v>
      </c>
      <c r="N362" s="58"/>
      <c r="O362" s="63">
        <f ca="1" t="shared" si="0"/>
        <v>0</v>
      </c>
      <c r="P362" s="63">
        <f ca="1" t="shared" si="1"/>
        <v>254</v>
      </c>
      <c r="Q362" s="27" t="e">
        <f>VLOOKUP(B362,辅助信息!E:M,9,FALSE)</f>
        <v>#N/A</v>
      </c>
      <c r="R362" s="27"/>
    </row>
    <row r="363" hidden="1" spans="1:18">
      <c r="A363" s="93">
        <v>15</v>
      </c>
      <c r="B363" s="41" t="s">
        <v>29</v>
      </c>
      <c r="C363" s="71">
        <v>45702</v>
      </c>
      <c r="D363" s="41" t="e">
        <f>VLOOKUP(B363,辅助信息!E:K,7,FALSE)</f>
        <v>#N/A</v>
      </c>
      <c r="E363" s="41" t="str">
        <f>VLOOKUP(F363,辅助信息!A:B,2,FALSE)</f>
        <v>螺纹钢</v>
      </c>
      <c r="F363" s="41" t="s">
        <v>32</v>
      </c>
      <c r="G363" s="37">
        <v>20</v>
      </c>
      <c r="H363" s="37" t="e">
        <f>_xlfn._xlws.FILTER(#REF!,#REF!&amp;#REF!&amp;#REF!&amp;#REF!=C363&amp;F363&amp;I363&amp;J363,"未发货")</f>
        <v>#REF!</v>
      </c>
      <c r="I363" s="41" t="e">
        <f>VLOOKUP(B363,辅助信息!E:I,3,FALSE)</f>
        <v>#N/A</v>
      </c>
      <c r="J363" s="41" t="e">
        <f>VLOOKUP(B363,辅助信息!E:I,4,FALSE)</f>
        <v>#N/A</v>
      </c>
      <c r="K363" s="41" t="e">
        <f>VLOOKUP(J363,辅助信息!H:I,2,FALSE)</f>
        <v>#N/A</v>
      </c>
      <c r="L363" s="79"/>
      <c r="M363" s="92">
        <v>45705</v>
      </c>
      <c r="N363" s="58"/>
      <c r="O363" s="63">
        <f ca="1" t="shared" si="0"/>
        <v>0</v>
      </c>
      <c r="P363" s="63">
        <f ca="1" t="shared" si="1"/>
        <v>254</v>
      </c>
      <c r="Q363" s="27" t="e">
        <f>VLOOKUP(B363,辅助信息!E:M,9,FALSE)</f>
        <v>#N/A</v>
      </c>
      <c r="R363" s="27"/>
    </row>
    <row r="364" hidden="1" spans="2:18">
      <c r="B364" s="41" t="s">
        <v>29</v>
      </c>
      <c r="C364" s="71">
        <v>45702</v>
      </c>
      <c r="D364" s="41" t="e">
        <f>VLOOKUP(B364,辅助信息!E:K,7,FALSE)</f>
        <v>#N/A</v>
      </c>
      <c r="E364" s="41" t="str">
        <f>VLOOKUP(F364,辅助信息!A:B,2,FALSE)</f>
        <v>螺纹钢</v>
      </c>
      <c r="F364" s="41" t="s">
        <v>30</v>
      </c>
      <c r="G364" s="37">
        <v>35</v>
      </c>
      <c r="H364" s="37" t="e">
        <f>_xlfn._xlws.FILTER(#REF!,#REF!&amp;#REF!&amp;#REF!&amp;#REF!=C364&amp;F364&amp;I364&amp;J364,"未发货")</f>
        <v>#REF!</v>
      </c>
      <c r="I364" s="41" t="e">
        <f>VLOOKUP(B364,辅助信息!E:I,3,FALSE)</f>
        <v>#N/A</v>
      </c>
      <c r="J364" s="41" t="e">
        <f>VLOOKUP(B364,辅助信息!E:I,4,FALSE)</f>
        <v>#N/A</v>
      </c>
      <c r="K364" s="41" t="e">
        <f>VLOOKUP(J364,辅助信息!H:I,2,FALSE)</f>
        <v>#N/A</v>
      </c>
      <c r="L364" s="77"/>
      <c r="M364" s="92">
        <v>45705</v>
      </c>
      <c r="N364" s="58"/>
      <c r="O364" s="63">
        <f ca="1" t="shared" si="0"/>
        <v>0</v>
      </c>
      <c r="P364" s="63">
        <f ca="1" t="shared" si="1"/>
        <v>254</v>
      </c>
      <c r="Q364" s="27" t="e">
        <f>VLOOKUP(B364,辅助信息!E:M,9,FALSE)</f>
        <v>#N/A</v>
      </c>
      <c r="R364" s="27"/>
    </row>
    <row r="365" hidden="1" spans="2:18">
      <c r="B365" s="41" t="s">
        <v>78</v>
      </c>
      <c r="C365" s="71">
        <v>45702</v>
      </c>
      <c r="D365" s="41" t="e">
        <f>VLOOKUP(B365,辅助信息!E:K,7,FALSE)</f>
        <v>#N/A</v>
      </c>
      <c r="E365" s="41" t="str">
        <f>VLOOKUP(F365,辅助信息!A:B,2,FALSE)</f>
        <v>螺纹钢</v>
      </c>
      <c r="F365" s="41" t="s">
        <v>33</v>
      </c>
      <c r="G365" s="37">
        <v>55</v>
      </c>
      <c r="H365" s="37" t="e">
        <f>_xlfn._xlws.FILTER(#REF!,#REF!&amp;#REF!&amp;#REF!&amp;#REF!=C365&amp;F365&amp;I365&amp;J365,"未发货")</f>
        <v>#REF!</v>
      </c>
      <c r="I365" s="41" t="e">
        <f>VLOOKUP(B365,辅助信息!E:I,3,FALSE)</f>
        <v>#N/A</v>
      </c>
      <c r="J365" s="41" t="e">
        <f>VLOOKUP(B365,辅助信息!E:I,4,FALSE)</f>
        <v>#N/A</v>
      </c>
      <c r="K365" s="41" t="e">
        <f>VLOOKUP(J365,辅助信息!H:I,2,FALSE)</f>
        <v>#N/A</v>
      </c>
      <c r="L365" s="44" t="e">
        <f>VLOOKUP(B365,辅助信息!E:J,6,FALSE)</f>
        <v>#N/A</v>
      </c>
      <c r="M365" s="92">
        <v>45705</v>
      </c>
      <c r="N365" s="58"/>
      <c r="O365" s="63">
        <f ca="1" t="shared" si="0"/>
        <v>0</v>
      </c>
      <c r="P365" s="63">
        <f ca="1" t="shared" si="1"/>
        <v>254</v>
      </c>
      <c r="Q365" s="27" t="e">
        <f>VLOOKUP(B365,辅助信息!E:M,9,FALSE)</f>
        <v>#N/A</v>
      </c>
      <c r="R365" s="27"/>
    </row>
    <row r="366" hidden="1" spans="2:18">
      <c r="B366" s="41" t="s">
        <v>78</v>
      </c>
      <c r="C366" s="71">
        <v>45702</v>
      </c>
      <c r="D366" s="41" t="e">
        <f>VLOOKUP(B366,辅助信息!E:K,7,FALSE)</f>
        <v>#N/A</v>
      </c>
      <c r="E366" s="41" t="str">
        <f>VLOOKUP(F366,辅助信息!A:B,2,FALSE)</f>
        <v>螺纹钢</v>
      </c>
      <c r="F366" s="41" t="s">
        <v>28</v>
      </c>
      <c r="G366" s="37">
        <v>11</v>
      </c>
      <c r="H366" s="37" t="e">
        <f>_xlfn._xlws.FILTER(#REF!,#REF!&amp;#REF!&amp;#REF!&amp;#REF!=C366&amp;F366&amp;I366&amp;J366,"未发货")</f>
        <v>#REF!</v>
      </c>
      <c r="I366" s="41" t="e">
        <f>VLOOKUP(B366,辅助信息!E:I,3,FALSE)</f>
        <v>#N/A</v>
      </c>
      <c r="J366" s="41" t="e">
        <f>VLOOKUP(B366,辅助信息!E:I,4,FALSE)</f>
        <v>#N/A</v>
      </c>
      <c r="K366" s="41" t="e">
        <f>VLOOKUP(J366,辅助信息!H:I,2,FALSE)</f>
        <v>#N/A</v>
      </c>
      <c r="L366" s="79"/>
      <c r="M366" s="92">
        <v>45705</v>
      </c>
      <c r="N366" s="58"/>
      <c r="O366" s="63">
        <f ca="1" t="shared" si="0"/>
        <v>0</v>
      </c>
      <c r="P366" s="63">
        <f ca="1" t="shared" si="1"/>
        <v>254</v>
      </c>
      <c r="Q366" s="27" t="e">
        <f>VLOOKUP(B366,辅助信息!E:M,9,FALSE)</f>
        <v>#N/A</v>
      </c>
      <c r="R366" s="27"/>
    </row>
    <row r="367" hidden="1" spans="2:18">
      <c r="B367" s="41" t="s">
        <v>78</v>
      </c>
      <c r="C367" s="71">
        <v>45702</v>
      </c>
      <c r="D367" s="41" t="e">
        <f>VLOOKUP(B367,辅助信息!E:K,7,FALSE)</f>
        <v>#N/A</v>
      </c>
      <c r="E367" s="41" t="str">
        <f>VLOOKUP(F367,辅助信息!A:B,2,FALSE)</f>
        <v>螺纹钢</v>
      </c>
      <c r="F367" s="41" t="s">
        <v>18</v>
      </c>
      <c r="G367" s="37">
        <v>3</v>
      </c>
      <c r="H367" s="37" t="e">
        <f>_xlfn._xlws.FILTER(#REF!,#REF!&amp;#REF!&amp;#REF!&amp;#REF!=C367&amp;F367&amp;I367&amp;J367,"未发货")</f>
        <v>#REF!</v>
      </c>
      <c r="I367" s="41" t="e">
        <f>VLOOKUP(B367,辅助信息!E:I,3,FALSE)</f>
        <v>#N/A</v>
      </c>
      <c r="J367" s="41" t="e">
        <f>VLOOKUP(B367,辅助信息!E:I,4,FALSE)</f>
        <v>#N/A</v>
      </c>
      <c r="K367" s="41" t="e">
        <f>VLOOKUP(J367,辅助信息!H:I,2,FALSE)</f>
        <v>#N/A</v>
      </c>
      <c r="L367" s="77"/>
      <c r="M367" s="92">
        <v>45705</v>
      </c>
      <c r="N367" s="58"/>
      <c r="O367" s="63">
        <f ca="1" t="shared" si="0"/>
        <v>0</v>
      </c>
      <c r="P367" s="63">
        <f ca="1" t="shared" si="1"/>
        <v>254</v>
      </c>
      <c r="Q367" s="27" t="e">
        <f>VLOOKUP(B367,辅助信息!E:M,9,FALSE)</f>
        <v>#N/A</v>
      </c>
      <c r="R367" s="27"/>
    </row>
    <row r="368" hidden="1" spans="2:18">
      <c r="B368" s="41" t="s">
        <v>69</v>
      </c>
      <c r="C368" s="71">
        <v>45702</v>
      </c>
      <c r="D368" s="41" t="str">
        <f>VLOOKUP(B368,辅助信息!E:K,7,FALSE)</f>
        <v>JWDDCD2025052800131</v>
      </c>
      <c r="E368" s="41" t="str">
        <f>VLOOKUP(F368,辅助信息!A:B,2,FALSE)</f>
        <v>盘螺</v>
      </c>
      <c r="F368" s="41" t="s">
        <v>40</v>
      </c>
      <c r="G368" s="37">
        <v>51</v>
      </c>
      <c r="H368" s="37" t="e">
        <f>_xlfn._xlws.FILTER(#REF!,#REF!&amp;#REF!&amp;#REF!&amp;#REF!=C368&amp;F368&amp;I368&amp;J368,"未发货")</f>
        <v>#REF!</v>
      </c>
      <c r="I368" s="41" t="str">
        <f>VLOOKUP(B368,辅助信息!E:I,3,FALSE)</f>
        <v>（商投建工达州中医药科技园-4工区-2号楼）达州市通川区达州中医药职业学院犀牛大道北段</v>
      </c>
      <c r="J368" s="41" t="str">
        <f>VLOOKUP(B368,辅助信息!E:I,4,FALSE)</f>
        <v>张扬</v>
      </c>
      <c r="K368" s="41">
        <f>VLOOKUP(J368,辅助信息!H:I,2,FALSE)</f>
        <v>18381904567</v>
      </c>
      <c r="L368" s="44" t="str">
        <f>VLOOKUP(B368,辅助信息!E:J,6,FALSE)</f>
        <v>控制炉批号！多了现场不收！,优先安排达钢,提前联系到场规格及数量</v>
      </c>
      <c r="M368" s="92">
        <v>45704</v>
      </c>
      <c r="N368" s="58"/>
      <c r="O368" s="63">
        <f ca="1" t="shared" si="0"/>
        <v>0</v>
      </c>
      <c r="P368" s="63">
        <f ca="1" t="shared" si="1"/>
        <v>255</v>
      </c>
      <c r="Q368" s="27" t="str">
        <f>VLOOKUP(B368,辅助信息!E:M,9,FALSE)</f>
        <v>ZTWM-CDGS-XS-2024-0134-商投建工达州中医药科技成果示范园项目</v>
      </c>
      <c r="R368" s="27"/>
    </row>
    <row r="369" hidden="1" spans="2:18">
      <c r="B369" s="41" t="s">
        <v>69</v>
      </c>
      <c r="C369" s="71">
        <v>45702</v>
      </c>
      <c r="D369" s="41" t="str">
        <f>VLOOKUP(B369,辅助信息!E:K,7,FALSE)</f>
        <v>JWDDCD2025052800131</v>
      </c>
      <c r="E369" s="41" t="str">
        <f>VLOOKUP(F369,辅助信息!A:B,2,FALSE)</f>
        <v>盘螺</v>
      </c>
      <c r="F369" s="41" t="s">
        <v>41</v>
      </c>
      <c r="G369" s="37">
        <v>9</v>
      </c>
      <c r="H369" s="37" t="e">
        <f>_xlfn._xlws.FILTER(#REF!,#REF!&amp;#REF!&amp;#REF!&amp;#REF!=C369&amp;F369&amp;I369&amp;J369,"未发货")</f>
        <v>#REF!</v>
      </c>
      <c r="I369" s="41" t="str">
        <f>VLOOKUP(B369,辅助信息!E:I,3,FALSE)</f>
        <v>（商投建工达州中医药科技园-4工区-2号楼）达州市通川区达州中医药职业学院犀牛大道北段</v>
      </c>
      <c r="J369" s="41" t="str">
        <f>VLOOKUP(B369,辅助信息!E:I,4,FALSE)</f>
        <v>张扬</v>
      </c>
      <c r="K369" s="41">
        <f>VLOOKUP(J369,辅助信息!H:I,2,FALSE)</f>
        <v>18381904567</v>
      </c>
      <c r="L369" s="79"/>
      <c r="M369" s="92">
        <v>45704</v>
      </c>
      <c r="N369" s="58"/>
      <c r="O369" s="63">
        <f ca="1" t="shared" si="0"/>
        <v>0</v>
      </c>
      <c r="P369" s="63">
        <f ca="1" t="shared" si="1"/>
        <v>255</v>
      </c>
      <c r="Q369" s="27" t="str">
        <f>VLOOKUP(B369,辅助信息!E:M,9,FALSE)</f>
        <v>ZTWM-CDGS-XS-2024-0134-商投建工达州中医药科技成果示范园项目</v>
      </c>
      <c r="R369" s="27"/>
    </row>
    <row r="370" hidden="1" spans="2:18">
      <c r="B370" s="41" t="s">
        <v>69</v>
      </c>
      <c r="C370" s="71">
        <v>45702</v>
      </c>
      <c r="D370" s="41" t="str">
        <f>VLOOKUP(B370,辅助信息!E:K,7,FALSE)</f>
        <v>JWDDCD2025052800131</v>
      </c>
      <c r="E370" s="41" t="str">
        <f>VLOOKUP(F370,辅助信息!A:B,2,FALSE)</f>
        <v>螺纹钢</v>
      </c>
      <c r="F370" s="41" t="s">
        <v>27</v>
      </c>
      <c r="G370" s="37">
        <v>15</v>
      </c>
      <c r="H370" s="37" t="e">
        <f>_xlfn._xlws.FILTER(#REF!,#REF!&amp;#REF!&amp;#REF!&amp;#REF!=C370&amp;F370&amp;I370&amp;J370,"未发货")</f>
        <v>#REF!</v>
      </c>
      <c r="I370" s="41" t="str">
        <f>VLOOKUP(B370,辅助信息!E:I,3,FALSE)</f>
        <v>（商投建工达州中医药科技园-4工区-2号楼）达州市通川区达州中医药职业学院犀牛大道北段</v>
      </c>
      <c r="J370" s="41" t="str">
        <f>VLOOKUP(B370,辅助信息!E:I,4,FALSE)</f>
        <v>张扬</v>
      </c>
      <c r="K370" s="41">
        <f>VLOOKUP(J370,辅助信息!H:I,2,FALSE)</f>
        <v>18381904567</v>
      </c>
      <c r="L370" s="79"/>
      <c r="M370" s="92">
        <v>45704</v>
      </c>
      <c r="N370" s="58"/>
      <c r="O370" s="63">
        <f ca="1" t="shared" si="0"/>
        <v>0</v>
      </c>
      <c r="P370" s="63">
        <f ca="1" t="shared" si="1"/>
        <v>255</v>
      </c>
      <c r="Q370" s="27" t="str">
        <f>VLOOKUP(B370,辅助信息!E:M,9,FALSE)</f>
        <v>ZTWM-CDGS-XS-2024-0134-商投建工达州中医药科技成果示范园项目</v>
      </c>
      <c r="R370" s="27"/>
    </row>
    <row r="371" hidden="1" spans="2:18">
      <c r="B371" s="41" t="s">
        <v>69</v>
      </c>
      <c r="C371" s="71">
        <v>45702</v>
      </c>
      <c r="D371" s="41" t="str">
        <f>VLOOKUP(B371,辅助信息!E:K,7,FALSE)</f>
        <v>JWDDCD2025052800131</v>
      </c>
      <c r="E371" s="41" t="str">
        <f>VLOOKUP(F371,辅助信息!A:B,2,FALSE)</f>
        <v>螺纹钢</v>
      </c>
      <c r="F371" s="41" t="s">
        <v>32</v>
      </c>
      <c r="G371" s="37">
        <v>12</v>
      </c>
      <c r="H371" s="37" t="e">
        <f>_xlfn._xlws.FILTER(#REF!,#REF!&amp;#REF!&amp;#REF!&amp;#REF!=C371&amp;F371&amp;I371&amp;J371,"未发货")</f>
        <v>#REF!</v>
      </c>
      <c r="I371" s="41" t="str">
        <f>VLOOKUP(B371,辅助信息!E:I,3,FALSE)</f>
        <v>（商投建工达州中医药科技园-4工区-2号楼）达州市通川区达州中医药职业学院犀牛大道北段</v>
      </c>
      <c r="J371" s="41" t="str">
        <f>VLOOKUP(B371,辅助信息!E:I,4,FALSE)</f>
        <v>张扬</v>
      </c>
      <c r="K371" s="41">
        <f>VLOOKUP(J371,辅助信息!H:I,2,FALSE)</f>
        <v>18381904567</v>
      </c>
      <c r="L371" s="79"/>
      <c r="M371" s="92">
        <v>45704</v>
      </c>
      <c r="N371" s="58"/>
      <c r="O371" s="63">
        <f ca="1" t="shared" si="0"/>
        <v>0</v>
      </c>
      <c r="P371" s="63">
        <f ca="1" t="shared" si="1"/>
        <v>255</v>
      </c>
      <c r="Q371" s="27" t="str">
        <f>VLOOKUP(B371,辅助信息!E:M,9,FALSE)</f>
        <v>ZTWM-CDGS-XS-2024-0134-商投建工达州中医药科技成果示范园项目</v>
      </c>
      <c r="R371" s="27"/>
    </row>
    <row r="372" hidden="1" spans="2:18">
      <c r="B372" s="41" t="s">
        <v>69</v>
      </c>
      <c r="C372" s="71">
        <v>45702</v>
      </c>
      <c r="D372" s="41" t="str">
        <f>VLOOKUP(B372,辅助信息!E:K,7,FALSE)</f>
        <v>JWDDCD2025052800131</v>
      </c>
      <c r="E372" s="41" t="str">
        <f>VLOOKUP(F372,辅助信息!A:B,2,FALSE)</f>
        <v>螺纹钢</v>
      </c>
      <c r="F372" s="41" t="s">
        <v>30</v>
      </c>
      <c r="G372" s="37">
        <v>12</v>
      </c>
      <c r="H372" s="37" t="e">
        <f>_xlfn._xlws.FILTER(#REF!,#REF!&amp;#REF!&amp;#REF!&amp;#REF!=C372&amp;F372&amp;I372&amp;J372,"未发货")</f>
        <v>#REF!</v>
      </c>
      <c r="I372" s="41" t="str">
        <f>VLOOKUP(B372,辅助信息!E:I,3,FALSE)</f>
        <v>（商投建工达州中医药科技园-4工区-2号楼）达州市通川区达州中医药职业学院犀牛大道北段</v>
      </c>
      <c r="J372" s="41" t="str">
        <f>VLOOKUP(B372,辅助信息!E:I,4,FALSE)</f>
        <v>张扬</v>
      </c>
      <c r="K372" s="41">
        <f>VLOOKUP(J372,辅助信息!H:I,2,FALSE)</f>
        <v>18381904567</v>
      </c>
      <c r="L372" s="79"/>
      <c r="M372" s="92">
        <v>45704</v>
      </c>
      <c r="N372" s="58"/>
      <c r="O372" s="63">
        <f ca="1" t="shared" si="0"/>
        <v>0</v>
      </c>
      <c r="P372" s="63">
        <f ca="1" t="shared" si="1"/>
        <v>255</v>
      </c>
      <c r="Q372" s="27" t="str">
        <f>VLOOKUP(B372,辅助信息!E:M,9,FALSE)</f>
        <v>ZTWM-CDGS-XS-2024-0134-商投建工达州中医药科技成果示范园项目</v>
      </c>
      <c r="R372" s="27"/>
    </row>
    <row r="373" hidden="1" spans="2:18">
      <c r="B373" s="41" t="s">
        <v>69</v>
      </c>
      <c r="C373" s="71">
        <v>45702</v>
      </c>
      <c r="D373" s="41" t="str">
        <f>VLOOKUP(B373,辅助信息!E:K,7,FALSE)</f>
        <v>JWDDCD2025052800131</v>
      </c>
      <c r="E373" s="41" t="str">
        <f>VLOOKUP(F373,辅助信息!A:B,2,FALSE)</f>
        <v>螺纹钢</v>
      </c>
      <c r="F373" s="41" t="s">
        <v>33</v>
      </c>
      <c r="G373" s="37">
        <v>9</v>
      </c>
      <c r="H373" s="37" t="e">
        <f>_xlfn._xlws.FILTER(#REF!,#REF!&amp;#REF!&amp;#REF!&amp;#REF!=C373&amp;F373&amp;I373&amp;J373,"未发货")</f>
        <v>#REF!</v>
      </c>
      <c r="I373" s="41" t="str">
        <f>VLOOKUP(B373,辅助信息!E:I,3,FALSE)</f>
        <v>（商投建工达州中医药科技园-4工区-2号楼）达州市通川区达州中医药职业学院犀牛大道北段</v>
      </c>
      <c r="J373" s="41" t="str">
        <f>VLOOKUP(B373,辅助信息!E:I,4,FALSE)</f>
        <v>张扬</v>
      </c>
      <c r="K373" s="41">
        <f>VLOOKUP(J373,辅助信息!H:I,2,FALSE)</f>
        <v>18381904567</v>
      </c>
      <c r="L373" s="79"/>
      <c r="M373" s="92">
        <v>45704</v>
      </c>
      <c r="N373" s="58"/>
      <c r="O373" s="63">
        <f ca="1" t="shared" si="0"/>
        <v>0</v>
      </c>
      <c r="P373" s="63">
        <f ca="1" t="shared" si="1"/>
        <v>255</v>
      </c>
      <c r="Q373" s="27" t="str">
        <f>VLOOKUP(B373,辅助信息!E:M,9,FALSE)</f>
        <v>ZTWM-CDGS-XS-2024-0134-商投建工达州中医药科技成果示范园项目</v>
      </c>
      <c r="R373" s="27"/>
    </row>
    <row r="374" hidden="1" spans="2:18">
      <c r="B374" s="41" t="s">
        <v>69</v>
      </c>
      <c r="C374" s="71">
        <v>45702</v>
      </c>
      <c r="D374" s="41" t="str">
        <f>VLOOKUP(B374,辅助信息!E:K,7,FALSE)</f>
        <v>JWDDCD2025052800131</v>
      </c>
      <c r="E374" s="41" t="str">
        <f>VLOOKUP(F374,辅助信息!A:B,2,FALSE)</f>
        <v>螺纹钢</v>
      </c>
      <c r="F374" s="41" t="s">
        <v>28</v>
      </c>
      <c r="G374" s="37">
        <v>9</v>
      </c>
      <c r="H374" s="37" t="e">
        <f>_xlfn._xlws.FILTER(#REF!,#REF!&amp;#REF!&amp;#REF!&amp;#REF!=C374&amp;F374&amp;I374&amp;J374,"未发货")</f>
        <v>#REF!</v>
      </c>
      <c r="I374" s="41" t="str">
        <f>VLOOKUP(B374,辅助信息!E:I,3,FALSE)</f>
        <v>（商投建工达州中医药科技园-4工区-2号楼）达州市通川区达州中医药职业学院犀牛大道北段</v>
      </c>
      <c r="J374" s="41" t="str">
        <f>VLOOKUP(B374,辅助信息!E:I,4,FALSE)</f>
        <v>张扬</v>
      </c>
      <c r="K374" s="41">
        <f>VLOOKUP(J374,辅助信息!H:I,2,FALSE)</f>
        <v>18381904567</v>
      </c>
      <c r="L374" s="79"/>
      <c r="M374" s="92">
        <v>45704</v>
      </c>
      <c r="N374" s="58"/>
      <c r="O374" s="63">
        <f ca="1" t="shared" si="0"/>
        <v>0</v>
      </c>
      <c r="P374" s="63">
        <f ca="1" t="shared" si="1"/>
        <v>255</v>
      </c>
      <c r="Q374" s="27" t="str">
        <f>VLOOKUP(B374,辅助信息!E:M,9,FALSE)</f>
        <v>ZTWM-CDGS-XS-2024-0134-商投建工达州中医药科技成果示范园项目</v>
      </c>
      <c r="R374" s="27"/>
    </row>
    <row r="375" hidden="1" spans="2:18">
      <c r="B375" s="41" t="s">
        <v>69</v>
      </c>
      <c r="C375" s="71">
        <v>45702</v>
      </c>
      <c r="D375" s="41" t="str">
        <f>VLOOKUP(B375,辅助信息!E:K,7,FALSE)</f>
        <v>JWDDCD2025052800131</v>
      </c>
      <c r="E375" s="41" t="str">
        <f>VLOOKUP(F375,辅助信息!A:B,2,FALSE)</f>
        <v>螺纹钢</v>
      </c>
      <c r="F375" s="41" t="s">
        <v>18</v>
      </c>
      <c r="G375" s="37">
        <v>9</v>
      </c>
      <c r="H375" s="37" t="e">
        <f>_xlfn._xlws.FILTER(#REF!,#REF!&amp;#REF!&amp;#REF!&amp;#REF!=C375&amp;F375&amp;I375&amp;J375,"未发货")</f>
        <v>#REF!</v>
      </c>
      <c r="I375" s="41" t="str">
        <f>VLOOKUP(B375,辅助信息!E:I,3,FALSE)</f>
        <v>（商投建工达州中医药科技园-4工区-2号楼）达州市通川区达州中医药职业学院犀牛大道北段</v>
      </c>
      <c r="J375" s="41" t="str">
        <f>VLOOKUP(B375,辅助信息!E:I,4,FALSE)</f>
        <v>张扬</v>
      </c>
      <c r="K375" s="41">
        <f>VLOOKUP(J375,辅助信息!H:I,2,FALSE)</f>
        <v>18381904567</v>
      </c>
      <c r="L375" s="79"/>
      <c r="M375" s="92">
        <v>45704</v>
      </c>
      <c r="N375" s="58"/>
      <c r="O375" s="63">
        <f ca="1" t="shared" si="0"/>
        <v>0</v>
      </c>
      <c r="P375" s="63">
        <f ca="1" t="shared" si="1"/>
        <v>255</v>
      </c>
      <c r="Q375" s="27" t="str">
        <f>VLOOKUP(B375,辅助信息!E:M,9,FALSE)</f>
        <v>ZTWM-CDGS-XS-2024-0134-商投建工达州中医药科技成果示范园项目</v>
      </c>
      <c r="R375" s="27"/>
    </row>
    <row r="376" hidden="1" spans="2:18">
      <c r="B376" s="41" t="s">
        <v>69</v>
      </c>
      <c r="C376" s="71">
        <v>45702</v>
      </c>
      <c r="D376" s="41" t="str">
        <f>VLOOKUP(B376,辅助信息!E:K,7,FALSE)</f>
        <v>JWDDCD2025052800131</v>
      </c>
      <c r="E376" s="41" t="str">
        <f>VLOOKUP(F376,辅助信息!A:B,2,FALSE)</f>
        <v>螺纹钢</v>
      </c>
      <c r="F376" s="41" t="s">
        <v>66</v>
      </c>
      <c r="G376" s="37">
        <v>9</v>
      </c>
      <c r="H376" s="37" t="e">
        <f>_xlfn._xlws.FILTER(#REF!,#REF!&amp;#REF!&amp;#REF!&amp;#REF!=C376&amp;F376&amp;I376&amp;J376,"未发货")</f>
        <v>#REF!</v>
      </c>
      <c r="I376" s="41" t="str">
        <f>VLOOKUP(B376,辅助信息!E:I,3,FALSE)</f>
        <v>（商投建工达州中医药科技园-4工区-2号楼）达州市通川区达州中医药职业学院犀牛大道北段</v>
      </c>
      <c r="J376" s="41" t="str">
        <f>VLOOKUP(B376,辅助信息!E:I,4,FALSE)</f>
        <v>张扬</v>
      </c>
      <c r="K376" s="41">
        <f>VLOOKUP(J376,辅助信息!H:I,2,FALSE)</f>
        <v>18381904567</v>
      </c>
      <c r="L376" s="79"/>
      <c r="M376" s="92">
        <v>45704</v>
      </c>
      <c r="N376" s="58"/>
      <c r="O376" s="63">
        <f ca="1" t="shared" si="0"/>
        <v>0</v>
      </c>
      <c r="P376" s="63">
        <f ca="1" t="shared" si="1"/>
        <v>255</v>
      </c>
      <c r="Q376" s="27" t="str">
        <f>VLOOKUP(B376,辅助信息!E:M,9,FALSE)</f>
        <v>ZTWM-CDGS-XS-2024-0134-商投建工达州中医药科技成果示范园项目</v>
      </c>
      <c r="R376" s="27"/>
    </row>
    <row r="377" hidden="1" spans="2:18">
      <c r="B377" s="41" t="s">
        <v>69</v>
      </c>
      <c r="C377" s="71">
        <v>45702</v>
      </c>
      <c r="D377" s="41" t="str">
        <f>VLOOKUP(B377,辅助信息!E:K,7,FALSE)</f>
        <v>JWDDCD2025052800131</v>
      </c>
      <c r="E377" s="41" t="str">
        <f>VLOOKUP(F377,辅助信息!A:B,2,FALSE)</f>
        <v>螺纹钢</v>
      </c>
      <c r="F377" s="41" t="s">
        <v>82</v>
      </c>
      <c r="G377" s="37">
        <v>3</v>
      </c>
      <c r="H377" s="37" t="e">
        <f>_xlfn._xlws.FILTER(#REF!,#REF!&amp;#REF!&amp;#REF!&amp;#REF!=C377&amp;F377&amp;I377&amp;J377,"未发货")</f>
        <v>#REF!</v>
      </c>
      <c r="I377" s="41" t="str">
        <f>VLOOKUP(B377,辅助信息!E:I,3,FALSE)</f>
        <v>（商投建工达州中医药科技园-4工区-2号楼）达州市通川区达州中医药职业学院犀牛大道北段</v>
      </c>
      <c r="J377" s="41" t="str">
        <f>VLOOKUP(B377,辅助信息!E:I,4,FALSE)</f>
        <v>张扬</v>
      </c>
      <c r="K377" s="41">
        <f>VLOOKUP(J377,辅助信息!H:I,2,FALSE)</f>
        <v>18381904567</v>
      </c>
      <c r="L377" s="79"/>
      <c r="M377" s="92">
        <v>45704</v>
      </c>
      <c r="N377" s="58"/>
      <c r="O377" s="63">
        <f ca="1" t="shared" si="0"/>
        <v>0</v>
      </c>
      <c r="P377" s="63">
        <f ca="1" t="shared" si="1"/>
        <v>255</v>
      </c>
      <c r="Q377" s="27" t="str">
        <f>VLOOKUP(B377,辅助信息!E:M,9,FALSE)</f>
        <v>ZTWM-CDGS-XS-2024-0134-商投建工达州中医药科技成果示范园项目</v>
      </c>
      <c r="R377" s="27"/>
    </row>
    <row r="378" hidden="1" spans="2:18">
      <c r="B378" s="41" t="s">
        <v>69</v>
      </c>
      <c r="C378" s="71">
        <v>45702</v>
      </c>
      <c r="D378" s="41" t="str">
        <f>VLOOKUP(B378,辅助信息!E:K,7,FALSE)</f>
        <v>JWDDCD2025052800131</v>
      </c>
      <c r="E378" s="41" t="str">
        <f>VLOOKUP(F378,辅助信息!A:B,2,FALSE)</f>
        <v>螺纹钢</v>
      </c>
      <c r="F378" s="41" t="s">
        <v>45</v>
      </c>
      <c r="G378" s="37">
        <v>9</v>
      </c>
      <c r="H378" s="37" t="e">
        <f>_xlfn._xlws.FILTER(#REF!,#REF!&amp;#REF!&amp;#REF!&amp;#REF!=C378&amp;F378&amp;I378&amp;J378,"未发货")</f>
        <v>#REF!</v>
      </c>
      <c r="I378" s="41" t="str">
        <f>VLOOKUP(B378,辅助信息!E:I,3,FALSE)</f>
        <v>（商投建工达州中医药科技园-4工区-2号楼）达州市通川区达州中医药职业学院犀牛大道北段</v>
      </c>
      <c r="J378" s="41" t="str">
        <f>VLOOKUP(B378,辅助信息!E:I,4,FALSE)</f>
        <v>张扬</v>
      </c>
      <c r="K378" s="41">
        <f>VLOOKUP(J378,辅助信息!H:I,2,FALSE)</f>
        <v>18381904567</v>
      </c>
      <c r="L378" s="79"/>
      <c r="M378" s="92">
        <v>45704</v>
      </c>
      <c r="N378" s="58"/>
      <c r="O378" s="63">
        <f ca="1" t="shared" si="0"/>
        <v>0</v>
      </c>
      <c r="P378" s="63">
        <f ca="1" t="shared" si="1"/>
        <v>255</v>
      </c>
      <c r="Q378" s="27" t="str">
        <f>VLOOKUP(B378,辅助信息!E:M,9,FALSE)</f>
        <v>ZTWM-CDGS-XS-2024-0134-商投建工达州中医药科技成果示范园项目</v>
      </c>
      <c r="R378" s="27"/>
    </row>
    <row r="379" hidden="1" spans="2:18">
      <c r="B379" s="41" t="s">
        <v>69</v>
      </c>
      <c r="C379" s="71">
        <v>45702</v>
      </c>
      <c r="D379" s="41" t="str">
        <f>VLOOKUP(B379,辅助信息!E:K,7,FALSE)</f>
        <v>JWDDCD2025052800131</v>
      </c>
      <c r="E379" s="41" t="str">
        <f>VLOOKUP(F379,辅助信息!A:B,2,FALSE)</f>
        <v>螺纹钢</v>
      </c>
      <c r="F379" s="41" t="s">
        <v>21</v>
      </c>
      <c r="G379" s="37">
        <v>30</v>
      </c>
      <c r="H379" s="37" t="e">
        <f>_xlfn._xlws.FILTER(#REF!,#REF!&amp;#REF!&amp;#REF!&amp;#REF!=C379&amp;F379&amp;I379&amp;J379,"未发货")</f>
        <v>#REF!</v>
      </c>
      <c r="I379" s="41" t="str">
        <f>VLOOKUP(B379,辅助信息!E:I,3,FALSE)</f>
        <v>（商投建工达州中医药科技园-4工区-2号楼）达州市通川区达州中医药职业学院犀牛大道北段</v>
      </c>
      <c r="J379" s="41" t="str">
        <f>VLOOKUP(B379,辅助信息!E:I,4,FALSE)</f>
        <v>张扬</v>
      </c>
      <c r="K379" s="41">
        <f>VLOOKUP(J379,辅助信息!H:I,2,FALSE)</f>
        <v>18381904567</v>
      </c>
      <c r="L379" s="79"/>
      <c r="M379" s="92">
        <v>45704</v>
      </c>
      <c r="N379" s="58"/>
      <c r="O379" s="63">
        <f ca="1" t="shared" si="0"/>
        <v>0</v>
      </c>
      <c r="P379" s="63">
        <f ca="1" t="shared" si="1"/>
        <v>255</v>
      </c>
      <c r="Q379" s="27" t="str">
        <f>VLOOKUP(B379,辅助信息!E:M,9,FALSE)</f>
        <v>ZTWM-CDGS-XS-2024-0134-商投建工达州中医药科技成果示范园项目</v>
      </c>
      <c r="R379" s="27"/>
    </row>
    <row r="380" hidden="1" spans="2:18">
      <c r="B380" s="41" t="s">
        <v>69</v>
      </c>
      <c r="C380" s="71">
        <v>45702</v>
      </c>
      <c r="D380" s="41" t="str">
        <f>VLOOKUP(B380,辅助信息!E:K,7,FALSE)</f>
        <v>JWDDCD2025052800131</v>
      </c>
      <c r="E380" s="41" t="str">
        <f>VLOOKUP(F380,辅助信息!A:B,2,FALSE)</f>
        <v>螺纹钢</v>
      </c>
      <c r="F380" s="41" t="s">
        <v>58</v>
      </c>
      <c r="G380" s="37">
        <v>30</v>
      </c>
      <c r="H380" s="37" t="e">
        <f>_xlfn._xlws.FILTER(#REF!,#REF!&amp;#REF!&amp;#REF!&amp;#REF!=C380&amp;F380&amp;I380&amp;J380,"未发货")</f>
        <v>#REF!</v>
      </c>
      <c r="I380" s="41" t="str">
        <f>VLOOKUP(B380,辅助信息!E:I,3,FALSE)</f>
        <v>（商投建工达州中医药科技园-4工区-2号楼）达州市通川区达州中医药职业学院犀牛大道北段</v>
      </c>
      <c r="J380" s="41" t="str">
        <f>VLOOKUP(B380,辅助信息!E:I,4,FALSE)</f>
        <v>张扬</v>
      </c>
      <c r="K380" s="41">
        <f>VLOOKUP(J380,辅助信息!H:I,2,FALSE)</f>
        <v>18381904567</v>
      </c>
      <c r="L380" s="79"/>
      <c r="M380" s="92">
        <v>45704</v>
      </c>
      <c r="N380" s="58"/>
      <c r="O380" s="63">
        <f ca="1" t="shared" si="0"/>
        <v>0</v>
      </c>
      <c r="P380" s="63">
        <f ca="1" t="shared" si="1"/>
        <v>255</v>
      </c>
      <c r="Q380" s="27" t="str">
        <f>VLOOKUP(B380,辅助信息!E:M,9,FALSE)</f>
        <v>ZTWM-CDGS-XS-2024-0134-商投建工达州中医药科技成果示范园项目</v>
      </c>
      <c r="R380" s="27"/>
    </row>
    <row r="381" hidden="1" spans="2:18">
      <c r="B381" s="41" t="s">
        <v>69</v>
      </c>
      <c r="C381" s="71">
        <v>45702</v>
      </c>
      <c r="D381" s="41" t="str">
        <f>VLOOKUP(B381,辅助信息!E:K,7,FALSE)</f>
        <v>JWDDCD2025052800131</v>
      </c>
      <c r="E381" s="41" t="str">
        <f>VLOOKUP(F381,辅助信息!A:B,2,FALSE)</f>
        <v>螺纹钢</v>
      </c>
      <c r="F381" s="41" t="s">
        <v>46</v>
      </c>
      <c r="G381" s="37">
        <v>21</v>
      </c>
      <c r="H381" s="37" t="e">
        <f>_xlfn._xlws.FILTER(#REF!,#REF!&amp;#REF!&amp;#REF!&amp;#REF!=C381&amp;F381&amp;I381&amp;J381,"未发货")</f>
        <v>#REF!</v>
      </c>
      <c r="I381" s="41" t="str">
        <f>VLOOKUP(B381,辅助信息!E:I,3,FALSE)</f>
        <v>（商投建工达州中医药科技园-4工区-2号楼）达州市通川区达州中医药职业学院犀牛大道北段</v>
      </c>
      <c r="J381" s="41" t="str">
        <f>VLOOKUP(B381,辅助信息!E:I,4,FALSE)</f>
        <v>张扬</v>
      </c>
      <c r="K381" s="41">
        <f>VLOOKUP(J381,辅助信息!H:I,2,FALSE)</f>
        <v>18381904567</v>
      </c>
      <c r="L381" s="79"/>
      <c r="M381" s="92">
        <v>45704</v>
      </c>
      <c r="N381" s="58"/>
      <c r="O381" s="63">
        <f ca="1" t="shared" si="0"/>
        <v>0</v>
      </c>
      <c r="P381" s="63">
        <f ca="1" t="shared" si="1"/>
        <v>255</v>
      </c>
      <c r="Q381" s="27" t="str">
        <f>VLOOKUP(B381,辅助信息!E:M,9,FALSE)</f>
        <v>ZTWM-CDGS-XS-2024-0134-商投建工达州中医药科技成果示范园项目</v>
      </c>
      <c r="R381" s="27"/>
    </row>
    <row r="382" hidden="1" spans="2:18">
      <c r="B382" s="41" t="s">
        <v>69</v>
      </c>
      <c r="C382" s="71">
        <v>45702</v>
      </c>
      <c r="D382" s="41" t="str">
        <f>VLOOKUP(B382,辅助信息!E:K,7,FALSE)</f>
        <v>JWDDCD2025052800131</v>
      </c>
      <c r="E382" s="41" t="str">
        <f>VLOOKUP(F382,辅助信息!A:B,2,FALSE)</f>
        <v>螺纹钢</v>
      </c>
      <c r="F382" s="41" t="s">
        <v>22</v>
      </c>
      <c r="G382" s="37">
        <v>21</v>
      </c>
      <c r="H382" s="37" t="e">
        <f>_xlfn._xlws.FILTER(#REF!,#REF!&amp;#REF!&amp;#REF!&amp;#REF!=C382&amp;F382&amp;I382&amp;J382,"未发货")</f>
        <v>#REF!</v>
      </c>
      <c r="I382" s="41" t="str">
        <f>VLOOKUP(B382,辅助信息!E:I,3,FALSE)</f>
        <v>（商投建工达州中医药科技园-4工区-2号楼）达州市通川区达州中医药职业学院犀牛大道北段</v>
      </c>
      <c r="J382" s="41" t="str">
        <f>VLOOKUP(B382,辅助信息!E:I,4,FALSE)</f>
        <v>张扬</v>
      </c>
      <c r="K382" s="41">
        <f>VLOOKUP(J382,辅助信息!H:I,2,FALSE)</f>
        <v>18381904567</v>
      </c>
      <c r="L382" s="77"/>
      <c r="M382" s="92">
        <v>45704</v>
      </c>
      <c r="N382" s="58"/>
      <c r="O382" s="63">
        <f ca="1" t="shared" ref="O382:O408" si="2">IF(OR(M382="",N382&lt;&gt;""),"",MAX(M382-TODAY(),0))</f>
        <v>0</v>
      </c>
      <c r="P382" s="63">
        <f ca="1" t="shared" ref="P382:P408" si="3">IF(M382="","",IF(N382&lt;&gt;"",MAX(N382-M382,0),IF(TODAY()&gt;M382,TODAY()-M382,0)))</f>
        <v>255</v>
      </c>
      <c r="Q382" s="27" t="str">
        <f>VLOOKUP(B382,辅助信息!E:M,9,FALSE)</f>
        <v>ZTWM-CDGS-XS-2024-0134-商投建工达州中医药科技成果示范园项目</v>
      </c>
      <c r="R382" s="27"/>
    </row>
    <row r="383" s="27" customFormat="1" hidden="1" spans="2:17">
      <c r="B383" s="41" t="s">
        <v>80</v>
      </c>
      <c r="C383" s="71">
        <v>45703</v>
      </c>
      <c r="D383" s="41" t="e">
        <f>VLOOKUP(B383,辅助信息!E:K,7,FALSE)</f>
        <v>#N/A</v>
      </c>
      <c r="E383" s="41" t="str">
        <f>VLOOKUP(F383,辅助信息!A:B,2,FALSE)</f>
        <v>盘螺</v>
      </c>
      <c r="F383" s="41" t="s">
        <v>49</v>
      </c>
      <c r="G383" s="41">
        <v>7.5</v>
      </c>
      <c r="H383" s="41" t="e">
        <f>_xlfn._xlws.FILTER(#REF!,#REF!&amp;#REF!&amp;#REF!&amp;#REF!=C383&amp;F383&amp;I383&amp;J383,"未发货")</f>
        <v>#REF!</v>
      </c>
      <c r="I383" s="41" t="e">
        <f>VLOOKUP(B383,辅助信息!E:I,3,FALSE)</f>
        <v>#N/A</v>
      </c>
      <c r="J383" s="41" t="e">
        <f>VLOOKUP(B383,辅助信息!E:I,4,FALSE)</f>
        <v>#N/A</v>
      </c>
      <c r="K383" s="41" t="e">
        <f>VLOOKUP(J383,辅助信息!H:I,2,FALSE)</f>
        <v>#N/A</v>
      </c>
      <c r="L383" s="41" t="e">
        <f>VLOOKUP(B383,辅助信息!E:J,6,FALSE)</f>
        <v>#N/A</v>
      </c>
      <c r="M383" s="96">
        <v>45703</v>
      </c>
      <c r="N383" s="96"/>
      <c r="O383" s="27">
        <f ca="1" t="shared" si="2"/>
        <v>0</v>
      </c>
      <c r="P383" s="27">
        <f ca="1" t="shared" si="3"/>
        <v>256</v>
      </c>
      <c r="Q383" s="27" t="e">
        <f>VLOOKUP(B383,辅助信息!E:M,9,FALSE)</f>
        <v>#N/A</v>
      </c>
    </row>
    <row r="384" s="27" customFormat="1" hidden="1" spans="2:17">
      <c r="B384" s="41" t="s">
        <v>80</v>
      </c>
      <c r="C384" s="71">
        <v>45703</v>
      </c>
      <c r="D384" s="41" t="e">
        <f>VLOOKUP(B384,辅助信息!E:K,7,FALSE)</f>
        <v>#N/A</v>
      </c>
      <c r="E384" s="41" t="str">
        <f>VLOOKUP(F384,辅助信息!A:B,2,FALSE)</f>
        <v>盘螺</v>
      </c>
      <c r="F384" s="41" t="s">
        <v>40</v>
      </c>
      <c r="G384" s="41">
        <v>15</v>
      </c>
      <c r="H384" s="41" t="e">
        <f>_xlfn._xlws.FILTER(#REF!,#REF!&amp;#REF!&amp;#REF!&amp;#REF!=C384&amp;F384&amp;I384&amp;J384,"未发货")</f>
        <v>#REF!</v>
      </c>
      <c r="I384" s="41" t="e">
        <f>VLOOKUP(B384,辅助信息!E:I,3,FALSE)</f>
        <v>#N/A</v>
      </c>
      <c r="J384" s="41" t="e">
        <f>VLOOKUP(B384,辅助信息!E:I,4,FALSE)</f>
        <v>#N/A</v>
      </c>
      <c r="K384" s="41" t="e">
        <f>VLOOKUP(J384,辅助信息!H:I,2,FALSE)</f>
        <v>#N/A</v>
      </c>
      <c r="L384" s="79"/>
      <c r="M384" s="96">
        <v>45703</v>
      </c>
      <c r="N384" s="96"/>
      <c r="O384" s="27">
        <f ca="1" t="shared" si="2"/>
        <v>0</v>
      </c>
      <c r="P384" s="27">
        <f ca="1" t="shared" si="3"/>
        <v>256</v>
      </c>
      <c r="Q384" s="27" t="e">
        <f>VLOOKUP(B384,辅助信息!E:M,9,FALSE)</f>
        <v>#N/A</v>
      </c>
    </row>
    <row r="385" s="27" customFormat="1" hidden="1" spans="2:17">
      <c r="B385" s="41" t="s">
        <v>80</v>
      </c>
      <c r="C385" s="71">
        <v>45703</v>
      </c>
      <c r="D385" s="41" t="e">
        <f>VLOOKUP(B385,辅助信息!E:K,7,FALSE)</f>
        <v>#N/A</v>
      </c>
      <c r="E385" s="41" t="str">
        <f>VLOOKUP(F385,辅助信息!A:B,2,FALSE)</f>
        <v>螺纹钢</v>
      </c>
      <c r="F385" s="41" t="s">
        <v>30</v>
      </c>
      <c r="G385" s="41">
        <v>12</v>
      </c>
      <c r="H385" s="41" t="e">
        <f>_xlfn._xlws.FILTER(#REF!,#REF!&amp;#REF!&amp;#REF!&amp;#REF!=C385&amp;F385&amp;I385&amp;J385,"未发货")</f>
        <v>#REF!</v>
      </c>
      <c r="I385" s="41" t="e">
        <f>VLOOKUP(B385,辅助信息!E:I,3,FALSE)</f>
        <v>#N/A</v>
      </c>
      <c r="J385" s="41" t="e">
        <f>VLOOKUP(B385,辅助信息!E:I,4,FALSE)</f>
        <v>#N/A</v>
      </c>
      <c r="K385" s="41" t="e">
        <f>VLOOKUP(J385,辅助信息!H:I,2,FALSE)</f>
        <v>#N/A</v>
      </c>
      <c r="L385" s="77"/>
      <c r="M385" s="96">
        <v>45703</v>
      </c>
      <c r="N385" s="96"/>
      <c r="O385" s="27">
        <f ca="1" t="shared" si="2"/>
        <v>0</v>
      </c>
      <c r="P385" s="27">
        <f ca="1" t="shared" si="3"/>
        <v>256</v>
      </c>
      <c r="Q385" s="27" t="e">
        <f>VLOOKUP(B385,辅助信息!E:M,9,FALSE)</f>
        <v>#N/A</v>
      </c>
    </row>
    <row r="386" s="27" customFormat="1" hidden="1" spans="1:17">
      <c r="A386" s="97" t="s">
        <v>83</v>
      </c>
      <c r="B386" s="41" t="s">
        <v>64</v>
      </c>
      <c r="C386" s="71">
        <v>45703</v>
      </c>
      <c r="D386" s="41" t="e">
        <f>VLOOKUP(B386,辅助信息!E:K,7,FALSE)</f>
        <v>#N/A</v>
      </c>
      <c r="E386" s="41" t="str">
        <f>VLOOKUP(F386,辅助信息!A:B,2,FALSE)</f>
        <v>盘螺</v>
      </c>
      <c r="F386" s="41" t="s">
        <v>26</v>
      </c>
      <c r="G386" s="98">
        <v>21</v>
      </c>
      <c r="H386" s="41" t="e">
        <f>_xlfn._xlws.FILTER(#REF!,#REF!&amp;#REF!&amp;#REF!&amp;#REF!=C386&amp;F386&amp;I386&amp;J386,"未发货")</f>
        <v>#REF!</v>
      </c>
      <c r="I386" s="41" t="e">
        <f>VLOOKUP(B386,辅助信息!E:I,3,FALSE)</f>
        <v>#N/A</v>
      </c>
      <c r="J386" s="41" t="e">
        <f>VLOOKUP(B386,辅助信息!E:I,4,FALSE)</f>
        <v>#N/A</v>
      </c>
      <c r="K386" s="41" t="e">
        <f>VLOOKUP(J386,辅助信息!H:I,2,FALSE)</f>
        <v>#N/A</v>
      </c>
      <c r="L386" s="41" t="e">
        <f>VLOOKUP(B389,辅助信息!E:J,6,FALSE)</f>
        <v>#N/A</v>
      </c>
      <c r="M386" s="96">
        <v>45704</v>
      </c>
      <c r="O386" s="27">
        <f ca="1" t="shared" si="2"/>
        <v>0</v>
      </c>
      <c r="P386" s="27">
        <f ca="1" t="shared" si="3"/>
        <v>255</v>
      </c>
      <c r="Q386" s="27" t="e">
        <f>VLOOKUP(B386,辅助信息!E:M,9,FALSE)</f>
        <v>#N/A</v>
      </c>
    </row>
    <row r="387" s="27" customFormat="1" hidden="1" spans="2:17">
      <c r="B387" s="41" t="s">
        <v>64</v>
      </c>
      <c r="C387" s="71">
        <v>45703</v>
      </c>
      <c r="D387" s="41" t="e">
        <f>VLOOKUP(B387,辅助信息!E:K,7,FALSE)</f>
        <v>#N/A</v>
      </c>
      <c r="E387" s="41" t="str">
        <f>VLOOKUP(F387,辅助信息!A:B,2,FALSE)</f>
        <v>螺纹钢</v>
      </c>
      <c r="F387" s="41" t="s">
        <v>32</v>
      </c>
      <c r="G387" s="41">
        <v>21</v>
      </c>
      <c r="H387" s="41" t="e">
        <f>_xlfn._xlws.FILTER(#REF!,#REF!&amp;#REF!&amp;#REF!&amp;#REF!=C387&amp;F387&amp;I387&amp;J387,"未发货")</f>
        <v>#REF!</v>
      </c>
      <c r="I387" s="41" t="e">
        <f>VLOOKUP(B387,辅助信息!E:I,3,FALSE)</f>
        <v>#N/A</v>
      </c>
      <c r="J387" s="41" t="e">
        <f>VLOOKUP(B387,辅助信息!E:I,4,FALSE)</f>
        <v>#N/A</v>
      </c>
      <c r="K387" s="41" t="e">
        <f>VLOOKUP(J387,辅助信息!H:I,2,FALSE)</f>
        <v>#N/A</v>
      </c>
      <c r="L387" s="79"/>
      <c r="M387" s="96">
        <v>45704</v>
      </c>
      <c r="O387" s="27">
        <f ca="1" t="shared" si="2"/>
        <v>0</v>
      </c>
      <c r="P387" s="27">
        <f ca="1" t="shared" si="3"/>
        <v>255</v>
      </c>
      <c r="Q387" s="27" t="e">
        <f>VLOOKUP(B387,辅助信息!E:M,9,FALSE)</f>
        <v>#N/A</v>
      </c>
    </row>
    <row r="388" s="27" customFormat="1" hidden="1" spans="2:17">
      <c r="B388" s="41" t="s">
        <v>64</v>
      </c>
      <c r="C388" s="71">
        <v>45703</v>
      </c>
      <c r="D388" s="41" t="e">
        <f>VLOOKUP(B388,辅助信息!E:K,7,FALSE)</f>
        <v>#N/A</v>
      </c>
      <c r="E388" s="41" t="str">
        <f>VLOOKUP(F388,辅助信息!A:B,2,FALSE)</f>
        <v>螺纹钢</v>
      </c>
      <c r="F388" s="41" t="s">
        <v>18</v>
      </c>
      <c r="G388" s="41">
        <v>21</v>
      </c>
      <c r="H388" s="41" t="e">
        <f>_xlfn._xlws.FILTER(#REF!,#REF!&amp;#REF!&amp;#REF!&amp;#REF!=C388&amp;F388&amp;I388&amp;J388,"未发货")</f>
        <v>#REF!</v>
      </c>
      <c r="I388" s="41" t="e">
        <f>VLOOKUP(B388,辅助信息!E:I,3,FALSE)</f>
        <v>#N/A</v>
      </c>
      <c r="J388" s="41" t="e">
        <f>VLOOKUP(B388,辅助信息!E:I,4,FALSE)</f>
        <v>#N/A</v>
      </c>
      <c r="K388" s="41" t="e">
        <f>VLOOKUP(J388,辅助信息!H:I,2,FALSE)</f>
        <v>#N/A</v>
      </c>
      <c r="L388" s="79"/>
      <c r="M388" s="96">
        <v>45704</v>
      </c>
      <c r="O388" s="27">
        <f ca="1" t="shared" si="2"/>
        <v>0</v>
      </c>
      <c r="P388" s="27">
        <f ca="1" t="shared" si="3"/>
        <v>255</v>
      </c>
      <c r="Q388" s="27" t="e">
        <f>VLOOKUP(B388,辅助信息!E:M,9,FALSE)</f>
        <v>#N/A</v>
      </c>
    </row>
    <row r="389" s="27" customFormat="1" hidden="1" spans="1:17">
      <c r="A389" s="63"/>
      <c r="B389" s="41" t="s">
        <v>64</v>
      </c>
      <c r="C389" s="71">
        <v>45703</v>
      </c>
      <c r="D389" s="41" t="e">
        <f>VLOOKUP(B389,辅助信息!E:K,7,FALSE)</f>
        <v>#N/A</v>
      </c>
      <c r="E389" s="41" t="str">
        <f>VLOOKUP(F389,辅助信息!A:B,2,FALSE)</f>
        <v>螺纹钢</v>
      </c>
      <c r="F389" s="41" t="s">
        <v>65</v>
      </c>
      <c r="G389" s="37">
        <v>42</v>
      </c>
      <c r="H389" s="37" t="e">
        <f>_xlfn._xlws.FILTER(#REF!,#REF!&amp;#REF!&amp;#REF!&amp;#REF!=C389&amp;F389&amp;I389&amp;J389,"未发货")</f>
        <v>#REF!</v>
      </c>
      <c r="I389" s="41" t="e">
        <f>VLOOKUP(B389,辅助信息!E:I,3,FALSE)</f>
        <v>#N/A</v>
      </c>
      <c r="J389" s="41" t="e">
        <f>VLOOKUP(B389,辅助信息!E:I,4,FALSE)</f>
        <v>#N/A</v>
      </c>
      <c r="K389" s="41" t="e">
        <f>VLOOKUP(J389,辅助信息!H:I,2,FALSE)</f>
        <v>#N/A</v>
      </c>
      <c r="L389" s="77"/>
      <c r="M389" s="92">
        <v>45704</v>
      </c>
      <c r="N389" s="63"/>
      <c r="O389" s="63">
        <f ca="1" t="shared" si="2"/>
        <v>0</v>
      </c>
      <c r="P389" s="63">
        <f ca="1" t="shared" si="3"/>
        <v>255</v>
      </c>
      <c r="Q389" s="27" t="e">
        <f>VLOOKUP(B389,辅助信息!E:M,9,FALSE)</f>
        <v>#N/A</v>
      </c>
    </row>
    <row r="390" s="27" customFormat="1" hidden="1" spans="1:17">
      <c r="A390" s="63"/>
      <c r="B390" s="41" t="s">
        <v>48</v>
      </c>
      <c r="C390" s="71">
        <v>45703</v>
      </c>
      <c r="D390" s="41" t="str">
        <f>VLOOKUP(B390,辅助信息!E:K,7,FALSE)</f>
        <v>ZTWM-CDGS-YL-20240529-006</v>
      </c>
      <c r="E390" s="41" t="str">
        <f>VLOOKUP(F390,辅助信息!A:B,2,FALSE)</f>
        <v>盘螺</v>
      </c>
      <c r="F390" s="41" t="s">
        <v>49</v>
      </c>
      <c r="G390" s="37">
        <v>3</v>
      </c>
      <c r="H390" s="37" t="e">
        <f>_xlfn._xlws.FILTER(#REF!,#REF!&amp;#REF!&amp;#REF!&amp;#REF!=C390&amp;F390&amp;I390&amp;J390,"未发货")</f>
        <v>#REF!</v>
      </c>
      <c r="I390" s="41" t="str">
        <f>VLOOKUP(B390,辅助信息!E:I,3,FALSE)</f>
        <v>(华西颐海-科创农业生态谷-1号钢筋房)成都市简阳市白金山水库</v>
      </c>
      <c r="J390" s="41" t="str">
        <f>VLOOKUP(B390,辅助信息!E:I,4,FALSE)</f>
        <v>石清国</v>
      </c>
      <c r="K390" s="41">
        <f>VLOOKUP(J390,辅助信息!H:I,2,FALSE)</f>
        <v>13458642015</v>
      </c>
      <c r="L390" s="44" t="str">
        <f>VLOOKUP(B390,辅助信息!E:J,6,FALSE)</f>
        <v>优先威钢,我方卸车,新老国标钢厂不加价可直发</v>
      </c>
      <c r="M390" s="92">
        <v>45705</v>
      </c>
      <c r="N390" s="63"/>
      <c r="O390" s="63">
        <f ca="1" t="shared" si="2"/>
        <v>0</v>
      </c>
      <c r="P390" s="63">
        <f ca="1" t="shared" si="3"/>
        <v>254</v>
      </c>
      <c r="Q390" s="27" t="str">
        <f>VLOOKUP(B390,辅助信息!E:M,9,FALSE)</f>
        <v>ZTWM-CDGS-XS-2024-0093-华西-颐海科创农业生态谷</v>
      </c>
    </row>
    <row r="391" s="27" customFormat="1" hidden="1" spans="1:17">
      <c r="A391" s="63"/>
      <c r="B391" s="41" t="s">
        <v>48</v>
      </c>
      <c r="C391" s="71">
        <v>45703</v>
      </c>
      <c r="D391" s="41" t="str">
        <f>VLOOKUP(B391,辅助信息!E:K,7,FALSE)</f>
        <v>ZTWM-CDGS-YL-20240529-006</v>
      </c>
      <c r="E391" s="41" t="str">
        <f>VLOOKUP(F391,辅助信息!A:B,2,FALSE)</f>
        <v>盘螺</v>
      </c>
      <c r="F391" s="41" t="s">
        <v>40</v>
      </c>
      <c r="G391" s="37">
        <v>10</v>
      </c>
      <c r="H391" s="37" t="e">
        <f>_xlfn._xlws.FILTER(#REF!,#REF!&amp;#REF!&amp;#REF!&amp;#REF!=C391&amp;F391&amp;I391&amp;J391,"未发货")</f>
        <v>#REF!</v>
      </c>
      <c r="I391" s="41" t="str">
        <f>VLOOKUP(B391,辅助信息!E:I,3,FALSE)</f>
        <v>(华西颐海-科创农业生态谷-1号钢筋房)成都市简阳市白金山水库</v>
      </c>
      <c r="J391" s="41" t="str">
        <f>VLOOKUP(B391,辅助信息!E:I,4,FALSE)</f>
        <v>石清国</v>
      </c>
      <c r="K391" s="41">
        <f>VLOOKUP(J391,辅助信息!H:I,2,FALSE)</f>
        <v>13458642015</v>
      </c>
      <c r="L391" s="79"/>
      <c r="M391" s="92">
        <v>45705</v>
      </c>
      <c r="N391" s="63"/>
      <c r="O391" s="63">
        <f ca="1" t="shared" si="2"/>
        <v>0</v>
      </c>
      <c r="P391" s="63">
        <f ca="1" t="shared" si="3"/>
        <v>254</v>
      </c>
      <c r="Q391" s="27" t="str">
        <f>VLOOKUP(B391,辅助信息!E:M,9,FALSE)</f>
        <v>ZTWM-CDGS-XS-2024-0093-华西-颐海科创农业生态谷</v>
      </c>
    </row>
    <row r="392" s="27" customFormat="1" hidden="1" spans="1:17">
      <c r="A392" s="63"/>
      <c r="B392" s="41" t="s">
        <v>48</v>
      </c>
      <c r="C392" s="71">
        <v>45703</v>
      </c>
      <c r="D392" s="41" t="str">
        <f>VLOOKUP(B392,辅助信息!E:K,7,FALSE)</f>
        <v>ZTWM-CDGS-YL-20240529-006</v>
      </c>
      <c r="E392" s="41" t="str">
        <f>VLOOKUP(F392,辅助信息!A:B,2,FALSE)</f>
        <v>盘螺</v>
      </c>
      <c r="F392" s="41" t="s">
        <v>41</v>
      </c>
      <c r="G392" s="37">
        <v>10</v>
      </c>
      <c r="H392" s="37" t="e">
        <f>_xlfn._xlws.FILTER(#REF!,#REF!&amp;#REF!&amp;#REF!&amp;#REF!=C392&amp;F392&amp;I392&amp;J392,"未发货")</f>
        <v>#REF!</v>
      </c>
      <c r="I392" s="41" t="str">
        <f>VLOOKUP(B392,辅助信息!E:I,3,FALSE)</f>
        <v>(华西颐海-科创农业生态谷-1号钢筋房)成都市简阳市白金山水库</v>
      </c>
      <c r="J392" s="41" t="str">
        <f>VLOOKUP(B392,辅助信息!E:I,4,FALSE)</f>
        <v>石清国</v>
      </c>
      <c r="K392" s="41">
        <f>VLOOKUP(J392,辅助信息!H:I,2,FALSE)</f>
        <v>13458642015</v>
      </c>
      <c r="L392" s="79"/>
      <c r="M392" s="92">
        <v>45705</v>
      </c>
      <c r="N392" s="63"/>
      <c r="O392" s="63">
        <f ca="1" t="shared" si="2"/>
        <v>0</v>
      </c>
      <c r="P392" s="63">
        <f ca="1" t="shared" si="3"/>
        <v>254</v>
      </c>
      <c r="Q392" s="27" t="str">
        <f>VLOOKUP(B392,辅助信息!E:M,9,FALSE)</f>
        <v>ZTWM-CDGS-XS-2024-0093-华西-颐海科创农业生态谷</v>
      </c>
    </row>
    <row r="393" s="27" customFormat="1" hidden="1" spans="1:17">
      <c r="A393" s="63"/>
      <c r="B393" s="41" t="s">
        <v>48</v>
      </c>
      <c r="C393" s="71">
        <v>45703</v>
      </c>
      <c r="D393" s="41" t="str">
        <f>VLOOKUP(B393,辅助信息!E:K,7,FALSE)</f>
        <v>ZTWM-CDGS-YL-20240529-006</v>
      </c>
      <c r="E393" s="41" t="str">
        <f>VLOOKUP(F393,辅助信息!A:B,2,FALSE)</f>
        <v>螺纹钢</v>
      </c>
      <c r="F393" s="41" t="s">
        <v>66</v>
      </c>
      <c r="G393" s="37">
        <v>12</v>
      </c>
      <c r="H393" s="37" t="e">
        <f>_xlfn._xlws.FILTER(#REF!,#REF!&amp;#REF!&amp;#REF!&amp;#REF!=C393&amp;F393&amp;I393&amp;J393,"未发货")</f>
        <v>#REF!</v>
      </c>
      <c r="I393" s="41" t="str">
        <f>VLOOKUP(B393,辅助信息!E:I,3,FALSE)</f>
        <v>(华西颐海-科创农业生态谷-1号钢筋房)成都市简阳市白金山水库</v>
      </c>
      <c r="J393" s="41" t="str">
        <f>VLOOKUP(B393,辅助信息!E:I,4,FALSE)</f>
        <v>石清国</v>
      </c>
      <c r="K393" s="41">
        <f>VLOOKUP(J393,辅助信息!H:I,2,FALSE)</f>
        <v>13458642015</v>
      </c>
      <c r="L393" s="79"/>
      <c r="M393" s="92">
        <v>45705</v>
      </c>
      <c r="N393" s="63"/>
      <c r="O393" s="63">
        <f ca="1" t="shared" si="2"/>
        <v>0</v>
      </c>
      <c r="P393" s="63">
        <f ca="1" t="shared" si="3"/>
        <v>254</v>
      </c>
      <c r="Q393" s="27" t="str">
        <f>VLOOKUP(B393,辅助信息!E:M,9,FALSE)</f>
        <v>ZTWM-CDGS-XS-2024-0093-华西-颐海科创农业生态谷</v>
      </c>
    </row>
    <row r="394" s="27" customFormat="1" hidden="1" spans="1:17">
      <c r="A394" s="63"/>
      <c r="B394" s="41" t="s">
        <v>48</v>
      </c>
      <c r="C394" s="71">
        <v>45703</v>
      </c>
      <c r="D394" s="41" t="str">
        <f>VLOOKUP(B394,辅助信息!E:K,7,FALSE)</f>
        <v>ZTWM-CDGS-YL-20240529-006</v>
      </c>
      <c r="E394" s="41" t="str">
        <f>VLOOKUP(F394,辅助信息!A:B,2,FALSE)</f>
        <v>螺纹钢</v>
      </c>
      <c r="F394" s="41" t="s">
        <v>22</v>
      </c>
      <c r="G394" s="37">
        <v>6</v>
      </c>
      <c r="H394" s="37" t="e">
        <f>_xlfn._xlws.FILTER(#REF!,#REF!&amp;#REF!&amp;#REF!&amp;#REF!=C394&amp;F394&amp;I394&amp;J394,"未发货")</f>
        <v>#REF!</v>
      </c>
      <c r="I394" s="41" t="str">
        <f>VLOOKUP(B394,辅助信息!E:I,3,FALSE)</f>
        <v>(华西颐海-科创农业生态谷-1号钢筋房)成都市简阳市白金山水库</v>
      </c>
      <c r="J394" s="41" t="str">
        <f>VLOOKUP(B394,辅助信息!E:I,4,FALSE)</f>
        <v>石清国</v>
      </c>
      <c r="K394" s="41">
        <f>VLOOKUP(J394,辅助信息!H:I,2,FALSE)</f>
        <v>13458642015</v>
      </c>
      <c r="L394" s="77"/>
      <c r="M394" s="92">
        <v>45705</v>
      </c>
      <c r="N394" s="63"/>
      <c r="O394" s="63">
        <f ca="1" t="shared" si="2"/>
        <v>0</v>
      </c>
      <c r="P394" s="63">
        <f ca="1" t="shared" si="3"/>
        <v>254</v>
      </c>
      <c r="Q394" s="27" t="str">
        <f>VLOOKUP(B394,辅助信息!E:M,9,FALSE)</f>
        <v>ZTWM-CDGS-XS-2024-0093-华西-颐海科创农业生态谷</v>
      </c>
    </row>
    <row r="395" s="27" customFormat="1" hidden="1" spans="1:17">
      <c r="A395" s="63"/>
      <c r="B395" s="41" t="s">
        <v>29</v>
      </c>
      <c r="C395" s="71">
        <v>45703</v>
      </c>
      <c r="D395" s="41" t="e">
        <f>VLOOKUP(B395,辅助信息!E:K,7,FALSE)</f>
        <v>#N/A</v>
      </c>
      <c r="E395" s="41" t="str">
        <f>VLOOKUP(F395,辅助信息!A:B,2,FALSE)</f>
        <v>螺纹钢</v>
      </c>
      <c r="F395" s="41" t="s">
        <v>27</v>
      </c>
      <c r="G395" s="37">
        <v>15</v>
      </c>
      <c r="H395" s="37" t="e">
        <f>_xlfn._xlws.FILTER(#REF!,#REF!&amp;#REF!&amp;#REF!&amp;#REF!=C395&amp;F395&amp;I395&amp;J395,"未发货")</f>
        <v>#REF!</v>
      </c>
      <c r="I395" s="41" t="e">
        <f>VLOOKUP(B395,辅助信息!E:I,3,FALSE)</f>
        <v>#N/A</v>
      </c>
      <c r="J395" s="41" t="e">
        <f>VLOOKUP(B395,辅助信息!E:I,4,FALSE)</f>
        <v>#N/A</v>
      </c>
      <c r="K395" s="41" t="e">
        <f>VLOOKUP(J395,辅助信息!H:I,2,FALSE)</f>
        <v>#N/A</v>
      </c>
      <c r="L395" s="44" t="e">
        <f>VLOOKUP(B395,辅助信息!E:J,6,FALSE)</f>
        <v>#N/A</v>
      </c>
      <c r="M395" s="92">
        <v>45705</v>
      </c>
      <c r="N395" s="58"/>
      <c r="O395" s="63">
        <f ca="1" t="shared" si="2"/>
        <v>0</v>
      </c>
      <c r="P395" s="63">
        <f ca="1" t="shared" si="3"/>
        <v>254</v>
      </c>
      <c r="Q395" s="27" t="e">
        <f>VLOOKUP(B395,辅助信息!E:M,9,FALSE)</f>
        <v>#N/A</v>
      </c>
    </row>
    <row r="396" s="27" customFormat="1" hidden="1" spans="1:17">
      <c r="A396" s="63"/>
      <c r="B396" s="41" t="s">
        <v>29</v>
      </c>
      <c r="C396" s="71">
        <v>45703</v>
      </c>
      <c r="D396" s="41" t="e">
        <f>VLOOKUP(B396,辅助信息!E:K,7,FALSE)</f>
        <v>#N/A</v>
      </c>
      <c r="E396" s="41" t="str">
        <f>VLOOKUP(F396,辅助信息!A:B,2,FALSE)</f>
        <v>螺纹钢</v>
      </c>
      <c r="F396" s="41" t="s">
        <v>32</v>
      </c>
      <c r="G396" s="37">
        <v>20</v>
      </c>
      <c r="H396" s="37" t="e">
        <f>_xlfn._xlws.FILTER(#REF!,#REF!&amp;#REF!&amp;#REF!&amp;#REF!=C396&amp;F396&amp;I396&amp;J396,"未发货")</f>
        <v>#REF!</v>
      </c>
      <c r="I396" s="41" t="e">
        <f>VLOOKUP(B396,辅助信息!E:I,3,FALSE)</f>
        <v>#N/A</v>
      </c>
      <c r="J396" s="41" t="e">
        <f>VLOOKUP(B396,辅助信息!E:I,4,FALSE)</f>
        <v>#N/A</v>
      </c>
      <c r="K396" s="41" t="e">
        <f>VLOOKUP(J396,辅助信息!H:I,2,FALSE)</f>
        <v>#N/A</v>
      </c>
      <c r="L396" s="79"/>
      <c r="M396" s="92">
        <v>45705</v>
      </c>
      <c r="N396" s="58"/>
      <c r="O396" s="63">
        <f ca="1" t="shared" si="2"/>
        <v>0</v>
      </c>
      <c r="P396" s="63">
        <f ca="1" t="shared" si="3"/>
        <v>254</v>
      </c>
      <c r="Q396" s="27" t="e">
        <f>VLOOKUP(B396,辅助信息!E:M,9,FALSE)</f>
        <v>#N/A</v>
      </c>
    </row>
    <row r="397" s="27" customFormat="1" hidden="1" spans="1:17">
      <c r="A397" s="63"/>
      <c r="B397" s="41" t="s">
        <v>29</v>
      </c>
      <c r="C397" s="71">
        <v>45703</v>
      </c>
      <c r="D397" s="41" t="e">
        <f>VLOOKUP(B397,辅助信息!E:K,7,FALSE)</f>
        <v>#N/A</v>
      </c>
      <c r="E397" s="41" t="str">
        <f>VLOOKUP(F397,辅助信息!A:B,2,FALSE)</f>
        <v>螺纹钢</v>
      </c>
      <c r="F397" s="41" t="s">
        <v>30</v>
      </c>
      <c r="G397" s="37">
        <v>35</v>
      </c>
      <c r="H397" s="37" t="e">
        <f>_xlfn._xlws.FILTER(#REF!,#REF!&amp;#REF!&amp;#REF!&amp;#REF!=C397&amp;F397&amp;I397&amp;J397,"未发货")</f>
        <v>#REF!</v>
      </c>
      <c r="I397" s="41" t="e">
        <f>VLOOKUP(B397,辅助信息!E:I,3,FALSE)</f>
        <v>#N/A</v>
      </c>
      <c r="J397" s="41" t="e">
        <f>VLOOKUP(B397,辅助信息!E:I,4,FALSE)</f>
        <v>#N/A</v>
      </c>
      <c r="K397" s="41" t="e">
        <f>VLOOKUP(J397,辅助信息!H:I,2,FALSE)</f>
        <v>#N/A</v>
      </c>
      <c r="L397" s="77"/>
      <c r="M397" s="92">
        <v>45705</v>
      </c>
      <c r="N397" s="58"/>
      <c r="O397" s="63">
        <f ca="1" t="shared" si="2"/>
        <v>0</v>
      </c>
      <c r="P397" s="63">
        <f ca="1" t="shared" si="3"/>
        <v>254</v>
      </c>
      <c r="Q397" s="27" t="e">
        <f>VLOOKUP(B397,辅助信息!E:M,9,FALSE)</f>
        <v>#N/A</v>
      </c>
    </row>
    <row r="398" s="27" customFormat="1" ht="60" hidden="1" customHeight="1" spans="1:17">
      <c r="A398" s="63"/>
      <c r="B398" s="41" t="s">
        <v>78</v>
      </c>
      <c r="C398" s="71">
        <v>45703</v>
      </c>
      <c r="D398" s="41" t="e">
        <f>VLOOKUP(B398,辅助信息!E:K,7,FALSE)</f>
        <v>#N/A</v>
      </c>
      <c r="E398" s="41" t="str">
        <f>VLOOKUP(F398,辅助信息!A:B,2,FALSE)</f>
        <v>螺纹钢</v>
      </c>
      <c r="F398" s="41" t="s">
        <v>33</v>
      </c>
      <c r="G398" s="37">
        <f>55-36</f>
        <v>19</v>
      </c>
      <c r="H398" s="37" t="e">
        <f>_xlfn._xlws.FILTER(#REF!,#REF!&amp;#REF!&amp;#REF!&amp;#REF!=C398&amp;F398&amp;I398&amp;J398,"未发货")</f>
        <v>#REF!</v>
      </c>
      <c r="I398" s="41" t="e">
        <f>VLOOKUP(B398,辅助信息!E:I,3,FALSE)</f>
        <v>#N/A</v>
      </c>
      <c r="J398" s="41" t="e">
        <f>VLOOKUP(B398,辅助信息!E:I,4,FALSE)</f>
        <v>#N/A</v>
      </c>
      <c r="K398" s="41" t="e">
        <f>VLOOKUP(J398,辅助信息!H:I,2,FALSE)</f>
        <v>#N/A</v>
      </c>
      <c r="L398" s="44" t="e">
        <f>VLOOKUP(B398,辅助信息!E:J,6,FALSE)</f>
        <v>#N/A</v>
      </c>
      <c r="M398" s="92">
        <v>45705</v>
      </c>
      <c r="N398" s="63"/>
      <c r="O398" s="63">
        <f ca="1" t="shared" si="2"/>
        <v>0</v>
      </c>
      <c r="P398" s="63">
        <f ca="1" t="shared" si="3"/>
        <v>254</v>
      </c>
      <c r="Q398" s="27" t="e">
        <f>VLOOKUP(B398,辅助信息!E:M,9,FALSE)</f>
        <v>#N/A</v>
      </c>
    </row>
    <row r="399" s="27" customFormat="1" hidden="1" spans="1:17">
      <c r="A399" s="63"/>
      <c r="B399" s="41" t="s">
        <v>69</v>
      </c>
      <c r="C399" s="71">
        <v>45703</v>
      </c>
      <c r="D399" s="41" t="str">
        <f>VLOOKUP(B399,辅助信息!E:K,7,FALSE)</f>
        <v>JWDDCD2025052800131</v>
      </c>
      <c r="E399" s="41" t="str">
        <f>VLOOKUP(F399,辅助信息!A:B,2,FALSE)</f>
        <v>盘螺</v>
      </c>
      <c r="F399" s="41" t="s">
        <v>40</v>
      </c>
      <c r="G399" s="37">
        <v>6</v>
      </c>
      <c r="H399" s="37" t="e">
        <f>_xlfn._xlws.FILTER(#REF!,#REF!&amp;#REF!&amp;#REF!&amp;#REF!=C399&amp;F399&amp;I399&amp;J399,"未发货")</f>
        <v>#REF!</v>
      </c>
      <c r="I399" s="41" t="str">
        <f>VLOOKUP(B399,辅助信息!E:I,3,FALSE)</f>
        <v>（商投建工达州中医药科技园-4工区-2号楼）达州市通川区达州中医药职业学院犀牛大道北段</v>
      </c>
      <c r="J399" s="41" t="str">
        <f>VLOOKUP(B399,辅助信息!E:I,4,FALSE)</f>
        <v>张扬</v>
      </c>
      <c r="K399" s="41">
        <f>VLOOKUP(J399,辅助信息!H:I,2,FALSE)</f>
        <v>18381904567</v>
      </c>
      <c r="L399" s="44" t="str">
        <f>VLOOKUP(B399,辅助信息!E:J,6,FALSE)</f>
        <v>控制炉批号！多了现场不收！,优先安排达钢,提前联系到场规格及数量</v>
      </c>
      <c r="M399" s="92">
        <v>45704</v>
      </c>
      <c r="N399" s="63"/>
      <c r="O399" s="63">
        <f ca="1" t="shared" si="2"/>
        <v>0</v>
      </c>
      <c r="P399" s="63">
        <f ca="1" t="shared" si="3"/>
        <v>255</v>
      </c>
      <c r="Q399" s="27" t="str">
        <f>VLOOKUP(B399,辅助信息!E:M,9,FALSE)</f>
        <v>ZTWM-CDGS-XS-2024-0134-商投建工达州中医药科技成果示范园项目</v>
      </c>
    </row>
    <row r="400" s="27" customFormat="1" hidden="1" spans="1:17">
      <c r="A400" s="63"/>
      <c r="B400" s="41" t="s">
        <v>69</v>
      </c>
      <c r="C400" s="71">
        <v>45703</v>
      </c>
      <c r="D400" s="41" t="str">
        <f>VLOOKUP(B400,辅助信息!E:K,7,FALSE)</f>
        <v>JWDDCD2025052800131</v>
      </c>
      <c r="E400" s="41" t="str">
        <f>VLOOKUP(F400,辅助信息!A:B,2,FALSE)</f>
        <v>盘螺</v>
      </c>
      <c r="F400" s="41" t="s">
        <v>41</v>
      </c>
      <c r="G400" s="37">
        <v>9</v>
      </c>
      <c r="H400" s="37" t="e">
        <f>_xlfn._xlws.FILTER(#REF!,#REF!&amp;#REF!&amp;#REF!&amp;#REF!=C400&amp;F400&amp;I400&amp;J400,"未发货")</f>
        <v>#REF!</v>
      </c>
      <c r="I400" s="41" t="str">
        <f>VLOOKUP(B400,辅助信息!E:I,3,FALSE)</f>
        <v>（商投建工达州中医药科技园-4工区-2号楼）达州市通川区达州中医药职业学院犀牛大道北段</v>
      </c>
      <c r="J400" s="41" t="str">
        <f>VLOOKUP(B400,辅助信息!E:I,4,FALSE)</f>
        <v>张扬</v>
      </c>
      <c r="K400" s="41">
        <f>VLOOKUP(J400,辅助信息!H:I,2,FALSE)</f>
        <v>18381904567</v>
      </c>
      <c r="L400" s="79"/>
      <c r="M400" s="92">
        <v>45704</v>
      </c>
      <c r="N400" s="63"/>
      <c r="O400" s="63">
        <f ca="1" t="shared" si="2"/>
        <v>0</v>
      </c>
      <c r="P400" s="63">
        <f ca="1" t="shared" si="3"/>
        <v>255</v>
      </c>
      <c r="Q400" s="27" t="str">
        <f>VLOOKUP(B400,辅助信息!E:M,9,FALSE)</f>
        <v>ZTWM-CDGS-XS-2024-0134-商投建工达州中医药科技成果示范园项目</v>
      </c>
    </row>
    <row r="401" hidden="1" spans="1:18">
      <c r="A401" s="63"/>
      <c r="B401" s="41" t="s">
        <v>69</v>
      </c>
      <c r="C401" s="71">
        <v>45703</v>
      </c>
      <c r="D401" s="41" t="str">
        <f>VLOOKUP(B401,辅助信息!E:K,7,FALSE)</f>
        <v>JWDDCD2025052800131</v>
      </c>
      <c r="E401" s="41" t="str">
        <f>VLOOKUP(F401,辅助信息!A:B,2,FALSE)</f>
        <v>螺纹钢</v>
      </c>
      <c r="F401" s="41" t="s">
        <v>32</v>
      </c>
      <c r="G401" s="37">
        <v>12</v>
      </c>
      <c r="H401" s="37" t="e">
        <f>_xlfn._xlws.FILTER(#REF!,#REF!&amp;#REF!&amp;#REF!&amp;#REF!=C401&amp;F401&amp;I401&amp;J401,"未发货")</f>
        <v>#REF!</v>
      </c>
      <c r="I401" s="41" t="str">
        <f>VLOOKUP(B401,辅助信息!E:I,3,FALSE)</f>
        <v>（商投建工达州中医药科技园-4工区-2号楼）达州市通川区达州中医药职业学院犀牛大道北段</v>
      </c>
      <c r="J401" s="41" t="str">
        <f>VLOOKUP(B401,辅助信息!E:I,4,FALSE)</f>
        <v>张扬</v>
      </c>
      <c r="K401" s="41">
        <f>VLOOKUP(J401,辅助信息!H:I,2,FALSE)</f>
        <v>18381904567</v>
      </c>
      <c r="L401" s="79"/>
      <c r="M401" s="92">
        <v>45704</v>
      </c>
      <c r="O401" s="63">
        <f ca="1" t="shared" si="2"/>
        <v>0</v>
      </c>
      <c r="P401" s="63">
        <f ca="1" t="shared" si="3"/>
        <v>255</v>
      </c>
      <c r="Q401" s="27" t="str">
        <f>VLOOKUP(B401,辅助信息!E:M,9,FALSE)</f>
        <v>ZTWM-CDGS-XS-2024-0134-商投建工达州中医药科技成果示范园项目</v>
      </c>
      <c r="R401" s="27"/>
    </row>
    <row r="402" hidden="1" spans="1:18">
      <c r="A402" s="63"/>
      <c r="B402" s="41" t="s">
        <v>69</v>
      </c>
      <c r="C402" s="71">
        <v>45703</v>
      </c>
      <c r="D402" s="41" t="str">
        <f>VLOOKUP(B402,辅助信息!E:K,7,FALSE)</f>
        <v>JWDDCD2025052800131</v>
      </c>
      <c r="E402" s="41" t="str">
        <f>VLOOKUP(F402,辅助信息!A:B,2,FALSE)</f>
        <v>螺纹钢</v>
      </c>
      <c r="F402" s="41" t="s">
        <v>21</v>
      </c>
      <c r="G402" s="37">
        <v>30</v>
      </c>
      <c r="H402" s="37" t="e">
        <f>_xlfn._xlws.FILTER(#REF!,#REF!&amp;#REF!&amp;#REF!&amp;#REF!=C402&amp;F402&amp;I402&amp;J402,"未发货")</f>
        <v>#REF!</v>
      </c>
      <c r="I402" s="41" t="str">
        <f>VLOOKUP(B402,辅助信息!E:I,3,FALSE)</f>
        <v>（商投建工达州中医药科技园-4工区-2号楼）达州市通川区达州中医药职业学院犀牛大道北段</v>
      </c>
      <c r="J402" s="41" t="str">
        <f>VLOOKUP(B402,辅助信息!E:I,4,FALSE)</f>
        <v>张扬</v>
      </c>
      <c r="K402" s="41">
        <f>VLOOKUP(J402,辅助信息!H:I,2,FALSE)</f>
        <v>18381904567</v>
      </c>
      <c r="L402" s="77"/>
      <c r="M402" s="92">
        <v>45704</v>
      </c>
      <c r="O402" s="63">
        <f ca="1" t="shared" si="2"/>
        <v>0</v>
      </c>
      <c r="P402" s="63">
        <f ca="1" t="shared" si="3"/>
        <v>255</v>
      </c>
      <c r="Q402" s="27" t="str">
        <f>VLOOKUP(B402,辅助信息!E:M,9,FALSE)</f>
        <v>ZTWM-CDGS-XS-2024-0134-商投建工达州中医药科技成果示范园项目</v>
      </c>
      <c r="R402" s="27"/>
    </row>
    <row r="403" hidden="1" spans="2:18">
      <c r="B403" s="41" t="s">
        <v>84</v>
      </c>
      <c r="C403" s="71">
        <v>45703</v>
      </c>
      <c r="D403" s="41" t="e">
        <f>VLOOKUP(B403,辅助信息!E:K,7,FALSE)</f>
        <v>#N/A</v>
      </c>
      <c r="E403" s="41" t="str">
        <f>VLOOKUP(F403,辅助信息!A:B,2,FALSE)</f>
        <v>螺纹钢</v>
      </c>
      <c r="F403" s="41" t="s">
        <v>27</v>
      </c>
      <c r="G403" s="37">
        <v>8</v>
      </c>
      <c r="H403" s="37" t="e">
        <f>_xlfn._xlws.FILTER(#REF!,#REF!&amp;#REF!&amp;#REF!&amp;#REF!=C403&amp;F403&amp;I403&amp;J403,"未发货")</f>
        <v>#REF!</v>
      </c>
      <c r="I403" s="41" t="e">
        <f>VLOOKUP(B403,辅助信息!E:I,3,FALSE)</f>
        <v>#N/A</v>
      </c>
      <c r="J403" s="41" t="e">
        <f>VLOOKUP(B403,辅助信息!E:I,4,FALSE)</f>
        <v>#N/A</v>
      </c>
      <c r="K403" s="41" t="e">
        <f>VLOOKUP(J403,辅助信息!H:I,2,FALSE)</f>
        <v>#N/A</v>
      </c>
      <c r="L403" s="44" t="e">
        <f>VLOOKUP(B403,辅助信息!E:J,6,FALSE)</f>
        <v>#N/A</v>
      </c>
      <c r="M403" s="92">
        <v>45705</v>
      </c>
      <c r="N403" s="58"/>
      <c r="O403" s="63">
        <f ca="1" t="shared" si="2"/>
        <v>0</v>
      </c>
      <c r="P403" s="63">
        <f ca="1" t="shared" si="3"/>
        <v>254</v>
      </c>
      <c r="Q403" s="27" t="e">
        <f>VLOOKUP(B403,辅助信息!E:M,9,FALSE)</f>
        <v>#N/A</v>
      </c>
      <c r="R403" s="27"/>
    </row>
    <row r="404" hidden="1" spans="2:18">
      <c r="B404" s="41" t="s">
        <v>84</v>
      </c>
      <c r="C404" s="71">
        <v>45703</v>
      </c>
      <c r="D404" s="41" t="e">
        <f>VLOOKUP(B404,辅助信息!E:K,7,FALSE)</f>
        <v>#N/A</v>
      </c>
      <c r="E404" s="41" t="str">
        <f>VLOOKUP(F404,辅助信息!A:B,2,FALSE)</f>
        <v>螺纹钢</v>
      </c>
      <c r="F404" s="41" t="s">
        <v>33</v>
      </c>
      <c r="G404" s="37">
        <v>8</v>
      </c>
      <c r="H404" s="37" t="e">
        <f>_xlfn._xlws.FILTER(#REF!,#REF!&amp;#REF!&amp;#REF!&amp;#REF!=C404&amp;F404&amp;I404&amp;J404,"未发货")</f>
        <v>#REF!</v>
      </c>
      <c r="I404" s="41" t="e">
        <f>VLOOKUP(B404,辅助信息!E:I,3,FALSE)</f>
        <v>#N/A</v>
      </c>
      <c r="J404" s="41" t="e">
        <f>VLOOKUP(B404,辅助信息!E:I,4,FALSE)</f>
        <v>#N/A</v>
      </c>
      <c r="K404" s="41" t="e">
        <f>VLOOKUP(J404,辅助信息!H:I,2,FALSE)</f>
        <v>#N/A</v>
      </c>
      <c r="L404" s="79"/>
      <c r="M404" s="92">
        <v>45705</v>
      </c>
      <c r="N404" s="58"/>
      <c r="O404" s="63">
        <f ca="1" t="shared" si="2"/>
        <v>0</v>
      </c>
      <c r="P404" s="63">
        <f ca="1" t="shared" si="3"/>
        <v>254</v>
      </c>
      <c r="Q404" s="27" t="e">
        <f>VLOOKUP(B404,辅助信息!E:M,9,FALSE)</f>
        <v>#N/A</v>
      </c>
      <c r="R404" s="27"/>
    </row>
    <row r="405" hidden="1" spans="2:18">
      <c r="B405" s="41" t="s">
        <v>84</v>
      </c>
      <c r="C405" s="71">
        <v>45703</v>
      </c>
      <c r="D405" s="41" t="e">
        <f>VLOOKUP(B405,辅助信息!E:K,7,FALSE)</f>
        <v>#N/A</v>
      </c>
      <c r="E405" s="41" t="str">
        <f>VLOOKUP(F405,辅助信息!A:B,2,FALSE)</f>
        <v>螺纹钢</v>
      </c>
      <c r="F405" s="41" t="s">
        <v>18</v>
      </c>
      <c r="G405" s="37">
        <v>12</v>
      </c>
      <c r="H405" s="37" t="e">
        <f>_xlfn._xlws.FILTER(#REF!,#REF!&amp;#REF!&amp;#REF!&amp;#REF!=C405&amp;F405&amp;I405&amp;J405,"未发货")</f>
        <v>#REF!</v>
      </c>
      <c r="I405" s="41" t="e">
        <f>VLOOKUP(B405,辅助信息!E:I,3,FALSE)</f>
        <v>#N/A</v>
      </c>
      <c r="J405" s="41" t="e">
        <f>VLOOKUP(B405,辅助信息!E:I,4,FALSE)</f>
        <v>#N/A</v>
      </c>
      <c r="K405" s="41" t="e">
        <f>VLOOKUP(J405,辅助信息!H:I,2,FALSE)</f>
        <v>#N/A</v>
      </c>
      <c r="L405" s="77"/>
      <c r="M405" s="92">
        <v>45705</v>
      </c>
      <c r="N405" s="58"/>
      <c r="O405" s="63">
        <f ca="1" t="shared" si="2"/>
        <v>0</v>
      </c>
      <c r="P405" s="63">
        <f ca="1" t="shared" si="3"/>
        <v>254</v>
      </c>
      <c r="Q405" s="27" t="e">
        <f>VLOOKUP(B405,辅助信息!E:M,9,FALSE)</f>
        <v>#N/A</v>
      </c>
      <c r="R405" s="27"/>
    </row>
    <row r="406" hidden="1" spans="1:18">
      <c r="A406" s="72" t="s">
        <v>85</v>
      </c>
      <c r="B406" s="41" t="s">
        <v>75</v>
      </c>
      <c r="C406" s="71">
        <v>45703</v>
      </c>
      <c r="D406" s="41" t="e">
        <f>VLOOKUP(B406,辅助信息!E:K,7,FALSE)</f>
        <v>#N/A</v>
      </c>
      <c r="E406" s="41" t="str">
        <f>VLOOKUP(F406,辅助信息!A:B,2,FALSE)</f>
        <v>螺纹钢</v>
      </c>
      <c r="F406" s="41" t="s">
        <v>28</v>
      </c>
      <c r="G406" s="37">
        <v>9</v>
      </c>
      <c r="H406" s="37" t="e">
        <f>_xlfn._xlws.FILTER(#REF!,#REF!&amp;#REF!&amp;#REF!&amp;#REF!=C406&amp;F406&amp;I406&amp;J406,"未发货")</f>
        <v>#REF!</v>
      </c>
      <c r="I406" s="41" t="e">
        <f>VLOOKUP(B406,辅助信息!E:I,3,FALSE)</f>
        <v>#N/A</v>
      </c>
      <c r="J406" s="41" t="e">
        <f>VLOOKUP(B406,辅助信息!E:I,4,FALSE)</f>
        <v>#N/A</v>
      </c>
      <c r="K406" s="41" t="e">
        <f>VLOOKUP(J406,辅助信息!H:I,2,FALSE)</f>
        <v>#N/A</v>
      </c>
      <c r="L406" s="44" t="e">
        <f>VLOOKUP(B406,辅助信息!E:J,6,FALSE)</f>
        <v>#N/A</v>
      </c>
      <c r="M406" s="92">
        <v>45709</v>
      </c>
      <c r="N406" s="58"/>
      <c r="O406" s="63">
        <f ca="1" t="shared" si="2"/>
        <v>0</v>
      </c>
      <c r="P406" s="63">
        <f ca="1" t="shared" si="3"/>
        <v>250</v>
      </c>
      <c r="Q406" s="27" t="e">
        <f>VLOOKUP(B406,辅助信息!E:M,9,FALSE)</f>
        <v>#N/A</v>
      </c>
      <c r="R406" s="27"/>
    </row>
    <row r="407" hidden="1" spans="2:18">
      <c r="B407" s="41" t="s">
        <v>75</v>
      </c>
      <c r="C407" s="71">
        <v>45703</v>
      </c>
      <c r="D407" s="41" t="e">
        <f>VLOOKUP(B407,辅助信息!E:K,7,FALSE)</f>
        <v>#N/A</v>
      </c>
      <c r="E407" s="41" t="str">
        <f>VLOOKUP(F407,辅助信息!A:B,2,FALSE)</f>
        <v>螺纹钢</v>
      </c>
      <c r="F407" s="41" t="s">
        <v>18</v>
      </c>
      <c r="G407" s="37">
        <v>9</v>
      </c>
      <c r="H407" s="37" t="e">
        <f>_xlfn._xlws.FILTER(#REF!,#REF!&amp;#REF!&amp;#REF!&amp;#REF!=C407&amp;F407&amp;I407&amp;J407,"未发货")</f>
        <v>#REF!</v>
      </c>
      <c r="I407" s="41" t="e">
        <f>VLOOKUP(B407,辅助信息!E:I,3,FALSE)</f>
        <v>#N/A</v>
      </c>
      <c r="J407" s="41" t="e">
        <f>VLOOKUP(B407,辅助信息!E:I,4,FALSE)</f>
        <v>#N/A</v>
      </c>
      <c r="K407" s="41" t="e">
        <f>VLOOKUP(J407,辅助信息!H:I,2,FALSE)</f>
        <v>#N/A</v>
      </c>
      <c r="L407" s="79"/>
      <c r="M407" s="92">
        <v>45709</v>
      </c>
      <c r="N407" s="58"/>
      <c r="O407" s="63">
        <f ca="1" t="shared" si="2"/>
        <v>0</v>
      </c>
      <c r="P407" s="63">
        <f ca="1" t="shared" si="3"/>
        <v>250</v>
      </c>
      <c r="Q407" s="27" t="e">
        <f>VLOOKUP(B407,辅助信息!E:M,9,FALSE)</f>
        <v>#N/A</v>
      </c>
      <c r="R407" s="27"/>
    </row>
    <row r="408" hidden="1" spans="2:18">
      <c r="B408" s="41" t="s">
        <v>75</v>
      </c>
      <c r="C408" s="71">
        <v>45703</v>
      </c>
      <c r="D408" s="41" t="e">
        <f>VLOOKUP(B408,辅助信息!E:K,7,FALSE)</f>
        <v>#N/A</v>
      </c>
      <c r="E408" s="41" t="str">
        <f>VLOOKUP(F408,辅助信息!A:B,2,FALSE)</f>
        <v>螺纹钢</v>
      </c>
      <c r="F408" s="41" t="s">
        <v>65</v>
      </c>
      <c r="G408" s="88">
        <v>36</v>
      </c>
      <c r="H408" s="37" t="e">
        <f>_xlfn._xlws.FILTER(#REF!,#REF!&amp;#REF!&amp;#REF!&amp;#REF!=C408&amp;F408&amp;I408&amp;J408,"未发货")</f>
        <v>#REF!</v>
      </c>
      <c r="I408" s="41" t="e">
        <f>VLOOKUP(B408,辅助信息!E:I,3,FALSE)</f>
        <v>#N/A</v>
      </c>
      <c r="J408" s="41" t="e">
        <f>VLOOKUP(B408,辅助信息!E:I,4,FALSE)</f>
        <v>#N/A</v>
      </c>
      <c r="K408" s="41" t="e">
        <f>VLOOKUP(J408,辅助信息!H:I,2,FALSE)</f>
        <v>#N/A</v>
      </c>
      <c r="L408" s="79"/>
      <c r="M408" s="92">
        <v>45709</v>
      </c>
      <c r="N408" s="58"/>
      <c r="O408" s="63">
        <f ca="1" t="shared" si="2"/>
        <v>0</v>
      </c>
      <c r="P408" s="63">
        <f ca="1" t="shared" si="3"/>
        <v>250</v>
      </c>
      <c r="Q408" s="27" t="e">
        <f>VLOOKUP(B408,辅助信息!E:M,9,FALSE)</f>
        <v>#N/A</v>
      </c>
      <c r="R408" s="27"/>
    </row>
    <row r="409" hidden="1" spans="2:18">
      <c r="B409" s="41" t="s">
        <v>75</v>
      </c>
      <c r="C409" s="71">
        <v>45703</v>
      </c>
      <c r="D409" s="41" t="e">
        <f>VLOOKUP(B409,辅助信息!E:K,7,FALSE)</f>
        <v>#N/A</v>
      </c>
      <c r="E409" s="41" t="str">
        <f>VLOOKUP(F409,辅助信息!A:B,2,FALSE)</f>
        <v>螺纹钢</v>
      </c>
      <c r="F409" s="41" t="s">
        <v>77</v>
      </c>
      <c r="G409" s="88">
        <v>20</v>
      </c>
      <c r="H409" s="37" t="e">
        <f>_xlfn._xlws.FILTER(#REF!,#REF!&amp;#REF!&amp;#REF!&amp;#REF!=C409&amp;F409&amp;I409&amp;J409,"未发货")</f>
        <v>#REF!</v>
      </c>
      <c r="I409" s="41" t="e">
        <f>VLOOKUP(B409,辅助信息!E:I,3,FALSE)</f>
        <v>#N/A</v>
      </c>
      <c r="J409" s="41" t="e">
        <f>VLOOKUP(B409,辅助信息!E:I,4,FALSE)</f>
        <v>#N/A</v>
      </c>
      <c r="K409" s="41" t="e">
        <f>VLOOKUP(J409,辅助信息!H:I,2,FALSE)</f>
        <v>#N/A</v>
      </c>
      <c r="L409" s="79"/>
      <c r="M409" s="92"/>
      <c r="N409" s="58"/>
      <c r="Q409" s="27"/>
      <c r="R409" s="27"/>
    </row>
    <row r="410" hidden="1" spans="2:18">
      <c r="B410" s="41" t="s">
        <v>75</v>
      </c>
      <c r="C410" s="71">
        <v>45703</v>
      </c>
      <c r="D410" s="41" t="e">
        <f>VLOOKUP(B410,辅助信息!E:K,7,FALSE)</f>
        <v>#N/A</v>
      </c>
      <c r="E410" s="41" t="str">
        <f>VLOOKUP(F410,辅助信息!A:B,2,FALSE)</f>
        <v>螺纹钢</v>
      </c>
      <c r="F410" s="41" t="s">
        <v>86</v>
      </c>
      <c r="G410" s="37">
        <v>26</v>
      </c>
      <c r="H410" s="37" t="e">
        <f>_xlfn._xlws.FILTER(#REF!,#REF!&amp;#REF!&amp;#REF!&amp;#REF!=C410&amp;F410&amp;I410&amp;J410,"未发货")</f>
        <v>#REF!</v>
      </c>
      <c r="I410" s="41" t="e">
        <f>VLOOKUP(B410,辅助信息!E:I,3,FALSE)</f>
        <v>#N/A</v>
      </c>
      <c r="J410" s="41" t="e">
        <f>VLOOKUP(B410,辅助信息!E:I,4,FALSE)</f>
        <v>#N/A</v>
      </c>
      <c r="K410" s="41" t="e">
        <f>VLOOKUP(J410,辅助信息!H:I,2,FALSE)</f>
        <v>#N/A</v>
      </c>
      <c r="L410" s="77"/>
      <c r="M410" s="92">
        <v>45709</v>
      </c>
      <c r="N410" s="58"/>
      <c r="O410" s="63">
        <f ca="1" t="shared" ref="O410:O416" si="4">IF(OR(M410="",N410&lt;&gt;""),"",MAX(M410-TODAY(),0))</f>
        <v>0</v>
      </c>
      <c r="P410" s="63">
        <f ca="1" t="shared" ref="P410:P416" si="5">IF(M410="","",IF(N410&lt;&gt;"",MAX(N410-M410,0),IF(TODAY()&gt;M410,TODAY()-M410,0)))</f>
        <v>250</v>
      </c>
      <c r="Q410" s="27" t="e">
        <f>VLOOKUP(B410,辅助信息!E:M,9,FALSE)</f>
        <v>#N/A</v>
      </c>
      <c r="R410" s="27"/>
    </row>
    <row r="411" hidden="1" spans="2:18">
      <c r="B411" s="41" t="s">
        <v>87</v>
      </c>
      <c r="C411" s="71">
        <v>45703</v>
      </c>
      <c r="D411" s="41" t="e">
        <f>VLOOKUP(B411,辅助信息!E:K,7,FALSE)</f>
        <v>#N/A</v>
      </c>
      <c r="E411" s="41" t="str">
        <f>VLOOKUP(F411,辅助信息!A:B,2,FALSE)</f>
        <v>螺纹钢</v>
      </c>
      <c r="F411" s="41" t="s">
        <v>27</v>
      </c>
      <c r="G411" s="37">
        <v>8</v>
      </c>
      <c r="H411" s="37" t="e">
        <f>_xlfn._xlws.FILTER(#REF!,#REF!&amp;#REF!&amp;#REF!&amp;#REF!=C411&amp;F411&amp;I411&amp;J411,"未发货")</f>
        <v>#REF!</v>
      </c>
      <c r="I411" s="41" t="e">
        <f>VLOOKUP(B411,辅助信息!E:I,3,FALSE)</f>
        <v>#N/A</v>
      </c>
      <c r="J411" s="41" t="e">
        <f>VLOOKUP(B411,辅助信息!E:I,4,FALSE)</f>
        <v>#N/A</v>
      </c>
      <c r="K411" s="41" t="e">
        <f>VLOOKUP(J411,辅助信息!H:I,2,FALSE)</f>
        <v>#N/A</v>
      </c>
      <c r="L411" s="44" t="e">
        <f>VLOOKUP(B411,辅助信息!E:J,6,FALSE)</f>
        <v>#N/A</v>
      </c>
      <c r="M411" s="92">
        <v>45706</v>
      </c>
      <c r="N411" s="58"/>
      <c r="O411" s="63">
        <f ca="1" t="shared" si="4"/>
        <v>0</v>
      </c>
      <c r="P411" s="63">
        <f ca="1" t="shared" si="5"/>
        <v>253</v>
      </c>
      <c r="Q411" s="27" t="e">
        <f>VLOOKUP(B411,辅助信息!E:M,9,FALSE)</f>
        <v>#N/A</v>
      </c>
      <c r="R411" s="27"/>
    </row>
    <row r="412" hidden="1" spans="2:18">
      <c r="B412" s="41" t="s">
        <v>87</v>
      </c>
      <c r="C412" s="71">
        <v>45703</v>
      </c>
      <c r="D412" s="41" t="e">
        <f>VLOOKUP(B412,辅助信息!E:K,7,FALSE)</f>
        <v>#N/A</v>
      </c>
      <c r="E412" s="41" t="str">
        <f>VLOOKUP(F412,辅助信息!A:B,2,FALSE)</f>
        <v>螺纹钢</v>
      </c>
      <c r="F412" s="41" t="s">
        <v>65</v>
      </c>
      <c r="G412" s="37">
        <v>27</v>
      </c>
      <c r="H412" s="37" t="e">
        <f>_xlfn._xlws.FILTER(#REF!,#REF!&amp;#REF!&amp;#REF!&amp;#REF!=C412&amp;F412&amp;I412&amp;J412,"未发货")</f>
        <v>#REF!</v>
      </c>
      <c r="I412" s="41" t="e">
        <f>VLOOKUP(B412,辅助信息!E:I,3,FALSE)</f>
        <v>#N/A</v>
      </c>
      <c r="J412" s="41" t="e">
        <f>VLOOKUP(B412,辅助信息!E:I,4,FALSE)</f>
        <v>#N/A</v>
      </c>
      <c r="K412" s="41" t="e">
        <f>VLOOKUP(J412,辅助信息!H:I,2,FALSE)</f>
        <v>#N/A</v>
      </c>
      <c r="L412" s="77"/>
      <c r="M412" s="92">
        <v>45706</v>
      </c>
      <c r="N412" s="58"/>
      <c r="O412" s="63">
        <f ca="1" t="shared" si="4"/>
        <v>0</v>
      </c>
      <c r="P412" s="63">
        <f ca="1" t="shared" si="5"/>
        <v>253</v>
      </c>
      <c r="Q412" s="27" t="e">
        <f>VLOOKUP(B412,辅助信息!E:M,9,FALSE)</f>
        <v>#N/A</v>
      </c>
      <c r="R412" s="27"/>
    </row>
    <row r="413" hidden="1" spans="2:18">
      <c r="B413" s="41" t="s">
        <v>74</v>
      </c>
      <c r="C413" s="71">
        <v>45703</v>
      </c>
      <c r="D413" s="41" t="e">
        <f>VLOOKUP(B413,辅助信息!E:K,7,FALSE)</f>
        <v>#N/A</v>
      </c>
      <c r="E413" s="41" t="str">
        <f>VLOOKUP(F413,辅助信息!A:B,2,FALSE)</f>
        <v>螺纹钢</v>
      </c>
      <c r="F413" s="41" t="s">
        <v>19</v>
      </c>
      <c r="G413" s="37">
        <v>12</v>
      </c>
      <c r="H413" s="37" t="e">
        <f>_xlfn._xlws.FILTER(#REF!,#REF!&amp;#REF!&amp;#REF!&amp;#REF!=C413&amp;F413&amp;I413&amp;J413,"未发货")</f>
        <v>#REF!</v>
      </c>
      <c r="I413" s="41" t="e">
        <f>VLOOKUP(B413,辅助信息!E:I,3,FALSE)</f>
        <v>#N/A</v>
      </c>
      <c r="J413" s="41" t="e">
        <f>VLOOKUP(B413,辅助信息!E:I,4,FALSE)</f>
        <v>#N/A</v>
      </c>
      <c r="K413" s="41" t="e">
        <f>VLOOKUP(J413,辅助信息!H:I,2,FALSE)</f>
        <v>#N/A</v>
      </c>
      <c r="L413" s="44" t="e">
        <f>VLOOKUP(B413,辅助信息!E:J,6,FALSE)</f>
        <v>#N/A</v>
      </c>
      <c r="M413" s="92">
        <v>45711</v>
      </c>
      <c r="N413" s="58"/>
      <c r="O413" s="63">
        <f ca="1" t="shared" si="4"/>
        <v>0</v>
      </c>
      <c r="P413" s="63">
        <f ca="1" t="shared" si="5"/>
        <v>248</v>
      </c>
      <c r="Q413" s="27" t="e">
        <f>VLOOKUP(B413,辅助信息!E:M,9,FALSE)</f>
        <v>#N/A</v>
      </c>
      <c r="R413" s="27"/>
    </row>
    <row r="414" hidden="1" spans="2:18">
      <c r="B414" s="41" t="s">
        <v>74</v>
      </c>
      <c r="C414" s="71">
        <v>45703</v>
      </c>
      <c r="D414" s="41" t="e">
        <f>VLOOKUP(B414,辅助信息!E:K,7,FALSE)</f>
        <v>#N/A</v>
      </c>
      <c r="E414" s="41" t="str">
        <f>VLOOKUP(F414,辅助信息!A:B,2,FALSE)</f>
        <v>螺纹钢</v>
      </c>
      <c r="F414" s="41" t="s">
        <v>33</v>
      </c>
      <c r="G414" s="37">
        <v>12</v>
      </c>
      <c r="H414" s="37" t="e">
        <f>_xlfn._xlws.FILTER(#REF!,#REF!&amp;#REF!&amp;#REF!&amp;#REF!=C414&amp;F414&amp;I414&amp;J414,"未发货")</f>
        <v>#REF!</v>
      </c>
      <c r="I414" s="41" t="e">
        <f>VLOOKUP(B414,辅助信息!E:I,3,FALSE)</f>
        <v>#N/A</v>
      </c>
      <c r="J414" s="41" t="e">
        <f>VLOOKUP(B414,辅助信息!E:I,4,FALSE)</f>
        <v>#N/A</v>
      </c>
      <c r="K414" s="41" t="e">
        <f>VLOOKUP(J414,辅助信息!H:I,2,FALSE)</f>
        <v>#N/A</v>
      </c>
      <c r="L414" s="79"/>
      <c r="M414" s="92">
        <v>45711</v>
      </c>
      <c r="N414" s="58"/>
      <c r="O414" s="63">
        <f ca="1" t="shared" si="4"/>
        <v>0</v>
      </c>
      <c r="P414" s="63">
        <f ca="1" t="shared" si="5"/>
        <v>248</v>
      </c>
      <c r="Q414" s="27" t="e">
        <f>VLOOKUP(B414,辅助信息!E:M,9,FALSE)</f>
        <v>#N/A</v>
      </c>
      <c r="R414" s="27"/>
    </row>
    <row r="415" hidden="1" spans="2:18">
      <c r="B415" s="41" t="s">
        <v>74</v>
      </c>
      <c r="C415" s="71">
        <v>45703</v>
      </c>
      <c r="D415" s="41" t="e">
        <f>VLOOKUP(B415,辅助信息!E:K,7,FALSE)</f>
        <v>#N/A</v>
      </c>
      <c r="E415" s="41" t="str">
        <f>VLOOKUP(F415,辅助信息!A:B,2,FALSE)</f>
        <v>螺纹钢</v>
      </c>
      <c r="F415" s="41" t="s">
        <v>28</v>
      </c>
      <c r="G415" s="37">
        <v>12</v>
      </c>
      <c r="H415" s="37" t="e">
        <f>_xlfn._xlws.FILTER(#REF!,#REF!&amp;#REF!&amp;#REF!&amp;#REF!=C415&amp;F415&amp;I415&amp;J415,"未发货")</f>
        <v>#REF!</v>
      </c>
      <c r="I415" s="41" t="e">
        <f>VLOOKUP(B415,辅助信息!E:I,3,FALSE)</f>
        <v>#N/A</v>
      </c>
      <c r="J415" s="41" t="e">
        <f>VLOOKUP(B415,辅助信息!E:I,4,FALSE)</f>
        <v>#N/A</v>
      </c>
      <c r="K415" s="41" t="e">
        <f>VLOOKUP(J415,辅助信息!H:I,2,FALSE)</f>
        <v>#N/A</v>
      </c>
      <c r="L415" s="79"/>
      <c r="M415" s="92">
        <v>45711</v>
      </c>
      <c r="N415" s="58"/>
      <c r="O415" s="63">
        <f ca="1" t="shared" si="4"/>
        <v>0</v>
      </c>
      <c r="P415" s="63">
        <f ca="1" t="shared" si="5"/>
        <v>248</v>
      </c>
      <c r="Q415" s="27" t="e">
        <f>VLOOKUP(B415,辅助信息!E:M,9,FALSE)</f>
        <v>#N/A</v>
      </c>
      <c r="R415" s="27"/>
    </row>
    <row r="416" hidden="1" spans="2:18">
      <c r="B416" s="41" t="s">
        <v>74</v>
      </c>
      <c r="C416" s="71">
        <v>45703</v>
      </c>
      <c r="D416" s="41" t="e">
        <f>VLOOKUP(B416,辅助信息!E:K,7,FALSE)</f>
        <v>#N/A</v>
      </c>
      <c r="E416" s="41" t="str">
        <f>VLOOKUP(F416,辅助信息!A:B,2,FALSE)</f>
        <v>螺纹钢</v>
      </c>
      <c r="F416" s="41" t="s">
        <v>18</v>
      </c>
      <c r="G416" s="37">
        <v>3</v>
      </c>
      <c r="H416" s="37" t="e">
        <f>_xlfn._xlws.FILTER(#REF!,#REF!&amp;#REF!&amp;#REF!&amp;#REF!=C416&amp;F416&amp;I416&amp;J416,"未发货")</f>
        <v>#REF!</v>
      </c>
      <c r="I416" s="41" t="e">
        <f>VLOOKUP(B416,辅助信息!E:I,3,FALSE)</f>
        <v>#N/A</v>
      </c>
      <c r="J416" s="41" t="e">
        <f>VLOOKUP(B416,辅助信息!E:I,4,FALSE)</f>
        <v>#N/A</v>
      </c>
      <c r="K416" s="41" t="e">
        <f>VLOOKUP(J416,辅助信息!H:I,2,FALSE)</f>
        <v>#N/A</v>
      </c>
      <c r="L416" s="77"/>
      <c r="M416" s="92">
        <v>45711</v>
      </c>
      <c r="N416" s="58"/>
      <c r="O416" s="63">
        <f ca="1" t="shared" si="4"/>
        <v>0</v>
      </c>
      <c r="P416" s="63">
        <f ca="1" t="shared" si="5"/>
        <v>248</v>
      </c>
      <c r="Q416" s="27" t="e">
        <f>VLOOKUP(B416,辅助信息!E:M,9,FALSE)</f>
        <v>#N/A</v>
      </c>
      <c r="R416" s="27"/>
    </row>
    <row r="417" hidden="1" spans="2:18">
      <c r="B417" s="41" t="s">
        <v>79</v>
      </c>
      <c r="C417" s="71">
        <v>45703</v>
      </c>
      <c r="D417" s="41" t="e">
        <f>VLOOKUP(B417,辅助信息!E:K,7,FALSE)</f>
        <v>#N/A</v>
      </c>
      <c r="E417" s="41" t="str">
        <f>VLOOKUP(F417,辅助信息!A:B,2,FALSE)</f>
        <v>盘螺</v>
      </c>
      <c r="F417" s="41" t="s">
        <v>40</v>
      </c>
      <c r="G417" s="37">
        <v>3</v>
      </c>
      <c r="H417" s="37" t="e">
        <f>_xlfn._xlws.FILTER(#REF!,#REF!&amp;#REF!&amp;#REF!&amp;#REF!=C417&amp;F417&amp;I417&amp;J417,"未发货")</f>
        <v>#REF!</v>
      </c>
      <c r="I417" s="41" t="e">
        <f>VLOOKUP(B417,辅助信息!E:I,3,FALSE)</f>
        <v>#N/A</v>
      </c>
      <c r="J417" s="41" t="e">
        <f>VLOOKUP(B417,辅助信息!E:I,4,FALSE)</f>
        <v>#N/A</v>
      </c>
      <c r="K417" s="80" t="e">
        <f>VLOOKUP(J417,辅助信息!H:I,2,FALSE)</f>
        <v>#N/A</v>
      </c>
      <c r="L417" s="78" t="e">
        <f>VLOOKUP(B417,辅助信息!E:J,6,FALSE)</f>
        <v>#N/A</v>
      </c>
      <c r="M417" s="58"/>
      <c r="N417" s="58"/>
      <c r="O417" s="58"/>
      <c r="P417" s="58"/>
      <c r="Q417" s="27" t="e">
        <f>VLOOKUP(B417,辅助信息!E:M,9,FALSE)</f>
        <v>#N/A</v>
      </c>
      <c r="R417" s="27"/>
    </row>
    <row r="418" hidden="1" spans="2:18">
      <c r="B418" s="41" t="s">
        <v>79</v>
      </c>
      <c r="C418" s="71">
        <v>45703</v>
      </c>
      <c r="D418" s="41" t="e">
        <f>VLOOKUP(B418,辅助信息!E:K,7,FALSE)</f>
        <v>#N/A</v>
      </c>
      <c r="E418" s="41" t="str">
        <f>VLOOKUP(F418,辅助信息!A:B,2,FALSE)</f>
        <v>盘螺</v>
      </c>
      <c r="F418" s="41" t="s">
        <v>41</v>
      </c>
      <c r="G418" s="37">
        <v>3</v>
      </c>
      <c r="H418" s="37" t="e">
        <f>_xlfn._xlws.FILTER(#REF!,#REF!&amp;#REF!&amp;#REF!&amp;#REF!=C418&amp;F418&amp;I418&amp;J418,"未发货")</f>
        <v>#REF!</v>
      </c>
      <c r="I418" s="41" t="e">
        <f>VLOOKUP(B418,辅助信息!E:I,3,FALSE)</f>
        <v>#N/A</v>
      </c>
      <c r="J418" s="41" t="e">
        <f>VLOOKUP(B418,辅助信息!E:I,4,FALSE)</f>
        <v>#N/A</v>
      </c>
      <c r="K418" s="80" t="e">
        <f>VLOOKUP(J418,辅助信息!H:I,2,FALSE)</f>
        <v>#N/A</v>
      </c>
      <c r="L418" s="79"/>
      <c r="M418" s="58"/>
      <c r="N418" s="58"/>
      <c r="O418" s="58"/>
      <c r="P418" s="58"/>
      <c r="Q418" s="27" t="e">
        <f>VLOOKUP(B418,辅助信息!E:M,9,FALSE)</f>
        <v>#N/A</v>
      </c>
      <c r="R418" s="27"/>
    </row>
    <row r="419" hidden="1" spans="2:18">
      <c r="B419" s="41" t="s">
        <v>79</v>
      </c>
      <c r="C419" s="71">
        <v>45703</v>
      </c>
      <c r="D419" s="41" t="e">
        <f>VLOOKUP(B419,辅助信息!E:K,7,FALSE)</f>
        <v>#N/A</v>
      </c>
      <c r="E419" s="41" t="str">
        <f>VLOOKUP(F419,辅助信息!A:B,2,FALSE)</f>
        <v>螺纹钢</v>
      </c>
      <c r="F419" s="41" t="s">
        <v>27</v>
      </c>
      <c r="G419" s="88">
        <v>9</v>
      </c>
      <c r="H419" s="37" t="e">
        <f>_xlfn._xlws.FILTER(#REF!,#REF!&amp;#REF!&amp;#REF!&amp;#REF!=C419&amp;F419&amp;I419&amp;J419,"未发货")</f>
        <v>#REF!</v>
      </c>
      <c r="I419" s="41" t="e">
        <f>VLOOKUP(B419,辅助信息!E:I,3,FALSE)</f>
        <v>#N/A</v>
      </c>
      <c r="J419" s="41" t="e">
        <f>VLOOKUP(B419,辅助信息!E:I,4,FALSE)</f>
        <v>#N/A</v>
      </c>
      <c r="K419" s="80" t="e">
        <f>VLOOKUP(J419,辅助信息!H:I,2,FALSE)</f>
        <v>#N/A</v>
      </c>
      <c r="L419" s="79"/>
      <c r="M419" s="58"/>
      <c r="N419" s="58"/>
      <c r="O419" s="58"/>
      <c r="P419" s="58"/>
      <c r="Q419" s="27" t="e">
        <f>VLOOKUP(B419,辅助信息!E:M,9,FALSE)</f>
        <v>#N/A</v>
      </c>
      <c r="R419" s="27"/>
    </row>
    <row r="420" hidden="1" spans="2:18">
      <c r="B420" s="41" t="s">
        <v>79</v>
      </c>
      <c r="C420" s="71">
        <v>45703</v>
      </c>
      <c r="D420" s="41" t="e">
        <f>VLOOKUP(B420,辅助信息!E:K,7,FALSE)</f>
        <v>#N/A</v>
      </c>
      <c r="E420" s="41" t="str">
        <f>VLOOKUP(F420,辅助信息!A:B,2,FALSE)</f>
        <v>螺纹钢</v>
      </c>
      <c r="F420" s="41" t="s">
        <v>19</v>
      </c>
      <c r="G420" s="37">
        <v>20</v>
      </c>
      <c r="H420" s="37" t="e">
        <f>_xlfn._xlws.FILTER(#REF!,#REF!&amp;#REF!&amp;#REF!&amp;#REF!=C420&amp;F420&amp;I420&amp;J420,"未发货")</f>
        <v>#REF!</v>
      </c>
      <c r="I420" s="41" t="e">
        <f>VLOOKUP(B420,辅助信息!E:I,3,FALSE)</f>
        <v>#N/A</v>
      </c>
      <c r="J420" s="41" t="e">
        <f>VLOOKUP(B420,辅助信息!E:I,4,FALSE)</f>
        <v>#N/A</v>
      </c>
      <c r="K420" s="80" t="e">
        <f>VLOOKUP(J420,辅助信息!H:I,2,FALSE)</f>
        <v>#N/A</v>
      </c>
      <c r="L420" s="79"/>
      <c r="M420" s="58"/>
      <c r="N420" s="58"/>
      <c r="O420" s="58"/>
      <c r="P420" s="58"/>
      <c r="Q420" s="27" t="e">
        <f>VLOOKUP(B420,辅助信息!E:M,9,FALSE)</f>
        <v>#N/A</v>
      </c>
      <c r="R420" s="27"/>
    </row>
    <row r="421" hidden="1" spans="2:18">
      <c r="B421" s="41" t="s">
        <v>79</v>
      </c>
      <c r="C421" s="71">
        <v>45703</v>
      </c>
      <c r="D421" s="41" t="e">
        <f>VLOOKUP(B421,辅助信息!E:K,7,FALSE)</f>
        <v>#N/A</v>
      </c>
      <c r="E421" s="41" t="str">
        <f>VLOOKUP(F421,辅助信息!A:B,2,FALSE)</f>
        <v>螺纹钢</v>
      </c>
      <c r="F421" s="41" t="s">
        <v>32</v>
      </c>
      <c r="G421" s="88">
        <v>9</v>
      </c>
      <c r="H421" s="37" t="e">
        <f>_xlfn._xlws.FILTER(#REF!,#REF!&amp;#REF!&amp;#REF!&amp;#REF!=C421&amp;F421&amp;I421&amp;J421,"未发货")</f>
        <v>#REF!</v>
      </c>
      <c r="I421" s="41" t="e">
        <f>VLOOKUP(B421,辅助信息!E:I,3,FALSE)</f>
        <v>#N/A</v>
      </c>
      <c r="J421" s="41" t="e">
        <f>VLOOKUP(B421,辅助信息!E:I,4,FALSE)</f>
        <v>#N/A</v>
      </c>
      <c r="K421" s="80" t="e">
        <f>VLOOKUP(J421,辅助信息!H:I,2,FALSE)</f>
        <v>#N/A</v>
      </c>
      <c r="L421" s="79"/>
      <c r="M421" s="58"/>
      <c r="N421" s="58"/>
      <c r="O421" s="58"/>
      <c r="P421" s="58"/>
      <c r="Q421" s="27" t="e">
        <f>VLOOKUP(B421,辅助信息!E:M,9,FALSE)</f>
        <v>#N/A</v>
      </c>
      <c r="R421" s="27"/>
    </row>
    <row r="422" hidden="1" spans="2:18">
      <c r="B422" s="41" t="s">
        <v>79</v>
      </c>
      <c r="C422" s="71">
        <v>45703</v>
      </c>
      <c r="D422" s="41" t="e">
        <f>VLOOKUP(B422,辅助信息!E:K,7,FALSE)</f>
        <v>#N/A</v>
      </c>
      <c r="E422" s="41" t="str">
        <f>VLOOKUP(F422,辅助信息!A:B,2,FALSE)</f>
        <v>螺纹钢</v>
      </c>
      <c r="F422" s="41" t="s">
        <v>30</v>
      </c>
      <c r="G422" s="37">
        <v>3</v>
      </c>
      <c r="H422" s="37" t="e">
        <f>_xlfn._xlws.FILTER(#REF!,#REF!&amp;#REF!&amp;#REF!&amp;#REF!=C422&amp;F422&amp;I422&amp;J422,"未发货")</f>
        <v>#REF!</v>
      </c>
      <c r="I422" s="41" t="e">
        <f>VLOOKUP(B422,辅助信息!E:I,3,FALSE)</f>
        <v>#N/A</v>
      </c>
      <c r="J422" s="41" t="e">
        <f>VLOOKUP(B422,辅助信息!E:I,4,FALSE)</f>
        <v>#N/A</v>
      </c>
      <c r="K422" s="80" t="e">
        <f>VLOOKUP(J422,辅助信息!H:I,2,FALSE)</f>
        <v>#N/A</v>
      </c>
      <c r="L422" s="79"/>
      <c r="M422" s="58"/>
      <c r="N422" s="58"/>
      <c r="O422" s="58"/>
      <c r="P422" s="58"/>
      <c r="Q422" s="27" t="e">
        <f>VLOOKUP(B422,辅助信息!E:M,9,FALSE)</f>
        <v>#N/A</v>
      </c>
      <c r="R422" s="27"/>
    </row>
    <row r="423" hidden="1" spans="2:18">
      <c r="B423" s="41" t="s">
        <v>79</v>
      </c>
      <c r="C423" s="71">
        <v>45703</v>
      </c>
      <c r="D423" s="41" t="e">
        <f>VLOOKUP(B423,辅助信息!E:K,7,FALSE)</f>
        <v>#N/A</v>
      </c>
      <c r="E423" s="41" t="str">
        <f>VLOOKUP(F423,辅助信息!A:B,2,FALSE)</f>
        <v>螺纹钢</v>
      </c>
      <c r="F423" s="41" t="s">
        <v>33</v>
      </c>
      <c r="G423" s="88">
        <v>25</v>
      </c>
      <c r="H423" s="37" t="e">
        <f>_xlfn._xlws.FILTER(#REF!,#REF!&amp;#REF!&amp;#REF!&amp;#REF!=C423&amp;F423&amp;I423&amp;J423,"未发货")</f>
        <v>#REF!</v>
      </c>
      <c r="I423" s="41" t="e">
        <f>VLOOKUP(B423,辅助信息!E:I,3,FALSE)</f>
        <v>#N/A</v>
      </c>
      <c r="J423" s="41" t="e">
        <f>VLOOKUP(B423,辅助信息!E:I,4,FALSE)</f>
        <v>#N/A</v>
      </c>
      <c r="K423" s="80" t="e">
        <f>VLOOKUP(J423,辅助信息!H:I,2,FALSE)</f>
        <v>#N/A</v>
      </c>
      <c r="L423" s="79"/>
      <c r="M423" s="58"/>
      <c r="N423" s="58"/>
      <c r="O423" s="58"/>
      <c r="P423" s="58"/>
      <c r="Q423" s="27" t="e">
        <f>VLOOKUP(B423,辅助信息!E:M,9,FALSE)</f>
        <v>#N/A</v>
      </c>
      <c r="R423" s="27"/>
    </row>
    <row r="424" hidden="1" spans="2:18">
      <c r="B424" s="41" t="s">
        <v>79</v>
      </c>
      <c r="C424" s="71">
        <v>45703</v>
      </c>
      <c r="D424" s="41" t="e">
        <f>VLOOKUP(B424,辅助信息!E:K,7,FALSE)</f>
        <v>#N/A</v>
      </c>
      <c r="E424" s="41" t="str">
        <f>VLOOKUP(F424,辅助信息!A:B,2,FALSE)</f>
        <v>螺纹钢</v>
      </c>
      <c r="F424" s="41" t="s">
        <v>18</v>
      </c>
      <c r="G424" s="88">
        <v>90</v>
      </c>
      <c r="H424" s="37" t="e">
        <f>_xlfn._xlws.FILTER(#REF!,#REF!&amp;#REF!&amp;#REF!&amp;#REF!=C424&amp;F424&amp;I424&amp;J424,"未发货")</f>
        <v>#REF!</v>
      </c>
      <c r="I424" s="41" t="e">
        <f>VLOOKUP(B424,辅助信息!E:I,3,FALSE)</f>
        <v>#N/A</v>
      </c>
      <c r="J424" s="41" t="e">
        <f>VLOOKUP(B424,辅助信息!E:I,4,FALSE)</f>
        <v>#N/A</v>
      </c>
      <c r="K424" s="80" t="e">
        <f>VLOOKUP(J424,辅助信息!H:I,2,FALSE)</f>
        <v>#N/A</v>
      </c>
      <c r="L424" s="77"/>
      <c r="M424" s="58"/>
      <c r="N424" s="58"/>
      <c r="O424" s="58"/>
      <c r="P424" s="58"/>
      <c r="Q424" s="27" t="e">
        <f>VLOOKUP(B424,辅助信息!E:M,9,FALSE)</f>
        <v>#N/A</v>
      </c>
      <c r="R424" s="27"/>
    </row>
    <row r="425" s="27" customFormat="1" hidden="1" spans="2:17">
      <c r="B425" s="41" t="s">
        <v>80</v>
      </c>
      <c r="C425" s="71">
        <v>45704</v>
      </c>
      <c r="D425" s="41" t="e">
        <f>VLOOKUP(B425,辅助信息!E:K,7,FALSE)</f>
        <v>#N/A</v>
      </c>
      <c r="E425" s="41" t="str">
        <f>VLOOKUP(F425,辅助信息!A:B,2,FALSE)</f>
        <v>盘螺</v>
      </c>
      <c r="F425" s="41" t="s">
        <v>49</v>
      </c>
      <c r="G425" s="41">
        <v>7.5</v>
      </c>
      <c r="H425" s="41" t="e">
        <f>_xlfn._xlws.FILTER(#REF!,#REF!&amp;#REF!&amp;#REF!&amp;#REF!=C425&amp;F425&amp;I425&amp;J425,"未发货")</f>
        <v>#REF!</v>
      </c>
      <c r="I425" s="41" t="e">
        <f>VLOOKUP(B425,辅助信息!E:I,3,FALSE)</f>
        <v>#N/A</v>
      </c>
      <c r="J425" s="41" t="e">
        <f>VLOOKUP(B425,辅助信息!E:I,4,FALSE)</f>
        <v>#N/A</v>
      </c>
      <c r="K425" s="41" t="e">
        <f>VLOOKUP(J425,辅助信息!H:I,2,FALSE)</f>
        <v>#N/A</v>
      </c>
      <c r="L425" s="27" t="e">
        <f>VLOOKUP(B425,辅助信息!E:J,6,FALSE)</f>
        <v>#N/A</v>
      </c>
      <c r="M425" s="96">
        <v>45703</v>
      </c>
      <c r="N425" s="96"/>
      <c r="O425" s="27">
        <f ca="1" t="shared" ref="O425:O442" si="6">IF(OR(M425="",N425&lt;&gt;""),"",MAX(M425-TODAY(),0))</f>
        <v>0</v>
      </c>
      <c r="P425" s="27">
        <f ca="1" t="shared" ref="P425:P442" si="7">IF(M425="","",IF(N425&lt;&gt;"",MAX(N425-M425,0),IF(TODAY()&gt;M425,TODAY()-M425,0)))</f>
        <v>256</v>
      </c>
      <c r="Q425" s="27" t="e">
        <f>VLOOKUP(B425,辅助信息!E:M,9,FALSE)</f>
        <v>#N/A</v>
      </c>
    </row>
    <row r="426" s="27" customFormat="1" hidden="1" spans="2:17">
      <c r="B426" s="41" t="s">
        <v>80</v>
      </c>
      <c r="C426" s="71">
        <v>45704</v>
      </c>
      <c r="D426" s="41" t="e">
        <f>VLOOKUP(B426,辅助信息!E:K,7,FALSE)</f>
        <v>#N/A</v>
      </c>
      <c r="E426" s="41" t="str">
        <f>VLOOKUP(F426,辅助信息!A:B,2,FALSE)</f>
        <v>盘螺</v>
      </c>
      <c r="F426" s="41" t="s">
        <v>40</v>
      </c>
      <c r="G426" s="41">
        <v>15</v>
      </c>
      <c r="H426" s="41" t="e">
        <f>_xlfn._xlws.FILTER(#REF!,#REF!&amp;#REF!&amp;#REF!&amp;#REF!=C426&amp;F426&amp;I426&amp;J426,"未发货")</f>
        <v>#REF!</v>
      </c>
      <c r="I426" s="41" t="e">
        <f>VLOOKUP(B426,辅助信息!E:I,3,FALSE)</f>
        <v>#N/A</v>
      </c>
      <c r="J426" s="41" t="e">
        <f>VLOOKUP(B426,辅助信息!E:I,4,FALSE)</f>
        <v>#N/A</v>
      </c>
      <c r="K426" s="41" t="e">
        <f>VLOOKUP(J426,辅助信息!H:I,2,FALSE)</f>
        <v>#N/A</v>
      </c>
      <c r="M426" s="96">
        <v>45703</v>
      </c>
      <c r="N426" s="96"/>
      <c r="O426" s="27">
        <f ca="1" t="shared" si="6"/>
        <v>0</v>
      </c>
      <c r="P426" s="27">
        <f ca="1" t="shared" si="7"/>
        <v>256</v>
      </c>
      <c r="Q426" s="27" t="e">
        <f>VLOOKUP(B426,辅助信息!E:M,9,FALSE)</f>
        <v>#N/A</v>
      </c>
    </row>
    <row r="427" s="27" customFormat="1" hidden="1" spans="2:17">
      <c r="B427" s="41" t="s">
        <v>80</v>
      </c>
      <c r="C427" s="71">
        <v>45704</v>
      </c>
      <c r="D427" s="41" t="e">
        <f>VLOOKUP(B427,辅助信息!E:K,7,FALSE)</f>
        <v>#N/A</v>
      </c>
      <c r="E427" s="41" t="str">
        <f>VLOOKUP(F427,辅助信息!A:B,2,FALSE)</f>
        <v>螺纹钢</v>
      </c>
      <c r="F427" s="41" t="s">
        <v>30</v>
      </c>
      <c r="G427" s="41">
        <v>12</v>
      </c>
      <c r="H427" s="41" t="e">
        <f>_xlfn._xlws.FILTER(#REF!,#REF!&amp;#REF!&amp;#REF!&amp;#REF!=C427&amp;F427&amp;I427&amp;J427,"未发货")</f>
        <v>#REF!</v>
      </c>
      <c r="I427" s="41" t="e">
        <f>VLOOKUP(B427,辅助信息!E:I,3,FALSE)</f>
        <v>#N/A</v>
      </c>
      <c r="J427" s="41" t="e">
        <f>VLOOKUP(B427,辅助信息!E:I,4,FALSE)</f>
        <v>#N/A</v>
      </c>
      <c r="K427" s="41" t="e">
        <f>VLOOKUP(J427,辅助信息!H:I,2,FALSE)</f>
        <v>#N/A</v>
      </c>
      <c r="M427" s="96">
        <v>45703</v>
      </c>
      <c r="N427" s="96"/>
      <c r="O427" s="27">
        <f ca="1" t="shared" si="6"/>
        <v>0</v>
      </c>
      <c r="P427" s="27">
        <f ca="1" t="shared" si="7"/>
        <v>256</v>
      </c>
      <c r="Q427" s="27" t="e">
        <f>VLOOKUP(B427,辅助信息!E:M,9,FALSE)</f>
        <v>#N/A</v>
      </c>
    </row>
    <row r="428" s="27" customFormat="1" hidden="1" spans="2:17">
      <c r="B428" s="41" t="s">
        <v>64</v>
      </c>
      <c r="C428" s="71">
        <v>45704</v>
      </c>
      <c r="D428" s="41" t="e">
        <f>VLOOKUP(B428,辅助信息!E:K,7,FALSE)</f>
        <v>#N/A</v>
      </c>
      <c r="E428" s="41" t="str">
        <f>VLOOKUP(F428,辅助信息!A:B,2,FALSE)</f>
        <v>螺纹钢</v>
      </c>
      <c r="F428" s="41" t="s">
        <v>32</v>
      </c>
      <c r="G428" s="41">
        <v>21</v>
      </c>
      <c r="H428" s="41" t="e">
        <f>_xlfn._xlws.FILTER(#REF!,#REF!&amp;#REF!&amp;#REF!&amp;#REF!=C428&amp;F428&amp;I428&amp;J428,"未发货")</f>
        <v>#REF!</v>
      </c>
      <c r="I428" s="41" t="e">
        <f>VLOOKUP(B428,辅助信息!E:I,3,FALSE)</f>
        <v>#N/A</v>
      </c>
      <c r="J428" s="41" t="e">
        <f>VLOOKUP(B428,辅助信息!E:I,4,FALSE)</f>
        <v>#N/A</v>
      </c>
      <c r="K428" s="41" t="e">
        <f>VLOOKUP(J428,辅助信息!H:I,2,FALSE)</f>
        <v>#N/A</v>
      </c>
      <c r="L428" s="27" t="e">
        <f>VLOOKUP(B428,辅助信息!E:J,6,FALSE)</f>
        <v>#N/A</v>
      </c>
      <c r="M428" s="96">
        <v>45704</v>
      </c>
      <c r="O428" s="27">
        <f ca="1" t="shared" si="6"/>
        <v>0</v>
      </c>
      <c r="P428" s="27">
        <f ca="1" t="shared" si="7"/>
        <v>255</v>
      </c>
      <c r="Q428" s="27" t="e">
        <f>VLOOKUP(B428,辅助信息!E:M,9,FALSE)</f>
        <v>#N/A</v>
      </c>
    </row>
    <row r="429" s="27" customFormat="1" hidden="1" spans="2:17">
      <c r="B429" s="41" t="s">
        <v>64</v>
      </c>
      <c r="C429" s="71">
        <v>45704</v>
      </c>
      <c r="D429" s="41" t="e">
        <f>VLOOKUP(B429,辅助信息!E:K,7,FALSE)</f>
        <v>#N/A</v>
      </c>
      <c r="E429" s="41" t="str">
        <f>VLOOKUP(F429,辅助信息!A:B,2,FALSE)</f>
        <v>螺纹钢</v>
      </c>
      <c r="F429" s="41" t="s">
        <v>65</v>
      </c>
      <c r="G429" s="41">
        <v>42</v>
      </c>
      <c r="H429" s="41" t="e">
        <f>_xlfn._xlws.FILTER(#REF!,#REF!&amp;#REF!&amp;#REF!&amp;#REF!=C429&amp;F429&amp;I429&amp;J429,"未发货")</f>
        <v>#REF!</v>
      </c>
      <c r="I429" s="41" t="e">
        <f>VLOOKUP(B429,辅助信息!E:I,3,FALSE)</f>
        <v>#N/A</v>
      </c>
      <c r="J429" s="41" t="e">
        <f>VLOOKUP(B429,辅助信息!E:I,4,FALSE)</f>
        <v>#N/A</v>
      </c>
      <c r="K429" s="41" t="e">
        <f>VLOOKUP(J429,辅助信息!H:I,2,FALSE)</f>
        <v>#N/A</v>
      </c>
      <c r="M429" s="96">
        <v>45704</v>
      </c>
      <c r="O429" s="27">
        <f ca="1" t="shared" si="6"/>
        <v>0</v>
      </c>
      <c r="P429" s="27">
        <f ca="1" t="shared" si="7"/>
        <v>255</v>
      </c>
      <c r="Q429" s="27" t="e">
        <f>VLOOKUP(B429,辅助信息!E:M,9,FALSE)</f>
        <v>#N/A</v>
      </c>
    </row>
    <row r="430" s="27" customFormat="1" hidden="1" spans="2:17">
      <c r="B430" s="41" t="s">
        <v>48</v>
      </c>
      <c r="C430" s="71">
        <v>45704</v>
      </c>
      <c r="D430" s="41" t="str">
        <f>VLOOKUP(B430,辅助信息!E:K,7,FALSE)</f>
        <v>ZTWM-CDGS-YL-20240529-006</v>
      </c>
      <c r="E430" s="41" t="str">
        <f>VLOOKUP(F430,辅助信息!A:B,2,FALSE)</f>
        <v>盘螺</v>
      </c>
      <c r="F430" s="41" t="s">
        <v>49</v>
      </c>
      <c r="G430" s="41">
        <v>3</v>
      </c>
      <c r="H430" s="41" t="e">
        <f>_xlfn._xlws.FILTER(#REF!,#REF!&amp;#REF!&amp;#REF!&amp;#REF!=C430&amp;F430&amp;I430&amp;J430,"未发货")</f>
        <v>#REF!</v>
      </c>
      <c r="I430" s="41" t="str">
        <f>VLOOKUP(B430,辅助信息!E:I,3,FALSE)</f>
        <v>(华西颐海-科创农业生态谷-1号钢筋房)成都市简阳市白金山水库</v>
      </c>
      <c r="J430" s="41" t="str">
        <f>VLOOKUP(B430,辅助信息!E:I,4,FALSE)</f>
        <v>石清国</v>
      </c>
      <c r="K430" s="41">
        <f>VLOOKUP(J430,辅助信息!H:I,2,FALSE)</f>
        <v>13458642015</v>
      </c>
      <c r="L430" s="27" t="str">
        <f>VLOOKUP(B430,辅助信息!E:J,6,FALSE)</f>
        <v>优先威钢,我方卸车,新老国标钢厂不加价可直发</v>
      </c>
      <c r="M430" s="96">
        <v>45705</v>
      </c>
      <c r="O430" s="27">
        <f ca="1" t="shared" si="6"/>
        <v>0</v>
      </c>
      <c r="P430" s="27">
        <f ca="1" t="shared" si="7"/>
        <v>254</v>
      </c>
      <c r="Q430" s="27" t="str">
        <f>VLOOKUP(B430,辅助信息!E:M,9,FALSE)</f>
        <v>ZTWM-CDGS-XS-2024-0093-华西-颐海科创农业生态谷</v>
      </c>
    </row>
    <row r="431" s="27" customFormat="1" hidden="1" spans="2:17">
      <c r="B431" s="41" t="s">
        <v>29</v>
      </c>
      <c r="C431" s="71">
        <v>45704</v>
      </c>
      <c r="D431" s="41" t="e">
        <f>VLOOKUP(B431,辅助信息!E:K,7,FALSE)</f>
        <v>#N/A</v>
      </c>
      <c r="E431" s="41" t="str">
        <f>VLOOKUP(F431,辅助信息!A:B,2,FALSE)</f>
        <v>螺纹钢</v>
      </c>
      <c r="F431" s="41" t="s">
        <v>27</v>
      </c>
      <c r="G431" s="41">
        <v>15</v>
      </c>
      <c r="H431" s="41" t="e">
        <f>_xlfn._xlws.FILTER(#REF!,#REF!&amp;#REF!&amp;#REF!&amp;#REF!=C431&amp;F431&amp;I431&amp;J431,"未发货")</f>
        <v>#REF!</v>
      </c>
      <c r="I431" s="41" t="e">
        <f>VLOOKUP(B431,辅助信息!E:I,3,FALSE)</f>
        <v>#N/A</v>
      </c>
      <c r="J431" s="41" t="e">
        <f>VLOOKUP(B431,辅助信息!E:I,4,FALSE)</f>
        <v>#N/A</v>
      </c>
      <c r="K431" s="41" t="e">
        <f>VLOOKUP(J431,辅助信息!H:I,2,FALSE)</f>
        <v>#N/A</v>
      </c>
      <c r="L431" s="27" t="e">
        <f>VLOOKUP(B431,辅助信息!E:J,6,FALSE)</f>
        <v>#N/A</v>
      </c>
      <c r="M431" s="96">
        <v>45705</v>
      </c>
      <c r="O431" s="27">
        <f ca="1" t="shared" si="6"/>
        <v>0</v>
      </c>
      <c r="P431" s="27">
        <f ca="1" t="shared" si="7"/>
        <v>254</v>
      </c>
      <c r="Q431" s="27" t="e">
        <f>VLOOKUP(B431,辅助信息!E:M,9,FALSE)</f>
        <v>#N/A</v>
      </c>
    </row>
    <row r="432" s="27" customFormat="1" hidden="1" spans="2:17">
      <c r="B432" s="41" t="s">
        <v>29</v>
      </c>
      <c r="C432" s="71">
        <v>45704</v>
      </c>
      <c r="D432" s="41" t="e">
        <f>VLOOKUP(B432,辅助信息!E:K,7,FALSE)</f>
        <v>#N/A</v>
      </c>
      <c r="E432" s="41" t="str">
        <f>VLOOKUP(F432,辅助信息!A:B,2,FALSE)</f>
        <v>螺纹钢</v>
      </c>
      <c r="F432" s="41" t="s">
        <v>32</v>
      </c>
      <c r="G432" s="41">
        <v>20</v>
      </c>
      <c r="H432" s="41" t="e">
        <f>_xlfn._xlws.FILTER(#REF!,#REF!&amp;#REF!&amp;#REF!&amp;#REF!=C432&amp;F432&amp;I432&amp;J432,"未发货")</f>
        <v>#REF!</v>
      </c>
      <c r="I432" s="41" t="e">
        <f>VLOOKUP(B432,辅助信息!E:I,3,FALSE)</f>
        <v>#N/A</v>
      </c>
      <c r="J432" s="41" t="e">
        <f>VLOOKUP(B432,辅助信息!E:I,4,FALSE)</f>
        <v>#N/A</v>
      </c>
      <c r="K432" s="41" t="e">
        <f>VLOOKUP(J432,辅助信息!H:I,2,FALSE)</f>
        <v>#N/A</v>
      </c>
      <c r="M432" s="96">
        <v>45705</v>
      </c>
      <c r="O432" s="27">
        <f ca="1" t="shared" si="6"/>
        <v>0</v>
      </c>
      <c r="P432" s="27">
        <f ca="1" t="shared" si="7"/>
        <v>254</v>
      </c>
      <c r="Q432" s="27" t="e">
        <f>VLOOKUP(B432,辅助信息!E:M,9,FALSE)</f>
        <v>#N/A</v>
      </c>
    </row>
    <row r="433" s="27" customFormat="1" hidden="1" spans="2:17">
      <c r="B433" s="41" t="s">
        <v>29</v>
      </c>
      <c r="C433" s="71">
        <v>45704</v>
      </c>
      <c r="D433" s="41" t="e">
        <f>VLOOKUP(B433,辅助信息!E:K,7,FALSE)</f>
        <v>#N/A</v>
      </c>
      <c r="E433" s="41" t="str">
        <f>VLOOKUP(F433,辅助信息!A:B,2,FALSE)</f>
        <v>螺纹钢</v>
      </c>
      <c r="F433" s="41" t="s">
        <v>30</v>
      </c>
      <c r="G433" s="41">
        <v>35</v>
      </c>
      <c r="H433" s="41" t="e">
        <f>_xlfn._xlws.FILTER(#REF!,#REF!&amp;#REF!&amp;#REF!&amp;#REF!=C433&amp;F433&amp;I433&amp;J433,"未发货")</f>
        <v>#REF!</v>
      </c>
      <c r="I433" s="41" t="e">
        <f>VLOOKUP(B433,辅助信息!E:I,3,FALSE)</f>
        <v>#N/A</v>
      </c>
      <c r="J433" s="41" t="e">
        <f>VLOOKUP(B433,辅助信息!E:I,4,FALSE)</f>
        <v>#N/A</v>
      </c>
      <c r="K433" s="41" t="e">
        <f>VLOOKUP(J433,辅助信息!H:I,2,FALSE)</f>
        <v>#N/A</v>
      </c>
      <c r="M433" s="96">
        <v>45705</v>
      </c>
      <c r="O433" s="27">
        <f ca="1" t="shared" si="6"/>
        <v>0</v>
      </c>
      <c r="P433" s="27">
        <f ca="1" t="shared" si="7"/>
        <v>254</v>
      </c>
      <c r="Q433" s="27" t="e">
        <f>VLOOKUP(B433,辅助信息!E:M,9,FALSE)</f>
        <v>#N/A</v>
      </c>
    </row>
    <row r="434" s="27" customFormat="1" hidden="1" spans="2:17">
      <c r="B434" s="41" t="s">
        <v>78</v>
      </c>
      <c r="C434" s="71">
        <v>45704</v>
      </c>
      <c r="D434" s="41" t="e">
        <f>VLOOKUP(B434,辅助信息!E:K,7,FALSE)</f>
        <v>#N/A</v>
      </c>
      <c r="E434" s="41" t="str">
        <f>VLOOKUP(F434,辅助信息!A:B,2,FALSE)</f>
        <v>螺纹钢</v>
      </c>
      <c r="F434" s="41" t="s">
        <v>33</v>
      </c>
      <c r="G434" s="41">
        <f>55-36</f>
        <v>19</v>
      </c>
      <c r="H434" s="41" t="e">
        <f>_xlfn._xlws.FILTER(#REF!,#REF!&amp;#REF!&amp;#REF!&amp;#REF!=C434&amp;F434&amp;I434&amp;J434,"未发货")</f>
        <v>#REF!</v>
      </c>
      <c r="I434" s="41" t="e">
        <f>VLOOKUP(B434,辅助信息!E:I,3,FALSE)</f>
        <v>#N/A</v>
      </c>
      <c r="J434" s="41" t="e">
        <f>VLOOKUP(B434,辅助信息!E:I,4,FALSE)</f>
        <v>#N/A</v>
      </c>
      <c r="K434" s="41" t="e">
        <f>VLOOKUP(J434,辅助信息!H:I,2,FALSE)</f>
        <v>#N/A</v>
      </c>
      <c r="L434" s="27" t="e">
        <f>VLOOKUP(B434,辅助信息!E:J,6,FALSE)</f>
        <v>#N/A</v>
      </c>
      <c r="M434" s="96">
        <v>45705</v>
      </c>
      <c r="O434" s="27">
        <f ca="1" t="shared" si="6"/>
        <v>0</v>
      </c>
      <c r="P434" s="27">
        <f ca="1" t="shared" si="7"/>
        <v>254</v>
      </c>
      <c r="Q434" s="27" t="e">
        <f>VLOOKUP(B434,辅助信息!E:M,9,FALSE)</f>
        <v>#N/A</v>
      </c>
    </row>
    <row r="435" s="27" customFormat="1" hidden="1" spans="2:17">
      <c r="B435" s="41" t="s">
        <v>69</v>
      </c>
      <c r="C435" s="71">
        <v>45704</v>
      </c>
      <c r="D435" s="41" t="str">
        <f>VLOOKUP(B435,辅助信息!E:K,7,FALSE)</f>
        <v>JWDDCD2025052800131</v>
      </c>
      <c r="E435" s="41" t="str">
        <f>VLOOKUP(F435,辅助信息!A:B,2,FALSE)</f>
        <v>盘螺</v>
      </c>
      <c r="F435" s="41" t="s">
        <v>40</v>
      </c>
      <c r="G435" s="98">
        <v>13</v>
      </c>
      <c r="H435" s="41" t="e">
        <f>_xlfn._xlws.FILTER(#REF!,#REF!&amp;#REF!&amp;#REF!&amp;#REF!=C435&amp;F435&amp;I435&amp;J435,"未发货")</f>
        <v>#REF!</v>
      </c>
      <c r="I435" s="41" t="str">
        <f>VLOOKUP(B435,辅助信息!E:I,3,FALSE)</f>
        <v>（商投建工达州中医药科技园-4工区-2号楼）达州市通川区达州中医药职业学院犀牛大道北段</v>
      </c>
      <c r="J435" s="41" t="str">
        <f>VLOOKUP(B435,辅助信息!E:I,4,FALSE)</f>
        <v>张扬</v>
      </c>
      <c r="K435" s="41">
        <f>VLOOKUP(J435,辅助信息!H:I,2,FALSE)</f>
        <v>18381904567</v>
      </c>
      <c r="L435" s="27" t="str">
        <f>VLOOKUP(B435,辅助信息!E:J,6,FALSE)</f>
        <v>控制炉批号！多了现场不收！,优先安排达钢,提前联系到场规格及数量</v>
      </c>
      <c r="M435" s="96">
        <v>45704</v>
      </c>
      <c r="O435" s="27">
        <f ca="1" t="shared" si="6"/>
        <v>0</v>
      </c>
      <c r="P435" s="27">
        <f ca="1" t="shared" si="7"/>
        <v>255</v>
      </c>
      <c r="Q435" s="27" t="str">
        <f>VLOOKUP(B435,辅助信息!E:M,9,FALSE)</f>
        <v>ZTWM-CDGS-XS-2024-0134-商投建工达州中医药科技成果示范园项目</v>
      </c>
    </row>
    <row r="436" s="27" customFormat="1" hidden="1" spans="2:17">
      <c r="B436" s="41" t="s">
        <v>69</v>
      </c>
      <c r="C436" s="71">
        <v>45704</v>
      </c>
      <c r="D436" s="41" t="str">
        <f>VLOOKUP(B436,辅助信息!E:K,7,FALSE)</f>
        <v>JWDDCD2025052800131</v>
      </c>
      <c r="E436" s="41" t="str">
        <f>VLOOKUP(F436,辅助信息!A:B,2,FALSE)</f>
        <v>盘螺</v>
      </c>
      <c r="F436" s="41" t="s">
        <v>41</v>
      </c>
      <c r="G436" s="41">
        <v>9</v>
      </c>
      <c r="H436" s="41" t="e">
        <f>_xlfn._xlws.FILTER(#REF!,#REF!&amp;#REF!&amp;#REF!&amp;#REF!=C436&amp;F436&amp;I436&amp;J436,"未发货")</f>
        <v>#REF!</v>
      </c>
      <c r="I436" s="41" t="str">
        <f>VLOOKUP(B436,辅助信息!E:I,3,FALSE)</f>
        <v>（商投建工达州中医药科技园-4工区-2号楼）达州市通川区达州中医药职业学院犀牛大道北段</v>
      </c>
      <c r="J436" s="41" t="str">
        <f>VLOOKUP(B436,辅助信息!E:I,4,FALSE)</f>
        <v>张扬</v>
      </c>
      <c r="K436" s="41">
        <f>VLOOKUP(J436,辅助信息!H:I,2,FALSE)</f>
        <v>18381904567</v>
      </c>
      <c r="M436" s="96">
        <v>45704</v>
      </c>
      <c r="O436" s="27">
        <f ca="1" t="shared" si="6"/>
        <v>0</v>
      </c>
      <c r="P436" s="27">
        <f ca="1" t="shared" si="7"/>
        <v>255</v>
      </c>
      <c r="Q436" s="27" t="str">
        <f>VLOOKUP(B436,辅助信息!E:M,9,FALSE)</f>
        <v>ZTWM-CDGS-XS-2024-0134-商投建工达州中医药科技成果示范园项目</v>
      </c>
    </row>
    <row r="437" s="27" customFormat="1" hidden="1" spans="2:17">
      <c r="B437" s="41" t="s">
        <v>69</v>
      </c>
      <c r="C437" s="71">
        <v>45704</v>
      </c>
      <c r="D437" s="41" t="str">
        <f>VLOOKUP(B437,辅助信息!E:K,7,FALSE)</f>
        <v>JWDDCD2025052800131</v>
      </c>
      <c r="E437" s="41" t="str">
        <f>VLOOKUP(F437,辅助信息!A:B,2,FALSE)</f>
        <v>螺纹钢</v>
      </c>
      <c r="F437" s="98" t="s">
        <v>32</v>
      </c>
      <c r="G437" s="41">
        <v>12</v>
      </c>
      <c r="H437" s="41" t="e">
        <f>_xlfn._xlws.FILTER(#REF!,#REF!&amp;#REF!&amp;#REF!&amp;#REF!=C437&amp;F437&amp;I437&amp;J437,"未发货")</f>
        <v>#REF!</v>
      </c>
      <c r="I437" s="41" t="str">
        <f>VLOOKUP(B437,辅助信息!E:I,3,FALSE)</f>
        <v>（商投建工达州中医药科技园-4工区-2号楼）达州市通川区达州中医药职业学院犀牛大道北段</v>
      </c>
      <c r="J437" s="41" t="str">
        <f>VLOOKUP(B437,辅助信息!E:I,4,FALSE)</f>
        <v>张扬</v>
      </c>
      <c r="K437" s="41">
        <f>VLOOKUP(J437,辅助信息!H:I,2,FALSE)</f>
        <v>18381904567</v>
      </c>
      <c r="M437" s="96">
        <v>45704</v>
      </c>
      <c r="O437" s="27">
        <f ca="1" t="shared" si="6"/>
        <v>0</v>
      </c>
      <c r="P437" s="27">
        <f ca="1" t="shared" si="7"/>
        <v>255</v>
      </c>
      <c r="Q437" s="27" t="str">
        <f>VLOOKUP(B437,辅助信息!E:M,9,FALSE)</f>
        <v>ZTWM-CDGS-XS-2024-0134-商投建工达州中医药科技成果示范园项目</v>
      </c>
    </row>
    <row r="438" s="27" customFormat="1" hidden="1" spans="2:17">
      <c r="B438" s="41" t="s">
        <v>69</v>
      </c>
      <c r="C438" s="71">
        <v>45704</v>
      </c>
      <c r="D438" s="41" t="str">
        <f>VLOOKUP(B438,辅助信息!E:K,7,FALSE)</f>
        <v>JWDDCD2025052800131</v>
      </c>
      <c r="E438" s="41" t="str">
        <f>VLOOKUP(F438,辅助信息!A:B,2,FALSE)</f>
        <v>螺纹钢</v>
      </c>
      <c r="F438" s="98" t="s">
        <v>21</v>
      </c>
      <c r="G438" s="41">
        <v>30</v>
      </c>
      <c r="H438" s="41" t="e">
        <f>_xlfn._xlws.FILTER(#REF!,#REF!&amp;#REF!&amp;#REF!&amp;#REF!=C438&amp;F438&amp;I438&amp;J438,"未发货")</f>
        <v>#REF!</v>
      </c>
      <c r="I438" s="41" t="str">
        <f>VLOOKUP(B438,辅助信息!E:I,3,FALSE)</f>
        <v>（商投建工达州中医药科技园-4工区-2号楼）达州市通川区达州中医药职业学院犀牛大道北段</v>
      </c>
      <c r="J438" s="41" t="str">
        <f>VLOOKUP(B438,辅助信息!E:I,4,FALSE)</f>
        <v>张扬</v>
      </c>
      <c r="K438" s="41">
        <f>VLOOKUP(J438,辅助信息!H:I,2,FALSE)</f>
        <v>18381904567</v>
      </c>
      <c r="M438" s="96">
        <v>45704</v>
      </c>
      <c r="O438" s="27">
        <f ca="1" t="shared" si="6"/>
        <v>0</v>
      </c>
      <c r="P438" s="27">
        <f ca="1" t="shared" si="7"/>
        <v>255</v>
      </c>
      <c r="Q438" s="27" t="str">
        <f>VLOOKUP(B438,辅助信息!E:M,9,FALSE)</f>
        <v>ZTWM-CDGS-XS-2024-0134-商投建工达州中医药科技成果示范园项目</v>
      </c>
    </row>
    <row r="439" s="27" customFormat="1" hidden="1" spans="1:17">
      <c r="A439" s="63"/>
      <c r="B439" s="41" t="s">
        <v>84</v>
      </c>
      <c r="C439" s="71">
        <v>45704</v>
      </c>
      <c r="D439" s="41" t="e">
        <f>VLOOKUP(B439,辅助信息!E:K,7,FALSE)</f>
        <v>#N/A</v>
      </c>
      <c r="E439" s="41" t="str">
        <f>VLOOKUP(F439,辅助信息!A:B,2,FALSE)</f>
        <v>螺纹钢</v>
      </c>
      <c r="F439" s="41" t="s">
        <v>27</v>
      </c>
      <c r="G439" s="37">
        <v>8</v>
      </c>
      <c r="H439" s="37" t="e">
        <f>_xlfn._xlws.FILTER(#REF!,#REF!&amp;#REF!&amp;#REF!&amp;#REF!=C439&amp;F439&amp;I439&amp;J439,"未发货")</f>
        <v>#REF!</v>
      </c>
      <c r="I439" s="41" t="e">
        <f>VLOOKUP(B439,辅助信息!E:I,3,FALSE)</f>
        <v>#N/A</v>
      </c>
      <c r="J439" s="41" t="e">
        <f>VLOOKUP(B439,辅助信息!E:I,4,FALSE)</f>
        <v>#N/A</v>
      </c>
      <c r="K439" s="41" t="e">
        <f>VLOOKUP(J439,辅助信息!H:I,2,FALSE)</f>
        <v>#N/A</v>
      </c>
      <c r="L439" s="63" t="e">
        <f>VLOOKUP(B439,辅助信息!E:J,6,FALSE)</f>
        <v>#N/A</v>
      </c>
      <c r="M439" s="92">
        <v>45705</v>
      </c>
      <c r="N439" s="63"/>
      <c r="O439" s="63">
        <f ca="1" t="shared" si="6"/>
        <v>0</v>
      </c>
      <c r="P439" s="63">
        <f ca="1" t="shared" si="7"/>
        <v>254</v>
      </c>
      <c r="Q439" s="27" t="e">
        <f>VLOOKUP(B439,辅助信息!E:M,9,FALSE)</f>
        <v>#N/A</v>
      </c>
    </row>
    <row r="440" s="27" customFormat="1" hidden="1" spans="1:17">
      <c r="A440" s="63"/>
      <c r="B440" s="41" t="s">
        <v>84</v>
      </c>
      <c r="C440" s="71">
        <v>45704</v>
      </c>
      <c r="D440" s="41" t="e">
        <f>VLOOKUP(B440,辅助信息!E:K,7,FALSE)</f>
        <v>#N/A</v>
      </c>
      <c r="E440" s="41" t="str">
        <f>VLOOKUP(F440,辅助信息!A:B,2,FALSE)</f>
        <v>螺纹钢</v>
      </c>
      <c r="F440" s="41" t="s">
        <v>33</v>
      </c>
      <c r="G440" s="37">
        <v>8</v>
      </c>
      <c r="H440" s="37" t="e">
        <f>_xlfn._xlws.FILTER(#REF!,#REF!&amp;#REF!&amp;#REF!&amp;#REF!=C440&amp;F440&amp;I440&amp;J440,"未发货")</f>
        <v>#REF!</v>
      </c>
      <c r="I440" s="41" t="e">
        <f>VLOOKUP(B440,辅助信息!E:I,3,FALSE)</f>
        <v>#N/A</v>
      </c>
      <c r="J440" s="41" t="e">
        <f>VLOOKUP(B440,辅助信息!E:I,4,FALSE)</f>
        <v>#N/A</v>
      </c>
      <c r="K440" s="41" t="e">
        <f>VLOOKUP(J440,辅助信息!H:I,2,FALSE)</f>
        <v>#N/A</v>
      </c>
      <c r="M440" s="92">
        <v>45705</v>
      </c>
      <c r="N440" s="63"/>
      <c r="O440" s="63">
        <f ca="1" t="shared" si="6"/>
        <v>0</v>
      </c>
      <c r="P440" s="63">
        <f ca="1" t="shared" si="7"/>
        <v>254</v>
      </c>
      <c r="Q440" s="27" t="e">
        <f>VLOOKUP(B440,辅助信息!E:M,9,FALSE)</f>
        <v>#N/A</v>
      </c>
    </row>
    <row r="441" s="27" customFormat="1" hidden="1" spans="1:17">
      <c r="A441" s="63"/>
      <c r="B441" s="41" t="s">
        <v>84</v>
      </c>
      <c r="C441" s="71">
        <v>45704</v>
      </c>
      <c r="D441" s="41" t="e">
        <f>VLOOKUP(B441,辅助信息!E:K,7,FALSE)</f>
        <v>#N/A</v>
      </c>
      <c r="E441" s="41" t="str">
        <f>VLOOKUP(F441,辅助信息!A:B,2,FALSE)</f>
        <v>螺纹钢</v>
      </c>
      <c r="F441" s="41" t="s">
        <v>18</v>
      </c>
      <c r="G441" s="37">
        <v>12</v>
      </c>
      <c r="H441" s="37" t="e">
        <f>_xlfn._xlws.FILTER(#REF!,#REF!&amp;#REF!&amp;#REF!&amp;#REF!=C441&amp;F441&amp;I441&amp;J441,"未发货")</f>
        <v>#REF!</v>
      </c>
      <c r="I441" s="41" t="e">
        <f>VLOOKUP(B441,辅助信息!E:I,3,FALSE)</f>
        <v>#N/A</v>
      </c>
      <c r="J441" s="41" t="e">
        <f>VLOOKUP(B441,辅助信息!E:I,4,FALSE)</f>
        <v>#N/A</v>
      </c>
      <c r="K441" s="41" t="e">
        <f>VLOOKUP(J441,辅助信息!H:I,2,FALSE)</f>
        <v>#N/A</v>
      </c>
      <c r="M441" s="92">
        <v>45705</v>
      </c>
      <c r="N441" s="63"/>
      <c r="O441" s="63">
        <f ca="1" t="shared" si="6"/>
        <v>0</v>
      </c>
      <c r="P441" s="63">
        <f ca="1" t="shared" si="7"/>
        <v>254</v>
      </c>
      <c r="Q441" s="27" t="e">
        <f>VLOOKUP(B441,辅助信息!E:M,9,FALSE)</f>
        <v>#N/A</v>
      </c>
    </row>
    <row r="442" s="27" customFormat="1" hidden="1" spans="1:17">
      <c r="A442" s="63"/>
      <c r="B442" s="41" t="s">
        <v>75</v>
      </c>
      <c r="C442" s="71">
        <v>45704</v>
      </c>
      <c r="D442" s="41" t="e">
        <f>VLOOKUP(B442,辅助信息!E:K,7,FALSE)</f>
        <v>#N/A</v>
      </c>
      <c r="E442" s="41" t="str">
        <f>VLOOKUP(F442,辅助信息!A:B,2,FALSE)</f>
        <v>螺纹钢</v>
      </c>
      <c r="F442" s="41" t="s">
        <v>65</v>
      </c>
      <c r="G442" s="37">
        <v>36</v>
      </c>
      <c r="H442" s="37" t="e">
        <f>_xlfn._xlws.FILTER(#REF!,#REF!&amp;#REF!&amp;#REF!&amp;#REF!=C442&amp;F442&amp;I442&amp;J442,"未发货")</f>
        <v>#REF!</v>
      </c>
      <c r="I442" s="41" t="e">
        <f>VLOOKUP(B442,辅助信息!E:I,3,FALSE)</f>
        <v>#N/A</v>
      </c>
      <c r="J442" s="41" t="e">
        <f>VLOOKUP(B442,辅助信息!E:I,4,FALSE)</f>
        <v>#N/A</v>
      </c>
      <c r="K442" s="41" t="e">
        <f>VLOOKUP(J442,辅助信息!H:I,2,FALSE)</f>
        <v>#N/A</v>
      </c>
      <c r="L442" s="63" t="e">
        <f>VLOOKUP(B442,辅助信息!E:J,6,FALSE)</f>
        <v>#N/A</v>
      </c>
      <c r="M442" s="92">
        <v>45709</v>
      </c>
      <c r="N442" s="63"/>
      <c r="O442" s="63">
        <f ca="1" t="shared" si="6"/>
        <v>0</v>
      </c>
      <c r="P442" s="63">
        <f ca="1" t="shared" si="7"/>
        <v>250</v>
      </c>
      <c r="Q442" s="27" t="e">
        <f>VLOOKUP(B442,辅助信息!E:M,9,FALSE)</f>
        <v>#N/A</v>
      </c>
    </row>
    <row r="443" s="27" customFormat="1" hidden="1" spans="1:16">
      <c r="A443" s="63"/>
      <c r="B443" s="41" t="s">
        <v>75</v>
      </c>
      <c r="C443" s="71">
        <v>45704</v>
      </c>
      <c r="D443" s="41" t="e">
        <f>VLOOKUP(B443,辅助信息!E:K,7,FALSE)</f>
        <v>#N/A</v>
      </c>
      <c r="E443" s="41" t="str">
        <f>VLOOKUP(F443,辅助信息!A:B,2,FALSE)</f>
        <v>螺纹钢</v>
      </c>
      <c r="F443" s="41" t="s">
        <v>77</v>
      </c>
      <c r="G443" s="37">
        <v>20</v>
      </c>
      <c r="H443" s="37" t="e">
        <f>_xlfn._xlws.FILTER(#REF!,#REF!&amp;#REF!&amp;#REF!&amp;#REF!=C443&amp;F443&amp;I443&amp;J443,"未发货")</f>
        <v>#REF!</v>
      </c>
      <c r="I443" s="41" t="e">
        <f>VLOOKUP(B443,辅助信息!E:I,3,FALSE)</f>
        <v>#N/A</v>
      </c>
      <c r="J443" s="41" t="e">
        <f>VLOOKUP(B443,辅助信息!E:I,4,FALSE)</f>
        <v>#N/A</v>
      </c>
      <c r="K443" s="41" t="e">
        <f>VLOOKUP(J443,辅助信息!H:I,2,FALSE)</f>
        <v>#N/A</v>
      </c>
      <c r="M443" s="92"/>
      <c r="N443" s="63"/>
      <c r="O443" s="63"/>
      <c r="P443" s="63"/>
    </row>
    <row r="444" s="27" customFormat="1" hidden="1" spans="1:17">
      <c r="A444" s="63"/>
      <c r="B444" s="41" t="s">
        <v>87</v>
      </c>
      <c r="C444" s="71">
        <v>45704</v>
      </c>
      <c r="D444" s="41" t="e">
        <f>VLOOKUP(B444,辅助信息!E:K,7,FALSE)</f>
        <v>#N/A</v>
      </c>
      <c r="E444" s="41" t="str">
        <f>VLOOKUP(F444,辅助信息!A:B,2,FALSE)</f>
        <v>螺纹钢</v>
      </c>
      <c r="F444" s="41" t="s">
        <v>27</v>
      </c>
      <c r="G444" s="37">
        <v>8</v>
      </c>
      <c r="H444" s="37" t="e">
        <f>_xlfn._xlws.FILTER(#REF!,#REF!&amp;#REF!&amp;#REF!&amp;#REF!=C444&amp;F444&amp;I444&amp;J444,"未发货")</f>
        <v>#REF!</v>
      </c>
      <c r="I444" s="41" t="e">
        <f>VLOOKUP(B444,辅助信息!E:I,3,FALSE)</f>
        <v>#N/A</v>
      </c>
      <c r="J444" s="41" t="e">
        <f>VLOOKUP(B444,辅助信息!E:I,4,FALSE)</f>
        <v>#N/A</v>
      </c>
      <c r="K444" s="41"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253</v>
      </c>
      <c r="Q444" s="27" t="e">
        <f>VLOOKUP(B444,辅助信息!E:M,9,FALSE)</f>
        <v>#N/A</v>
      </c>
    </row>
    <row r="445" s="27" customFormat="1" hidden="1" spans="1:17">
      <c r="A445" s="63"/>
      <c r="B445" s="41" t="s">
        <v>87</v>
      </c>
      <c r="C445" s="71">
        <v>45704</v>
      </c>
      <c r="D445" s="41" t="e">
        <f>VLOOKUP(B445,辅助信息!E:K,7,FALSE)</f>
        <v>#N/A</v>
      </c>
      <c r="E445" s="41" t="str">
        <f>VLOOKUP(F445,辅助信息!A:B,2,FALSE)</f>
        <v>螺纹钢</v>
      </c>
      <c r="F445" s="41" t="s">
        <v>65</v>
      </c>
      <c r="G445" s="37">
        <v>27</v>
      </c>
      <c r="H445" s="37" t="e">
        <f>_xlfn._xlws.FILTER(#REF!,#REF!&amp;#REF!&amp;#REF!&amp;#REF!=C445&amp;F445&amp;I445&amp;J445,"未发货")</f>
        <v>#REF!</v>
      </c>
      <c r="I445" s="41" t="e">
        <f>VLOOKUP(B445,辅助信息!E:I,3,FALSE)</f>
        <v>#N/A</v>
      </c>
      <c r="J445" s="41" t="e">
        <f>VLOOKUP(B445,辅助信息!E:I,4,FALSE)</f>
        <v>#N/A</v>
      </c>
      <c r="K445" s="41" t="e">
        <f>VLOOKUP(J445,辅助信息!H:I,2,FALSE)</f>
        <v>#N/A</v>
      </c>
      <c r="M445" s="92">
        <v>45706</v>
      </c>
      <c r="N445" s="63"/>
      <c r="O445" s="63">
        <f ca="1" t="shared" si="8"/>
        <v>0</v>
      </c>
      <c r="P445" s="63">
        <f ca="1" t="shared" si="9"/>
        <v>253</v>
      </c>
      <c r="Q445" s="27" t="e">
        <f>VLOOKUP(B445,辅助信息!E:M,9,FALSE)</f>
        <v>#N/A</v>
      </c>
    </row>
    <row r="446" s="27" customFormat="1" hidden="1" spans="1:17">
      <c r="A446" s="63"/>
      <c r="B446" s="41" t="s">
        <v>74</v>
      </c>
      <c r="C446" s="71">
        <v>45704</v>
      </c>
      <c r="D446" s="41" t="e">
        <f>VLOOKUP(B446,辅助信息!E:K,7,FALSE)</f>
        <v>#N/A</v>
      </c>
      <c r="E446" s="41" t="str">
        <f>VLOOKUP(F446,辅助信息!A:B,2,FALSE)</f>
        <v>螺纹钢</v>
      </c>
      <c r="F446" s="41" t="s">
        <v>19</v>
      </c>
      <c r="G446" s="37">
        <v>12</v>
      </c>
      <c r="H446" s="37" t="e">
        <f>_xlfn._xlws.FILTER(#REF!,#REF!&amp;#REF!&amp;#REF!&amp;#REF!=C446&amp;F446&amp;I446&amp;J446,"未发货")</f>
        <v>#REF!</v>
      </c>
      <c r="I446" s="41" t="e">
        <f>VLOOKUP(B446,辅助信息!E:I,3,FALSE)</f>
        <v>#N/A</v>
      </c>
      <c r="J446" s="41" t="e">
        <f>VLOOKUP(B446,辅助信息!E:I,4,FALSE)</f>
        <v>#N/A</v>
      </c>
      <c r="K446" s="41" t="e">
        <f>VLOOKUP(J446,辅助信息!H:I,2,FALSE)</f>
        <v>#N/A</v>
      </c>
      <c r="L446" s="63" t="e">
        <f>VLOOKUP(B446,辅助信息!E:J,6,FALSE)</f>
        <v>#N/A</v>
      </c>
      <c r="M446" s="92">
        <v>45711</v>
      </c>
      <c r="N446" s="63"/>
      <c r="O446" s="63">
        <f ca="1" t="shared" si="8"/>
        <v>0</v>
      </c>
      <c r="P446" s="63">
        <f ca="1" t="shared" si="9"/>
        <v>248</v>
      </c>
      <c r="Q446" s="27" t="e">
        <f>VLOOKUP(B446,辅助信息!E:M,9,FALSE)</f>
        <v>#N/A</v>
      </c>
    </row>
    <row r="447" s="27" customFormat="1" hidden="1" spans="1:17">
      <c r="A447" s="63"/>
      <c r="B447" s="41" t="s">
        <v>74</v>
      </c>
      <c r="C447" s="71">
        <v>45704</v>
      </c>
      <c r="D447" s="41" t="e">
        <f>VLOOKUP(B447,辅助信息!E:K,7,FALSE)</f>
        <v>#N/A</v>
      </c>
      <c r="E447" s="41" t="str">
        <f>VLOOKUP(F447,辅助信息!A:B,2,FALSE)</f>
        <v>螺纹钢</v>
      </c>
      <c r="F447" s="41" t="s">
        <v>33</v>
      </c>
      <c r="G447" s="37">
        <v>12</v>
      </c>
      <c r="H447" s="37" t="e">
        <f>_xlfn._xlws.FILTER(#REF!,#REF!&amp;#REF!&amp;#REF!&amp;#REF!=C447&amp;F447&amp;I447&amp;J447,"未发货")</f>
        <v>#REF!</v>
      </c>
      <c r="I447" s="41" t="e">
        <f>VLOOKUP(B447,辅助信息!E:I,3,FALSE)</f>
        <v>#N/A</v>
      </c>
      <c r="J447" s="41" t="e">
        <f>VLOOKUP(B447,辅助信息!E:I,4,FALSE)</f>
        <v>#N/A</v>
      </c>
      <c r="K447" s="41" t="e">
        <f>VLOOKUP(J447,辅助信息!H:I,2,FALSE)</f>
        <v>#N/A</v>
      </c>
      <c r="M447" s="92">
        <v>45711</v>
      </c>
      <c r="N447" s="63"/>
      <c r="O447" s="63">
        <f ca="1" t="shared" si="8"/>
        <v>0</v>
      </c>
      <c r="P447" s="63">
        <f ca="1" t="shared" si="9"/>
        <v>248</v>
      </c>
      <c r="Q447" s="27" t="e">
        <f>VLOOKUP(B447,辅助信息!E:M,9,FALSE)</f>
        <v>#N/A</v>
      </c>
    </row>
    <row r="448" s="27" customFormat="1" hidden="1" spans="1:17">
      <c r="A448" s="63"/>
      <c r="B448" s="41" t="s">
        <v>74</v>
      </c>
      <c r="C448" s="71">
        <v>45704</v>
      </c>
      <c r="D448" s="41" t="e">
        <f>VLOOKUP(B448,辅助信息!E:K,7,FALSE)</f>
        <v>#N/A</v>
      </c>
      <c r="E448" s="41" t="str">
        <f>VLOOKUP(F448,辅助信息!A:B,2,FALSE)</f>
        <v>螺纹钢</v>
      </c>
      <c r="F448" s="41" t="s">
        <v>28</v>
      </c>
      <c r="G448" s="37">
        <v>12</v>
      </c>
      <c r="H448" s="37" t="e">
        <f>_xlfn._xlws.FILTER(#REF!,#REF!&amp;#REF!&amp;#REF!&amp;#REF!=C448&amp;F448&amp;I448&amp;J448,"未发货")</f>
        <v>#REF!</v>
      </c>
      <c r="I448" s="41" t="e">
        <f>VLOOKUP(B448,辅助信息!E:I,3,FALSE)</f>
        <v>#N/A</v>
      </c>
      <c r="J448" s="41" t="e">
        <f>VLOOKUP(B448,辅助信息!E:I,4,FALSE)</f>
        <v>#N/A</v>
      </c>
      <c r="K448" s="41" t="e">
        <f>VLOOKUP(J448,辅助信息!H:I,2,FALSE)</f>
        <v>#N/A</v>
      </c>
      <c r="M448" s="92">
        <v>45711</v>
      </c>
      <c r="N448" s="63"/>
      <c r="O448" s="63">
        <f ca="1" t="shared" si="8"/>
        <v>0</v>
      </c>
      <c r="P448" s="63">
        <f ca="1" t="shared" si="9"/>
        <v>248</v>
      </c>
      <c r="Q448" s="27" t="e">
        <f>VLOOKUP(B448,辅助信息!E:M,9,FALSE)</f>
        <v>#N/A</v>
      </c>
    </row>
    <row r="449" hidden="1" spans="1:18">
      <c r="A449" s="63"/>
      <c r="B449" s="41" t="s">
        <v>74</v>
      </c>
      <c r="C449" s="71">
        <v>45704</v>
      </c>
      <c r="D449" s="41" t="e">
        <f>VLOOKUP(B449,辅助信息!E:K,7,FALSE)</f>
        <v>#N/A</v>
      </c>
      <c r="E449" s="41" t="str">
        <f>VLOOKUP(F449,辅助信息!A:B,2,FALSE)</f>
        <v>螺纹钢</v>
      </c>
      <c r="F449" s="41" t="s">
        <v>18</v>
      </c>
      <c r="G449" s="37">
        <v>3</v>
      </c>
      <c r="H449" s="37" t="e">
        <f>_xlfn._xlws.FILTER(#REF!,#REF!&amp;#REF!&amp;#REF!&amp;#REF!=C449&amp;F449&amp;I449&amp;J449,"未发货")</f>
        <v>#REF!</v>
      </c>
      <c r="I449" s="41" t="e">
        <f>VLOOKUP(B449,辅助信息!E:I,3,FALSE)</f>
        <v>#N/A</v>
      </c>
      <c r="J449" s="41" t="e">
        <f>VLOOKUP(B449,辅助信息!E:I,4,FALSE)</f>
        <v>#N/A</v>
      </c>
      <c r="K449" s="41" t="e">
        <f>VLOOKUP(J449,辅助信息!H:I,2,FALSE)</f>
        <v>#N/A</v>
      </c>
      <c r="L449" s="27"/>
      <c r="M449" s="92">
        <v>45711</v>
      </c>
      <c r="O449" s="63">
        <f ca="1" t="shared" si="8"/>
        <v>0</v>
      </c>
      <c r="P449" s="63">
        <f ca="1" t="shared" si="9"/>
        <v>248</v>
      </c>
      <c r="Q449" s="27" t="e">
        <f>VLOOKUP(B449,辅助信息!E:M,9,FALSE)</f>
        <v>#N/A</v>
      </c>
      <c r="R449" s="27"/>
    </row>
    <row r="450" hidden="1" spans="1:18">
      <c r="A450" s="63"/>
      <c r="B450" s="41" t="s">
        <v>79</v>
      </c>
      <c r="C450" s="71">
        <v>45704</v>
      </c>
      <c r="D450" s="41" t="e">
        <f>VLOOKUP(B450,辅助信息!E:K,7,FALSE)</f>
        <v>#N/A</v>
      </c>
      <c r="E450" s="41" t="str">
        <f>VLOOKUP(F450,辅助信息!A:B,2,FALSE)</f>
        <v>盘螺</v>
      </c>
      <c r="F450" s="41" t="s">
        <v>40</v>
      </c>
      <c r="G450" s="37">
        <v>3</v>
      </c>
      <c r="H450" s="37" t="e">
        <f>_xlfn._xlws.FILTER(#REF!,#REF!&amp;#REF!&amp;#REF!&amp;#REF!=C450&amp;F450&amp;I450&amp;J450,"未发货")</f>
        <v>#REF!</v>
      </c>
      <c r="I450" s="41" t="e">
        <f>VLOOKUP(B450,辅助信息!E:I,3,FALSE)</f>
        <v>#N/A</v>
      </c>
      <c r="J450" s="41" t="e">
        <f>VLOOKUP(B450,辅助信息!E:I,4,FALSE)</f>
        <v>#N/A</v>
      </c>
      <c r="K450" s="41" t="e">
        <f>VLOOKUP(J450,辅助信息!H:I,2,FALSE)</f>
        <v>#N/A</v>
      </c>
      <c r="L450" s="63" t="e">
        <f>VLOOKUP(B450,辅助信息!E:J,6,FALSE)</f>
        <v>#N/A</v>
      </c>
      <c r="O450" s="63" t="str">
        <f ca="1" t="shared" si="8"/>
        <v/>
      </c>
      <c r="P450" s="63" t="str">
        <f ca="1" t="shared" si="9"/>
        <v/>
      </c>
      <c r="Q450" s="27" t="e">
        <f>VLOOKUP(B450,辅助信息!E:M,9,FALSE)</f>
        <v>#N/A</v>
      </c>
      <c r="R450" s="27"/>
    </row>
    <row r="451" hidden="1" spans="1:18">
      <c r="A451" s="63"/>
      <c r="B451" s="41" t="s">
        <v>79</v>
      </c>
      <c r="C451" s="71">
        <v>45704</v>
      </c>
      <c r="D451" s="41" t="e">
        <f>VLOOKUP(B451,辅助信息!E:K,7,FALSE)</f>
        <v>#N/A</v>
      </c>
      <c r="E451" s="41" t="str">
        <f>VLOOKUP(F451,辅助信息!A:B,2,FALSE)</f>
        <v>盘螺</v>
      </c>
      <c r="F451" s="41" t="s">
        <v>41</v>
      </c>
      <c r="G451" s="37">
        <v>3</v>
      </c>
      <c r="H451" s="37" t="e">
        <f>_xlfn._xlws.FILTER(#REF!,#REF!&amp;#REF!&amp;#REF!&amp;#REF!=C451&amp;F451&amp;I451&amp;J451,"未发货")</f>
        <v>#REF!</v>
      </c>
      <c r="I451" s="41" t="e">
        <f>VLOOKUP(B451,辅助信息!E:I,3,FALSE)</f>
        <v>#N/A</v>
      </c>
      <c r="J451" s="41" t="e">
        <f>VLOOKUP(B451,辅助信息!E:I,4,FALSE)</f>
        <v>#N/A</v>
      </c>
      <c r="K451" s="41" t="e">
        <f>VLOOKUP(J451,辅助信息!H:I,2,FALSE)</f>
        <v>#N/A</v>
      </c>
      <c r="L451" s="27"/>
      <c r="O451" s="63" t="str">
        <f ca="1" t="shared" si="8"/>
        <v/>
      </c>
      <c r="P451" s="63" t="str">
        <f ca="1" t="shared" si="9"/>
        <v/>
      </c>
      <c r="Q451" s="27" t="e">
        <f>VLOOKUP(B451,辅助信息!E:M,9,FALSE)</f>
        <v>#N/A</v>
      </c>
      <c r="R451" s="27"/>
    </row>
    <row r="452" hidden="1" spans="1:18">
      <c r="A452" s="63"/>
      <c r="B452" s="41" t="s">
        <v>79</v>
      </c>
      <c r="C452" s="71">
        <v>45704</v>
      </c>
      <c r="D452" s="41" t="e">
        <f>VLOOKUP(B452,辅助信息!E:K,7,FALSE)</f>
        <v>#N/A</v>
      </c>
      <c r="E452" s="41" t="str">
        <f>VLOOKUP(F452,辅助信息!A:B,2,FALSE)</f>
        <v>螺纹钢</v>
      </c>
      <c r="F452" s="41" t="s">
        <v>27</v>
      </c>
      <c r="G452" s="37">
        <v>9</v>
      </c>
      <c r="H452" s="37" t="e">
        <f>_xlfn._xlws.FILTER(#REF!,#REF!&amp;#REF!&amp;#REF!&amp;#REF!=C452&amp;F452&amp;I452&amp;J452,"未发货")</f>
        <v>#REF!</v>
      </c>
      <c r="I452" s="41" t="e">
        <f>VLOOKUP(B452,辅助信息!E:I,3,FALSE)</f>
        <v>#N/A</v>
      </c>
      <c r="J452" s="41" t="e">
        <f>VLOOKUP(B452,辅助信息!E:I,4,FALSE)</f>
        <v>#N/A</v>
      </c>
      <c r="K452" s="41" t="e">
        <f>VLOOKUP(J452,辅助信息!H:I,2,FALSE)</f>
        <v>#N/A</v>
      </c>
      <c r="L452" s="27"/>
      <c r="O452" s="63" t="str">
        <f ca="1" t="shared" si="8"/>
        <v/>
      </c>
      <c r="P452" s="63" t="str">
        <f ca="1" t="shared" si="9"/>
        <v/>
      </c>
      <c r="Q452" s="27" t="e">
        <f>VLOOKUP(B452,辅助信息!E:M,9,FALSE)</f>
        <v>#N/A</v>
      </c>
      <c r="R452" s="27"/>
    </row>
    <row r="453" hidden="1" spans="1:18">
      <c r="A453" s="63"/>
      <c r="B453" s="41" t="s">
        <v>79</v>
      </c>
      <c r="C453" s="71">
        <v>45704</v>
      </c>
      <c r="D453" s="41" t="e">
        <f>VLOOKUP(B453,辅助信息!E:K,7,FALSE)</f>
        <v>#N/A</v>
      </c>
      <c r="E453" s="41" t="str">
        <f>VLOOKUP(F453,辅助信息!A:B,2,FALSE)</f>
        <v>螺纹钢</v>
      </c>
      <c r="F453" s="41" t="s">
        <v>19</v>
      </c>
      <c r="G453" s="37">
        <v>20</v>
      </c>
      <c r="H453" s="37" t="e">
        <f>_xlfn._xlws.FILTER(#REF!,#REF!&amp;#REF!&amp;#REF!&amp;#REF!=C453&amp;F453&amp;I453&amp;J453,"未发货")</f>
        <v>#REF!</v>
      </c>
      <c r="I453" s="41" t="e">
        <f>VLOOKUP(B453,辅助信息!E:I,3,FALSE)</f>
        <v>#N/A</v>
      </c>
      <c r="J453" s="41" t="e">
        <f>VLOOKUP(B453,辅助信息!E:I,4,FALSE)</f>
        <v>#N/A</v>
      </c>
      <c r="K453" s="41" t="e">
        <f>VLOOKUP(J453,辅助信息!H:I,2,FALSE)</f>
        <v>#N/A</v>
      </c>
      <c r="L453" s="27"/>
      <c r="O453" s="63" t="str">
        <f ca="1" t="shared" si="8"/>
        <v/>
      </c>
      <c r="P453" s="63" t="str">
        <f ca="1" t="shared" si="9"/>
        <v/>
      </c>
      <c r="Q453" s="27" t="e">
        <f>VLOOKUP(B453,辅助信息!E:M,9,FALSE)</f>
        <v>#N/A</v>
      </c>
      <c r="R453" s="27"/>
    </row>
    <row r="454" hidden="1" spans="1:18">
      <c r="A454" s="63"/>
      <c r="B454" s="41" t="s">
        <v>79</v>
      </c>
      <c r="C454" s="71">
        <v>45704</v>
      </c>
      <c r="D454" s="41" t="e">
        <f>VLOOKUP(B454,辅助信息!E:K,7,FALSE)</f>
        <v>#N/A</v>
      </c>
      <c r="E454" s="41" t="str">
        <f>VLOOKUP(F454,辅助信息!A:B,2,FALSE)</f>
        <v>螺纹钢</v>
      </c>
      <c r="F454" s="41" t="s">
        <v>32</v>
      </c>
      <c r="G454" s="37">
        <v>9</v>
      </c>
      <c r="H454" s="37" t="e">
        <f>_xlfn._xlws.FILTER(#REF!,#REF!&amp;#REF!&amp;#REF!&amp;#REF!=C454&amp;F454&amp;I454&amp;J454,"未发货")</f>
        <v>#REF!</v>
      </c>
      <c r="I454" s="41" t="e">
        <f>VLOOKUP(B454,辅助信息!E:I,3,FALSE)</f>
        <v>#N/A</v>
      </c>
      <c r="J454" s="41" t="e">
        <f>VLOOKUP(B454,辅助信息!E:I,4,FALSE)</f>
        <v>#N/A</v>
      </c>
      <c r="K454" s="41" t="e">
        <f>VLOOKUP(J454,辅助信息!H:I,2,FALSE)</f>
        <v>#N/A</v>
      </c>
      <c r="L454" s="27"/>
      <c r="O454" s="63" t="str">
        <f ca="1" t="shared" si="8"/>
        <v/>
      </c>
      <c r="P454" s="63" t="str">
        <f ca="1" t="shared" si="9"/>
        <v/>
      </c>
      <c r="Q454" s="27" t="e">
        <f>VLOOKUP(B454,辅助信息!E:M,9,FALSE)</f>
        <v>#N/A</v>
      </c>
      <c r="R454" s="27"/>
    </row>
    <row r="455" hidden="1" spans="1:18">
      <c r="A455" s="63"/>
      <c r="B455" s="41" t="s">
        <v>79</v>
      </c>
      <c r="C455" s="71">
        <v>45704</v>
      </c>
      <c r="D455" s="41" t="e">
        <f>VLOOKUP(B455,辅助信息!E:K,7,FALSE)</f>
        <v>#N/A</v>
      </c>
      <c r="E455" s="41" t="str">
        <f>VLOOKUP(F455,辅助信息!A:B,2,FALSE)</f>
        <v>螺纹钢</v>
      </c>
      <c r="F455" s="41" t="s">
        <v>30</v>
      </c>
      <c r="G455" s="37">
        <v>3</v>
      </c>
      <c r="H455" s="37" t="e">
        <f>_xlfn._xlws.FILTER(#REF!,#REF!&amp;#REF!&amp;#REF!&amp;#REF!=C455&amp;F455&amp;I455&amp;J455,"未发货")</f>
        <v>#REF!</v>
      </c>
      <c r="I455" s="41" t="e">
        <f>VLOOKUP(B455,辅助信息!E:I,3,FALSE)</f>
        <v>#N/A</v>
      </c>
      <c r="J455" s="41" t="e">
        <f>VLOOKUP(B455,辅助信息!E:I,4,FALSE)</f>
        <v>#N/A</v>
      </c>
      <c r="K455" s="41" t="e">
        <f>VLOOKUP(J455,辅助信息!H:I,2,FALSE)</f>
        <v>#N/A</v>
      </c>
      <c r="L455" s="27"/>
      <c r="O455" s="63" t="str">
        <f ca="1" t="shared" si="8"/>
        <v/>
      </c>
      <c r="P455" s="63" t="str">
        <f ca="1" t="shared" si="9"/>
        <v/>
      </c>
      <c r="Q455" s="27" t="e">
        <f>VLOOKUP(B455,辅助信息!E:M,9,FALSE)</f>
        <v>#N/A</v>
      </c>
      <c r="R455" s="27"/>
    </row>
    <row r="456" hidden="1" spans="1:18">
      <c r="A456" s="63"/>
      <c r="B456" s="41" t="s">
        <v>79</v>
      </c>
      <c r="C456" s="71">
        <v>45704</v>
      </c>
      <c r="D456" s="41" t="e">
        <f>VLOOKUP(B456,辅助信息!E:K,7,FALSE)</f>
        <v>#N/A</v>
      </c>
      <c r="E456" s="41" t="str">
        <f>VLOOKUP(F456,辅助信息!A:B,2,FALSE)</f>
        <v>螺纹钢</v>
      </c>
      <c r="F456" s="41" t="s">
        <v>33</v>
      </c>
      <c r="G456" s="37">
        <v>25</v>
      </c>
      <c r="H456" s="37" t="e">
        <f>_xlfn._xlws.FILTER(#REF!,#REF!&amp;#REF!&amp;#REF!&amp;#REF!=C456&amp;F456&amp;I456&amp;J456,"未发货")</f>
        <v>#REF!</v>
      </c>
      <c r="I456" s="41" t="e">
        <f>VLOOKUP(B456,辅助信息!E:I,3,FALSE)</f>
        <v>#N/A</v>
      </c>
      <c r="J456" s="41" t="e">
        <f>VLOOKUP(B456,辅助信息!E:I,4,FALSE)</f>
        <v>#N/A</v>
      </c>
      <c r="K456" s="41" t="e">
        <f>VLOOKUP(J456,辅助信息!H:I,2,FALSE)</f>
        <v>#N/A</v>
      </c>
      <c r="L456" s="27"/>
      <c r="O456" s="63" t="str">
        <f ca="1" t="shared" si="8"/>
        <v/>
      </c>
      <c r="P456" s="63" t="str">
        <f ca="1" t="shared" si="9"/>
        <v/>
      </c>
      <c r="Q456" s="27" t="e">
        <f>VLOOKUP(B456,辅助信息!E:M,9,FALSE)</f>
        <v>#N/A</v>
      </c>
      <c r="R456" s="27"/>
    </row>
    <row r="457" hidden="1" spans="1:18">
      <c r="A457" s="63"/>
      <c r="B457" s="41" t="s">
        <v>79</v>
      </c>
      <c r="C457" s="71">
        <v>45704</v>
      </c>
      <c r="D457" s="41" t="e">
        <f>VLOOKUP(B457,辅助信息!E:K,7,FALSE)</f>
        <v>#N/A</v>
      </c>
      <c r="E457" s="41" t="str">
        <f>VLOOKUP(F457,辅助信息!A:B,2,FALSE)</f>
        <v>螺纹钢</v>
      </c>
      <c r="F457" s="41" t="s">
        <v>18</v>
      </c>
      <c r="G457" s="37">
        <v>90</v>
      </c>
      <c r="H457" s="37" t="e">
        <f>_xlfn._xlws.FILTER(#REF!,#REF!&amp;#REF!&amp;#REF!&amp;#REF!=C457&amp;F457&amp;I457&amp;J457,"未发货")</f>
        <v>#REF!</v>
      </c>
      <c r="I457" s="41" t="e">
        <f>VLOOKUP(B457,辅助信息!E:I,3,FALSE)</f>
        <v>#N/A</v>
      </c>
      <c r="J457" s="41" t="e">
        <f>VLOOKUP(B457,辅助信息!E:I,4,FALSE)</f>
        <v>#N/A</v>
      </c>
      <c r="K457" s="41" t="e">
        <f>VLOOKUP(J457,辅助信息!H:I,2,FALSE)</f>
        <v>#N/A</v>
      </c>
      <c r="L457" s="27"/>
      <c r="O457" s="63" t="str">
        <f ca="1" t="shared" si="8"/>
        <v/>
      </c>
      <c r="P457" s="63" t="str">
        <f ca="1" t="shared" si="9"/>
        <v/>
      </c>
      <c r="Q457" s="27" t="e">
        <f>VLOOKUP(B457,辅助信息!E:M,9,FALSE)</f>
        <v>#N/A</v>
      </c>
      <c r="R457" s="27"/>
    </row>
    <row r="458" hidden="1" spans="2:18">
      <c r="B458" s="41" t="s">
        <v>68</v>
      </c>
      <c r="C458" s="71">
        <v>45704</v>
      </c>
      <c r="D458" s="41" t="str">
        <f>VLOOKUP(B458,辅助信息!E:K,7,FALSE)</f>
        <v>JWDDCD2025052800131</v>
      </c>
      <c r="E458" s="41" t="str">
        <f>VLOOKUP(F458,辅助信息!A:B,2,FALSE)</f>
        <v>盘螺</v>
      </c>
      <c r="F458" s="41" t="s">
        <v>40</v>
      </c>
      <c r="G458" s="37">
        <v>3</v>
      </c>
      <c r="H458" s="37" t="e">
        <f>_xlfn._xlws.FILTER(#REF!,#REF!&amp;#REF!&amp;#REF!&amp;#REF!=C458&amp;F458&amp;I458&amp;J458,"未发货")</f>
        <v>#REF!</v>
      </c>
      <c r="I458" s="41" t="str">
        <f>VLOOKUP(B458,辅助信息!E:I,3,FALSE)</f>
        <v>（商投建工达州中医药科技园-2工区-景观桥）达州市通川区达州中医药职业学院犀牛大道北段</v>
      </c>
      <c r="J458" s="41" t="str">
        <f>VLOOKUP(B458,辅助信息!E:I,4,FALSE)</f>
        <v>李波</v>
      </c>
      <c r="K458" s="41">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253</v>
      </c>
      <c r="Q458" s="27" t="str">
        <f>VLOOKUP(B458,辅助信息!E:M,9,FALSE)</f>
        <v>ZTWM-CDGS-XS-2024-0134-商投建工达州中医药科技成果示范园项目</v>
      </c>
      <c r="R458" s="27"/>
    </row>
    <row r="459" hidden="1" spans="2:18">
      <c r="B459" s="41" t="s">
        <v>68</v>
      </c>
      <c r="C459" s="71">
        <v>45704</v>
      </c>
      <c r="D459" s="41" t="str">
        <f>VLOOKUP(B459,辅助信息!E:K,7,FALSE)</f>
        <v>JWDDCD2025052800131</v>
      </c>
      <c r="E459" s="41" t="str">
        <f>VLOOKUP(F459,辅助信息!A:B,2,FALSE)</f>
        <v>螺纹钢</v>
      </c>
      <c r="F459" s="41" t="s">
        <v>27</v>
      </c>
      <c r="G459" s="37">
        <v>10</v>
      </c>
      <c r="H459" s="37" t="e">
        <f>_xlfn._xlws.FILTER(#REF!,#REF!&amp;#REF!&amp;#REF!&amp;#REF!=C459&amp;F459&amp;I459&amp;J459,"未发货")</f>
        <v>#REF!</v>
      </c>
      <c r="I459" s="41" t="str">
        <f>VLOOKUP(B459,辅助信息!E:I,3,FALSE)</f>
        <v>（商投建工达州中医药科技园-2工区-景观桥）达州市通川区达州中医药职业学院犀牛大道北段</v>
      </c>
      <c r="J459" s="41" t="str">
        <f>VLOOKUP(B459,辅助信息!E:I,4,FALSE)</f>
        <v>李波</v>
      </c>
      <c r="K459" s="41">
        <f>VLOOKUP(J459,辅助信息!H:I,2,FALSE)</f>
        <v>18381899787</v>
      </c>
      <c r="M459" s="92">
        <v>45706</v>
      </c>
      <c r="N459" s="58"/>
      <c r="O459" s="63">
        <f ca="1" t="shared" si="8"/>
        <v>0</v>
      </c>
      <c r="P459" s="63">
        <f ca="1" t="shared" si="9"/>
        <v>253</v>
      </c>
      <c r="Q459" s="27" t="str">
        <f>VLOOKUP(B459,辅助信息!E:M,9,FALSE)</f>
        <v>ZTWM-CDGS-XS-2024-0134-商投建工达州中医药科技成果示范园项目</v>
      </c>
      <c r="R459" s="27"/>
    </row>
    <row r="460" hidden="1" spans="2:18">
      <c r="B460" s="41" t="s">
        <v>68</v>
      </c>
      <c r="C460" s="71">
        <v>45704</v>
      </c>
      <c r="D460" s="41" t="str">
        <f>VLOOKUP(B460,辅助信息!E:K,7,FALSE)</f>
        <v>JWDDCD2025052800131</v>
      </c>
      <c r="E460" s="41" t="str">
        <f>VLOOKUP(F460,辅助信息!A:B,2,FALSE)</f>
        <v>螺纹钢</v>
      </c>
      <c r="F460" s="41" t="s">
        <v>32</v>
      </c>
      <c r="G460" s="37">
        <v>15</v>
      </c>
      <c r="H460" s="37" t="e">
        <f>_xlfn._xlws.FILTER(#REF!,#REF!&amp;#REF!&amp;#REF!&amp;#REF!=C460&amp;F460&amp;I460&amp;J460,"未发货")</f>
        <v>#REF!</v>
      </c>
      <c r="I460" s="41" t="str">
        <f>VLOOKUP(B460,辅助信息!E:I,3,FALSE)</f>
        <v>（商投建工达州中医药科技园-2工区-景观桥）达州市通川区达州中医药职业学院犀牛大道北段</v>
      </c>
      <c r="J460" s="41" t="str">
        <f>VLOOKUP(B460,辅助信息!E:I,4,FALSE)</f>
        <v>李波</v>
      </c>
      <c r="K460" s="41">
        <f>VLOOKUP(J460,辅助信息!H:I,2,FALSE)</f>
        <v>18381899787</v>
      </c>
      <c r="M460" s="92">
        <v>45706</v>
      </c>
      <c r="N460" s="58"/>
      <c r="O460" s="63">
        <f ca="1" t="shared" si="8"/>
        <v>0</v>
      </c>
      <c r="P460" s="63">
        <f ca="1" t="shared" si="9"/>
        <v>253</v>
      </c>
      <c r="Q460" s="27" t="str">
        <f>VLOOKUP(B460,辅助信息!E:M,9,FALSE)</f>
        <v>ZTWM-CDGS-XS-2024-0134-商投建工达州中医药科技成果示范园项目</v>
      </c>
      <c r="R460" s="27"/>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253</v>
      </c>
      <c r="Q461" s="27" t="str">
        <f>VLOOKUP(B461,辅助信息!E:M,9,FALSE)</f>
        <v>ZTWM-CDGS-XS-2024-0134-商投建工达州中医药科技成果示范园项目</v>
      </c>
      <c r="R461" s="27"/>
    </row>
    <row r="462" hidden="1" spans="1:18">
      <c r="A462" s="27"/>
      <c r="B462" s="41" t="s">
        <v>80</v>
      </c>
      <c r="C462" s="71">
        <v>45705</v>
      </c>
      <c r="D462" s="41" t="e">
        <f>VLOOKUP(B462,辅助信息!E:K,7,FALSE)</f>
        <v>#N/A</v>
      </c>
      <c r="E462" s="41" t="str">
        <f>VLOOKUP(F462,辅助信息!A:B,2,FALSE)</f>
        <v>盘螺</v>
      </c>
      <c r="F462" s="41" t="s">
        <v>49</v>
      </c>
      <c r="G462" s="41">
        <v>7.5</v>
      </c>
      <c r="H462" s="41" t="e">
        <f>_xlfn._xlws.FILTER('[1]2025年已发货'!$E:$E,'[1]2025年已发货'!$F:$F&amp;'[1]2025年已发货'!$C:$C&amp;'[1]2025年已发货'!$G:$G&amp;'[1]2025年已发货'!$H:$H=C462&amp;F462&amp;I462&amp;J462,"未发货")</f>
        <v>#N/A</v>
      </c>
      <c r="I462" s="41" t="e">
        <f>VLOOKUP(B462,辅助信息!E:I,3,FALSE)</f>
        <v>#N/A</v>
      </c>
      <c r="J462" s="41" t="e">
        <f>VLOOKUP(B462,辅助信息!E:I,4,FALSE)</f>
        <v>#N/A</v>
      </c>
      <c r="K462" s="41" t="e">
        <f>VLOOKUP(J462,辅助信息!H:I,2,FALSE)</f>
        <v>#N/A</v>
      </c>
      <c r="L462" s="41" t="e">
        <f>VLOOKUP(B462,辅助信息!E:J,6,FALSE)</f>
        <v>#N/A</v>
      </c>
      <c r="M462" s="96">
        <v>45703</v>
      </c>
      <c r="N462" s="96"/>
      <c r="O462" s="27">
        <f ca="1" t="shared" si="8"/>
        <v>0</v>
      </c>
      <c r="P462" s="27">
        <f ca="1" t="shared" si="9"/>
        <v>256</v>
      </c>
      <c r="Q462" s="27" t="e">
        <f>VLOOKUP(B462,辅助信息!E:M,9,FALSE)</f>
        <v>#N/A</v>
      </c>
      <c r="R462" s="27"/>
    </row>
    <row r="463" hidden="1" spans="1:18">
      <c r="A463" s="27"/>
      <c r="B463" s="41" t="s">
        <v>80</v>
      </c>
      <c r="C463" s="71">
        <v>45705</v>
      </c>
      <c r="D463" s="41" t="e">
        <f>VLOOKUP(B463,辅助信息!E:K,7,FALSE)</f>
        <v>#N/A</v>
      </c>
      <c r="E463" s="41" t="str">
        <f>VLOOKUP(F463,辅助信息!A:B,2,FALSE)</f>
        <v>盘螺</v>
      </c>
      <c r="F463" s="41" t="s">
        <v>40</v>
      </c>
      <c r="G463" s="41">
        <v>15</v>
      </c>
      <c r="H463" s="41" t="e">
        <f>_xlfn._xlws.FILTER('[1]2025年已发货'!$E:$E,'[1]2025年已发货'!$F:$F&amp;'[1]2025年已发货'!$C:$C&amp;'[1]2025年已发货'!$G:$G&amp;'[1]2025年已发货'!$H:$H=C463&amp;F463&amp;I463&amp;J463,"未发货")</f>
        <v>#N/A</v>
      </c>
      <c r="I463" s="41" t="e">
        <f>VLOOKUP(B463,辅助信息!E:I,3,FALSE)</f>
        <v>#N/A</v>
      </c>
      <c r="J463" s="41" t="e">
        <f>VLOOKUP(B463,辅助信息!E:I,4,FALSE)</f>
        <v>#N/A</v>
      </c>
      <c r="K463" s="41" t="e">
        <f>VLOOKUP(J463,辅助信息!H:I,2,FALSE)</f>
        <v>#N/A</v>
      </c>
      <c r="L463" s="79"/>
      <c r="M463" s="96">
        <v>45703</v>
      </c>
      <c r="N463" s="96"/>
      <c r="O463" s="27">
        <f ca="1" t="shared" si="8"/>
        <v>0</v>
      </c>
      <c r="P463" s="27">
        <f ca="1" t="shared" si="9"/>
        <v>256</v>
      </c>
      <c r="Q463" s="27" t="e">
        <f>VLOOKUP(B463,辅助信息!E:M,9,FALSE)</f>
        <v>#N/A</v>
      </c>
      <c r="R463" s="27"/>
    </row>
    <row r="464" hidden="1" spans="1:18">
      <c r="A464" s="27"/>
      <c r="B464" s="41" t="s">
        <v>80</v>
      </c>
      <c r="C464" s="71">
        <v>45705</v>
      </c>
      <c r="D464" s="41" t="e">
        <f>VLOOKUP(B464,辅助信息!E:K,7,FALSE)</f>
        <v>#N/A</v>
      </c>
      <c r="E464" s="41" t="str">
        <f>VLOOKUP(F464,辅助信息!A:B,2,FALSE)</f>
        <v>螺纹钢</v>
      </c>
      <c r="F464" s="41" t="s">
        <v>27</v>
      </c>
      <c r="G464" s="41">
        <v>5</v>
      </c>
      <c r="H464" s="41" t="e">
        <f>_xlfn._xlws.FILTER('[1]2025年已发货'!$E:$E,'[1]2025年已发货'!$F:$F&amp;'[1]2025年已发货'!$C:$C&amp;'[1]2025年已发货'!$G:$G&amp;'[1]2025年已发货'!$H:$H=C464&amp;F464&amp;I464&amp;J464,"未发货")</f>
        <v>#N/A</v>
      </c>
      <c r="I464" s="41" t="e">
        <f>VLOOKUP(B464,辅助信息!E:I,3,FALSE)</f>
        <v>#N/A</v>
      </c>
      <c r="J464" s="41" t="e">
        <f>VLOOKUP(B464,辅助信息!E:I,4,FALSE)</f>
        <v>#N/A</v>
      </c>
      <c r="K464" s="41" t="e">
        <f>VLOOKUP(J464,辅助信息!H:I,2,FALSE)</f>
        <v>#N/A</v>
      </c>
      <c r="L464" s="79"/>
      <c r="M464" s="96"/>
      <c r="N464" s="96"/>
      <c r="O464" s="27"/>
      <c r="P464" s="27"/>
      <c r="Q464" s="27"/>
      <c r="R464" s="27"/>
    </row>
    <row r="465" s="27" customFormat="1" hidden="1" spans="2:14">
      <c r="B465" s="41" t="s">
        <v>80</v>
      </c>
      <c r="C465" s="71">
        <v>45705</v>
      </c>
      <c r="D465" s="41" t="e">
        <f>VLOOKUP(B465,辅助信息!E:K,7,FALSE)</f>
        <v>#N/A</v>
      </c>
      <c r="E465" s="41" t="str">
        <f>VLOOKUP(F465,辅助信息!A:B,2,FALSE)</f>
        <v>螺纹钢</v>
      </c>
      <c r="F465" s="41" t="s">
        <v>32</v>
      </c>
      <c r="G465" s="41">
        <v>7</v>
      </c>
      <c r="H465" s="41" t="e">
        <f>_xlfn._xlws.FILTER('[1]2025年已发货'!$E:$E,'[1]2025年已发货'!$F:$F&amp;'[1]2025年已发货'!$C:$C&amp;'[1]2025年已发货'!$G:$G&amp;'[1]2025年已发货'!$H:$H=C465&amp;F465&amp;I465&amp;J465,"未发货")</f>
        <v>#N/A</v>
      </c>
      <c r="I465" s="41" t="e">
        <f>VLOOKUP(B465,辅助信息!E:I,3,FALSE)</f>
        <v>#N/A</v>
      </c>
      <c r="J465" s="41" t="e">
        <f>VLOOKUP(B465,辅助信息!E:I,4,FALSE)</f>
        <v>#N/A</v>
      </c>
      <c r="K465" s="41" t="e">
        <f>VLOOKUP(J465,辅助信息!H:I,2,FALSE)</f>
        <v>#N/A</v>
      </c>
      <c r="L465" s="79"/>
      <c r="M465" s="96"/>
      <c r="N465" s="96"/>
    </row>
    <row r="466" s="27" customFormat="1" hidden="1" spans="2:17">
      <c r="B466" s="41" t="s">
        <v>80</v>
      </c>
      <c r="C466" s="71">
        <v>45705</v>
      </c>
      <c r="D466" s="41" t="e">
        <f>VLOOKUP(B466,辅助信息!E:K,7,FALSE)</f>
        <v>#N/A</v>
      </c>
      <c r="E466" s="41" t="str">
        <f>VLOOKUP(F466,辅助信息!A:B,2,FALSE)</f>
        <v>螺纹钢</v>
      </c>
      <c r="F466" s="41" t="s">
        <v>30</v>
      </c>
      <c r="G466" s="41">
        <v>12</v>
      </c>
      <c r="H466" s="41" t="e">
        <f>_xlfn._xlws.FILTER('[1]2025年已发货'!$E:$E,'[1]2025年已发货'!$F:$F&amp;'[1]2025年已发货'!$C:$C&amp;'[1]2025年已发货'!$G:$G&amp;'[1]2025年已发货'!$H:$H=C466&amp;F466&amp;I466&amp;J466,"未发货")</f>
        <v>#N/A</v>
      </c>
      <c r="I466" s="41" t="e">
        <f>VLOOKUP(B466,辅助信息!E:I,3,FALSE)</f>
        <v>#N/A</v>
      </c>
      <c r="J466" s="41" t="e">
        <f>VLOOKUP(B466,辅助信息!E:I,4,FALSE)</f>
        <v>#N/A</v>
      </c>
      <c r="K466" s="41" t="e">
        <f>VLOOKUP(J466,辅助信息!H:I,2,FALSE)</f>
        <v>#N/A</v>
      </c>
      <c r="L466" s="77"/>
      <c r="M466" s="96">
        <v>45703</v>
      </c>
      <c r="N466" s="96"/>
      <c r="O466" s="27">
        <f ca="1" t="shared" ref="O466:O529" si="10">IF(OR(M466="",N466&lt;&gt;""),"",MAX(M466-TODAY(),0))</f>
        <v>0</v>
      </c>
      <c r="P466" s="27">
        <f ca="1" t="shared" ref="P466:P529" si="11">IF(M466="","",IF(N466&lt;&gt;"",MAX(N466-M466,0),IF(TODAY()&gt;M466,TODAY()-M466,0)))</f>
        <v>256</v>
      </c>
      <c r="Q466" s="27" t="e">
        <f>VLOOKUP(B466,辅助信息!E:M,9,FALSE)</f>
        <v>#N/A</v>
      </c>
    </row>
    <row r="467" s="27" customFormat="1" hidden="1" spans="2:17">
      <c r="B467" s="41" t="s">
        <v>48</v>
      </c>
      <c r="C467" s="71">
        <v>45705</v>
      </c>
      <c r="D467" s="41" t="str">
        <f>VLOOKUP(B467,辅助信息!E:K,7,FALSE)</f>
        <v>ZTWM-CDGS-YL-20240529-006</v>
      </c>
      <c r="E467" s="41" t="str">
        <f>VLOOKUP(F467,辅助信息!A:B,2,FALSE)</f>
        <v>盘螺</v>
      </c>
      <c r="F467" s="41" t="s">
        <v>49</v>
      </c>
      <c r="G467" s="41">
        <v>3</v>
      </c>
      <c r="H467" s="41" t="str">
        <f>_xlfn._xlws.FILTER('[1]2025年已发货'!$E:$E,'[1]2025年已发货'!$F:$F&amp;'[1]2025年已发货'!$C:$C&amp;'[1]2025年已发货'!$G:$G&amp;'[1]2025年已发货'!$H:$H=C467&amp;F467&amp;I467&amp;J467,"未发货")</f>
        <v>未发货</v>
      </c>
      <c r="I467" s="41" t="str">
        <f>VLOOKUP(B467,辅助信息!E:I,3,FALSE)</f>
        <v>(华西颐海-科创农业生态谷-1号钢筋房)成都市简阳市白金山水库</v>
      </c>
      <c r="J467" s="41" t="str">
        <f>VLOOKUP(B467,辅助信息!E:I,4,FALSE)</f>
        <v>石清国</v>
      </c>
      <c r="K467" s="41">
        <f>VLOOKUP(J467,辅助信息!H:I,2,FALSE)</f>
        <v>13458642015</v>
      </c>
      <c r="L467" s="41" t="str">
        <f>VLOOKUP(B467,辅助信息!E:J,6,FALSE)</f>
        <v>优先威钢,我方卸车,新老国标钢厂不加价可直发</v>
      </c>
      <c r="M467" s="96">
        <v>45705</v>
      </c>
      <c r="O467" s="27">
        <f ca="1" t="shared" si="10"/>
        <v>0</v>
      </c>
      <c r="P467" s="27">
        <f ca="1" t="shared" si="11"/>
        <v>254</v>
      </c>
      <c r="Q467" s="27" t="str">
        <f>VLOOKUP(B467,辅助信息!E:M,9,FALSE)</f>
        <v>ZTWM-CDGS-XS-2024-0093-华西-颐海科创农业生态谷</v>
      </c>
    </row>
    <row r="468" s="27" customFormat="1" hidden="1" spans="2:17">
      <c r="B468" s="41" t="s">
        <v>29</v>
      </c>
      <c r="C468" s="71">
        <v>45705</v>
      </c>
      <c r="D468" s="41" t="e">
        <f>VLOOKUP(B468,辅助信息!E:K,7,FALSE)</f>
        <v>#N/A</v>
      </c>
      <c r="E468" s="41" t="str">
        <f>VLOOKUP(F468,辅助信息!A:B,2,FALSE)</f>
        <v>螺纹钢</v>
      </c>
      <c r="F468" s="41" t="s">
        <v>27</v>
      </c>
      <c r="G468" s="41">
        <v>15</v>
      </c>
      <c r="H468" s="41" t="e">
        <f>_xlfn._xlws.FILTER('[1]2025年已发货'!$E:$E,'[1]2025年已发货'!$F:$F&amp;'[1]2025年已发货'!$C:$C&amp;'[1]2025年已发货'!$G:$G&amp;'[1]2025年已发货'!$H:$H=C468&amp;F468&amp;I468&amp;J468,"未发货")</f>
        <v>#N/A</v>
      </c>
      <c r="I468" s="41" t="e">
        <f>VLOOKUP(B468,辅助信息!E:I,3,FALSE)</f>
        <v>#N/A</v>
      </c>
      <c r="J468" s="41" t="e">
        <f>VLOOKUP(B468,辅助信息!E:I,4,FALSE)</f>
        <v>#N/A</v>
      </c>
      <c r="K468" s="41" t="e">
        <f>VLOOKUP(J468,辅助信息!H:I,2,FALSE)</f>
        <v>#N/A</v>
      </c>
      <c r="L468" s="41" t="e">
        <f>VLOOKUP(B468,辅助信息!E:J,6,FALSE)</f>
        <v>#N/A</v>
      </c>
      <c r="M468" s="96">
        <v>45705</v>
      </c>
      <c r="O468" s="27">
        <f ca="1" t="shared" si="10"/>
        <v>0</v>
      </c>
      <c r="P468" s="27">
        <f ca="1" t="shared" si="11"/>
        <v>254</v>
      </c>
      <c r="Q468" s="27" t="e">
        <f>VLOOKUP(B468,辅助信息!E:M,9,FALSE)</f>
        <v>#N/A</v>
      </c>
    </row>
    <row r="469" s="27" customFormat="1" hidden="1" spans="2:17">
      <c r="B469" s="41" t="s">
        <v>29</v>
      </c>
      <c r="C469" s="71">
        <v>45705</v>
      </c>
      <c r="D469" s="41" t="e">
        <f>VLOOKUP(B469,辅助信息!E:K,7,FALSE)</f>
        <v>#N/A</v>
      </c>
      <c r="E469" s="41" t="str">
        <f>VLOOKUP(F469,辅助信息!A:B,2,FALSE)</f>
        <v>螺纹钢</v>
      </c>
      <c r="F469" s="41" t="s">
        <v>32</v>
      </c>
      <c r="G469" s="41">
        <v>20</v>
      </c>
      <c r="H469" s="41" t="e">
        <f>_xlfn._xlws.FILTER('[1]2025年已发货'!$E:$E,'[1]2025年已发货'!$F:$F&amp;'[1]2025年已发货'!$C:$C&amp;'[1]2025年已发货'!$G:$G&amp;'[1]2025年已发货'!$H:$H=C469&amp;F469&amp;I469&amp;J469,"未发货")</f>
        <v>#N/A</v>
      </c>
      <c r="I469" s="41" t="e">
        <f>VLOOKUP(B469,辅助信息!E:I,3,FALSE)</f>
        <v>#N/A</v>
      </c>
      <c r="J469" s="41" t="e">
        <f>VLOOKUP(B469,辅助信息!E:I,4,FALSE)</f>
        <v>#N/A</v>
      </c>
      <c r="K469" s="41" t="e">
        <f>VLOOKUP(J469,辅助信息!H:I,2,FALSE)</f>
        <v>#N/A</v>
      </c>
      <c r="L469" s="79"/>
      <c r="M469" s="96">
        <v>45705</v>
      </c>
      <c r="O469" s="27">
        <f ca="1" t="shared" si="10"/>
        <v>0</v>
      </c>
      <c r="P469" s="27">
        <f ca="1" t="shared" si="11"/>
        <v>254</v>
      </c>
      <c r="Q469" s="27" t="e">
        <f>VLOOKUP(B469,辅助信息!E:M,9,FALSE)</f>
        <v>#N/A</v>
      </c>
    </row>
    <row r="470" s="27" customFormat="1" hidden="1" spans="2:17">
      <c r="B470" s="41" t="s">
        <v>29</v>
      </c>
      <c r="C470" s="71">
        <v>45705</v>
      </c>
      <c r="D470" s="41" t="e">
        <f>VLOOKUP(B470,辅助信息!E:K,7,FALSE)</f>
        <v>#N/A</v>
      </c>
      <c r="E470" s="41" t="str">
        <f>VLOOKUP(F470,辅助信息!A:B,2,FALSE)</f>
        <v>螺纹钢</v>
      </c>
      <c r="F470" s="41" t="s">
        <v>30</v>
      </c>
      <c r="G470" s="41">
        <v>35</v>
      </c>
      <c r="H470" s="41" t="e">
        <f>_xlfn._xlws.FILTER('[1]2025年已发货'!$E:$E,'[1]2025年已发货'!$F:$F&amp;'[1]2025年已发货'!$C:$C&amp;'[1]2025年已发货'!$G:$G&amp;'[1]2025年已发货'!$H:$H=C470&amp;F470&amp;I470&amp;J470,"未发货")</f>
        <v>#N/A</v>
      </c>
      <c r="I470" s="41" t="e">
        <f>VLOOKUP(B470,辅助信息!E:I,3,FALSE)</f>
        <v>#N/A</v>
      </c>
      <c r="J470" s="41" t="e">
        <f>VLOOKUP(B470,辅助信息!E:I,4,FALSE)</f>
        <v>#N/A</v>
      </c>
      <c r="K470" s="41" t="e">
        <f>VLOOKUP(J470,辅助信息!H:I,2,FALSE)</f>
        <v>#N/A</v>
      </c>
      <c r="L470" s="77"/>
      <c r="M470" s="96">
        <v>45705</v>
      </c>
      <c r="O470" s="27">
        <f ca="1" t="shared" si="10"/>
        <v>0</v>
      </c>
      <c r="P470" s="27">
        <f ca="1" t="shared" si="11"/>
        <v>254</v>
      </c>
      <c r="Q470" s="27" t="e">
        <f>VLOOKUP(B470,辅助信息!E:M,9,FALSE)</f>
        <v>#N/A</v>
      </c>
    </row>
    <row r="471" s="27" customFormat="1" hidden="1" spans="2:17">
      <c r="B471" s="41" t="s">
        <v>78</v>
      </c>
      <c r="C471" s="71">
        <v>45705</v>
      </c>
      <c r="D471" s="41" t="e">
        <f>VLOOKUP(B471,辅助信息!E:K,7,FALSE)</f>
        <v>#N/A</v>
      </c>
      <c r="E471" s="41" t="str">
        <f>VLOOKUP(F471,辅助信息!A:B,2,FALSE)</f>
        <v>螺纹钢</v>
      </c>
      <c r="F471" s="41" t="s">
        <v>33</v>
      </c>
      <c r="G471" s="41">
        <f>55-36</f>
        <v>19</v>
      </c>
      <c r="H471" s="41" t="e">
        <f>_xlfn._xlws.FILTER('[1]2025年已发货'!$E:$E,'[1]2025年已发货'!$F:$F&amp;'[1]2025年已发货'!$C:$C&amp;'[1]2025年已发货'!$G:$G&amp;'[1]2025年已发货'!$H:$H=C471&amp;F471&amp;I471&amp;J471,"未发货")</f>
        <v>#N/A</v>
      </c>
      <c r="I471" s="41" t="e">
        <f>VLOOKUP(B471,辅助信息!E:I,3,FALSE)</f>
        <v>#N/A</v>
      </c>
      <c r="J471" s="41" t="e">
        <f>VLOOKUP(B471,辅助信息!E:I,4,FALSE)</f>
        <v>#N/A</v>
      </c>
      <c r="K471" s="41" t="e">
        <f>VLOOKUP(J471,辅助信息!H:I,2,FALSE)</f>
        <v>#N/A</v>
      </c>
      <c r="L471" s="41" t="e">
        <f>VLOOKUP(B471,辅助信息!E:J,6,FALSE)</f>
        <v>#N/A</v>
      </c>
      <c r="M471" s="96">
        <v>45705</v>
      </c>
      <c r="O471" s="27">
        <f ca="1" t="shared" si="10"/>
        <v>0</v>
      </c>
      <c r="P471" s="27">
        <f ca="1" t="shared" si="11"/>
        <v>254</v>
      </c>
      <c r="Q471" s="27" t="e">
        <f>VLOOKUP(B471,辅助信息!E:M,9,FALSE)</f>
        <v>#N/A</v>
      </c>
    </row>
    <row r="472" s="27" customFormat="1" hidden="1" spans="2:17">
      <c r="B472" s="41" t="s">
        <v>69</v>
      </c>
      <c r="C472" s="71">
        <v>45705</v>
      </c>
      <c r="D472" s="41" t="str">
        <f>VLOOKUP(B472,辅助信息!E:K,7,FALSE)</f>
        <v>JWDDCD2025052800131</v>
      </c>
      <c r="E472" s="41" t="str">
        <f>VLOOKUP(F472,辅助信息!A:B,2,FALSE)</f>
        <v>盘螺</v>
      </c>
      <c r="F472" s="41" t="s">
        <v>40</v>
      </c>
      <c r="G472" s="41">
        <v>13</v>
      </c>
      <c r="H472" s="41">
        <f>_xlfn._xlws.FILTER('[1]2025年已发货'!$E:$E,'[1]2025年已发货'!$F:$F&amp;'[1]2025年已发货'!$C:$C&amp;'[1]2025年已发货'!$G:$G&amp;'[1]2025年已发货'!$H:$H=C472&amp;F472&amp;I472&amp;J472,"未发货")</f>
        <v>13</v>
      </c>
      <c r="I472" s="41" t="str">
        <f>VLOOKUP(B472,辅助信息!E:I,3,FALSE)</f>
        <v>（商投建工达州中医药科技园-4工区-2号楼）达州市通川区达州中医药职业学院犀牛大道北段</v>
      </c>
      <c r="J472" s="41" t="str">
        <f>VLOOKUP(B472,辅助信息!E:I,4,FALSE)</f>
        <v>张扬</v>
      </c>
      <c r="K472" s="41">
        <f>VLOOKUP(J472,辅助信息!H:I,2,FALSE)</f>
        <v>18381904567</v>
      </c>
      <c r="L472" s="41" t="str">
        <f>VLOOKUP(B472,辅助信息!E:J,6,FALSE)</f>
        <v>控制炉批号！多了现场不收！,优先安排达钢,提前联系到场规格及数量</v>
      </c>
      <c r="M472" s="96">
        <v>45704</v>
      </c>
      <c r="O472" s="27">
        <f ca="1" t="shared" si="10"/>
        <v>0</v>
      </c>
      <c r="P472" s="27">
        <f ca="1" t="shared" si="11"/>
        <v>255</v>
      </c>
      <c r="Q472" s="27" t="str">
        <f>VLOOKUP(B472,辅助信息!E:M,9,FALSE)</f>
        <v>ZTWM-CDGS-XS-2024-0134-商投建工达州中医药科技成果示范园项目</v>
      </c>
    </row>
    <row r="473" s="27" customFormat="1" hidden="1" spans="2:17">
      <c r="B473" s="41" t="s">
        <v>69</v>
      </c>
      <c r="C473" s="71">
        <v>45705</v>
      </c>
      <c r="D473" s="41" t="str">
        <f>VLOOKUP(B473,辅助信息!E:K,7,FALSE)</f>
        <v>JWDDCD2025052800131</v>
      </c>
      <c r="E473" s="41" t="str">
        <f>VLOOKUP(F473,辅助信息!A:B,2,FALSE)</f>
        <v>盘螺</v>
      </c>
      <c r="F473" s="41" t="s">
        <v>41</v>
      </c>
      <c r="G473" s="41">
        <v>9</v>
      </c>
      <c r="H473" s="41">
        <f>_xlfn._xlws.FILTER('[1]2025年已发货'!$E:$E,'[1]2025年已发货'!$F:$F&amp;'[1]2025年已发货'!$C:$C&amp;'[1]2025年已发货'!$G:$G&amp;'[1]2025年已发货'!$H:$H=C473&amp;F473&amp;I473&amp;J473,"未发货")</f>
        <v>10</v>
      </c>
      <c r="I473" s="41" t="str">
        <f>VLOOKUP(B473,辅助信息!E:I,3,FALSE)</f>
        <v>（商投建工达州中医药科技园-4工区-2号楼）达州市通川区达州中医药职业学院犀牛大道北段</v>
      </c>
      <c r="J473" s="41" t="str">
        <f>VLOOKUP(B473,辅助信息!E:I,4,FALSE)</f>
        <v>张扬</v>
      </c>
      <c r="K473" s="41">
        <f>VLOOKUP(J473,辅助信息!H:I,2,FALSE)</f>
        <v>18381904567</v>
      </c>
      <c r="L473" s="79"/>
      <c r="M473" s="96">
        <v>45704</v>
      </c>
      <c r="O473" s="27">
        <f ca="1" t="shared" si="10"/>
        <v>0</v>
      </c>
      <c r="P473" s="27">
        <f ca="1" t="shared" si="11"/>
        <v>255</v>
      </c>
      <c r="Q473" s="27" t="str">
        <f>VLOOKUP(B473,辅助信息!E:M,9,FALSE)</f>
        <v>ZTWM-CDGS-XS-2024-0134-商投建工达州中医药科技成果示范园项目</v>
      </c>
    </row>
    <row r="474" s="27" customFormat="1" hidden="1" spans="2:17">
      <c r="B474" s="41" t="s">
        <v>69</v>
      </c>
      <c r="C474" s="71">
        <v>45705</v>
      </c>
      <c r="D474" s="41" t="str">
        <f>VLOOKUP(B474,辅助信息!E:K,7,FALSE)</f>
        <v>JWDDCD2025052800131</v>
      </c>
      <c r="E474" s="41" t="str">
        <f>VLOOKUP(F474,辅助信息!A:B,2,FALSE)</f>
        <v>螺纹钢</v>
      </c>
      <c r="F474" s="41" t="s">
        <v>32</v>
      </c>
      <c r="G474" s="41">
        <v>12</v>
      </c>
      <c r="H474" s="41">
        <f>_xlfn._xlws.FILTER('[1]2025年已发货'!$E:$E,'[1]2025年已发货'!$F:$F&amp;'[1]2025年已发货'!$C:$C&amp;'[1]2025年已发货'!$G:$G&amp;'[1]2025年已发货'!$H:$H=C474&amp;F474&amp;I474&amp;J474,"未发货")</f>
        <v>12</v>
      </c>
      <c r="I474" s="41" t="str">
        <f>VLOOKUP(B474,辅助信息!E:I,3,FALSE)</f>
        <v>（商投建工达州中医药科技园-4工区-2号楼）达州市通川区达州中医药职业学院犀牛大道北段</v>
      </c>
      <c r="J474" s="41" t="str">
        <f>VLOOKUP(B474,辅助信息!E:I,4,FALSE)</f>
        <v>张扬</v>
      </c>
      <c r="K474" s="41">
        <f>VLOOKUP(J474,辅助信息!H:I,2,FALSE)</f>
        <v>18381904567</v>
      </c>
      <c r="L474" s="79"/>
      <c r="M474" s="96">
        <v>45704</v>
      </c>
      <c r="O474" s="27">
        <f ca="1" t="shared" si="10"/>
        <v>0</v>
      </c>
      <c r="P474" s="27">
        <f ca="1" t="shared" si="11"/>
        <v>255</v>
      </c>
      <c r="Q474" s="27" t="str">
        <f>VLOOKUP(B474,辅助信息!E:M,9,FALSE)</f>
        <v>ZTWM-CDGS-XS-2024-0134-商投建工达州中医药科技成果示范园项目</v>
      </c>
    </row>
    <row r="475" s="27" customFormat="1" hidden="1" spans="2:17">
      <c r="B475" s="41" t="s">
        <v>69</v>
      </c>
      <c r="C475" s="71">
        <v>45705</v>
      </c>
      <c r="D475" s="41" t="str">
        <f>VLOOKUP(B475,辅助信息!E:K,7,FALSE)</f>
        <v>JWDDCD2025052800131</v>
      </c>
      <c r="E475" s="41" t="str">
        <f>VLOOKUP(F475,辅助信息!A:B,2,FALSE)</f>
        <v>螺纹钢</v>
      </c>
      <c r="F475" s="41" t="s">
        <v>21</v>
      </c>
      <c r="G475" s="41">
        <v>30</v>
      </c>
      <c r="H475" s="41" t="str">
        <f>_xlfn._xlws.FILTER('[1]2025年已发货'!$E:$E,'[1]2025年已发货'!$F:$F&amp;'[1]2025年已发货'!$C:$C&amp;'[1]2025年已发货'!$G:$G&amp;'[1]2025年已发货'!$H:$H=C475&amp;F475&amp;I475&amp;J475,"未发货")</f>
        <v>未发货</v>
      </c>
      <c r="I475" s="41" t="str">
        <f>VLOOKUP(B475,辅助信息!E:I,3,FALSE)</f>
        <v>（商投建工达州中医药科技园-4工区-2号楼）达州市通川区达州中医药职业学院犀牛大道北段</v>
      </c>
      <c r="J475" s="41" t="str">
        <f>VLOOKUP(B475,辅助信息!E:I,4,FALSE)</f>
        <v>张扬</v>
      </c>
      <c r="K475" s="41">
        <f>VLOOKUP(J475,辅助信息!H:I,2,FALSE)</f>
        <v>18381904567</v>
      </c>
      <c r="L475" s="77"/>
      <c r="M475" s="96">
        <v>45704</v>
      </c>
      <c r="O475" s="27">
        <f ca="1" t="shared" si="10"/>
        <v>0</v>
      </c>
      <c r="P475" s="27">
        <f ca="1" t="shared" si="11"/>
        <v>255</v>
      </c>
      <c r="Q475" s="27" t="str">
        <f>VLOOKUP(B475,辅助信息!E:M,9,FALSE)</f>
        <v>ZTWM-CDGS-XS-2024-0134-商投建工达州中医药科技成果示范园项目</v>
      </c>
    </row>
    <row r="476" s="27" customFormat="1" hidden="1" spans="2:17">
      <c r="B476" s="41" t="s">
        <v>84</v>
      </c>
      <c r="C476" s="71">
        <v>45705</v>
      </c>
      <c r="D476" s="41" t="e">
        <f>VLOOKUP(B476,辅助信息!E:K,7,FALSE)</f>
        <v>#N/A</v>
      </c>
      <c r="E476" s="41" t="str">
        <f>VLOOKUP(F476,辅助信息!A:B,2,FALSE)</f>
        <v>螺纹钢</v>
      </c>
      <c r="F476" s="41" t="s">
        <v>27</v>
      </c>
      <c r="G476" s="41">
        <v>8</v>
      </c>
      <c r="H476" s="41" t="e">
        <f>_xlfn._xlws.FILTER('[1]2025年已发货'!$E:$E,'[1]2025年已发货'!$F:$F&amp;'[1]2025年已发货'!$C:$C&amp;'[1]2025年已发货'!$G:$G&amp;'[1]2025年已发货'!$H:$H=C476&amp;F476&amp;I476&amp;J476,"未发货")</f>
        <v>#N/A</v>
      </c>
      <c r="I476" s="41" t="e">
        <f>VLOOKUP(B476,辅助信息!E:I,3,FALSE)</f>
        <v>#N/A</v>
      </c>
      <c r="J476" s="41" t="e">
        <f>VLOOKUP(B476,辅助信息!E:I,4,FALSE)</f>
        <v>#N/A</v>
      </c>
      <c r="K476" s="41" t="e">
        <f>VLOOKUP(J476,辅助信息!H:I,2,FALSE)</f>
        <v>#N/A</v>
      </c>
      <c r="L476" s="41" t="e">
        <f>VLOOKUP(B476,辅助信息!E:J,6,FALSE)</f>
        <v>#N/A</v>
      </c>
      <c r="M476" s="96">
        <v>45705</v>
      </c>
      <c r="O476" s="27">
        <f ca="1" t="shared" si="10"/>
        <v>0</v>
      </c>
      <c r="P476" s="27">
        <f ca="1" t="shared" si="11"/>
        <v>254</v>
      </c>
      <c r="Q476" s="27" t="e">
        <f>VLOOKUP(B476,辅助信息!E:M,9,FALSE)</f>
        <v>#N/A</v>
      </c>
    </row>
    <row r="477" s="27" customFormat="1" hidden="1" spans="2:17">
      <c r="B477" s="41" t="s">
        <v>84</v>
      </c>
      <c r="C477" s="71">
        <v>45705</v>
      </c>
      <c r="D477" s="41" t="e">
        <f>VLOOKUP(B477,辅助信息!E:K,7,FALSE)</f>
        <v>#N/A</v>
      </c>
      <c r="E477" s="41" t="str">
        <f>VLOOKUP(F477,辅助信息!A:B,2,FALSE)</f>
        <v>螺纹钢</v>
      </c>
      <c r="F477" s="41" t="s">
        <v>33</v>
      </c>
      <c r="G477" s="41">
        <v>8</v>
      </c>
      <c r="H477" s="41" t="e">
        <f>_xlfn._xlws.FILTER('[1]2025年已发货'!$E:$E,'[1]2025年已发货'!$F:$F&amp;'[1]2025年已发货'!$C:$C&amp;'[1]2025年已发货'!$G:$G&amp;'[1]2025年已发货'!$H:$H=C477&amp;F477&amp;I477&amp;J477,"未发货")</f>
        <v>#N/A</v>
      </c>
      <c r="I477" s="41" t="e">
        <f>VLOOKUP(B477,辅助信息!E:I,3,FALSE)</f>
        <v>#N/A</v>
      </c>
      <c r="J477" s="41" t="e">
        <f>VLOOKUP(B477,辅助信息!E:I,4,FALSE)</f>
        <v>#N/A</v>
      </c>
      <c r="K477" s="41" t="e">
        <f>VLOOKUP(J477,辅助信息!H:I,2,FALSE)</f>
        <v>#N/A</v>
      </c>
      <c r="L477" s="79"/>
      <c r="M477" s="96">
        <v>45705</v>
      </c>
      <c r="O477" s="27">
        <f ca="1" t="shared" si="10"/>
        <v>0</v>
      </c>
      <c r="P477" s="27">
        <f ca="1" t="shared" si="11"/>
        <v>254</v>
      </c>
      <c r="Q477" s="27" t="e">
        <f>VLOOKUP(B477,辅助信息!E:M,9,FALSE)</f>
        <v>#N/A</v>
      </c>
    </row>
    <row r="478" s="27" customFormat="1" hidden="1" spans="2:17">
      <c r="B478" s="41" t="s">
        <v>84</v>
      </c>
      <c r="C478" s="71">
        <v>45705</v>
      </c>
      <c r="D478" s="41" t="e">
        <f>VLOOKUP(B478,辅助信息!E:K,7,FALSE)</f>
        <v>#N/A</v>
      </c>
      <c r="E478" s="41" t="str">
        <f>VLOOKUP(F478,辅助信息!A:B,2,FALSE)</f>
        <v>螺纹钢</v>
      </c>
      <c r="F478" s="41" t="s">
        <v>18</v>
      </c>
      <c r="G478" s="41">
        <v>12</v>
      </c>
      <c r="H478" s="41" t="e">
        <f>_xlfn._xlws.FILTER('[1]2025年已发货'!$E:$E,'[1]2025年已发货'!$F:$F&amp;'[1]2025年已发货'!$C:$C&amp;'[1]2025年已发货'!$G:$G&amp;'[1]2025年已发货'!$H:$H=C478&amp;F478&amp;I478&amp;J478,"未发货")</f>
        <v>#N/A</v>
      </c>
      <c r="I478" s="41" t="e">
        <f>VLOOKUP(B478,辅助信息!E:I,3,FALSE)</f>
        <v>#N/A</v>
      </c>
      <c r="J478" s="41" t="e">
        <f>VLOOKUP(B478,辅助信息!E:I,4,FALSE)</f>
        <v>#N/A</v>
      </c>
      <c r="K478" s="41" t="e">
        <f>VLOOKUP(J478,辅助信息!H:I,2,FALSE)</f>
        <v>#N/A</v>
      </c>
      <c r="L478" s="77"/>
      <c r="M478" s="96">
        <v>45705</v>
      </c>
      <c r="O478" s="27">
        <f ca="1" t="shared" si="10"/>
        <v>0</v>
      </c>
      <c r="P478" s="27">
        <f ca="1" t="shared" si="11"/>
        <v>254</v>
      </c>
      <c r="Q478" s="27" t="e">
        <f>VLOOKUP(B478,辅助信息!E:M,9,FALSE)</f>
        <v>#N/A</v>
      </c>
    </row>
    <row r="479" s="27" customFormat="1" hidden="1" spans="2:17">
      <c r="B479" s="41" t="s">
        <v>75</v>
      </c>
      <c r="C479" s="71">
        <v>45705</v>
      </c>
      <c r="D479" s="41" t="e">
        <f>VLOOKUP(B479,辅助信息!E:K,7,FALSE)</f>
        <v>#N/A</v>
      </c>
      <c r="E479" s="41" t="str">
        <f>VLOOKUP(F479,辅助信息!A:B,2,FALSE)</f>
        <v>螺纹钢</v>
      </c>
      <c r="F479" s="41" t="s">
        <v>65</v>
      </c>
      <c r="G479" s="41">
        <f>36-14</f>
        <v>22</v>
      </c>
      <c r="H479" s="41" t="e">
        <f>_xlfn._xlws.FILTER('[1]2025年已发货'!$E:$E,'[1]2025年已发货'!$F:$F&amp;'[1]2025年已发货'!$C:$C&amp;'[1]2025年已发货'!$G:$G&amp;'[1]2025年已发货'!$H:$H=C479&amp;F479&amp;I479&amp;J479,"未发货")</f>
        <v>#N/A</v>
      </c>
      <c r="I479" s="41" t="e">
        <f>VLOOKUP(B479,辅助信息!E:I,3,FALSE)</f>
        <v>#N/A</v>
      </c>
      <c r="J479" s="41" t="e">
        <f>VLOOKUP(B479,辅助信息!E:I,4,FALSE)</f>
        <v>#N/A</v>
      </c>
      <c r="K479" s="41" t="e">
        <f>VLOOKUP(J479,辅助信息!H:I,2,FALSE)</f>
        <v>#N/A</v>
      </c>
      <c r="L479" s="41" t="e">
        <f>VLOOKUP(B479,辅助信息!E:J,6,FALSE)</f>
        <v>#N/A</v>
      </c>
      <c r="M479" s="96">
        <v>45709</v>
      </c>
      <c r="O479" s="27">
        <f ca="1" t="shared" si="10"/>
        <v>0</v>
      </c>
      <c r="P479" s="27">
        <f ca="1" t="shared" si="11"/>
        <v>250</v>
      </c>
      <c r="Q479" s="27" t="e">
        <f>VLOOKUP(B479,辅助信息!E:M,9,FALSE)</f>
        <v>#N/A</v>
      </c>
    </row>
    <row r="480" s="27" customFormat="1" hidden="1" spans="2:17">
      <c r="B480" s="41" t="s">
        <v>87</v>
      </c>
      <c r="C480" s="71">
        <v>45705</v>
      </c>
      <c r="D480" s="41" t="e">
        <f>VLOOKUP(B480,辅助信息!E:K,7,FALSE)</f>
        <v>#N/A</v>
      </c>
      <c r="E480" s="41" t="str">
        <f>VLOOKUP(F480,辅助信息!A:B,2,FALSE)</f>
        <v>螺纹钢</v>
      </c>
      <c r="F480" s="41" t="s">
        <v>27</v>
      </c>
      <c r="G480" s="41">
        <v>8</v>
      </c>
      <c r="H480" s="41" t="e">
        <f>_xlfn._xlws.FILTER('[1]2025年已发货'!$E:$E,'[1]2025年已发货'!$F:$F&amp;'[1]2025年已发货'!$C:$C&amp;'[1]2025年已发货'!$G:$G&amp;'[1]2025年已发货'!$H:$H=C480&amp;F480&amp;I480&amp;J480,"未发货")</f>
        <v>#N/A</v>
      </c>
      <c r="I480" s="41" t="e">
        <f>VLOOKUP(B480,辅助信息!E:I,3,FALSE)</f>
        <v>#N/A</v>
      </c>
      <c r="J480" s="41" t="e">
        <f>VLOOKUP(B480,辅助信息!E:I,4,FALSE)</f>
        <v>#N/A</v>
      </c>
      <c r="K480" s="41" t="e">
        <f>VLOOKUP(J480,辅助信息!H:I,2,FALSE)</f>
        <v>#N/A</v>
      </c>
      <c r="L480" s="41" t="e">
        <f>VLOOKUP(B480,辅助信息!E:J,6,FALSE)</f>
        <v>#N/A</v>
      </c>
      <c r="M480" s="96">
        <v>45706</v>
      </c>
      <c r="O480" s="27">
        <f ca="1" t="shared" si="10"/>
        <v>0</v>
      </c>
      <c r="P480" s="27">
        <f ca="1" t="shared" si="11"/>
        <v>253</v>
      </c>
      <c r="Q480" s="27" t="e">
        <f>VLOOKUP(B480,辅助信息!E:M,9,FALSE)</f>
        <v>#N/A</v>
      </c>
    </row>
    <row r="481" hidden="1" spans="1:18">
      <c r="A481" s="27"/>
      <c r="B481" s="41" t="s">
        <v>87</v>
      </c>
      <c r="C481" s="71">
        <v>45705</v>
      </c>
      <c r="D481" s="41" t="e">
        <f>VLOOKUP(B481,辅助信息!E:K,7,FALSE)</f>
        <v>#N/A</v>
      </c>
      <c r="E481" s="41" t="str">
        <f>VLOOKUP(F481,辅助信息!A:B,2,FALSE)</f>
        <v>螺纹钢</v>
      </c>
      <c r="F481" s="41" t="s">
        <v>65</v>
      </c>
      <c r="G481" s="41">
        <v>27</v>
      </c>
      <c r="H481" s="41" t="e">
        <f>_xlfn._xlws.FILTER('[1]2025年已发货'!$E:$E,'[1]2025年已发货'!$F:$F&amp;'[1]2025年已发货'!$C:$C&amp;'[1]2025年已发货'!$G:$G&amp;'[1]2025年已发货'!$H:$H=C481&amp;F481&amp;I481&amp;J481,"未发货")</f>
        <v>#N/A</v>
      </c>
      <c r="I481" s="41" t="e">
        <f>VLOOKUP(B481,辅助信息!E:I,3,FALSE)</f>
        <v>#N/A</v>
      </c>
      <c r="J481" s="41" t="e">
        <f>VLOOKUP(B481,辅助信息!E:I,4,FALSE)</f>
        <v>#N/A</v>
      </c>
      <c r="K481" s="41" t="e">
        <f>VLOOKUP(J481,辅助信息!H:I,2,FALSE)</f>
        <v>#N/A</v>
      </c>
      <c r="L481" s="77"/>
      <c r="M481" s="96">
        <v>45706</v>
      </c>
      <c r="N481" s="27"/>
      <c r="O481" s="27">
        <f ca="1" t="shared" si="10"/>
        <v>0</v>
      </c>
      <c r="P481" s="27">
        <f ca="1" t="shared" si="11"/>
        <v>253</v>
      </c>
      <c r="Q481" s="27" t="e">
        <f>VLOOKUP(B481,辅助信息!E:M,9,FALSE)</f>
        <v>#N/A</v>
      </c>
      <c r="R481" s="27"/>
    </row>
    <row r="482" hidden="1" spans="1:18">
      <c r="A482" s="27"/>
      <c r="B482" s="41" t="s">
        <v>74</v>
      </c>
      <c r="C482" s="71">
        <v>45705</v>
      </c>
      <c r="D482" s="41" t="e">
        <f>VLOOKUP(B482,辅助信息!E:K,7,FALSE)</f>
        <v>#N/A</v>
      </c>
      <c r="E482" s="41" t="str">
        <f>VLOOKUP(F482,辅助信息!A:B,2,FALSE)</f>
        <v>螺纹钢</v>
      </c>
      <c r="F482" s="41" t="s">
        <v>19</v>
      </c>
      <c r="G482" s="41">
        <v>12</v>
      </c>
      <c r="H482" s="41" t="e">
        <f>_xlfn._xlws.FILTER('[1]2025年已发货'!$E:$E,'[1]2025年已发货'!$F:$F&amp;'[1]2025年已发货'!$C:$C&amp;'[1]2025年已发货'!$G:$G&amp;'[1]2025年已发货'!$H:$H=C482&amp;F482&amp;I482&amp;J482,"未发货")</f>
        <v>#N/A</v>
      </c>
      <c r="I482" s="41" t="e">
        <f>VLOOKUP(B482,辅助信息!E:I,3,FALSE)</f>
        <v>#N/A</v>
      </c>
      <c r="J482" s="41" t="e">
        <f>VLOOKUP(B482,辅助信息!E:I,4,FALSE)</f>
        <v>#N/A</v>
      </c>
      <c r="K482" s="41" t="e">
        <f>VLOOKUP(J482,辅助信息!H:I,2,FALSE)</f>
        <v>#N/A</v>
      </c>
      <c r="L482" s="41" t="e">
        <f>VLOOKUP(B482,辅助信息!E:J,6,FALSE)</f>
        <v>#N/A</v>
      </c>
      <c r="M482" s="96">
        <v>45711</v>
      </c>
      <c r="N482" s="27"/>
      <c r="O482" s="27">
        <f ca="1" t="shared" si="10"/>
        <v>0</v>
      </c>
      <c r="P482" s="27">
        <f ca="1" t="shared" si="11"/>
        <v>248</v>
      </c>
      <c r="Q482" s="27" t="e">
        <f>VLOOKUP(B482,辅助信息!E:M,9,FALSE)</f>
        <v>#N/A</v>
      </c>
      <c r="R482" s="27"/>
    </row>
    <row r="483" hidden="1" spans="1:18">
      <c r="A483" s="27"/>
      <c r="B483" s="41" t="s">
        <v>74</v>
      </c>
      <c r="C483" s="71">
        <v>45705</v>
      </c>
      <c r="D483" s="41" t="e">
        <f>VLOOKUP(B483,辅助信息!E:K,7,FALSE)</f>
        <v>#N/A</v>
      </c>
      <c r="E483" s="41" t="str">
        <f>VLOOKUP(F483,辅助信息!A:B,2,FALSE)</f>
        <v>螺纹钢</v>
      </c>
      <c r="F483" s="41" t="s">
        <v>33</v>
      </c>
      <c r="G483" s="41">
        <v>12</v>
      </c>
      <c r="H483" s="41" t="e">
        <f>_xlfn._xlws.FILTER('[1]2025年已发货'!$E:$E,'[1]2025年已发货'!$F:$F&amp;'[1]2025年已发货'!$C:$C&amp;'[1]2025年已发货'!$G:$G&amp;'[1]2025年已发货'!$H:$H=C483&amp;F483&amp;I483&amp;J483,"未发货")</f>
        <v>#N/A</v>
      </c>
      <c r="I483" s="41" t="e">
        <f>VLOOKUP(B483,辅助信息!E:I,3,FALSE)</f>
        <v>#N/A</v>
      </c>
      <c r="J483" s="41" t="e">
        <f>VLOOKUP(B483,辅助信息!E:I,4,FALSE)</f>
        <v>#N/A</v>
      </c>
      <c r="K483" s="41" t="e">
        <f>VLOOKUP(J483,辅助信息!H:I,2,FALSE)</f>
        <v>#N/A</v>
      </c>
      <c r="L483" s="79"/>
      <c r="M483" s="96">
        <v>45711</v>
      </c>
      <c r="N483" s="27"/>
      <c r="O483" s="27">
        <f ca="1" t="shared" si="10"/>
        <v>0</v>
      </c>
      <c r="P483" s="27">
        <f ca="1" t="shared" si="11"/>
        <v>248</v>
      </c>
      <c r="Q483" s="27" t="e">
        <f>VLOOKUP(B483,辅助信息!E:M,9,FALSE)</f>
        <v>#N/A</v>
      </c>
      <c r="R483" s="27"/>
    </row>
    <row r="484" hidden="1" spans="1:18">
      <c r="A484" s="27"/>
      <c r="B484" s="41" t="s">
        <v>74</v>
      </c>
      <c r="C484" s="71">
        <v>45705</v>
      </c>
      <c r="D484" s="41" t="e">
        <f>VLOOKUP(B484,辅助信息!E:K,7,FALSE)</f>
        <v>#N/A</v>
      </c>
      <c r="E484" s="41" t="str">
        <f>VLOOKUP(F484,辅助信息!A:B,2,FALSE)</f>
        <v>螺纹钢</v>
      </c>
      <c r="F484" s="41" t="s">
        <v>28</v>
      </c>
      <c r="G484" s="41">
        <v>12</v>
      </c>
      <c r="H484" s="41" t="e">
        <f>_xlfn._xlws.FILTER('[1]2025年已发货'!$E:$E,'[1]2025年已发货'!$F:$F&amp;'[1]2025年已发货'!$C:$C&amp;'[1]2025年已发货'!$G:$G&amp;'[1]2025年已发货'!$H:$H=C484&amp;F484&amp;I484&amp;J484,"未发货")</f>
        <v>#N/A</v>
      </c>
      <c r="I484" s="41" t="e">
        <f>VLOOKUP(B484,辅助信息!E:I,3,FALSE)</f>
        <v>#N/A</v>
      </c>
      <c r="J484" s="41" t="e">
        <f>VLOOKUP(B484,辅助信息!E:I,4,FALSE)</f>
        <v>#N/A</v>
      </c>
      <c r="K484" s="41" t="e">
        <f>VLOOKUP(J484,辅助信息!H:I,2,FALSE)</f>
        <v>#N/A</v>
      </c>
      <c r="L484" s="79"/>
      <c r="M484" s="96">
        <v>45711</v>
      </c>
      <c r="N484" s="27"/>
      <c r="O484" s="27">
        <f ca="1" t="shared" si="10"/>
        <v>0</v>
      </c>
      <c r="P484" s="27">
        <f ca="1" t="shared" si="11"/>
        <v>248</v>
      </c>
      <c r="Q484" s="27" t="e">
        <f>VLOOKUP(B484,辅助信息!E:M,9,FALSE)</f>
        <v>#N/A</v>
      </c>
      <c r="R484" s="27"/>
    </row>
    <row r="485" hidden="1" spans="1:18">
      <c r="A485" s="27"/>
      <c r="B485" s="41" t="s">
        <v>74</v>
      </c>
      <c r="C485" s="71">
        <v>45705</v>
      </c>
      <c r="D485" s="41" t="e">
        <f>VLOOKUP(B485,辅助信息!E:K,7,FALSE)</f>
        <v>#N/A</v>
      </c>
      <c r="E485" s="41" t="str">
        <f>VLOOKUP(F485,辅助信息!A:B,2,FALSE)</f>
        <v>螺纹钢</v>
      </c>
      <c r="F485" s="41" t="s">
        <v>18</v>
      </c>
      <c r="G485" s="41">
        <v>3</v>
      </c>
      <c r="H485" s="41" t="e">
        <f>_xlfn._xlws.FILTER('[1]2025年已发货'!$E:$E,'[1]2025年已发货'!$F:$F&amp;'[1]2025年已发货'!$C:$C&amp;'[1]2025年已发货'!$G:$G&amp;'[1]2025年已发货'!$H:$H=C485&amp;F485&amp;I485&amp;J485,"未发货")</f>
        <v>#N/A</v>
      </c>
      <c r="I485" s="41" t="e">
        <f>VLOOKUP(B485,辅助信息!E:I,3,FALSE)</f>
        <v>#N/A</v>
      </c>
      <c r="J485" s="41" t="e">
        <f>VLOOKUP(B485,辅助信息!E:I,4,FALSE)</f>
        <v>#N/A</v>
      </c>
      <c r="K485" s="41" t="e">
        <f>VLOOKUP(J485,辅助信息!H:I,2,FALSE)</f>
        <v>#N/A</v>
      </c>
      <c r="L485" s="77"/>
      <c r="M485" s="96">
        <v>45711</v>
      </c>
      <c r="N485" s="27"/>
      <c r="O485" s="27">
        <f ca="1" t="shared" si="10"/>
        <v>0</v>
      </c>
      <c r="P485" s="27">
        <f ca="1" t="shared" si="11"/>
        <v>248</v>
      </c>
      <c r="Q485" s="27" t="e">
        <f>VLOOKUP(B485,辅助信息!E:M,9,FALSE)</f>
        <v>#N/A</v>
      </c>
      <c r="R485" s="27"/>
    </row>
    <row r="486" hidden="1" spans="1:18">
      <c r="A486" s="27"/>
      <c r="B486" s="41" t="s">
        <v>79</v>
      </c>
      <c r="C486" s="71">
        <v>45705</v>
      </c>
      <c r="D486" s="41" t="e">
        <f>VLOOKUP(B486,辅助信息!E:K,7,FALSE)</f>
        <v>#N/A</v>
      </c>
      <c r="E486" s="41" t="str">
        <f>VLOOKUP(F486,辅助信息!A:B,2,FALSE)</f>
        <v>螺纹钢</v>
      </c>
      <c r="F486" s="41" t="s">
        <v>19</v>
      </c>
      <c r="G486" s="41">
        <v>20</v>
      </c>
      <c r="H486" s="41" t="e">
        <f>_xlfn._xlws.FILTER('[1]2025年已发货'!$E:$E,'[1]2025年已发货'!$F:$F&amp;'[1]2025年已发货'!$C:$C&amp;'[1]2025年已发货'!$G:$G&amp;'[1]2025年已发货'!$H:$H=C486&amp;F486&amp;I486&amp;J486,"未发货")</f>
        <v>#N/A</v>
      </c>
      <c r="I486" s="41" t="e">
        <f>VLOOKUP(B486,辅助信息!E:I,3,FALSE)</f>
        <v>#N/A</v>
      </c>
      <c r="J486" s="41" t="e">
        <f>VLOOKUP(B486,辅助信息!E:I,4,FALSE)</f>
        <v>#N/A</v>
      </c>
      <c r="K486" s="41" t="e">
        <f>VLOOKUP(J486,辅助信息!H:I,2,FALSE)</f>
        <v>#N/A</v>
      </c>
      <c r="L486" s="44" t="e">
        <f>VLOOKUP(B486,辅助信息!E:J,6,FALSE)</f>
        <v>#N/A</v>
      </c>
      <c r="M486" s="27"/>
      <c r="N486" s="27"/>
      <c r="O486" s="27" t="str">
        <f ca="1" t="shared" si="10"/>
        <v/>
      </c>
      <c r="P486" s="27" t="str">
        <f ca="1" t="shared" si="11"/>
        <v/>
      </c>
      <c r="Q486" s="27" t="e">
        <f>VLOOKUP(B486,辅助信息!E:M,9,FALSE)</f>
        <v>#N/A</v>
      </c>
      <c r="R486" s="27"/>
    </row>
    <row r="487" hidden="1" spans="1:18">
      <c r="A487" s="27"/>
      <c r="B487" s="41" t="s">
        <v>79</v>
      </c>
      <c r="C487" s="71">
        <v>45705</v>
      </c>
      <c r="D487" s="41" t="e">
        <f>VLOOKUP(B487,辅助信息!E:K,7,FALSE)</f>
        <v>#N/A</v>
      </c>
      <c r="E487" s="41" t="str">
        <f>VLOOKUP(F487,辅助信息!A:B,2,FALSE)</f>
        <v>螺纹钢</v>
      </c>
      <c r="F487" s="41" t="s">
        <v>32</v>
      </c>
      <c r="G487" s="41">
        <v>9</v>
      </c>
      <c r="H487" s="41" t="e">
        <f>_xlfn._xlws.FILTER('[1]2025年已发货'!$E:$E,'[1]2025年已发货'!$F:$F&amp;'[1]2025年已发货'!$C:$C&amp;'[1]2025年已发货'!$G:$G&amp;'[1]2025年已发货'!$H:$H=C487&amp;F487&amp;I487&amp;J487,"未发货")</f>
        <v>#N/A</v>
      </c>
      <c r="I487" s="41" t="e">
        <f>VLOOKUP(B487,辅助信息!E:I,3,FALSE)</f>
        <v>#N/A</v>
      </c>
      <c r="J487" s="41" t="e">
        <f>VLOOKUP(B487,辅助信息!E:I,4,FALSE)</f>
        <v>#N/A</v>
      </c>
      <c r="K487" s="41" t="e">
        <f>VLOOKUP(J487,辅助信息!H:I,2,FALSE)</f>
        <v>#N/A</v>
      </c>
      <c r="L487" s="79"/>
      <c r="M487" s="27"/>
      <c r="N487" s="27"/>
      <c r="O487" s="27" t="str">
        <f ca="1" t="shared" si="10"/>
        <v/>
      </c>
      <c r="P487" s="27" t="str">
        <f ca="1" t="shared" si="11"/>
        <v/>
      </c>
      <c r="Q487" s="27" t="e">
        <f>VLOOKUP(B487,辅助信息!E:M,9,FALSE)</f>
        <v>#N/A</v>
      </c>
      <c r="R487" s="27"/>
    </row>
    <row r="488" hidden="1" spans="1:18">
      <c r="A488" s="27"/>
      <c r="B488" s="41" t="s">
        <v>79</v>
      </c>
      <c r="C488" s="71">
        <v>45705</v>
      </c>
      <c r="D488" s="41" t="e">
        <f>VLOOKUP(B488,辅助信息!E:K,7,FALSE)</f>
        <v>#N/A</v>
      </c>
      <c r="E488" s="41" t="str">
        <f>VLOOKUP(F488,辅助信息!A:B,2,FALSE)</f>
        <v>螺纹钢</v>
      </c>
      <c r="F488" s="41" t="s">
        <v>18</v>
      </c>
      <c r="G488" s="41">
        <f>90-69</f>
        <v>21</v>
      </c>
      <c r="H488" s="41" t="e">
        <f>_xlfn._xlws.FILTER('[1]2025年已发货'!$E:$E,'[1]2025年已发货'!$F:$F&amp;'[1]2025年已发货'!$C:$C&amp;'[1]2025年已发货'!$G:$G&amp;'[1]2025年已发货'!$H:$H=C488&amp;F488&amp;I488&amp;J488,"未发货")</f>
        <v>#N/A</v>
      </c>
      <c r="I488" s="41" t="e">
        <f>VLOOKUP(B488,辅助信息!E:I,3,FALSE)</f>
        <v>#N/A</v>
      </c>
      <c r="J488" s="41" t="e">
        <f>VLOOKUP(B488,辅助信息!E:I,4,FALSE)</f>
        <v>#N/A</v>
      </c>
      <c r="K488" s="41" t="e">
        <f>VLOOKUP(J488,辅助信息!H:I,2,FALSE)</f>
        <v>#N/A</v>
      </c>
      <c r="L488" s="77"/>
      <c r="M488" s="27"/>
      <c r="N488" s="27"/>
      <c r="O488" s="27" t="str">
        <f ca="1" t="shared" si="10"/>
        <v/>
      </c>
      <c r="P488" s="27" t="str">
        <f ca="1" t="shared" si="11"/>
        <v/>
      </c>
      <c r="Q488" s="27" t="e">
        <f>VLOOKUP(B488,辅助信息!E:M,9,FALSE)</f>
        <v>#N/A</v>
      </c>
      <c r="R488" s="27"/>
    </row>
    <row r="489" hidden="1" spans="1:18">
      <c r="A489" s="63"/>
      <c r="B489" s="41" t="s">
        <v>68</v>
      </c>
      <c r="C489" s="71">
        <v>45705</v>
      </c>
      <c r="D489" s="41" t="str">
        <f>VLOOKUP(B489,辅助信息!E:K,7,FALSE)</f>
        <v>JWDDCD2025052800131</v>
      </c>
      <c r="E489" s="41" t="str">
        <f>VLOOKUP(F489,辅助信息!A:B,2,FALSE)</f>
        <v>盘螺</v>
      </c>
      <c r="F489" s="41" t="s">
        <v>40</v>
      </c>
      <c r="G489" s="37">
        <v>3</v>
      </c>
      <c r="H489" s="41">
        <f>_xlfn._xlws.FILTER('[1]2025年已发货'!$E:$E,'[1]2025年已发货'!$F:$F&amp;'[1]2025年已发货'!$C:$C&amp;'[1]2025年已发货'!$G:$G&amp;'[1]2025年已发货'!$H:$H=C489&amp;F489&amp;I489&amp;J489,"未发货")</f>
        <v>3</v>
      </c>
      <c r="I489" s="41" t="str">
        <f>VLOOKUP(B489,辅助信息!E:I,3,FALSE)</f>
        <v>（商投建工达州中医药科技园-2工区-景观桥）达州市通川区达州中医药职业学院犀牛大道北段</v>
      </c>
      <c r="J489" s="41" t="str">
        <f>VLOOKUP(B489,辅助信息!E:I,4,FALSE)</f>
        <v>李波</v>
      </c>
      <c r="K489" s="41">
        <f>VLOOKUP(J489,辅助信息!H:I,2,FALSE)</f>
        <v>18381899787</v>
      </c>
      <c r="L489" s="44" t="str">
        <f>VLOOKUP(B489,辅助信息!E:J,6,FALSE)</f>
        <v>控制炉批号！多了现场不收！,优先安排达钢,提前联系到场规格及数量</v>
      </c>
      <c r="M489" s="92">
        <v>45706</v>
      </c>
      <c r="O489" s="63">
        <f ca="1" t="shared" si="10"/>
        <v>0</v>
      </c>
      <c r="P489" s="63">
        <f ca="1" t="shared" si="11"/>
        <v>253</v>
      </c>
      <c r="Q489" s="27" t="str">
        <f>VLOOKUP(B489,辅助信息!E:M,9,FALSE)</f>
        <v>ZTWM-CDGS-XS-2024-0134-商投建工达州中医药科技成果示范园项目</v>
      </c>
      <c r="R489" s="27"/>
    </row>
    <row r="490" hidden="1" spans="1:18">
      <c r="A490" s="63"/>
      <c r="B490" s="41" t="s">
        <v>68</v>
      </c>
      <c r="C490" s="71">
        <v>45705</v>
      </c>
      <c r="D490" s="41" t="str">
        <f>VLOOKUP(B490,辅助信息!E:K,7,FALSE)</f>
        <v>JWDDCD2025052800131</v>
      </c>
      <c r="E490" s="41" t="str">
        <f>VLOOKUP(F490,辅助信息!A:B,2,FALSE)</f>
        <v>螺纹钢</v>
      </c>
      <c r="F490" s="41" t="s">
        <v>27</v>
      </c>
      <c r="G490" s="37">
        <v>10</v>
      </c>
      <c r="H490" s="41">
        <f>_xlfn._xlws.FILTER('[1]2025年已发货'!$E:$E,'[1]2025年已发货'!$F:$F&amp;'[1]2025年已发货'!$C:$C&amp;'[1]2025年已发货'!$G:$G&amp;'[1]2025年已发货'!$H:$H=C490&amp;F490&amp;I490&amp;J490,"未发货")</f>
        <v>10</v>
      </c>
      <c r="I490" s="41" t="str">
        <f>VLOOKUP(B490,辅助信息!E:I,3,FALSE)</f>
        <v>（商投建工达州中医药科技园-2工区-景观桥）达州市通川区达州中医药职业学院犀牛大道北段</v>
      </c>
      <c r="J490" s="41" t="str">
        <f>VLOOKUP(B490,辅助信息!E:I,4,FALSE)</f>
        <v>李波</v>
      </c>
      <c r="K490" s="41">
        <f>VLOOKUP(J490,辅助信息!H:I,2,FALSE)</f>
        <v>18381899787</v>
      </c>
      <c r="L490" s="79"/>
      <c r="M490" s="92">
        <v>45706</v>
      </c>
      <c r="O490" s="63">
        <f ca="1" t="shared" si="10"/>
        <v>0</v>
      </c>
      <c r="P490" s="63">
        <f ca="1" t="shared" si="11"/>
        <v>253</v>
      </c>
      <c r="Q490" s="27" t="str">
        <f>VLOOKUP(B490,辅助信息!E:M,9,FALSE)</f>
        <v>ZTWM-CDGS-XS-2024-0134-商投建工达州中医药科技成果示范园项目</v>
      </c>
      <c r="R490" s="27"/>
    </row>
    <row r="491" hidden="1" spans="1:18">
      <c r="A491" s="63"/>
      <c r="B491" s="41" t="s">
        <v>68</v>
      </c>
      <c r="C491" s="71">
        <v>45705</v>
      </c>
      <c r="D491" s="41" t="str">
        <f>VLOOKUP(B491,辅助信息!E:K,7,FALSE)</f>
        <v>JWDDCD2025052800131</v>
      </c>
      <c r="E491" s="41" t="str">
        <f>VLOOKUP(F491,辅助信息!A:B,2,FALSE)</f>
        <v>螺纹钢</v>
      </c>
      <c r="F491" s="41" t="s">
        <v>32</v>
      </c>
      <c r="G491" s="37">
        <v>15</v>
      </c>
      <c r="H491" s="41">
        <f>_xlfn._xlws.FILTER('[1]2025年已发货'!$E:$E,'[1]2025年已发货'!$F:$F&amp;'[1]2025年已发货'!$C:$C&amp;'[1]2025年已发货'!$G:$G&amp;'[1]2025年已发货'!$H:$H=C491&amp;F491&amp;I491&amp;J491,"未发货")</f>
        <v>15</v>
      </c>
      <c r="I491" s="41" t="str">
        <f>VLOOKUP(B491,辅助信息!E:I,3,FALSE)</f>
        <v>（商投建工达州中医药科技园-2工区-景观桥）达州市通川区达州中医药职业学院犀牛大道北段</v>
      </c>
      <c r="J491" s="41" t="str">
        <f>VLOOKUP(B491,辅助信息!E:I,4,FALSE)</f>
        <v>李波</v>
      </c>
      <c r="K491" s="41">
        <f>VLOOKUP(J491,辅助信息!H:I,2,FALSE)</f>
        <v>18381899787</v>
      </c>
      <c r="L491" s="79"/>
      <c r="M491" s="92">
        <v>45706</v>
      </c>
      <c r="O491" s="63">
        <f ca="1" t="shared" si="10"/>
        <v>0</v>
      </c>
      <c r="P491" s="63">
        <f ca="1" t="shared" si="11"/>
        <v>253</v>
      </c>
      <c r="Q491" s="27" t="str">
        <f>VLOOKUP(B491,辅助信息!E:M,9,FALSE)</f>
        <v>ZTWM-CDGS-XS-2024-0134-商投建工达州中医药科技成果示范园项目</v>
      </c>
      <c r="R491" s="27"/>
    </row>
    <row r="492" hidden="1" spans="1:18">
      <c r="A492" s="63"/>
      <c r="B492" s="41" t="s">
        <v>68</v>
      </c>
      <c r="C492" s="71">
        <v>45705</v>
      </c>
      <c r="D492" s="41" t="str">
        <f>VLOOKUP(B492,辅助信息!E:K,7,FALSE)</f>
        <v>JWDDCD2025052800131</v>
      </c>
      <c r="E492" s="41" t="str">
        <f>VLOOKUP(F492,辅助信息!A:B,2,FALSE)</f>
        <v>螺纹钢</v>
      </c>
      <c r="F492" s="41" t="s">
        <v>65</v>
      </c>
      <c r="G492" s="37">
        <v>15</v>
      </c>
      <c r="H492" s="41">
        <f>_xlfn._xlws.FILTER('[1]2025年已发货'!$E:$E,'[1]2025年已发货'!$F:$F&amp;'[1]2025年已发货'!$C:$C&amp;'[1]2025年已发货'!$G:$G&amp;'[1]2025年已发货'!$H:$H=C492&amp;F492&amp;I492&amp;J492,"未发货")</f>
        <v>8</v>
      </c>
      <c r="I492" s="41" t="str">
        <f>VLOOKUP(B492,辅助信息!E:I,3,FALSE)</f>
        <v>（商投建工达州中医药科技园-2工区-景观桥）达州市通川区达州中医药职业学院犀牛大道北段</v>
      </c>
      <c r="J492" s="41" t="str">
        <f>VLOOKUP(B492,辅助信息!E:I,4,FALSE)</f>
        <v>李波</v>
      </c>
      <c r="K492" s="41">
        <f>VLOOKUP(J492,辅助信息!H:I,2,FALSE)</f>
        <v>18381899787</v>
      </c>
      <c r="L492" s="77"/>
      <c r="M492" s="92">
        <v>45706</v>
      </c>
      <c r="O492" s="63">
        <f ca="1" t="shared" si="10"/>
        <v>0</v>
      </c>
      <c r="P492" s="63">
        <f ca="1" t="shared" si="11"/>
        <v>253</v>
      </c>
      <c r="Q492" s="27" t="str">
        <f>VLOOKUP(B492,辅助信息!E:M,9,FALSE)</f>
        <v>ZTWM-CDGS-XS-2024-0134-商投建工达州中医药科技成果示范园项目</v>
      </c>
      <c r="R492" s="27"/>
    </row>
    <row r="493" hidden="1" spans="2:18">
      <c r="B493" s="41" t="s">
        <v>88</v>
      </c>
      <c r="C493" s="71">
        <v>45705</v>
      </c>
      <c r="D493" s="41" t="str">
        <f>VLOOKUP(B493,辅助信息!E:K,7,FALSE)</f>
        <v>JWDDCD2025051000019</v>
      </c>
      <c r="E493" s="41" t="str">
        <f>VLOOKUP(F493,辅助信息!A:B,2,FALSE)</f>
        <v>高线</v>
      </c>
      <c r="F493" s="41" t="s">
        <v>57</v>
      </c>
      <c r="G493" s="37">
        <v>6</v>
      </c>
      <c r="H493" s="41" t="str">
        <f>_xlfn._xlws.FILTER('[1]2025年已发货'!$E:$E,'[1]2025年已发货'!$F:$F&amp;'[1]2025年已发货'!$C:$C&amp;'[1]2025年已发货'!$G:$G&amp;'[1]2025年已发货'!$H:$H=C493&amp;F493&amp;I493&amp;J493,"未发货")</f>
        <v>未发货</v>
      </c>
      <c r="I493" s="41" t="str">
        <f>VLOOKUP(B493,辅助信息!E:I,3,FALSE)</f>
        <v>(五冶钢构医学科学产业园建设项目房建二部-四标（5-4）)四川省南充市顺庆区搬罾街道学府大道二段</v>
      </c>
      <c r="J493" s="41" t="str">
        <f>VLOOKUP(B493,辅助信息!E:I,4,FALSE)</f>
        <v>安南</v>
      </c>
      <c r="K493" s="41">
        <f>VLOOKUP(J493,辅助信息!H:I,2,FALSE)</f>
        <v>19950525030</v>
      </c>
      <c r="L493" s="44"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253</v>
      </c>
      <c r="Q493" s="27" t="str">
        <f>VLOOKUP(B493,辅助信息!E:M,9,FALSE)</f>
        <v>ZTWM-CDGS-XS-2024-0248-五冶钢构-南充市医学院项目</v>
      </c>
      <c r="R493" s="27"/>
    </row>
    <row r="494" hidden="1" spans="2:18">
      <c r="B494" s="41" t="s">
        <v>88</v>
      </c>
      <c r="C494" s="71">
        <v>45705</v>
      </c>
      <c r="D494" s="41" t="str">
        <f>VLOOKUP(B494,辅助信息!E:K,7,FALSE)</f>
        <v>JWDDCD2025051000019</v>
      </c>
      <c r="E494" s="41" t="str">
        <f>VLOOKUP(F494,辅助信息!A:B,2,FALSE)</f>
        <v>盘螺</v>
      </c>
      <c r="F494" s="41" t="s">
        <v>49</v>
      </c>
      <c r="G494" s="37">
        <v>12</v>
      </c>
      <c r="H494" s="41" t="str">
        <f>_xlfn._xlws.FILTER('[1]2025年已发货'!$E:$E,'[1]2025年已发货'!$F:$F&amp;'[1]2025年已发货'!$C:$C&amp;'[1]2025年已发货'!$G:$G&amp;'[1]2025年已发货'!$H:$H=C494&amp;F494&amp;I494&amp;J494,"未发货")</f>
        <v>未发货</v>
      </c>
      <c r="I494" s="41" t="str">
        <f>VLOOKUP(B494,辅助信息!E:I,3,FALSE)</f>
        <v>(五冶钢构医学科学产业园建设项目房建二部-四标（5-4）)四川省南充市顺庆区搬罾街道学府大道二段</v>
      </c>
      <c r="J494" s="41" t="str">
        <f>VLOOKUP(B494,辅助信息!E:I,4,FALSE)</f>
        <v>安南</v>
      </c>
      <c r="K494" s="41">
        <f>VLOOKUP(J494,辅助信息!H:I,2,FALSE)</f>
        <v>19950525030</v>
      </c>
      <c r="L494" s="79"/>
      <c r="M494" s="92">
        <v>45706</v>
      </c>
      <c r="O494" s="63">
        <f ca="1" t="shared" si="10"/>
        <v>0</v>
      </c>
      <c r="P494" s="63">
        <f ca="1" t="shared" si="11"/>
        <v>253</v>
      </c>
      <c r="Q494" s="27" t="str">
        <f>VLOOKUP(B494,辅助信息!E:M,9,FALSE)</f>
        <v>ZTWM-CDGS-XS-2024-0248-五冶钢构-南充市医学院项目</v>
      </c>
      <c r="R494" s="27"/>
    </row>
    <row r="495" hidden="1" spans="2:18">
      <c r="B495" s="41" t="s">
        <v>88</v>
      </c>
      <c r="C495" s="71">
        <v>45705</v>
      </c>
      <c r="D495" s="41" t="str">
        <f>VLOOKUP(B495,辅助信息!E:K,7,FALSE)</f>
        <v>JWDDCD2025051000019</v>
      </c>
      <c r="E495" s="41" t="str">
        <f>VLOOKUP(F495,辅助信息!A:B,2,FALSE)</f>
        <v>盘螺</v>
      </c>
      <c r="F495" s="41" t="s">
        <v>40</v>
      </c>
      <c r="G495" s="37">
        <v>14</v>
      </c>
      <c r="H495" s="41" t="str">
        <f>_xlfn._xlws.FILTER('[1]2025年已发货'!$E:$E,'[1]2025年已发货'!$F:$F&amp;'[1]2025年已发货'!$C:$C&amp;'[1]2025年已发货'!$G:$G&amp;'[1]2025年已发货'!$H:$H=C495&amp;F495&amp;I495&amp;J495,"未发货")</f>
        <v>未发货</v>
      </c>
      <c r="I495" s="41" t="str">
        <f>VLOOKUP(B495,辅助信息!E:I,3,FALSE)</f>
        <v>(五冶钢构医学科学产业园建设项目房建二部-四标（5-4）)四川省南充市顺庆区搬罾街道学府大道二段</v>
      </c>
      <c r="J495" s="41" t="str">
        <f>VLOOKUP(B495,辅助信息!E:I,4,FALSE)</f>
        <v>安南</v>
      </c>
      <c r="K495" s="41">
        <f>VLOOKUP(J495,辅助信息!H:I,2,FALSE)</f>
        <v>19950525030</v>
      </c>
      <c r="L495" s="79"/>
      <c r="M495" s="92">
        <v>45706</v>
      </c>
      <c r="O495" s="63">
        <f ca="1" t="shared" si="10"/>
        <v>0</v>
      </c>
      <c r="P495" s="63">
        <f ca="1" t="shared" si="11"/>
        <v>253</v>
      </c>
      <c r="Q495" s="27" t="str">
        <f>VLOOKUP(B495,辅助信息!E:M,9,FALSE)</f>
        <v>ZTWM-CDGS-XS-2024-0248-五冶钢构-南充市医学院项目</v>
      </c>
      <c r="R495" s="27"/>
    </row>
    <row r="496" hidden="1" spans="2:18">
      <c r="B496" s="41" t="s">
        <v>88</v>
      </c>
      <c r="C496" s="71">
        <v>45705</v>
      </c>
      <c r="D496" s="41" t="str">
        <f>VLOOKUP(B496,辅助信息!E:K,7,FALSE)</f>
        <v>JWDDCD2025051000019</v>
      </c>
      <c r="E496" s="41" t="str">
        <f>VLOOKUP(F496,辅助信息!A:B,2,FALSE)</f>
        <v>螺纹钢</v>
      </c>
      <c r="F496" s="41" t="s">
        <v>30</v>
      </c>
      <c r="G496" s="37">
        <v>3</v>
      </c>
      <c r="H496" s="41" t="str">
        <f>_xlfn._xlws.FILTER('[1]2025年已发货'!$E:$E,'[1]2025年已发货'!$F:$F&amp;'[1]2025年已发货'!$C:$C&amp;'[1]2025年已发货'!$G:$G&amp;'[1]2025年已发货'!$H:$H=C496&amp;F496&amp;I496&amp;J496,"未发货")</f>
        <v>未发货</v>
      </c>
      <c r="I496" s="41" t="str">
        <f>VLOOKUP(B496,辅助信息!E:I,3,FALSE)</f>
        <v>(五冶钢构医学科学产业园建设项目房建二部-四标（5-4）)四川省南充市顺庆区搬罾街道学府大道二段</v>
      </c>
      <c r="J496" s="41" t="str">
        <f>VLOOKUP(B496,辅助信息!E:I,4,FALSE)</f>
        <v>安南</v>
      </c>
      <c r="K496" s="41">
        <f>VLOOKUP(J496,辅助信息!H:I,2,FALSE)</f>
        <v>19950525030</v>
      </c>
      <c r="L496" s="77"/>
      <c r="M496" s="92">
        <v>45706</v>
      </c>
      <c r="O496" s="63">
        <f ca="1" t="shared" si="10"/>
        <v>0</v>
      </c>
      <c r="P496" s="63">
        <f ca="1" t="shared" si="11"/>
        <v>253</v>
      </c>
      <c r="Q496" s="27" t="str">
        <f>VLOOKUP(B496,辅助信息!E:M,9,FALSE)</f>
        <v>ZTWM-CDGS-XS-2024-0248-五冶钢构-南充市医学院项目</v>
      </c>
      <c r="R496" s="27"/>
    </row>
    <row r="497" hidden="1" spans="2:18">
      <c r="B497" s="41" t="s">
        <v>60</v>
      </c>
      <c r="C497" s="71">
        <v>45705</v>
      </c>
      <c r="D497" s="41" t="str">
        <f>VLOOKUP(B497,辅助信息!E:K,7,FALSE)</f>
        <v>JWDDCD2025051000019</v>
      </c>
      <c r="E497" s="41" t="str">
        <f>VLOOKUP(F497,辅助信息!A:B,2,FALSE)</f>
        <v>螺纹钢</v>
      </c>
      <c r="F497" s="41" t="s">
        <v>27</v>
      </c>
      <c r="G497" s="37">
        <v>18</v>
      </c>
      <c r="H497" s="41">
        <f>_xlfn._xlws.FILTER('[1]2025年已发货'!$E:$E,'[1]2025年已发货'!$F:$F&amp;'[1]2025年已发货'!$C:$C&amp;'[1]2025年已发货'!$G:$G&amp;'[1]2025年已发货'!$H:$H=C497&amp;F497&amp;I497&amp;J497,"未发货")</f>
        <v>18</v>
      </c>
      <c r="I497" s="41" t="str">
        <f>VLOOKUP(B497,辅助信息!E:I,3,FALSE)</f>
        <v>(五冶钢构医学科学产业园建设项目房建二部-六标)四川省南充市顺庆区搬罾街道学府大道二段</v>
      </c>
      <c r="J497" s="41" t="str">
        <f>VLOOKUP(B497,辅助信息!E:I,4,FALSE)</f>
        <v>安南</v>
      </c>
      <c r="K497" s="41">
        <f>VLOOKUP(J497,辅助信息!H:I,2,FALSE)</f>
        <v>19950525030</v>
      </c>
      <c r="L497" s="44"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253</v>
      </c>
      <c r="Q497" s="27" t="str">
        <f>VLOOKUP(B497,辅助信息!E:M,9,FALSE)</f>
        <v>ZTWM-CDGS-XS-2024-0248-五冶钢构-南充市医学院项目</v>
      </c>
      <c r="R497" s="27"/>
    </row>
    <row r="498" hidden="1" spans="2:18">
      <c r="B498" s="41" t="s">
        <v>60</v>
      </c>
      <c r="C498" s="71">
        <v>45705</v>
      </c>
      <c r="D498" s="41" t="str">
        <f>VLOOKUP(B498,辅助信息!E:K,7,FALSE)</f>
        <v>JWDDCD2025051000019</v>
      </c>
      <c r="E498" s="41" t="str">
        <f>VLOOKUP(F498,辅助信息!A:B,2,FALSE)</f>
        <v>螺纹钢</v>
      </c>
      <c r="F498" s="41" t="s">
        <v>32</v>
      </c>
      <c r="G498" s="37">
        <v>15</v>
      </c>
      <c r="H498" s="41">
        <f>_xlfn._xlws.FILTER('[1]2025年已发货'!$E:$E,'[1]2025年已发货'!$F:$F&amp;'[1]2025年已发货'!$C:$C&amp;'[1]2025年已发货'!$G:$G&amp;'[1]2025年已发货'!$H:$H=C498&amp;F498&amp;I498&amp;J498,"未发货")</f>
        <v>15</v>
      </c>
      <c r="I498" s="41" t="str">
        <f>VLOOKUP(B498,辅助信息!E:I,3,FALSE)</f>
        <v>(五冶钢构医学科学产业园建设项目房建二部-六标)四川省南充市顺庆区搬罾街道学府大道二段</v>
      </c>
      <c r="J498" s="41" t="str">
        <f>VLOOKUP(B498,辅助信息!E:I,4,FALSE)</f>
        <v>安南</v>
      </c>
      <c r="K498" s="41">
        <f>VLOOKUP(J498,辅助信息!H:I,2,FALSE)</f>
        <v>19950525030</v>
      </c>
      <c r="L498" s="79"/>
      <c r="M498" s="92">
        <v>45706</v>
      </c>
      <c r="O498" s="63">
        <f ca="1" t="shared" si="10"/>
        <v>0</v>
      </c>
      <c r="P498" s="63">
        <f ca="1" t="shared" si="11"/>
        <v>253</v>
      </c>
      <c r="Q498" s="27" t="str">
        <f>VLOOKUP(B498,辅助信息!E:M,9,FALSE)</f>
        <v>ZTWM-CDGS-XS-2024-0248-五冶钢构-南充市医学院项目</v>
      </c>
      <c r="R498" s="27"/>
    </row>
    <row r="499" hidden="1" spans="2:18">
      <c r="B499" s="41" t="s">
        <v>60</v>
      </c>
      <c r="C499" s="71">
        <v>45705</v>
      </c>
      <c r="D499" s="41" t="str">
        <f>VLOOKUP(B499,辅助信息!E:K,7,FALSE)</f>
        <v>JWDDCD2025051000019</v>
      </c>
      <c r="E499" s="41" t="str">
        <f>VLOOKUP(F499,辅助信息!A:B,2,FALSE)</f>
        <v>螺纹钢</v>
      </c>
      <c r="F499" s="41" t="s">
        <v>33</v>
      </c>
      <c r="G499" s="37">
        <v>2</v>
      </c>
      <c r="H499" s="41">
        <f>_xlfn._xlws.FILTER('[1]2025年已发货'!$E:$E,'[1]2025年已发货'!$F:$F&amp;'[1]2025年已发货'!$C:$C&amp;'[1]2025年已发货'!$G:$G&amp;'[1]2025年已发货'!$H:$H=C499&amp;F499&amp;I499&amp;J499,"未发货")</f>
        <v>3</v>
      </c>
      <c r="I499" s="41" t="str">
        <f>VLOOKUP(B499,辅助信息!E:I,3,FALSE)</f>
        <v>(五冶钢构医学科学产业园建设项目房建二部-六标)四川省南充市顺庆区搬罾街道学府大道二段</v>
      </c>
      <c r="J499" s="41" t="str">
        <f>VLOOKUP(B499,辅助信息!E:I,4,FALSE)</f>
        <v>安南</v>
      </c>
      <c r="K499" s="41">
        <f>VLOOKUP(J499,辅助信息!H:I,2,FALSE)</f>
        <v>19950525030</v>
      </c>
      <c r="L499" s="79"/>
      <c r="M499" s="92">
        <v>45706</v>
      </c>
      <c r="O499" s="63">
        <f ca="1" t="shared" si="10"/>
        <v>0</v>
      </c>
      <c r="P499" s="63">
        <f ca="1" t="shared" si="11"/>
        <v>253</v>
      </c>
      <c r="Q499" s="27" t="str">
        <f>VLOOKUP(B499,辅助信息!E:M,9,FALSE)</f>
        <v>ZTWM-CDGS-XS-2024-0248-五冶钢构-南充市医学院项目</v>
      </c>
      <c r="R499" s="27"/>
    </row>
    <row r="500" hidden="1" spans="2:18">
      <c r="B500" s="41" t="s">
        <v>60</v>
      </c>
      <c r="C500" s="71">
        <v>45705</v>
      </c>
      <c r="D500" s="41" t="str">
        <f>VLOOKUP(B500,辅助信息!E:K,7,FALSE)</f>
        <v>JWDDCD2025051000019</v>
      </c>
      <c r="E500" s="41" t="str">
        <f>VLOOKUP(F500,辅助信息!A:B,2,FALSE)</f>
        <v>螺纹钢</v>
      </c>
      <c r="F500" s="41" t="s">
        <v>18</v>
      </c>
      <c r="G500" s="37">
        <v>35</v>
      </c>
      <c r="H500" s="41">
        <f>_xlfn._xlws.FILTER('[1]2025年已发货'!$E:$E,'[1]2025年已发货'!$F:$F&amp;'[1]2025年已发货'!$C:$C&amp;'[1]2025年已发货'!$G:$G&amp;'[1]2025年已发货'!$H:$H=C500&amp;F500&amp;I500&amp;J500,"未发货")</f>
        <v>35</v>
      </c>
      <c r="I500" s="41" t="str">
        <f>VLOOKUP(B500,辅助信息!E:I,3,FALSE)</f>
        <v>(五冶钢构医学科学产业园建设项目房建二部-六标)四川省南充市顺庆区搬罾街道学府大道二段</v>
      </c>
      <c r="J500" s="41" t="str">
        <f>VLOOKUP(B500,辅助信息!E:I,4,FALSE)</f>
        <v>安南</v>
      </c>
      <c r="K500" s="41">
        <f>VLOOKUP(J500,辅助信息!H:I,2,FALSE)</f>
        <v>19950525030</v>
      </c>
      <c r="L500" s="77"/>
      <c r="M500" s="92">
        <v>45706</v>
      </c>
      <c r="O500" s="63">
        <f ca="1" t="shared" si="10"/>
        <v>0</v>
      </c>
      <c r="P500" s="63">
        <f ca="1" t="shared" si="11"/>
        <v>253</v>
      </c>
      <c r="Q500" s="27" t="str">
        <f>VLOOKUP(B500,辅助信息!E:M,9,FALSE)</f>
        <v>ZTWM-CDGS-XS-2024-0248-五冶钢构-南充市医学院项目</v>
      </c>
      <c r="R500" s="27"/>
    </row>
    <row r="501" hidden="1" spans="2:18">
      <c r="B501" s="41" t="s">
        <v>20</v>
      </c>
      <c r="C501" s="71">
        <v>45705</v>
      </c>
      <c r="D501" s="41" t="str">
        <f>VLOOKUP(B501,辅助信息!E:K,7,FALSE)</f>
        <v>JWDDCD2025051000019</v>
      </c>
      <c r="E501" s="41" t="str">
        <f>VLOOKUP(F501,辅助信息!A:B,2,FALSE)</f>
        <v>盘螺</v>
      </c>
      <c r="F501" s="41" t="s">
        <v>49</v>
      </c>
      <c r="G501" s="37">
        <v>10</v>
      </c>
      <c r="H501" s="41">
        <f>_xlfn._xlws.FILTER('[1]2025年已发货'!$E:$E,'[1]2025年已发货'!$F:$F&amp;'[1]2025年已发货'!$C:$C&amp;'[1]2025年已发货'!$G:$G&amp;'[1]2025年已发货'!$H:$H=C501&amp;F501&amp;I501&amp;J501,"未发货")</f>
        <v>10</v>
      </c>
      <c r="I501" s="41" t="str">
        <f>VLOOKUP(B501,辅助信息!E:I,3,FALSE)</f>
        <v>(五冶钢构医学科学产业园建设项目房建三部-一标（7-2）)四川省南充市顺庆区搬罾街道学府大道二段</v>
      </c>
      <c r="J501" s="41" t="str">
        <f>VLOOKUP(B501,辅助信息!E:I,4,FALSE)</f>
        <v>郑林</v>
      </c>
      <c r="K501" s="41">
        <f>VLOOKUP(J501,辅助信息!H:I,2,FALSE)</f>
        <v>18349955455</v>
      </c>
      <c r="L501" s="44"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252</v>
      </c>
      <c r="Q501" s="27" t="str">
        <f>VLOOKUP(B501,辅助信息!E:M,9,FALSE)</f>
        <v>ZTWM-CDGS-XS-2024-0248-五冶钢构-南充市医学院项目</v>
      </c>
      <c r="R501" s="27"/>
    </row>
    <row r="502" hidden="1" spans="2:18">
      <c r="B502" s="41" t="s">
        <v>20</v>
      </c>
      <c r="C502" s="71">
        <v>45705</v>
      </c>
      <c r="D502" s="41" t="str">
        <f>VLOOKUP(B502,辅助信息!E:K,7,FALSE)</f>
        <v>JWDDCD2025051000019</v>
      </c>
      <c r="E502" s="41" t="str">
        <f>VLOOKUP(F502,辅助信息!A:B,2,FALSE)</f>
        <v>盘螺</v>
      </c>
      <c r="F502" s="41" t="s">
        <v>40</v>
      </c>
      <c r="G502" s="37">
        <v>35</v>
      </c>
      <c r="H502" s="41">
        <f>_xlfn._xlws.FILTER('[1]2025年已发货'!$E:$E,'[1]2025年已发货'!$F:$F&amp;'[1]2025年已发货'!$C:$C&amp;'[1]2025年已发货'!$G:$G&amp;'[1]2025年已发货'!$H:$H=C502&amp;F502&amp;I502&amp;J502,"未发货")</f>
        <v>37.5</v>
      </c>
      <c r="I502" s="41" t="str">
        <f>VLOOKUP(B502,辅助信息!E:I,3,FALSE)</f>
        <v>(五冶钢构医学科学产业园建设项目房建三部-一标（7-2）)四川省南充市顺庆区搬罾街道学府大道二段</v>
      </c>
      <c r="J502" s="41" t="str">
        <f>VLOOKUP(B502,辅助信息!E:I,4,FALSE)</f>
        <v>郑林</v>
      </c>
      <c r="K502" s="41">
        <f>VLOOKUP(J502,辅助信息!H:I,2,FALSE)</f>
        <v>18349955455</v>
      </c>
      <c r="L502" s="79"/>
      <c r="M502" s="92">
        <v>45707</v>
      </c>
      <c r="N502" s="58"/>
      <c r="O502" s="63">
        <f ca="1" t="shared" si="10"/>
        <v>0</v>
      </c>
      <c r="P502" s="63">
        <f ca="1" t="shared" si="11"/>
        <v>252</v>
      </c>
      <c r="Q502" s="27" t="str">
        <f>VLOOKUP(B502,辅助信息!E:M,9,FALSE)</f>
        <v>ZTWM-CDGS-XS-2024-0248-五冶钢构-南充市医学院项目</v>
      </c>
      <c r="R502" s="27"/>
    </row>
    <row r="503" hidden="1" spans="2:18">
      <c r="B503" s="41" t="s">
        <v>20</v>
      </c>
      <c r="C503" s="71">
        <v>45705</v>
      </c>
      <c r="D503" s="41" t="str">
        <f>VLOOKUP(B503,辅助信息!E:K,7,FALSE)</f>
        <v>JWDDCD2025051000019</v>
      </c>
      <c r="E503" s="41" t="str">
        <f>VLOOKUP(F503,辅助信息!A:B,2,FALSE)</f>
        <v>盘螺</v>
      </c>
      <c r="F503" s="41" t="s">
        <v>41</v>
      </c>
      <c r="G503" s="37">
        <v>20</v>
      </c>
      <c r="H503" s="41">
        <f>_xlfn._xlws.FILTER('[1]2025年已发货'!$E:$E,'[1]2025年已发货'!$F:$F&amp;'[1]2025年已发货'!$C:$C&amp;'[1]2025年已发货'!$G:$G&amp;'[1]2025年已发货'!$H:$H=C503&amp;F503&amp;I503&amp;J503,"未发货")</f>
        <v>20</v>
      </c>
      <c r="I503" s="41" t="str">
        <f>VLOOKUP(B503,辅助信息!E:I,3,FALSE)</f>
        <v>(五冶钢构医学科学产业园建设项目房建三部-一标（7-2）)四川省南充市顺庆区搬罾街道学府大道二段</v>
      </c>
      <c r="J503" s="41" t="str">
        <f>VLOOKUP(B503,辅助信息!E:I,4,FALSE)</f>
        <v>郑林</v>
      </c>
      <c r="K503" s="41">
        <f>VLOOKUP(J503,辅助信息!H:I,2,FALSE)</f>
        <v>18349955455</v>
      </c>
      <c r="L503" s="79"/>
      <c r="M503" s="92">
        <v>45707</v>
      </c>
      <c r="N503" s="58"/>
      <c r="O503" s="63">
        <f ca="1" t="shared" si="10"/>
        <v>0</v>
      </c>
      <c r="P503" s="63">
        <f ca="1" t="shared" si="11"/>
        <v>252</v>
      </c>
      <c r="Q503" s="27" t="str">
        <f>VLOOKUP(B503,辅助信息!E:M,9,FALSE)</f>
        <v>ZTWM-CDGS-XS-2024-0248-五冶钢构-南充市医学院项目</v>
      </c>
      <c r="R503" s="27"/>
    </row>
    <row r="504" hidden="1" spans="2:18">
      <c r="B504" s="41" t="s">
        <v>20</v>
      </c>
      <c r="C504" s="71">
        <v>45705</v>
      </c>
      <c r="D504" s="41" t="str">
        <f>VLOOKUP(B504,辅助信息!E:K,7,FALSE)</f>
        <v>JWDDCD2025051000019</v>
      </c>
      <c r="E504" s="41" t="str">
        <f>VLOOKUP(F504,辅助信息!A:B,2,FALSE)</f>
        <v>盘螺</v>
      </c>
      <c r="F504" s="41" t="s">
        <v>26</v>
      </c>
      <c r="G504" s="37">
        <v>5</v>
      </c>
      <c r="H504" s="41">
        <f>_xlfn._xlws.FILTER('[1]2025年已发货'!$E:$E,'[1]2025年已发货'!$F:$F&amp;'[1]2025年已发货'!$C:$C&amp;'[1]2025年已发货'!$G:$G&amp;'[1]2025年已发货'!$H:$H=C504&amp;F504&amp;I504&amp;J504,"未发货")</f>
        <v>5</v>
      </c>
      <c r="I504" s="41" t="str">
        <f>VLOOKUP(B504,辅助信息!E:I,3,FALSE)</f>
        <v>(五冶钢构医学科学产业园建设项目房建三部-一标（7-2）)四川省南充市顺庆区搬罾街道学府大道二段</v>
      </c>
      <c r="J504" s="41" t="str">
        <f>VLOOKUP(B504,辅助信息!E:I,4,FALSE)</f>
        <v>郑林</v>
      </c>
      <c r="K504" s="41">
        <f>VLOOKUP(J504,辅助信息!H:I,2,FALSE)</f>
        <v>18349955455</v>
      </c>
      <c r="L504" s="77"/>
      <c r="M504" s="92">
        <v>45707</v>
      </c>
      <c r="N504" s="58"/>
      <c r="O504" s="63">
        <f ca="1" t="shared" si="10"/>
        <v>0</v>
      </c>
      <c r="P504" s="63">
        <f ca="1" t="shared" si="11"/>
        <v>252</v>
      </c>
      <c r="Q504" s="27" t="str">
        <f>VLOOKUP(B504,辅助信息!E:M,9,FALSE)</f>
        <v>ZTWM-CDGS-XS-2024-0248-五冶钢构-南充市医学院项目</v>
      </c>
      <c r="R504" s="27"/>
    </row>
    <row r="505" hidden="1" spans="2:18">
      <c r="B505" s="41" t="s">
        <v>89</v>
      </c>
      <c r="C505" s="71">
        <v>45705</v>
      </c>
      <c r="D505" s="41" t="str">
        <f>VLOOKUP(B505,辅助信息!E:K,7,FALSE)</f>
        <v>JWDDCD2025051000019</v>
      </c>
      <c r="E505" s="41" t="str">
        <f>VLOOKUP(F505,辅助信息!A:B,2,FALSE)</f>
        <v>螺纹钢</v>
      </c>
      <c r="F505" s="41" t="s">
        <v>32</v>
      </c>
      <c r="G505" s="37">
        <v>130</v>
      </c>
      <c r="H505" s="41">
        <f>_xlfn._xlws.FILTER('[1]2025年已发货'!$E:$E,'[1]2025年已发货'!$F:$F&amp;'[1]2025年已发货'!$C:$C&amp;'[1]2025年已发货'!$G:$G&amp;'[1]2025年已发货'!$H:$H=C505&amp;F505&amp;I505&amp;J505,"未发货")</f>
        <v>70</v>
      </c>
      <c r="I505" s="41" t="str">
        <f>VLOOKUP(B505,辅助信息!E:I,3,FALSE)</f>
        <v>(五冶钢构医学科学产业园建设项目房建三部-排洪渠)四川省南充市顺庆区搬罾街道学府大道二段</v>
      </c>
      <c r="J505" s="41" t="str">
        <f>VLOOKUP(B505,辅助信息!E:I,4,FALSE)</f>
        <v>郑林</v>
      </c>
      <c r="K505" s="41">
        <f>VLOOKUP(J505,辅助信息!H:I,2,FALSE)</f>
        <v>18349955455</v>
      </c>
      <c r="L505" s="44"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251</v>
      </c>
      <c r="Q505" s="27" t="str">
        <f>VLOOKUP(B505,辅助信息!E:M,9,FALSE)</f>
        <v>ZTWM-CDGS-XS-2024-0248-五冶钢构-南充市医学院项目</v>
      </c>
      <c r="R505" s="27"/>
    </row>
    <row r="506" hidden="1" spans="2:18">
      <c r="B506" s="41" t="s">
        <v>89</v>
      </c>
      <c r="C506" s="71">
        <v>45705</v>
      </c>
      <c r="D506" s="41" t="str">
        <f>VLOOKUP(B506,辅助信息!E:K,7,FALSE)</f>
        <v>JWDDCD2025051000019</v>
      </c>
      <c r="E506" s="41" t="str">
        <f>VLOOKUP(F506,辅助信息!A:B,2,FALSE)</f>
        <v>螺纹钢</v>
      </c>
      <c r="F506" s="41" t="s">
        <v>18</v>
      </c>
      <c r="G506" s="37">
        <v>200</v>
      </c>
      <c r="H506" s="41" t="str">
        <f>_xlfn._xlws.FILTER('[1]2025年已发货'!$E:$E,'[1]2025年已发货'!$F:$F&amp;'[1]2025年已发货'!$C:$C&amp;'[1]2025年已发货'!$G:$G&amp;'[1]2025年已发货'!$H:$H=C506&amp;F506&amp;I506&amp;J506,"未发货")</f>
        <v>未发货</v>
      </c>
      <c r="I506" s="41" t="str">
        <f>VLOOKUP(B506,辅助信息!E:I,3,FALSE)</f>
        <v>(五冶钢构医学科学产业园建设项目房建三部-排洪渠)四川省南充市顺庆区搬罾街道学府大道二段</v>
      </c>
      <c r="J506" s="41" t="str">
        <f>VLOOKUP(B506,辅助信息!E:I,4,FALSE)</f>
        <v>郑林</v>
      </c>
      <c r="K506" s="41">
        <f>VLOOKUP(J506,辅助信息!H:I,2,FALSE)</f>
        <v>18349955455</v>
      </c>
      <c r="L506" s="79"/>
      <c r="M506" s="92">
        <v>45708</v>
      </c>
      <c r="N506" s="58"/>
      <c r="O506" s="63">
        <f ca="1" t="shared" si="10"/>
        <v>0</v>
      </c>
      <c r="P506" s="63">
        <f ca="1" t="shared" si="11"/>
        <v>251</v>
      </c>
      <c r="Q506" s="27" t="str">
        <f>VLOOKUP(B506,辅助信息!E:M,9,FALSE)</f>
        <v>ZTWM-CDGS-XS-2024-0248-五冶钢构-南充市医学院项目</v>
      </c>
      <c r="R506" s="27"/>
    </row>
    <row r="507" hidden="1" spans="2:18">
      <c r="B507" s="41" t="s">
        <v>89</v>
      </c>
      <c r="C507" s="71">
        <v>45705</v>
      </c>
      <c r="D507" s="41" t="str">
        <f>VLOOKUP(B507,辅助信息!E:K,7,FALSE)</f>
        <v>JWDDCD2025051000019</v>
      </c>
      <c r="E507" s="41" t="str">
        <f>VLOOKUP(F507,辅助信息!A:B,2,FALSE)</f>
        <v>螺纹钢</v>
      </c>
      <c r="F507" s="41" t="s">
        <v>90</v>
      </c>
      <c r="G507" s="37">
        <v>70</v>
      </c>
      <c r="H507" s="41">
        <f>_xlfn._xlws.FILTER('[1]2025年已发货'!$E:$E,'[1]2025年已发货'!$F:$F&amp;'[1]2025年已发货'!$C:$C&amp;'[1]2025年已发货'!$G:$G&amp;'[1]2025年已发货'!$H:$H=C507&amp;F507&amp;I507&amp;J507,"未发货")</f>
        <v>70</v>
      </c>
      <c r="I507" s="41" t="str">
        <f>VLOOKUP(B507,辅助信息!E:I,3,FALSE)</f>
        <v>(五冶钢构医学科学产业园建设项目房建三部-排洪渠)四川省南充市顺庆区搬罾街道学府大道二段</v>
      </c>
      <c r="J507" s="41" t="str">
        <f>VLOOKUP(B507,辅助信息!E:I,4,FALSE)</f>
        <v>郑林</v>
      </c>
      <c r="K507" s="41">
        <f>VLOOKUP(J507,辅助信息!H:I,2,FALSE)</f>
        <v>18349955455</v>
      </c>
      <c r="L507" s="79"/>
      <c r="M507" s="92">
        <v>45708</v>
      </c>
      <c r="N507" s="58"/>
      <c r="O507" s="63">
        <f ca="1" t="shared" si="10"/>
        <v>0</v>
      </c>
      <c r="P507" s="63">
        <f ca="1" t="shared" si="11"/>
        <v>251</v>
      </c>
      <c r="Q507" s="27" t="str">
        <f>VLOOKUP(B507,辅助信息!E:M,9,FALSE)</f>
        <v>ZTWM-CDGS-XS-2024-0248-五冶钢构-南充市医学院项目</v>
      </c>
      <c r="R507" s="27"/>
    </row>
    <row r="508" hidden="1" spans="2:18">
      <c r="B508" s="41" t="s">
        <v>89</v>
      </c>
      <c r="C508" s="71">
        <v>45705</v>
      </c>
      <c r="D508" s="41" t="str">
        <f>VLOOKUP(B508,辅助信息!E:K,7,FALSE)</f>
        <v>JWDDCD2025051000019</v>
      </c>
      <c r="E508" s="41" t="str">
        <f>VLOOKUP(F508,辅助信息!A:B,2,FALSE)</f>
        <v>螺纹钢</v>
      </c>
      <c r="F508" s="41" t="s">
        <v>91</v>
      </c>
      <c r="G508" s="37">
        <v>200</v>
      </c>
      <c r="H508" s="41">
        <f>_xlfn._xlws.FILTER('[1]2025年已发货'!$E:$E,'[1]2025年已发货'!$F:$F&amp;'[1]2025年已发货'!$C:$C&amp;'[1]2025年已发货'!$G:$G&amp;'[1]2025年已发货'!$H:$H=C508&amp;F508&amp;I508&amp;J508,"未发货")</f>
        <v>105</v>
      </c>
      <c r="I508" s="41" t="str">
        <f>VLOOKUP(B508,辅助信息!E:I,3,FALSE)</f>
        <v>(五冶钢构医学科学产业园建设项目房建三部-排洪渠)四川省南充市顺庆区搬罾街道学府大道二段</v>
      </c>
      <c r="J508" s="41" t="str">
        <f>VLOOKUP(B508,辅助信息!E:I,4,FALSE)</f>
        <v>郑林</v>
      </c>
      <c r="K508" s="41">
        <f>VLOOKUP(J508,辅助信息!H:I,2,FALSE)</f>
        <v>18349955455</v>
      </c>
      <c r="L508" s="77"/>
      <c r="M508" s="92">
        <v>45708</v>
      </c>
      <c r="N508" s="58"/>
      <c r="O508" s="63">
        <f ca="1" t="shared" si="10"/>
        <v>0</v>
      </c>
      <c r="P508" s="63">
        <f ca="1" t="shared" si="11"/>
        <v>251</v>
      </c>
      <c r="Q508" s="27" t="str">
        <f>VLOOKUP(B508,辅助信息!E:M,9,FALSE)</f>
        <v>ZTWM-CDGS-XS-2024-0248-五冶钢构-南充市医学院项目</v>
      </c>
      <c r="R508" s="27"/>
    </row>
    <row r="509" hidden="1" spans="2:18">
      <c r="B509" s="41" t="s">
        <v>92</v>
      </c>
      <c r="C509" s="71">
        <v>45705</v>
      </c>
      <c r="D509" s="41" t="str">
        <f>VLOOKUP(B509,辅助信息!E:K,7,FALSE)</f>
        <v>JWDDCD2025051800046</v>
      </c>
      <c r="E509" s="41" t="str">
        <f>VLOOKUP(F509,辅助信息!A:B,2,FALSE)</f>
        <v>螺纹钢</v>
      </c>
      <c r="F509" s="41" t="s">
        <v>19</v>
      </c>
      <c r="G509" s="37">
        <v>3</v>
      </c>
      <c r="H509" s="41">
        <f>_xlfn._xlws.FILTER('[1]2025年已发货'!$E:$E,'[1]2025年已发货'!$F:$F&amp;'[1]2025年已发货'!$C:$C&amp;'[1]2025年已发货'!$G:$G&amp;'[1]2025年已发货'!$H:$H=C509&amp;F509&amp;I509&amp;J509,"未发货")</f>
        <v>3</v>
      </c>
      <c r="I509" s="41" t="str">
        <f>VLOOKUP(B509,辅助信息!E:I,3,FALSE)</f>
        <v>（华西萌海科创农业生态谷）成都市简阳市白金山水库</v>
      </c>
      <c r="J509" s="41" t="str">
        <f>VLOOKUP(B509,辅助信息!E:I,4,FALSE)</f>
        <v>石清国</v>
      </c>
      <c r="K509" s="41">
        <f>VLOOKUP(J509,辅助信息!H:I,2,FALSE)</f>
        <v>13458642015</v>
      </c>
      <c r="L509" s="44" t="str">
        <f>VLOOKUP(B509,辅助信息!E:J,6,FALSE)</f>
        <v>优先威钢,我方卸车,新老国标钢厂不加价可直发</v>
      </c>
      <c r="M509" s="92">
        <v>45708</v>
      </c>
      <c r="N509" s="58"/>
      <c r="O509" s="63">
        <f ca="1" t="shared" si="10"/>
        <v>0</v>
      </c>
      <c r="P509" s="63">
        <f ca="1" t="shared" si="11"/>
        <v>251</v>
      </c>
      <c r="Q509" s="27" t="str">
        <f>VLOOKUP(B509,辅助信息!E:M,9,FALSE)</f>
        <v>ZTWM-CDGS-XS-2024-0092-华西-萌海科创农业生态谷</v>
      </c>
      <c r="R509" s="27"/>
    </row>
    <row r="510" hidden="1" spans="2:18">
      <c r="B510" s="41" t="s">
        <v>92</v>
      </c>
      <c r="C510" s="71">
        <v>45705</v>
      </c>
      <c r="D510" s="41" t="str">
        <f>VLOOKUP(B510,辅助信息!E:K,7,FALSE)</f>
        <v>JWDDCD2025051800046</v>
      </c>
      <c r="E510" s="41" t="str">
        <f>VLOOKUP(F510,辅助信息!A:B,2,FALSE)</f>
        <v>螺纹钢</v>
      </c>
      <c r="F510" s="41" t="s">
        <v>32</v>
      </c>
      <c r="G510" s="37">
        <v>5</v>
      </c>
      <c r="H510" s="41">
        <f>_xlfn._xlws.FILTER('[1]2025年已发货'!$E:$E,'[1]2025年已发货'!$F:$F&amp;'[1]2025年已发货'!$C:$C&amp;'[1]2025年已发货'!$G:$G&amp;'[1]2025年已发货'!$H:$H=C510&amp;F510&amp;I510&amp;J510,"未发货")</f>
        <v>6</v>
      </c>
      <c r="I510" s="41" t="str">
        <f>VLOOKUP(B510,辅助信息!E:I,3,FALSE)</f>
        <v>（华西萌海科创农业生态谷）成都市简阳市白金山水库</v>
      </c>
      <c r="J510" s="41" t="str">
        <f>VLOOKUP(B510,辅助信息!E:I,4,FALSE)</f>
        <v>石清国</v>
      </c>
      <c r="K510" s="41">
        <f>VLOOKUP(J510,辅助信息!H:I,2,FALSE)</f>
        <v>13458642015</v>
      </c>
      <c r="L510" s="79"/>
      <c r="M510" s="92">
        <v>45708</v>
      </c>
      <c r="N510" s="58"/>
      <c r="O510" s="63">
        <f ca="1" t="shared" si="10"/>
        <v>0</v>
      </c>
      <c r="P510" s="63">
        <f ca="1" t="shared" si="11"/>
        <v>251</v>
      </c>
      <c r="Q510" s="27" t="str">
        <f>VLOOKUP(B510,辅助信息!E:M,9,FALSE)</f>
        <v>ZTWM-CDGS-XS-2024-0092-华西-萌海科创农业生态谷</v>
      </c>
      <c r="R510" s="27"/>
    </row>
    <row r="511" hidden="1" spans="2:18">
      <c r="B511" s="41" t="s">
        <v>92</v>
      </c>
      <c r="C511" s="71">
        <v>45705</v>
      </c>
      <c r="D511" s="41" t="str">
        <f>VLOOKUP(B511,辅助信息!E:K,7,FALSE)</f>
        <v>JWDDCD2025051800046</v>
      </c>
      <c r="E511" s="41" t="str">
        <f>VLOOKUP(F511,辅助信息!A:B,2,FALSE)</f>
        <v>螺纹钢</v>
      </c>
      <c r="F511" s="41" t="s">
        <v>28</v>
      </c>
      <c r="G511" s="37">
        <v>5</v>
      </c>
      <c r="H511" s="41">
        <f>_xlfn._xlws.FILTER('[1]2025年已发货'!$E:$E,'[1]2025年已发货'!$F:$F&amp;'[1]2025年已发货'!$C:$C&amp;'[1]2025年已发货'!$G:$G&amp;'[1]2025年已发货'!$H:$H=C511&amp;F511&amp;I511&amp;J511,"未发货")</f>
        <v>6</v>
      </c>
      <c r="I511" s="41" t="str">
        <f>VLOOKUP(B511,辅助信息!E:I,3,FALSE)</f>
        <v>（华西萌海科创农业生态谷）成都市简阳市白金山水库</v>
      </c>
      <c r="J511" s="41" t="str">
        <f>VLOOKUP(B511,辅助信息!E:I,4,FALSE)</f>
        <v>石清国</v>
      </c>
      <c r="K511" s="41">
        <f>VLOOKUP(J511,辅助信息!H:I,2,FALSE)</f>
        <v>13458642015</v>
      </c>
      <c r="L511" s="79"/>
      <c r="M511" s="92">
        <v>45708</v>
      </c>
      <c r="N511" s="58"/>
      <c r="O511" s="63">
        <f ca="1" t="shared" si="10"/>
        <v>0</v>
      </c>
      <c r="P511" s="63">
        <f ca="1" t="shared" si="11"/>
        <v>251</v>
      </c>
      <c r="Q511" s="27" t="str">
        <f>VLOOKUP(B511,辅助信息!E:M,9,FALSE)</f>
        <v>ZTWM-CDGS-XS-2024-0092-华西-萌海科创农业生态谷</v>
      </c>
      <c r="R511" s="27"/>
    </row>
    <row r="512" hidden="1" spans="2:18">
      <c r="B512" s="41" t="s">
        <v>92</v>
      </c>
      <c r="C512" s="71">
        <v>45705</v>
      </c>
      <c r="D512" s="41" t="str">
        <f>VLOOKUP(B512,辅助信息!E:K,7,FALSE)</f>
        <v>JWDDCD2025051800046</v>
      </c>
      <c r="E512" s="41" t="str">
        <f>VLOOKUP(F512,辅助信息!A:B,2,FALSE)</f>
        <v>螺纹钢</v>
      </c>
      <c r="F512" s="41" t="s">
        <v>66</v>
      </c>
      <c r="G512" s="37">
        <v>3</v>
      </c>
      <c r="H512" s="41">
        <f>_xlfn._xlws.FILTER('[1]2025年已发货'!$E:$E,'[1]2025年已发货'!$F:$F&amp;'[1]2025年已发货'!$C:$C&amp;'[1]2025年已发货'!$G:$G&amp;'[1]2025年已发货'!$H:$H=C512&amp;F512&amp;I512&amp;J512,"未发货")</f>
        <v>3</v>
      </c>
      <c r="I512" s="41" t="str">
        <f>VLOOKUP(B512,辅助信息!E:I,3,FALSE)</f>
        <v>（华西萌海科创农业生态谷）成都市简阳市白金山水库</v>
      </c>
      <c r="J512" s="41" t="str">
        <f>VLOOKUP(B512,辅助信息!E:I,4,FALSE)</f>
        <v>石清国</v>
      </c>
      <c r="K512" s="41">
        <f>VLOOKUP(J512,辅助信息!H:I,2,FALSE)</f>
        <v>13458642015</v>
      </c>
      <c r="L512" s="79"/>
      <c r="M512" s="92">
        <v>45708</v>
      </c>
      <c r="N512" s="58"/>
      <c r="O512" s="63">
        <f ca="1" t="shared" si="10"/>
        <v>0</v>
      </c>
      <c r="P512" s="63">
        <f ca="1" t="shared" si="11"/>
        <v>251</v>
      </c>
      <c r="Q512" s="27" t="str">
        <f>VLOOKUP(B512,辅助信息!E:M,9,FALSE)</f>
        <v>ZTWM-CDGS-XS-2024-0092-华西-萌海科创农业生态谷</v>
      </c>
      <c r="R512" s="27"/>
    </row>
    <row r="513" hidden="1" spans="2:18">
      <c r="B513" s="41" t="s">
        <v>92</v>
      </c>
      <c r="C513" s="71">
        <v>45705</v>
      </c>
      <c r="D513" s="41" t="str">
        <f>VLOOKUP(B513,辅助信息!E:K,7,FALSE)</f>
        <v>JWDDCD2025051800046</v>
      </c>
      <c r="E513" s="41" t="str">
        <f>VLOOKUP(F513,辅助信息!A:B,2,FALSE)</f>
        <v>螺纹钢</v>
      </c>
      <c r="F513" s="41" t="s">
        <v>58</v>
      </c>
      <c r="G513" s="37">
        <v>5</v>
      </c>
      <c r="H513" s="41">
        <f>_xlfn._xlws.FILTER('[1]2025年已发货'!$E:$E,'[1]2025年已发货'!$F:$F&amp;'[1]2025年已发货'!$C:$C&amp;'[1]2025年已发货'!$G:$G&amp;'[1]2025年已发货'!$H:$H=C513&amp;F513&amp;I513&amp;J513,"未发货")</f>
        <v>6</v>
      </c>
      <c r="I513" s="41" t="str">
        <f>VLOOKUP(B513,辅助信息!E:I,3,FALSE)</f>
        <v>（华西萌海科创农业生态谷）成都市简阳市白金山水库</v>
      </c>
      <c r="J513" s="41" t="str">
        <f>VLOOKUP(B513,辅助信息!E:I,4,FALSE)</f>
        <v>石清国</v>
      </c>
      <c r="K513" s="41">
        <f>VLOOKUP(J513,辅助信息!H:I,2,FALSE)</f>
        <v>13458642015</v>
      </c>
      <c r="L513" s="79"/>
      <c r="M513" s="92">
        <v>45708</v>
      </c>
      <c r="N513" s="58"/>
      <c r="O513" s="63">
        <f ca="1" t="shared" si="10"/>
        <v>0</v>
      </c>
      <c r="P513" s="63">
        <f ca="1" t="shared" si="11"/>
        <v>251</v>
      </c>
      <c r="Q513" s="27" t="str">
        <f>VLOOKUP(B513,辅助信息!E:M,9,FALSE)</f>
        <v>ZTWM-CDGS-XS-2024-0092-华西-萌海科创农业生态谷</v>
      </c>
      <c r="R513" s="27"/>
    </row>
    <row r="514" hidden="1" spans="2:18">
      <c r="B514" s="41" t="s">
        <v>92</v>
      </c>
      <c r="C514" s="71">
        <v>45705</v>
      </c>
      <c r="D514" s="41" t="str">
        <f>VLOOKUP(B514,辅助信息!E:K,7,FALSE)</f>
        <v>JWDDCD2025051800046</v>
      </c>
      <c r="E514" s="41" t="str">
        <f>VLOOKUP(F514,辅助信息!A:B,2,FALSE)</f>
        <v>螺纹钢</v>
      </c>
      <c r="F514" s="41" t="s">
        <v>46</v>
      </c>
      <c r="G514" s="37">
        <v>5</v>
      </c>
      <c r="H514" s="41">
        <f>_xlfn._xlws.FILTER('[1]2025年已发货'!$E:$E,'[1]2025年已发货'!$F:$F&amp;'[1]2025年已发货'!$C:$C&amp;'[1]2025年已发货'!$G:$G&amp;'[1]2025年已发货'!$H:$H=C514&amp;F514&amp;I514&amp;J514,"未发货")</f>
        <v>6</v>
      </c>
      <c r="I514" s="41" t="str">
        <f>VLOOKUP(B514,辅助信息!E:I,3,FALSE)</f>
        <v>（华西萌海科创农业生态谷）成都市简阳市白金山水库</v>
      </c>
      <c r="J514" s="41" t="str">
        <f>VLOOKUP(B514,辅助信息!E:I,4,FALSE)</f>
        <v>石清国</v>
      </c>
      <c r="K514" s="41">
        <f>VLOOKUP(J514,辅助信息!H:I,2,FALSE)</f>
        <v>13458642015</v>
      </c>
      <c r="L514" s="79"/>
      <c r="M514" s="92">
        <v>45708</v>
      </c>
      <c r="N514" s="58"/>
      <c r="O514" s="63">
        <f ca="1" t="shared" si="10"/>
        <v>0</v>
      </c>
      <c r="P514" s="63">
        <f ca="1" t="shared" si="11"/>
        <v>251</v>
      </c>
      <c r="Q514" s="27" t="str">
        <f>VLOOKUP(B514,辅助信息!E:M,9,FALSE)</f>
        <v>ZTWM-CDGS-XS-2024-0092-华西-萌海科创农业生态谷</v>
      </c>
      <c r="R514" s="27"/>
    </row>
    <row r="515" hidden="1" spans="2:18">
      <c r="B515" s="41" t="s">
        <v>92</v>
      </c>
      <c r="C515" s="71">
        <v>45705</v>
      </c>
      <c r="D515" s="41" t="str">
        <f>VLOOKUP(B515,辅助信息!E:K,7,FALSE)</f>
        <v>JWDDCD2025051800046</v>
      </c>
      <c r="E515" s="41" t="str">
        <f>VLOOKUP(F515,辅助信息!A:B,2,FALSE)</f>
        <v>螺纹钢</v>
      </c>
      <c r="F515" s="41" t="s">
        <v>22</v>
      </c>
      <c r="G515" s="37">
        <v>10</v>
      </c>
      <c r="H515" s="41">
        <f>_xlfn._xlws.FILTER('[1]2025年已发货'!$E:$E,'[1]2025年已发货'!$F:$F&amp;'[1]2025年已发货'!$C:$C&amp;'[1]2025年已发货'!$G:$G&amp;'[1]2025年已发货'!$H:$H=C515&amp;F515&amp;I515&amp;J515,"未发货")</f>
        <v>6</v>
      </c>
      <c r="I515" s="41" t="str">
        <f>VLOOKUP(B515,辅助信息!E:I,3,FALSE)</f>
        <v>（华西萌海科创农业生态谷）成都市简阳市白金山水库</v>
      </c>
      <c r="J515" s="41" t="str">
        <f>VLOOKUP(B515,辅助信息!E:I,4,FALSE)</f>
        <v>石清国</v>
      </c>
      <c r="K515" s="41">
        <f>VLOOKUP(J515,辅助信息!H:I,2,FALSE)</f>
        <v>13458642015</v>
      </c>
      <c r="L515" s="79"/>
      <c r="M515" s="92">
        <v>45708</v>
      </c>
      <c r="N515" s="58"/>
      <c r="O515" s="63">
        <f ca="1" t="shared" si="10"/>
        <v>0</v>
      </c>
      <c r="P515" s="63">
        <f ca="1" t="shared" si="11"/>
        <v>251</v>
      </c>
      <c r="Q515" s="27" t="str">
        <f>VLOOKUP(B515,辅助信息!E:M,9,FALSE)</f>
        <v>ZTWM-CDGS-XS-2024-0092-华西-萌海科创农业生态谷</v>
      </c>
      <c r="R515" s="27"/>
    </row>
    <row r="516" hidden="1" spans="2:18">
      <c r="B516" s="41" t="s">
        <v>48</v>
      </c>
      <c r="C516" s="71">
        <v>45705</v>
      </c>
      <c r="D516" s="41" t="str">
        <f>VLOOKUP(B516,辅助信息!E:K,7,FALSE)</f>
        <v>ZTWM-CDGS-YL-20240529-006</v>
      </c>
      <c r="E516" s="41" t="str">
        <f>VLOOKUP(F516,辅助信息!A:B,2,FALSE)</f>
        <v>盘螺</v>
      </c>
      <c r="F516" s="41" t="s">
        <v>40</v>
      </c>
      <c r="G516" s="37">
        <v>10</v>
      </c>
      <c r="H516" s="41" t="str">
        <f>_xlfn._xlws.FILTER('[1]2025年已发货'!$E:$E,'[1]2025年已发货'!$F:$F&amp;'[1]2025年已发货'!$C:$C&amp;'[1]2025年已发货'!$G:$G&amp;'[1]2025年已发货'!$H:$H=C516&amp;F516&amp;I516&amp;J516,"未发货")</f>
        <v>未发货</v>
      </c>
      <c r="I516" s="41" t="str">
        <f>VLOOKUP(B516,辅助信息!E:I,3,FALSE)</f>
        <v>(华西颐海-科创农业生态谷-1号钢筋房)成都市简阳市白金山水库</v>
      </c>
      <c r="J516" s="41" t="str">
        <f>VLOOKUP(B516,辅助信息!E:I,4,FALSE)</f>
        <v>石清国</v>
      </c>
      <c r="K516" s="41">
        <f>VLOOKUP(J516,辅助信息!H:I,2,FALSE)</f>
        <v>13458642015</v>
      </c>
      <c r="L516" s="79"/>
      <c r="M516" s="92">
        <v>45708</v>
      </c>
      <c r="N516" s="58"/>
      <c r="O516" s="63">
        <f ca="1" t="shared" si="10"/>
        <v>0</v>
      </c>
      <c r="P516" s="63">
        <f ca="1" t="shared" si="11"/>
        <v>251</v>
      </c>
      <c r="Q516" s="27" t="str">
        <f>VLOOKUP(B516,辅助信息!E:M,9,FALSE)</f>
        <v>ZTWM-CDGS-XS-2024-0093-华西-颐海科创农业生态谷</v>
      </c>
      <c r="R516" s="27"/>
    </row>
    <row r="517" hidden="1" spans="2:18">
      <c r="B517" s="41" t="s">
        <v>48</v>
      </c>
      <c r="C517" s="71">
        <v>45705</v>
      </c>
      <c r="D517" s="41" t="str">
        <f>VLOOKUP(B517,辅助信息!E:K,7,FALSE)</f>
        <v>ZTWM-CDGS-YL-20240529-006</v>
      </c>
      <c r="E517" s="41" t="str">
        <f>VLOOKUP(F517,辅助信息!A:B,2,FALSE)</f>
        <v>盘螺</v>
      </c>
      <c r="F517" s="41" t="s">
        <v>41</v>
      </c>
      <c r="G517" s="37">
        <v>10</v>
      </c>
      <c r="H517" s="41" t="str">
        <f>_xlfn._xlws.FILTER('[1]2025年已发货'!$E:$E,'[1]2025年已发货'!$F:$F&amp;'[1]2025年已发货'!$C:$C&amp;'[1]2025年已发货'!$G:$G&amp;'[1]2025年已发货'!$H:$H=C517&amp;F517&amp;I517&amp;J517,"未发货")</f>
        <v>未发货</v>
      </c>
      <c r="I517" s="41" t="str">
        <f>VLOOKUP(B517,辅助信息!E:I,3,FALSE)</f>
        <v>(华西颐海-科创农业生态谷-1号钢筋房)成都市简阳市白金山水库</v>
      </c>
      <c r="J517" s="41" t="str">
        <f>VLOOKUP(B517,辅助信息!E:I,4,FALSE)</f>
        <v>石清国</v>
      </c>
      <c r="K517" s="41">
        <f>VLOOKUP(J517,辅助信息!H:I,2,FALSE)</f>
        <v>13458642015</v>
      </c>
      <c r="L517" s="79"/>
      <c r="M517" s="92">
        <v>45708</v>
      </c>
      <c r="N517" s="58"/>
      <c r="O517" s="63">
        <f ca="1" t="shared" si="10"/>
        <v>0</v>
      </c>
      <c r="P517" s="63">
        <f ca="1" t="shared" si="11"/>
        <v>251</v>
      </c>
      <c r="Q517" s="27" t="str">
        <f>VLOOKUP(B517,辅助信息!E:M,9,FALSE)</f>
        <v>ZTWM-CDGS-XS-2024-0093-华西-颐海科创农业生态谷</v>
      </c>
      <c r="R517" s="27"/>
    </row>
    <row r="518" hidden="1" spans="2:18">
      <c r="B518" s="41" t="s">
        <v>48</v>
      </c>
      <c r="C518" s="71">
        <v>45705</v>
      </c>
      <c r="D518" s="41" t="str">
        <f>VLOOKUP(B518,辅助信息!E:K,7,FALSE)</f>
        <v>ZTWM-CDGS-YL-20240529-006</v>
      </c>
      <c r="E518" s="41" t="str">
        <f>VLOOKUP(F518,辅助信息!A:B,2,FALSE)</f>
        <v>螺纹钢</v>
      </c>
      <c r="F518" s="41" t="s">
        <v>66</v>
      </c>
      <c r="G518" s="37">
        <v>12</v>
      </c>
      <c r="H518" s="41" t="str">
        <f>_xlfn._xlws.FILTER('[1]2025年已发货'!$E:$E,'[1]2025年已发货'!$F:$F&amp;'[1]2025年已发货'!$C:$C&amp;'[1]2025年已发货'!$G:$G&amp;'[1]2025年已发货'!$H:$H=C518&amp;F518&amp;I518&amp;J518,"未发货")</f>
        <v>未发货</v>
      </c>
      <c r="I518" s="41" t="str">
        <f>VLOOKUP(B518,辅助信息!E:I,3,FALSE)</f>
        <v>(华西颐海-科创农业生态谷-1号钢筋房)成都市简阳市白金山水库</v>
      </c>
      <c r="J518" s="41" t="str">
        <f>VLOOKUP(B518,辅助信息!E:I,4,FALSE)</f>
        <v>石清国</v>
      </c>
      <c r="K518" s="41">
        <f>VLOOKUP(J518,辅助信息!H:I,2,FALSE)</f>
        <v>13458642015</v>
      </c>
      <c r="L518" s="79"/>
      <c r="M518" s="92">
        <v>45708</v>
      </c>
      <c r="N518" s="58"/>
      <c r="O518" s="63">
        <f ca="1" t="shared" si="10"/>
        <v>0</v>
      </c>
      <c r="P518" s="63">
        <f ca="1" t="shared" si="11"/>
        <v>251</v>
      </c>
      <c r="Q518" s="27" t="str">
        <f>VLOOKUP(B518,辅助信息!E:M,9,FALSE)</f>
        <v>ZTWM-CDGS-XS-2024-0093-华西-颐海科创农业生态谷</v>
      </c>
      <c r="R518" s="27"/>
    </row>
    <row r="519" hidden="1" spans="2:18">
      <c r="B519" s="41" t="s">
        <v>48</v>
      </c>
      <c r="C519" s="71">
        <v>45705</v>
      </c>
      <c r="D519" s="41" t="str">
        <f>VLOOKUP(B519,辅助信息!E:K,7,FALSE)</f>
        <v>ZTWM-CDGS-YL-20240529-006</v>
      </c>
      <c r="E519" s="41" t="str">
        <f>VLOOKUP(F519,辅助信息!A:B,2,FALSE)</f>
        <v>螺纹钢</v>
      </c>
      <c r="F519" s="41" t="s">
        <v>22</v>
      </c>
      <c r="G519" s="37">
        <v>6</v>
      </c>
      <c r="H519" s="41" t="str">
        <f>_xlfn._xlws.FILTER('[1]2025年已发货'!$E:$E,'[1]2025年已发货'!$F:$F&amp;'[1]2025年已发货'!$C:$C&amp;'[1]2025年已发货'!$G:$G&amp;'[1]2025年已发货'!$H:$H=C519&amp;F519&amp;I519&amp;J519,"未发货")</f>
        <v>未发货</v>
      </c>
      <c r="I519" s="41" t="str">
        <f>VLOOKUP(B519,辅助信息!E:I,3,FALSE)</f>
        <v>(华西颐海-科创农业生态谷-1号钢筋房)成都市简阳市白金山水库</v>
      </c>
      <c r="J519" s="41" t="str">
        <f>VLOOKUP(B519,辅助信息!E:I,4,FALSE)</f>
        <v>石清国</v>
      </c>
      <c r="K519" s="41">
        <f>VLOOKUP(J519,辅助信息!H:I,2,FALSE)</f>
        <v>13458642015</v>
      </c>
      <c r="L519" s="77"/>
      <c r="M519" s="92">
        <v>45708</v>
      </c>
      <c r="N519" s="58"/>
      <c r="O519" s="63">
        <f ca="1" t="shared" si="10"/>
        <v>0</v>
      </c>
      <c r="P519" s="63">
        <f ca="1" t="shared" si="11"/>
        <v>251</v>
      </c>
      <c r="Q519" s="27" t="str">
        <f>VLOOKUP(B519,辅助信息!E:M,9,FALSE)</f>
        <v>ZTWM-CDGS-XS-2024-0093-华西-颐海科创农业生态谷</v>
      </c>
      <c r="R519" s="27"/>
    </row>
    <row r="520" hidden="1" spans="1:18">
      <c r="A520" s="27"/>
      <c r="B520" s="41" t="s">
        <v>80</v>
      </c>
      <c r="C520" s="71">
        <v>45706</v>
      </c>
      <c r="D520" s="41" t="e">
        <f>VLOOKUP(B520,辅助信息!E:K,7,FALSE)</f>
        <v>#N/A</v>
      </c>
      <c r="E520" s="41" t="str">
        <f>VLOOKUP(F520,辅助信息!A:B,2,FALSE)</f>
        <v>盘螺</v>
      </c>
      <c r="F520" s="41" t="s">
        <v>49</v>
      </c>
      <c r="G520" s="41">
        <v>7.5</v>
      </c>
      <c r="H520" s="41" t="e">
        <f>_xlfn._xlws.FILTER('[1]2025年已发货'!$E:$E,'[1]2025年已发货'!$F:$F&amp;'[1]2025年已发货'!$C:$C&amp;'[1]2025年已发货'!$G:$G&amp;'[1]2025年已发货'!$H:$H=C520&amp;F520&amp;I520&amp;J520,"未发货")</f>
        <v>#N/A</v>
      </c>
      <c r="I520" s="41" t="e">
        <f>VLOOKUP(B520,辅助信息!E:I,3,FALSE)</f>
        <v>#N/A</v>
      </c>
      <c r="J520" s="41" t="e">
        <f>VLOOKUP(B520,辅助信息!E:I,4,FALSE)</f>
        <v>#N/A</v>
      </c>
      <c r="K520" s="41" t="e">
        <f>VLOOKUP(J520,辅助信息!H:I,2,FALSE)</f>
        <v>#N/A</v>
      </c>
      <c r="L520" s="41" t="e">
        <f>VLOOKUP(B520,辅助信息!E:J,6,FALSE)</f>
        <v>#N/A</v>
      </c>
      <c r="M520" s="96">
        <v>45703</v>
      </c>
      <c r="N520" s="96"/>
      <c r="O520" s="27">
        <f ca="1" t="shared" si="10"/>
        <v>0</v>
      </c>
      <c r="P520" s="27">
        <f ca="1" t="shared" si="11"/>
        <v>256</v>
      </c>
      <c r="Q520" s="27" t="e">
        <f>VLOOKUP(B520,辅助信息!E:M,9,FALSE)</f>
        <v>#N/A</v>
      </c>
      <c r="R520" s="27"/>
    </row>
    <row r="521" hidden="1" spans="1:18">
      <c r="A521" s="27"/>
      <c r="B521" s="41" t="s">
        <v>80</v>
      </c>
      <c r="C521" s="71">
        <v>45706</v>
      </c>
      <c r="D521" s="41" t="e">
        <f>VLOOKUP(B521,辅助信息!E:K,7,FALSE)</f>
        <v>#N/A</v>
      </c>
      <c r="E521" s="41" t="str">
        <f>VLOOKUP(F521,辅助信息!A:B,2,FALSE)</f>
        <v>盘螺</v>
      </c>
      <c r="F521" s="41" t="s">
        <v>40</v>
      </c>
      <c r="G521" s="41">
        <v>15</v>
      </c>
      <c r="H521" s="41" t="e">
        <f>_xlfn._xlws.FILTER('[1]2025年已发货'!$E:$E,'[1]2025年已发货'!$F:$F&amp;'[1]2025年已发货'!$C:$C&amp;'[1]2025年已发货'!$G:$G&amp;'[1]2025年已发货'!$H:$H=C521&amp;F521&amp;I521&amp;J521,"未发货")</f>
        <v>#N/A</v>
      </c>
      <c r="I521" s="41" t="e">
        <f>VLOOKUP(B521,辅助信息!E:I,3,FALSE)</f>
        <v>#N/A</v>
      </c>
      <c r="J521" s="41" t="e">
        <f>VLOOKUP(B521,辅助信息!E:I,4,FALSE)</f>
        <v>#N/A</v>
      </c>
      <c r="K521" s="41" t="e">
        <f>VLOOKUP(J521,辅助信息!H:I,2,FALSE)</f>
        <v>#N/A</v>
      </c>
      <c r="L521" s="79"/>
      <c r="M521" s="96">
        <v>45703</v>
      </c>
      <c r="N521" s="96"/>
      <c r="O521" s="27">
        <f ca="1" t="shared" si="10"/>
        <v>0</v>
      </c>
      <c r="P521" s="27">
        <f ca="1" t="shared" si="11"/>
        <v>256</v>
      </c>
      <c r="Q521" s="27" t="e">
        <f>VLOOKUP(B521,辅助信息!E:M,9,FALSE)</f>
        <v>#N/A</v>
      </c>
      <c r="R521" s="27"/>
    </row>
    <row r="522" hidden="1" spans="1:18">
      <c r="A522" s="27"/>
      <c r="B522" s="41" t="s">
        <v>80</v>
      </c>
      <c r="C522" s="71">
        <v>45706</v>
      </c>
      <c r="D522" s="41" t="e">
        <f>VLOOKUP(B522,辅助信息!E:K,7,FALSE)</f>
        <v>#N/A</v>
      </c>
      <c r="E522" s="41" t="str">
        <f>VLOOKUP(F522,辅助信息!A:B,2,FALSE)</f>
        <v>螺纹钢</v>
      </c>
      <c r="F522" s="41" t="s">
        <v>27</v>
      </c>
      <c r="G522" s="41">
        <v>5</v>
      </c>
      <c r="H522" s="41" t="e">
        <f>_xlfn._xlws.FILTER('[1]2025年已发货'!$E:$E,'[1]2025年已发货'!$F:$F&amp;'[1]2025年已发货'!$C:$C&amp;'[1]2025年已发货'!$G:$G&amp;'[1]2025年已发货'!$H:$H=C522&amp;F522&amp;I522&amp;J522,"未发货")</f>
        <v>#N/A</v>
      </c>
      <c r="I522" s="41" t="e">
        <f>VLOOKUP(B522,辅助信息!E:I,3,FALSE)</f>
        <v>#N/A</v>
      </c>
      <c r="J522" s="41" t="e">
        <f>VLOOKUP(B522,辅助信息!E:I,4,FALSE)</f>
        <v>#N/A</v>
      </c>
      <c r="K522" s="41" t="e">
        <f>VLOOKUP(J522,辅助信息!H:I,2,FALSE)</f>
        <v>#N/A</v>
      </c>
      <c r="L522" s="79"/>
      <c r="M522" s="96">
        <v>45703</v>
      </c>
      <c r="N522" s="96"/>
      <c r="O522" s="27">
        <f ca="1" t="shared" si="10"/>
        <v>0</v>
      </c>
      <c r="P522" s="27">
        <f ca="1" t="shared" si="11"/>
        <v>256</v>
      </c>
      <c r="Q522" s="27"/>
      <c r="R522" s="27"/>
    </row>
    <row r="523" hidden="1" spans="1:18">
      <c r="A523" s="27"/>
      <c r="B523" s="41" t="s">
        <v>80</v>
      </c>
      <c r="C523" s="71">
        <v>45706</v>
      </c>
      <c r="D523" s="41" t="e">
        <f>VLOOKUP(B523,辅助信息!E:K,7,FALSE)</f>
        <v>#N/A</v>
      </c>
      <c r="E523" s="41" t="str">
        <f>VLOOKUP(F523,辅助信息!A:B,2,FALSE)</f>
        <v>螺纹钢</v>
      </c>
      <c r="F523" s="41" t="s">
        <v>32</v>
      </c>
      <c r="G523" s="41">
        <v>7</v>
      </c>
      <c r="H523" s="41" t="e">
        <f>_xlfn._xlws.FILTER('[1]2025年已发货'!$E:$E,'[1]2025年已发货'!$F:$F&amp;'[1]2025年已发货'!$C:$C&amp;'[1]2025年已发货'!$G:$G&amp;'[1]2025年已发货'!$H:$H=C523&amp;F523&amp;I523&amp;J523,"未发货")</f>
        <v>#N/A</v>
      </c>
      <c r="I523" s="41" t="e">
        <f>VLOOKUP(B523,辅助信息!E:I,3,FALSE)</f>
        <v>#N/A</v>
      </c>
      <c r="J523" s="41" t="e">
        <f>VLOOKUP(B523,辅助信息!E:I,4,FALSE)</f>
        <v>#N/A</v>
      </c>
      <c r="K523" s="41" t="e">
        <f>VLOOKUP(J523,辅助信息!H:I,2,FALSE)</f>
        <v>#N/A</v>
      </c>
      <c r="L523" s="77"/>
      <c r="M523" s="96">
        <v>45703</v>
      </c>
      <c r="N523" s="96"/>
      <c r="O523" s="27">
        <f ca="1" t="shared" si="10"/>
        <v>0</v>
      </c>
      <c r="P523" s="27">
        <f ca="1" t="shared" si="11"/>
        <v>256</v>
      </c>
      <c r="Q523" s="27"/>
      <c r="R523" s="27"/>
    </row>
    <row r="524" hidden="1" spans="1:18">
      <c r="A524" s="27"/>
      <c r="B524" s="41" t="s">
        <v>29</v>
      </c>
      <c r="C524" s="71">
        <v>45706</v>
      </c>
      <c r="D524" s="41" t="e">
        <f>VLOOKUP(B524,辅助信息!E:K,7,FALSE)</f>
        <v>#N/A</v>
      </c>
      <c r="E524" s="41" t="str">
        <f>VLOOKUP(F524,辅助信息!A:B,2,FALSE)</f>
        <v>螺纹钢</v>
      </c>
      <c r="F524" s="41" t="s">
        <v>27</v>
      </c>
      <c r="G524" s="41">
        <v>15</v>
      </c>
      <c r="H524" s="41" t="e">
        <f>_xlfn._xlws.FILTER('[1]2025年已发货'!$E:$E,'[1]2025年已发货'!$F:$F&amp;'[1]2025年已发货'!$C:$C&amp;'[1]2025年已发货'!$G:$G&amp;'[1]2025年已发货'!$H:$H=C524&amp;F524&amp;I524&amp;J524,"未发货")</f>
        <v>#N/A</v>
      </c>
      <c r="I524" s="41" t="e">
        <f>VLOOKUP(B524,辅助信息!E:I,3,FALSE)</f>
        <v>#N/A</v>
      </c>
      <c r="J524" s="41" t="e">
        <f>VLOOKUP(B524,辅助信息!E:I,4,FALSE)</f>
        <v>#N/A</v>
      </c>
      <c r="K524" s="41" t="e">
        <f>VLOOKUP(J524,辅助信息!H:I,2,FALSE)</f>
        <v>#N/A</v>
      </c>
      <c r="L524" s="41" t="e">
        <f>VLOOKUP(B524,辅助信息!E:J,6,FALSE)</f>
        <v>#N/A</v>
      </c>
      <c r="M524" s="96">
        <v>45705</v>
      </c>
      <c r="N524" s="27"/>
      <c r="O524" s="27">
        <f ca="1" t="shared" si="10"/>
        <v>0</v>
      </c>
      <c r="P524" s="27">
        <f ca="1" t="shared" si="11"/>
        <v>254</v>
      </c>
      <c r="Q524" s="27" t="e">
        <f>VLOOKUP(B524,辅助信息!E:M,9,FALSE)</f>
        <v>#N/A</v>
      </c>
      <c r="R524" s="27"/>
    </row>
    <row r="525" hidden="1" spans="1:18">
      <c r="A525" s="27"/>
      <c r="B525" s="41" t="s">
        <v>29</v>
      </c>
      <c r="C525" s="71">
        <v>45706</v>
      </c>
      <c r="D525" s="41" t="e">
        <f>VLOOKUP(B525,辅助信息!E:K,7,FALSE)</f>
        <v>#N/A</v>
      </c>
      <c r="E525" s="41" t="str">
        <f>VLOOKUP(F525,辅助信息!A:B,2,FALSE)</f>
        <v>螺纹钢</v>
      </c>
      <c r="F525" s="41" t="s">
        <v>32</v>
      </c>
      <c r="G525" s="41">
        <v>20</v>
      </c>
      <c r="H525" s="41" t="e">
        <f>_xlfn._xlws.FILTER('[1]2025年已发货'!$E:$E,'[1]2025年已发货'!$F:$F&amp;'[1]2025年已发货'!$C:$C&amp;'[1]2025年已发货'!$G:$G&amp;'[1]2025年已发货'!$H:$H=C525&amp;F525&amp;I525&amp;J525,"未发货")</f>
        <v>#N/A</v>
      </c>
      <c r="I525" s="41" t="e">
        <f>VLOOKUP(B525,辅助信息!E:I,3,FALSE)</f>
        <v>#N/A</v>
      </c>
      <c r="J525" s="41" t="e">
        <f>VLOOKUP(B525,辅助信息!E:I,4,FALSE)</f>
        <v>#N/A</v>
      </c>
      <c r="K525" s="41" t="e">
        <f>VLOOKUP(J525,辅助信息!H:I,2,FALSE)</f>
        <v>#N/A</v>
      </c>
      <c r="L525" s="79"/>
      <c r="M525" s="96">
        <v>45705</v>
      </c>
      <c r="N525" s="27"/>
      <c r="O525" s="27">
        <f ca="1" t="shared" si="10"/>
        <v>0</v>
      </c>
      <c r="P525" s="27">
        <f ca="1" t="shared" si="11"/>
        <v>254</v>
      </c>
      <c r="Q525" s="27" t="e">
        <f>VLOOKUP(B525,辅助信息!E:M,9,FALSE)</f>
        <v>#N/A</v>
      </c>
      <c r="R525" s="27"/>
    </row>
    <row r="526" hidden="1" spans="1:18">
      <c r="A526" s="27"/>
      <c r="B526" s="41" t="s">
        <v>29</v>
      </c>
      <c r="C526" s="71">
        <v>45706</v>
      </c>
      <c r="D526" s="41" t="e">
        <f>VLOOKUP(B526,辅助信息!E:K,7,FALSE)</f>
        <v>#N/A</v>
      </c>
      <c r="E526" s="41" t="str">
        <f>VLOOKUP(F526,辅助信息!A:B,2,FALSE)</f>
        <v>螺纹钢</v>
      </c>
      <c r="F526" s="41" t="s">
        <v>30</v>
      </c>
      <c r="G526" s="41">
        <v>35</v>
      </c>
      <c r="H526" s="41" t="e">
        <f>_xlfn._xlws.FILTER('[1]2025年已发货'!$E:$E,'[1]2025年已发货'!$F:$F&amp;'[1]2025年已发货'!$C:$C&amp;'[1]2025年已发货'!$G:$G&amp;'[1]2025年已发货'!$H:$H=C526&amp;F526&amp;I526&amp;J526,"未发货")</f>
        <v>#N/A</v>
      </c>
      <c r="I526" s="41" t="e">
        <f>VLOOKUP(B526,辅助信息!E:I,3,FALSE)</f>
        <v>#N/A</v>
      </c>
      <c r="J526" s="41" t="e">
        <f>VLOOKUP(B526,辅助信息!E:I,4,FALSE)</f>
        <v>#N/A</v>
      </c>
      <c r="K526" s="41" t="e">
        <f>VLOOKUP(J526,辅助信息!H:I,2,FALSE)</f>
        <v>#N/A</v>
      </c>
      <c r="L526" s="77"/>
      <c r="M526" s="96">
        <v>45705</v>
      </c>
      <c r="N526" s="27"/>
      <c r="O526" s="27">
        <f ca="1" t="shared" si="10"/>
        <v>0</v>
      </c>
      <c r="P526" s="27">
        <f ca="1" t="shared" si="11"/>
        <v>254</v>
      </c>
      <c r="Q526" s="27" t="e">
        <f>VLOOKUP(B526,辅助信息!E:M,9,FALSE)</f>
        <v>#N/A</v>
      </c>
      <c r="R526" s="27"/>
    </row>
    <row r="527" hidden="1" spans="1:18">
      <c r="A527" s="27" t="s">
        <v>93</v>
      </c>
      <c r="B527" s="41" t="s">
        <v>78</v>
      </c>
      <c r="C527" s="71">
        <v>45706</v>
      </c>
      <c r="D527" s="41" t="e">
        <f>VLOOKUP(B527,辅助信息!E:K,7,FALSE)</f>
        <v>#N/A</v>
      </c>
      <c r="E527" s="41" t="str">
        <f>VLOOKUP(F527,辅助信息!A:B,2,FALSE)</f>
        <v>螺纹钢</v>
      </c>
      <c r="F527" s="41" t="s">
        <v>33</v>
      </c>
      <c r="G527" s="98">
        <v>35</v>
      </c>
      <c r="H527" s="41" t="e">
        <f>_xlfn._xlws.FILTER('[1]2025年已发货'!$E:$E,'[1]2025年已发货'!$F:$F&amp;'[1]2025年已发货'!$C:$C&amp;'[1]2025年已发货'!$G:$G&amp;'[1]2025年已发货'!$H:$H=C527&amp;F527&amp;I527&amp;J527,"未发货")</f>
        <v>#N/A</v>
      </c>
      <c r="I527" s="41" t="e">
        <f>VLOOKUP(B527,辅助信息!E:I,3,FALSE)</f>
        <v>#N/A</v>
      </c>
      <c r="J527" s="41" t="e">
        <f>VLOOKUP(B527,辅助信息!E:I,4,FALSE)</f>
        <v>#N/A</v>
      </c>
      <c r="K527" s="41" t="e">
        <f>VLOOKUP(J527,辅助信息!H:I,2,FALSE)</f>
        <v>#N/A</v>
      </c>
      <c r="L527" s="41" t="e">
        <f>VLOOKUP(B527,辅助信息!E:J,6,FALSE)</f>
        <v>#N/A</v>
      </c>
      <c r="M527" s="96">
        <v>45705</v>
      </c>
      <c r="N527" s="27"/>
      <c r="O527" s="27">
        <f ca="1" t="shared" si="10"/>
        <v>0</v>
      </c>
      <c r="P527" s="27">
        <f ca="1" t="shared" si="11"/>
        <v>254</v>
      </c>
      <c r="Q527" s="27" t="e">
        <f>VLOOKUP(B527,辅助信息!E:M,9,FALSE)</f>
        <v>#N/A</v>
      </c>
      <c r="R527" s="27"/>
    </row>
    <row r="528" hidden="1" spans="1:18">
      <c r="A528" s="27"/>
      <c r="B528" s="41" t="s">
        <v>69</v>
      </c>
      <c r="C528" s="71">
        <v>45706</v>
      </c>
      <c r="D528" s="41" t="str">
        <f>VLOOKUP(B528,辅助信息!E:K,7,FALSE)</f>
        <v>JWDDCD2025052800131</v>
      </c>
      <c r="E528" s="41" t="str">
        <f>VLOOKUP(F528,辅助信息!A:B,2,FALSE)</f>
        <v>螺纹钢</v>
      </c>
      <c r="F528" s="41" t="s">
        <v>21</v>
      </c>
      <c r="G528" s="41">
        <v>30</v>
      </c>
      <c r="H528" s="41" t="str">
        <f>_xlfn._xlws.FILTER('[1]2025年已发货'!$E:$E,'[1]2025年已发货'!$F:$F&amp;'[1]2025年已发货'!$C:$C&amp;'[1]2025年已发货'!$G:$G&amp;'[1]2025年已发货'!$H:$H=C528&amp;F528&amp;I528&amp;J528,"未发货")</f>
        <v>未发货</v>
      </c>
      <c r="I528" s="41" t="str">
        <f>VLOOKUP(B528,辅助信息!E:I,3,FALSE)</f>
        <v>（商投建工达州中医药科技园-4工区-2号楼）达州市通川区达州中医药职业学院犀牛大道北段</v>
      </c>
      <c r="J528" s="41" t="str">
        <f>VLOOKUP(B528,辅助信息!E:I,4,FALSE)</f>
        <v>张扬</v>
      </c>
      <c r="K528" s="41">
        <f>VLOOKUP(J528,辅助信息!H:I,2,FALSE)</f>
        <v>18381904567</v>
      </c>
      <c r="L528" s="41"/>
      <c r="M528" s="96">
        <v>45704</v>
      </c>
      <c r="N528" s="27"/>
      <c r="O528" s="27">
        <f ca="1" t="shared" si="10"/>
        <v>0</v>
      </c>
      <c r="P528" s="27">
        <f ca="1" t="shared" si="11"/>
        <v>255</v>
      </c>
      <c r="Q528" s="27" t="str">
        <f>VLOOKUP(B528,辅助信息!E:M,9,FALSE)</f>
        <v>ZTWM-CDGS-XS-2024-0134-商投建工达州中医药科技成果示范园项目</v>
      </c>
      <c r="R528" s="27"/>
    </row>
    <row r="529" s="27" customFormat="1" hidden="1" spans="2:17">
      <c r="B529" s="41" t="s">
        <v>84</v>
      </c>
      <c r="C529" s="71">
        <v>45706</v>
      </c>
      <c r="D529" s="41" t="e">
        <f>VLOOKUP(B529,辅助信息!E:K,7,FALSE)</f>
        <v>#N/A</v>
      </c>
      <c r="E529" s="41" t="str">
        <f>VLOOKUP(F529,辅助信息!A:B,2,FALSE)</f>
        <v>螺纹钢</v>
      </c>
      <c r="F529" s="41" t="s">
        <v>27</v>
      </c>
      <c r="G529" s="41">
        <v>8</v>
      </c>
      <c r="H529" s="41" t="e">
        <f>_xlfn._xlws.FILTER('[1]2025年已发货'!$E:$E,'[1]2025年已发货'!$F:$F&amp;'[1]2025年已发货'!$C:$C&amp;'[1]2025年已发货'!$G:$G&amp;'[1]2025年已发货'!$H:$H=C529&amp;F529&amp;I529&amp;J529,"未发货")</f>
        <v>#N/A</v>
      </c>
      <c r="I529" s="41" t="e">
        <f>VLOOKUP(B529,辅助信息!E:I,3,FALSE)</f>
        <v>#N/A</v>
      </c>
      <c r="J529" s="41" t="e">
        <f>VLOOKUP(B529,辅助信息!E:I,4,FALSE)</f>
        <v>#N/A</v>
      </c>
      <c r="K529" s="41" t="e">
        <f>VLOOKUP(J529,辅助信息!H:I,2,FALSE)</f>
        <v>#N/A</v>
      </c>
      <c r="L529" s="41" t="e">
        <f>VLOOKUP(B529,辅助信息!E:J,6,FALSE)</f>
        <v>#N/A</v>
      </c>
      <c r="M529" s="96">
        <v>45705</v>
      </c>
      <c r="O529" s="27">
        <f ca="1" t="shared" si="10"/>
        <v>0</v>
      </c>
      <c r="P529" s="27">
        <f ca="1" t="shared" si="11"/>
        <v>254</v>
      </c>
      <c r="Q529" s="27" t="e">
        <f>VLOOKUP(B529,辅助信息!E:M,9,FALSE)</f>
        <v>#N/A</v>
      </c>
    </row>
    <row r="530" s="27" customFormat="1" hidden="1" spans="2:17">
      <c r="B530" s="41" t="s">
        <v>84</v>
      </c>
      <c r="C530" s="71">
        <v>45706</v>
      </c>
      <c r="D530" s="41" t="e">
        <f>VLOOKUP(B530,辅助信息!E:K,7,FALSE)</f>
        <v>#N/A</v>
      </c>
      <c r="E530" s="41" t="str">
        <f>VLOOKUP(F530,辅助信息!A:B,2,FALSE)</f>
        <v>螺纹钢</v>
      </c>
      <c r="F530" s="41" t="s">
        <v>33</v>
      </c>
      <c r="G530" s="41">
        <v>8</v>
      </c>
      <c r="H530" s="41" t="e">
        <f>_xlfn._xlws.FILTER('[1]2025年已发货'!$E:$E,'[1]2025年已发货'!$F:$F&amp;'[1]2025年已发货'!$C:$C&amp;'[1]2025年已发货'!$G:$G&amp;'[1]2025年已发货'!$H:$H=C530&amp;F530&amp;I530&amp;J530,"未发货")</f>
        <v>#N/A</v>
      </c>
      <c r="I530" s="41" t="e">
        <f>VLOOKUP(B530,辅助信息!E:I,3,FALSE)</f>
        <v>#N/A</v>
      </c>
      <c r="J530" s="41" t="e">
        <f>VLOOKUP(B530,辅助信息!E:I,4,FALSE)</f>
        <v>#N/A</v>
      </c>
      <c r="K530" s="41" t="e">
        <f>VLOOKUP(J530,辅助信息!H:I,2,FALSE)</f>
        <v>#N/A</v>
      </c>
      <c r="L530" s="79"/>
      <c r="M530" s="96">
        <v>45705</v>
      </c>
      <c r="O530" s="27">
        <f ca="1" t="shared" ref="O530:O593" si="12">IF(OR(M530="",N530&lt;&gt;""),"",MAX(M530-TODAY(),0))</f>
        <v>0</v>
      </c>
      <c r="P530" s="27">
        <f ca="1">IF(M530="","",IF(N530&lt;&gt;"",MAX(N530-M530,0),IF(TODAY()&gt;M530,TODAY()-M530,0)))</f>
        <v>254</v>
      </c>
      <c r="Q530" s="27" t="e">
        <f>VLOOKUP(B530,辅助信息!E:M,9,FALSE)</f>
        <v>#N/A</v>
      </c>
    </row>
    <row r="531" s="27" customFormat="1" hidden="1" spans="2:17">
      <c r="B531" s="41" t="s">
        <v>84</v>
      </c>
      <c r="C531" s="71">
        <v>45706</v>
      </c>
      <c r="D531" s="41" t="e">
        <f>VLOOKUP(B531,辅助信息!E:K,7,FALSE)</f>
        <v>#N/A</v>
      </c>
      <c r="E531" s="41" t="str">
        <f>VLOOKUP(F531,辅助信息!A:B,2,FALSE)</f>
        <v>螺纹钢</v>
      </c>
      <c r="F531" s="41" t="s">
        <v>18</v>
      </c>
      <c r="G531" s="41">
        <v>12</v>
      </c>
      <c r="H531" s="41" t="e">
        <f>_xlfn._xlws.FILTER('[1]2025年已发货'!$E:$E,'[1]2025年已发货'!$F:$F&amp;'[1]2025年已发货'!$C:$C&amp;'[1]2025年已发货'!$G:$G&amp;'[1]2025年已发货'!$H:$H=C531&amp;F531&amp;I531&amp;J531,"未发货")</f>
        <v>#N/A</v>
      </c>
      <c r="I531" s="41" t="e">
        <f>VLOOKUP(B531,辅助信息!E:I,3,FALSE)</f>
        <v>#N/A</v>
      </c>
      <c r="J531" s="41" t="e">
        <f>VLOOKUP(B531,辅助信息!E:I,4,FALSE)</f>
        <v>#N/A</v>
      </c>
      <c r="K531" s="41" t="e">
        <f>VLOOKUP(J531,辅助信息!H:I,2,FALSE)</f>
        <v>#N/A</v>
      </c>
      <c r="L531" s="77"/>
      <c r="M531" s="96">
        <v>45705</v>
      </c>
      <c r="O531" s="27">
        <f ca="1" t="shared" si="12"/>
        <v>0</v>
      </c>
      <c r="P531" s="27">
        <v>3</v>
      </c>
      <c r="Q531" s="27" t="e">
        <f>VLOOKUP(B531,辅助信息!E:M,9,FALSE)</f>
        <v>#N/A</v>
      </c>
    </row>
    <row r="532" s="27" customFormat="1" hidden="1" spans="1:17">
      <c r="A532" s="27" t="s">
        <v>93</v>
      </c>
      <c r="B532" s="41" t="s">
        <v>75</v>
      </c>
      <c r="C532" s="71">
        <v>45706</v>
      </c>
      <c r="D532" s="41" t="e">
        <f>VLOOKUP(B532,辅助信息!E:K,7,FALSE)</f>
        <v>#N/A</v>
      </c>
      <c r="E532" s="41" t="str">
        <f>VLOOKUP(F532,辅助信息!A:B,2,FALSE)</f>
        <v>螺纹钢</v>
      </c>
      <c r="F532" s="41" t="s">
        <v>65</v>
      </c>
      <c r="G532" s="41">
        <v>35</v>
      </c>
      <c r="H532" s="41" t="e">
        <f>_xlfn._xlws.FILTER('[1]2025年已发货'!$E:$E,'[1]2025年已发货'!$F:$F&amp;'[1]2025年已发货'!$C:$C&amp;'[1]2025年已发货'!$G:$G&amp;'[1]2025年已发货'!$H:$H=C532&amp;F532&amp;I532&amp;J532,"未发货")</f>
        <v>#N/A</v>
      </c>
      <c r="I532" s="41" t="e">
        <f>VLOOKUP(B532,辅助信息!E:I,3,FALSE)</f>
        <v>#N/A</v>
      </c>
      <c r="J532" s="41" t="e">
        <f>VLOOKUP(B532,辅助信息!E:I,4,FALSE)</f>
        <v>#N/A</v>
      </c>
      <c r="K532" s="41" t="e">
        <f>VLOOKUP(J532,辅助信息!H:I,2,FALSE)</f>
        <v>#N/A</v>
      </c>
      <c r="L532" s="41" t="e">
        <f>VLOOKUP(B532,辅助信息!E:J,6,FALSE)</f>
        <v>#N/A</v>
      </c>
      <c r="M532" s="96">
        <v>45709</v>
      </c>
      <c r="O532" s="27">
        <f ca="1" t="shared" si="12"/>
        <v>0</v>
      </c>
      <c r="P532" s="27">
        <f ca="1" t="shared" ref="P532:P570" si="13">IF(M532="","",IF(N532&lt;&gt;"",MAX(N532-M532,0),IF(TODAY()&gt;M532,TODAY()-M532,0)))</f>
        <v>250</v>
      </c>
      <c r="Q532" s="27" t="e">
        <f>VLOOKUP(B532,辅助信息!E:M,9,FALSE)</f>
        <v>#N/A</v>
      </c>
    </row>
    <row r="533" s="27" customFormat="1" hidden="1" spans="2:17">
      <c r="B533" s="41" t="s">
        <v>87</v>
      </c>
      <c r="C533" s="71">
        <v>45706</v>
      </c>
      <c r="D533" s="41" t="e">
        <f>VLOOKUP(B533,辅助信息!E:K,7,FALSE)</f>
        <v>#N/A</v>
      </c>
      <c r="E533" s="41" t="str">
        <f>VLOOKUP(F533,辅助信息!A:B,2,FALSE)</f>
        <v>螺纹钢</v>
      </c>
      <c r="F533" s="41" t="s">
        <v>27</v>
      </c>
      <c r="G533" s="41">
        <v>8</v>
      </c>
      <c r="H533" s="41" t="e">
        <f>_xlfn._xlws.FILTER('[1]2025年已发货'!$E:$E,'[1]2025年已发货'!$F:$F&amp;'[1]2025年已发货'!$C:$C&amp;'[1]2025年已发货'!$G:$G&amp;'[1]2025年已发货'!$H:$H=C533&amp;F533&amp;I533&amp;J533,"未发货")</f>
        <v>#N/A</v>
      </c>
      <c r="I533" s="41" t="e">
        <f>VLOOKUP(B533,辅助信息!E:I,3,FALSE)</f>
        <v>#N/A</v>
      </c>
      <c r="J533" s="41" t="e">
        <f>VLOOKUP(B533,辅助信息!E:I,4,FALSE)</f>
        <v>#N/A</v>
      </c>
      <c r="K533" s="41" t="e">
        <f>VLOOKUP(J533,辅助信息!H:I,2,FALSE)</f>
        <v>#N/A</v>
      </c>
      <c r="L533" s="41" t="e">
        <f>VLOOKUP(B533,辅助信息!E:J,6,FALSE)</f>
        <v>#N/A</v>
      </c>
      <c r="M533" s="96">
        <v>45706</v>
      </c>
      <c r="O533" s="27">
        <f ca="1" t="shared" si="12"/>
        <v>0</v>
      </c>
      <c r="P533" s="27">
        <f ca="1" t="shared" si="13"/>
        <v>253</v>
      </c>
      <c r="Q533" s="27" t="e">
        <f>VLOOKUP(B533,辅助信息!E:M,9,FALSE)</f>
        <v>#N/A</v>
      </c>
    </row>
    <row r="534" s="27" customFormat="1" hidden="1" spans="2:17">
      <c r="B534" s="41" t="s">
        <v>87</v>
      </c>
      <c r="C534" s="71">
        <v>45706</v>
      </c>
      <c r="D534" s="41" t="e">
        <f>VLOOKUP(B534,辅助信息!E:K,7,FALSE)</f>
        <v>#N/A</v>
      </c>
      <c r="E534" s="41" t="str">
        <f>VLOOKUP(F534,辅助信息!A:B,2,FALSE)</f>
        <v>螺纹钢</v>
      </c>
      <c r="F534" s="41" t="s">
        <v>65</v>
      </c>
      <c r="G534" s="41">
        <v>27</v>
      </c>
      <c r="H534" s="41" t="e">
        <f>_xlfn._xlws.FILTER('[1]2025年已发货'!$E:$E,'[1]2025年已发货'!$F:$F&amp;'[1]2025年已发货'!$C:$C&amp;'[1]2025年已发货'!$G:$G&amp;'[1]2025年已发货'!$H:$H=C534&amp;F534&amp;I534&amp;J534,"未发货")</f>
        <v>#N/A</v>
      </c>
      <c r="I534" s="41" t="e">
        <f>VLOOKUP(B534,辅助信息!E:I,3,FALSE)</f>
        <v>#N/A</v>
      </c>
      <c r="J534" s="41" t="e">
        <f>VLOOKUP(B534,辅助信息!E:I,4,FALSE)</f>
        <v>#N/A</v>
      </c>
      <c r="K534" s="41" t="e">
        <f>VLOOKUP(J534,辅助信息!H:I,2,FALSE)</f>
        <v>#N/A</v>
      </c>
      <c r="L534" s="77"/>
      <c r="M534" s="96">
        <v>45706</v>
      </c>
      <c r="O534" s="27">
        <f ca="1" t="shared" si="12"/>
        <v>0</v>
      </c>
      <c r="P534" s="27">
        <f ca="1" t="shared" si="13"/>
        <v>253</v>
      </c>
      <c r="Q534" s="27" t="e">
        <f>VLOOKUP(B534,辅助信息!E:M,9,FALSE)</f>
        <v>#N/A</v>
      </c>
    </row>
    <row r="535" s="27" customFormat="1" hidden="1" spans="2:17">
      <c r="B535" s="41" t="s">
        <v>74</v>
      </c>
      <c r="C535" s="71">
        <v>45706</v>
      </c>
      <c r="D535" s="41" t="e">
        <f>VLOOKUP(B535,辅助信息!E:K,7,FALSE)</f>
        <v>#N/A</v>
      </c>
      <c r="E535" s="41" t="str">
        <f>VLOOKUP(F535,辅助信息!A:B,2,FALSE)</f>
        <v>螺纹钢</v>
      </c>
      <c r="F535" s="41" t="s">
        <v>19</v>
      </c>
      <c r="G535" s="41">
        <v>12</v>
      </c>
      <c r="H535" s="41" t="e">
        <f>_xlfn._xlws.FILTER('[1]2025年已发货'!$E:$E,'[1]2025年已发货'!$F:$F&amp;'[1]2025年已发货'!$C:$C&amp;'[1]2025年已发货'!$G:$G&amp;'[1]2025年已发货'!$H:$H=C535&amp;F535&amp;I535&amp;J535,"未发货")</f>
        <v>#N/A</v>
      </c>
      <c r="I535" s="41" t="e">
        <f>VLOOKUP(B535,辅助信息!E:I,3,FALSE)</f>
        <v>#N/A</v>
      </c>
      <c r="J535" s="41" t="e">
        <f>VLOOKUP(B535,辅助信息!E:I,4,FALSE)</f>
        <v>#N/A</v>
      </c>
      <c r="K535" s="41" t="e">
        <f>VLOOKUP(J535,辅助信息!H:I,2,FALSE)</f>
        <v>#N/A</v>
      </c>
      <c r="L535" s="41" t="e">
        <f>VLOOKUP(B535,辅助信息!E:J,6,FALSE)</f>
        <v>#N/A</v>
      </c>
      <c r="M535" s="96">
        <v>45711</v>
      </c>
      <c r="O535" s="27">
        <f ca="1" t="shared" si="12"/>
        <v>0</v>
      </c>
      <c r="P535" s="27">
        <f ca="1" t="shared" si="13"/>
        <v>248</v>
      </c>
      <c r="Q535" s="27" t="e">
        <f>VLOOKUP(B535,辅助信息!E:M,9,FALSE)</f>
        <v>#N/A</v>
      </c>
    </row>
    <row r="536" s="27" customFormat="1" hidden="1" spans="2:17">
      <c r="B536" s="41" t="s">
        <v>74</v>
      </c>
      <c r="C536" s="71">
        <v>45706</v>
      </c>
      <c r="D536" s="41" t="e">
        <f>VLOOKUP(B536,辅助信息!E:K,7,FALSE)</f>
        <v>#N/A</v>
      </c>
      <c r="E536" s="41" t="str">
        <f>VLOOKUP(F536,辅助信息!A:B,2,FALSE)</f>
        <v>螺纹钢</v>
      </c>
      <c r="F536" s="41" t="s">
        <v>33</v>
      </c>
      <c r="G536" s="41">
        <v>12</v>
      </c>
      <c r="H536" s="41" t="e">
        <f>_xlfn._xlws.FILTER('[1]2025年已发货'!$E:$E,'[1]2025年已发货'!$F:$F&amp;'[1]2025年已发货'!$C:$C&amp;'[1]2025年已发货'!$G:$G&amp;'[1]2025年已发货'!$H:$H=C536&amp;F536&amp;I536&amp;J536,"未发货")</f>
        <v>#N/A</v>
      </c>
      <c r="I536" s="41" t="e">
        <f>VLOOKUP(B536,辅助信息!E:I,3,FALSE)</f>
        <v>#N/A</v>
      </c>
      <c r="J536" s="41" t="e">
        <f>VLOOKUP(B536,辅助信息!E:I,4,FALSE)</f>
        <v>#N/A</v>
      </c>
      <c r="K536" s="41" t="e">
        <f>VLOOKUP(J536,辅助信息!H:I,2,FALSE)</f>
        <v>#N/A</v>
      </c>
      <c r="L536" s="79"/>
      <c r="M536" s="96">
        <v>45711</v>
      </c>
      <c r="O536" s="27">
        <f ca="1" t="shared" si="12"/>
        <v>0</v>
      </c>
      <c r="P536" s="27">
        <f ca="1" t="shared" si="13"/>
        <v>248</v>
      </c>
      <c r="Q536" s="27" t="e">
        <f>VLOOKUP(B536,辅助信息!E:M,9,FALSE)</f>
        <v>#N/A</v>
      </c>
    </row>
    <row r="537" s="27" customFormat="1" hidden="1" spans="2:17">
      <c r="B537" s="41" t="s">
        <v>74</v>
      </c>
      <c r="C537" s="71">
        <v>45706</v>
      </c>
      <c r="D537" s="41" t="e">
        <f>VLOOKUP(B537,辅助信息!E:K,7,FALSE)</f>
        <v>#N/A</v>
      </c>
      <c r="E537" s="41" t="str">
        <f>VLOOKUP(F537,辅助信息!A:B,2,FALSE)</f>
        <v>螺纹钢</v>
      </c>
      <c r="F537" s="41" t="s">
        <v>28</v>
      </c>
      <c r="G537" s="41">
        <v>12</v>
      </c>
      <c r="H537" s="41" t="e">
        <f>_xlfn._xlws.FILTER('[1]2025年已发货'!$E:$E,'[1]2025年已发货'!$F:$F&amp;'[1]2025年已发货'!$C:$C&amp;'[1]2025年已发货'!$G:$G&amp;'[1]2025年已发货'!$H:$H=C537&amp;F537&amp;I537&amp;J537,"未发货")</f>
        <v>#N/A</v>
      </c>
      <c r="I537" s="41" t="e">
        <f>VLOOKUP(B537,辅助信息!E:I,3,FALSE)</f>
        <v>#N/A</v>
      </c>
      <c r="J537" s="41" t="e">
        <f>VLOOKUP(B537,辅助信息!E:I,4,FALSE)</f>
        <v>#N/A</v>
      </c>
      <c r="K537" s="41" t="e">
        <f>VLOOKUP(J537,辅助信息!H:I,2,FALSE)</f>
        <v>#N/A</v>
      </c>
      <c r="L537" s="79"/>
      <c r="M537" s="96">
        <v>45711</v>
      </c>
      <c r="O537" s="27">
        <f ca="1" t="shared" si="12"/>
        <v>0</v>
      </c>
      <c r="P537" s="27">
        <f ca="1" t="shared" si="13"/>
        <v>248</v>
      </c>
      <c r="Q537" s="27" t="e">
        <f>VLOOKUP(B537,辅助信息!E:M,9,FALSE)</f>
        <v>#N/A</v>
      </c>
    </row>
    <row r="538" s="27" customFormat="1" hidden="1" spans="2:17">
      <c r="B538" s="41" t="s">
        <v>74</v>
      </c>
      <c r="C538" s="71">
        <v>45706</v>
      </c>
      <c r="D538" s="41" t="e">
        <f>VLOOKUP(B538,辅助信息!E:K,7,FALSE)</f>
        <v>#N/A</v>
      </c>
      <c r="E538" s="41" t="str">
        <f>VLOOKUP(F538,辅助信息!A:B,2,FALSE)</f>
        <v>螺纹钢</v>
      </c>
      <c r="F538" s="41" t="s">
        <v>18</v>
      </c>
      <c r="G538" s="41">
        <v>3</v>
      </c>
      <c r="H538" s="41" t="e">
        <f>_xlfn._xlws.FILTER('[1]2025年已发货'!$E:$E,'[1]2025年已发货'!$F:$F&amp;'[1]2025年已发货'!$C:$C&amp;'[1]2025年已发货'!$G:$G&amp;'[1]2025年已发货'!$H:$H=C538&amp;F538&amp;I538&amp;J538,"未发货")</f>
        <v>#N/A</v>
      </c>
      <c r="I538" s="41" t="e">
        <f>VLOOKUP(B538,辅助信息!E:I,3,FALSE)</f>
        <v>#N/A</v>
      </c>
      <c r="J538" s="41" t="e">
        <f>VLOOKUP(B538,辅助信息!E:I,4,FALSE)</f>
        <v>#N/A</v>
      </c>
      <c r="K538" s="41" t="e">
        <f>VLOOKUP(J538,辅助信息!H:I,2,FALSE)</f>
        <v>#N/A</v>
      </c>
      <c r="L538" s="77"/>
      <c r="M538" s="96">
        <v>45711</v>
      </c>
      <c r="O538" s="27">
        <f ca="1" t="shared" si="12"/>
        <v>0</v>
      </c>
      <c r="P538" s="27">
        <f ca="1" t="shared" si="13"/>
        <v>248</v>
      </c>
      <c r="Q538" s="27" t="e">
        <f>VLOOKUP(B538,辅助信息!E:M,9,FALSE)</f>
        <v>#N/A</v>
      </c>
    </row>
    <row r="539" s="27" customFormat="1" hidden="1" spans="1:17">
      <c r="A539" s="27" t="s">
        <v>94</v>
      </c>
      <c r="B539" s="41" t="s">
        <v>79</v>
      </c>
      <c r="C539" s="71">
        <v>45706</v>
      </c>
      <c r="D539" s="41" t="e">
        <f>VLOOKUP(B539,辅助信息!E:K,7,FALSE)</f>
        <v>#N/A</v>
      </c>
      <c r="E539" s="41" t="str">
        <f>VLOOKUP(F539,辅助信息!A:B,2,FALSE)</f>
        <v>螺纹钢</v>
      </c>
      <c r="F539" s="41" t="s">
        <v>19</v>
      </c>
      <c r="G539" s="41">
        <v>20</v>
      </c>
      <c r="H539" s="41" t="e">
        <f>_xlfn._xlws.FILTER('[1]2025年已发货'!$E:$E,'[1]2025年已发货'!$F:$F&amp;'[1]2025年已发货'!$C:$C&amp;'[1]2025年已发货'!$G:$G&amp;'[1]2025年已发货'!$H:$H=C539&amp;F539&amp;I539&amp;J539,"未发货")</f>
        <v>#N/A</v>
      </c>
      <c r="I539" s="41" t="e">
        <f>VLOOKUP(B539,辅助信息!E:I,3,FALSE)</f>
        <v>#N/A</v>
      </c>
      <c r="J539" s="41" t="e">
        <f>VLOOKUP(B539,辅助信息!E:I,4,FALSE)</f>
        <v>#N/A</v>
      </c>
      <c r="K539" s="41" t="e">
        <f>VLOOKUP(J539,辅助信息!H:I,2,FALSE)</f>
        <v>#N/A</v>
      </c>
      <c r="L539" s="41" t="e">
        <f>VLOOKUP(B539,辅助信息!E:J,6,FALSE)</f>
        <v>#N/A</v>
      </c>
      <c r="O539" s="27" t="str">
        <f ca="1" t="shared" si="12"/>
        <v/>
      </c>
      <c r="P539" s="27" t="str">
        <f ca="1" t="shared" si="13"/>
        <v/>
      </c>
      <c r="Q539" s="27" t="e">
        <f>VLOOKUP(B539,辅助信息!E:M,9,FALSE)</f>
        <v>#N/A</v>
      </c>
    </row>
    <row r="540" s="27" customFormat="1" hidden="1" spans="2:17">
      <c r="B540" s="41" t="s">
        <v>79</v>
      </c>
      <c r="C540" s="71">
        <v>45706</v>
      </c>
      <c r="D540" s="41" t="e">
        <f>VLOOKUP(B540,辅助信息!E:K,7,FALSE)</f>
        <v>#N/A</v>
      </c>
      <c r="E540" s="41" t="str">
        <f>VLOOKUP(F540,辅助信息!A:B,2,FALSE)</f>
        <v>螺纹钢</v>
      </c>
      <c r="F540" s="41" t="s">
        <v>32</v>
      </c>
      <c r="G540" s="41">
        <v>9</v>
      </c>
      <c r="H540" s="41" t="e">
        <f>_xlfn._xlws.FILTER('[1]2025年已发货'!$E:$E,'[1]2025年已发货'!$F:$F&amp;'[1]2025年已发货'!$C:$C&amp;'[1]2025年已发货'!$G:$G&amp;'[1]2025年已发货'!$H:$H=C540&amp;F540&amp;I540&amp;J540,"未发货")</f>
        <v>#N/A</v>
      </c>
      <c r="I540" s="41" t="e">
        <f>VLOOKUP(B540,辅助信息!E:I,3,FALSE)</f>
        <v>#N/A</v>
      </c>
      <c r="J540" s="41" t="e">
        <f>VLOOKUP(B540,辅助信息!E:I,4,FALSE)</f>
        <v>#N/A</v>
      </c>
      <c r="K540" s="41" t="e">
        <f>VLOOKUP(J540,辅助信息!H:I,2,FALSE)</f>
        <v>#N/A</v>
      </c>
      <c r="L540" s="79"/>
      <c r="O540" s="27" t="str">
        <f ca="1" t="shared" si="12"/>
        <v/>
      </c>
      <c r="P540" s="27" t="str">
        <f ca="1" t="shared" si="13"/>
        <v/>
      </c>
      <c r="Q540" s="27" t="e">
        <f>VLOOKUP(B540,辅助信息!E:M,9,FALSE)</f>
        <v>#N/A</v>
      </c>
    </row>
    <row r="541" s="27" customFormat="1" hidden="1" spans="2:17">
      <c r="B541" s="41" t="s">
        <v>79</v>
      </c>
      <c r="C541" s="71">
        <v>45706</v>
      </c>
      <c r="D541" s="41" t="e">
        <f>VLOOKUP(B541,辅助信息!E:K,7,FALSE)</f>
        <v>#N/A</v>
      </c>
      <c r="E541" s="41" t="str">
        <f>VLOOKUP(F541,辅助信息!A:B,2,FALSE)</f>
        <v>螺纹钢</v>
      </c>
      <c r="F541" s="41" t="s">
        <v>18</v>
      </c>
      <c r="G541" s="41">
        <f>90-69</f>
        <v>21</v>
      </c>
      <c r="H541" s="41" t="e">
        <f>_xlfn._xlws.FILTER('[1]2025年已发货'!$E:$E,'[1]2025年已发货'!$F:$F&amp;'[1]2025年已发货'!$C:$C&amp;'[1]2025年已发货'!$G:$G&amp;'[1]2025年已发货'!$H:$H=C541&amp;F541&amp;I541&amp;J541,"未发货")</f>
        <v>#N/A</v>
      </c>
      <c r="I541" s="41" t="e">
        <f>VLOOKUP(B541,辅助信息!E:I,3,FALSE)</f>
        <v>#N/A</v>
      </c>
      <c r="J541" s="41" t="e">
        <f>VLOOKUP(B541,辅助信息!E:I,4,FALSE)</f>
        <v>#N/A</v>
      </c>
      <c r="K541" s="41" t="e">
        <f>VLOOKUP(J541,辅助信息!H:I,2,FALSE)</f>
        <v>#N/A</v>
      </c>
      <c r="L541" s="77"/>
      <c r="O541" s="27" t="str">
        <f ca="1" t="shared" si="12"/>
        <v/>
      </c>
      <c r="P541" s="27" t="str">
        <f ca="1" t="shared" si="13"/>
        <v/>
      </c>
      <c r="Q541" s="27" t="e">
        <f>VLOOKUP(B541,辅助信息!E:M,9,FALSE)</f>
        <v>#N/A</v>
      </c>
    </row>
    <row r="542" s="27" customFormat="1" hidden="1" spans="1:17">
      <c r="A542" s="63"/>
      <c r="B542" s="41" t="s">
        <v>88</v>
      </c>
      <c r="C542" s="71">
        <v>45706</v>
      </c>
      <c r="D542" s="41" t="str">
        <f>VLOOKUP(B542,辅助信息!E:K,7,FALSE)</f>
        <v>JWDDCD2025051000019</v>
      </c>
      <c r="E542" s="41" t="str">
        <f>VLOOKUP(F542,辅助信息!A:B,2,FALSE)</f>
        <v>高线</v>
      </c>
      <c r="F542" s="41" t="s">
        <v>57</v>
      </c>
      <c r="G542" s="37">
        <v>6</v>
      </c>
      <c r="H542" s="37" t="str">
        <f>_xlfn._xlws.FILTER('[1]2025年已发货'!$E:$E,'[1]2025年已发货'!$F:$F&amp;'[1]2025年已发货'!$C:$C&amp;'[1]2025年已发货'!$G:$G&amp;'[1]2025年已发货'!$H:$H=C542&amp;F542&amp;I542&amp;J542,"未发货")</f>
        <v>未发货</v>
      </c>
      <c r="I542" s="41" t="str">
        <f>VLOOKUP(B542,辅助信息!E:I,3,FALSE)</f>
        <v>(五冶钢构医学科学产业园建设项目房建二部-四标（5-4）)四川省南充市顺庆区搬罾街道学府大道二段</v>
      </c>
      <c r="J542" s="41" t="str">
        <f>VLOOKUP(B542,辅助信息!E:I,4,FALSE)</f>
        <v>安南</v>
      </c>
      <c r="K542" s="41">
        <f>VLOOKUP(J542,辅助信息!H:I,2,FALSE)</f>
        <v>19950525030</v>
      </c>
      <c r="L542" s="44"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253</v>
      </c>
      <c r="Q542" s="27" t="str">
        <f>VLOOKUP(B542,辅助信息!E:M,9,FALSE)</f>
        <v>ZTWM-CDGS-XS-2024-0248-五冶钢构-南充市医学院项目</v>
      </c>
    </row>
    <row r="543" s="27" customFormat="1" hidden="1" spans="1:17">
      <c r="A543" s="63"/>
      <c r="B543" s="41" t="s">
        <v>88</v>
      </c>
      <c r="C543" s="71">
        <v>45706</v>
      </c>
      <c r="D543" s="41" t="str">
        <f>VLOOKUP(B543,辅助信息!E:K,7,FALSE)</f>
        <v>JWDDCD2025051000019</v>
      </c>
      <c r="E543" s="41" t="str">
        <f>VLOOKUP(F543,辅助信息!A:B,2,FALSE)</f>
        <v>盘螺</v>
      </c>
      <c r="F543" s="41" t="s">
        <v>49</v>
      </c>
      <c r="G543" s="37">
        <v>12</v>
      </c>
      <c r="H543" s="37" t="str">
        <f>_xlfn._xlws.FILTER('[1]2025年已发货'!$E:$E,'[1]2025年已发货'!$F:$F&amp;'[1]2025年已发货'!$C:$C&amp;'[1]2025年已发货'!$G:$G&amp;'[1]2025年已发货'!$H:$H=C543&amp;F543&amp;I543&amp;J543,"未发货")</f>
        <v>未发货</v>
      </c>
      <c r="I543" s="41" t="str">
        <f>VLOOKUP(B543,辅助信息!E:I,3,FALSE)</f>
        <v>(五冶钢构医学科学产业园建设项目房建二部-四标（5-4）)四川省南充市顺庆区搬罾街道学府大道二段</v>
      </c>
      <c r="J543" s="41" t="str">
        <f>VLOOKUP(B543,辅助信息!E:I,4,FALSE)</f>
        <v>安南</v>
      </c>
      <c r="K543" s="41">
        <f>VLOOKUP(J543,辅助信息!H:I,2,FALSE)</f>
        <v>19950525030</v>
      </c>
      <c r="L543" s="79"/>
      <c r="M543" s="92">
        <v>45706</v>
      </c>
      <c r="N543" s="63"/>
      <c r="O543" s="63">
        <f ca="1" t="shared" si="12"/>
        <v>0</v>
      </c>
      <c r="P543" s="63">
        <f ca="1" t="shared" si="13"/>
        <v>253</v>
      </c>
      <c r="Q543" s="27" t="str">
        <f>VLOOKUP(B543,辅助信息!E:M,9,FALSE)</f>
        <v>ZTWM-CDGS-XS-2024-0248-五冶钢构-南充市医学院项目</v>
      </c>
    </row>
    <row r="544" s="27" customFormat="1" hidden="1" spans="1:17">
      <c r="A544" s="63"/>
      <c r="B544" s="41" t="s">
        <v>88</v>
      </c>
      <c r="C544" s="71">
        <v>45706</v>
      </c>
      <c r="D544" s="41" t="str">
        <f>VLOOKUP(B544,辅助信息!E:K,7,FALSE)</f>
        <v>JWDDCD2025051000019</v>
      </c>
      <c r="E544" s="41" t="str">
        <f>VLOOKUP(F544,辅助信息!A:B,2,FALSE)</f>
        <v>盘螺</v>
      </c>
      <c r="F544" s="41" t="s">
        <v>40</v>
      </c>
      <c r="G544" s="37">
        <v>14</v>
      </c>
      <c r="H544" s="37" t="str">
        <f>_xlfn._xlws.FILTER('[1]2025年已发货'!$E:$E,'[1]2025年已发货'!$F:$F&amp;'[1]2025年已发货'!$C:$C&amp;'[1]2025年已发货'!$G:$G&amp;'[1]2025年已发货'!$H:$H=C544&amp;F544&amp;I544&amp;J544,"未发货")</f>
        <v>未发货</v>
      </c>
      <c r="I544" s="41" t="str">
        <f>VLOOKUP(B544,辅助信息!E:I,3,FALSE)</f>
        <v>(五冶钢构医学科学产业园建设项目房建二部-四标（5-4）)四川省南充市顺庆区搬罾街道学府大道二段</v>
      </c>
      <c r="J544" s="41" t="str">
        <f>VLOOKUP(B544,辅助信息!E:I,4,FALSE)</f>
        <v>安南</v>
      </c>
      <c r="K544" s="41">
        <f>VLOOKUP(J544,辅助信息!H:I,2,FALSE)</f>
        <v>19950525030</v>
      </c>
      <c r="L544" s="79"/>
      <c r="M544" s="92">
        <v>45706</v>
      </c>
      <c r="N544" s="63"/>
      <c r="O544" s="63">
        <f ca="1" t="shared" si="12"/>
        <v>0</v>
      </c>
      <c r="P544" s="63">
        <f ca="1" t="shared" si="13"/>
        <v>253</v>
      </c>
      <c r="Q544" s="27" t="str">
        <f>VLOOKUP(B544,辅助信息!E:M,9,FALSE)</f>
        <v>ZTWM-CDGS-XS-2024-0248-五冶钢构-南充市医学院项目</v>
      </c>
    </row>
    <row r="545" hidden="1" spans="1:18">
      <c r="A545" s="63"/>
      <c r="B545" s="41" t="s">
        <v>88</v>
      </c>
      <c r="C545" s="71">
        <v>45706</v>
      </c>
      <c r="D545" s="41" t="str">
        <f>VLOOKUP(B545,辅助信息!E:K,7,FALSE)</f>
        <v>JWDDCD2025051000019</v>
      </c>
      <c r="E545" s="41" t="str">
        <f>VLOOKUP(F545,辅助信息!A:B,2,FALSE)</f>
        <v>螺纹钢</v>
      </c>
      <c r="F545" s="41" t="s">
        <v>30</v>
      </c>
      <c r="G545" s="37">
        <v>3</v>
      </c>
      <c r="H545" s="37" t="str">
        <f>_xlfn._xlws.FILTER('[1]2025年已发货'!$E:$E,'[1]2025年已发货'!$F:$F&amp;'[1]2025年已发货'!$C:$C&amp;'[1]2025年已发货'!$G:$G&amp;'[1]2025年已发货'!$H:$H=C545&amp;F545&amp;I545&amp;J545,"未发货")</f>
        <v>未发货</v>
      </c>
      <c r="I545" s="41" t="str">
        <f>VLOOKUP(B545,辅助信息!E:I,3,FALSE)</f>
        <v>(五冶钢构医学科学产业园建设项目房建二部-四标（5-4）)四川省南充市顺庆区搬罾街道学府大道二段</v>
      </c>
      <c r="J545" s="41" t="str">
        <f>VLOOKUP(B545,辅助信息!E:I,4,FALSE)</f>
        <v>安南</v>
      </c>
      <c r="K545" s="41">
        <f>VLOOKUP(J545,辅助信息!H:I,2,FALSE)</f>
        <v>19950525030</v>
      </c>
      <c r="L545" s="77"/>
      <c r="M545" s="92">
        <v>45706</v>
      </c>
      <c r="O545" s="63">
        <f ca="1" t="shared" si="12"/>
        <v>0</v>
      </c>
      <c r="P545" s="63">
        <f ca="1" t="shared" si="13"/>
        <v>253</v>
      </c>
      <c r="Q545" s="27" t="str">
        <f>VLOOKUP(B545,辅助信息!E:M,9,FALSE)</f>
        <v>ZTWM-CDGS-XS-2024-0248-五冶钢构-南充市医学院项目</v>
      </c>
      <c r="R545" s="27"/>
    </row>
    <row r="546" hidden="1" spans="1:18">
      <c r="A546" s="63"/>
      <c r="B546" s="41" t="s">
        <v>89</v>
      </c>
      <c r="C546" s="71">
        <v>45706</v>
      </c>
      <c r="D546" s="41" t="str">
        <f>VLOOKUP(B546,辅助信息!E:K,7,FALSE)</f>
        <v>JWDDCD2025051000019</v>
      </c>
      <c r="E546" s="41" t="str">
        <f>VLOOKUP(F546,辅助信息!A:B,2,FALSE)</f>
        <v>螺纹钢</v>
      </c>
      <c r="F546" s="41" t="s">
        <v>32</v>
      </c>
      <c r="G546" s="37">
        <f>130-70</f>
        <v>60</v>
      </c>
      <c r="H546" s="37" t="str">
        <f>_xlfn._xlws.FILTER('[1]2025年已发货'!$E:$E,'[1]2025年已发货'!$F:$F&amp;'[1]2025年已发货'!$C:$C&amp;'[1]2025年已发货'!$G:$G&amp;'[1]2025年已发货'!$H:$H=C546&amp;F546&amp;I546&amp;J546,"未发货")</f>
        <v>未发货</v>
      </c>
      <c r="I546" s="41" t="str">
        <f>VLOOKUP(B546,辅助信息!E:I,3,FALSE)</f>
        <v>(五冶钢构医学科学产业园建设项目房建三部-排洪渠)四川省南充市顺庆区搬罾街道学府大道二段</v>
      </c>
      <c r="J546" s="41" t="str">
        <f>VLOOKUP(B546,辅助信息!E:I,4,FALSE)</f>
        <v>郑林</v>
      </c>
      <c r="K546" s="41">
        <f>VLOOKUP(J546,辅助信息!H:I,2,FALSE)</f>
        <v>18349955455</v>
      </c>
      <c r="L546" s="44"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251</v>
      </c>
      <c r="Q546" s="27" t="str">
        <f>VLOOKUP(B546,辅助信息!E:M,9,FALSE)</f>
        <v>ZTWM-CDGS-XS-2024-0248-五冶钢构-南充市医学院项目</v>
      </c>
      <c r="R546" s="27"/>
    </row>
    <row r="547" hidden="1" spans="1:18">
      <c r="A547" s="63"/>
      <c r="B547" s="41" t="s">
        <v>89</v>
      </c>
      <c r="C547" s="71">
        <v>45706</v>
      </c>
      <c r="D547" s="41" t="str">
        <f>VLOOKUP(B547,辅助信息!E:K,7,FALSE)</f>
        <v>JWDDCD2025051000019</v>
      </c>
      <c r="E547" s="41" t="str">
        <f>VLOOKUP(F547,辅助信息!A:B,2,FALSE)</f>
        <v>螺纹钢</v>
      </c>
      <c r="F547" s="41" t="s">
        <v>18</v>
      </c>
      <c r="G547" s="37">
        <v>200</v>
      </c>
      <c r="H547" s="37">
        <f>_xlfn._xlws.FILTER('[1]2025年已发货'!$E:$E,'[1]2025年已发货'!$F:$F&amp;'[1]2025年已发货'!$C:$C&amp;'[1]2025年已发货'!$G:$G&amp;'[1]2025年已发货'!$H:$H=C547&amp;F547&amp;I547&amp;J547,"未发货")</f>
        <v>175</v>
      </c>
      <c r="I547" s="41" t="str">
        <f>VLOOKUP(B547,辅助信息!E:I,3,FALSE)</f>
        <v>(五冶钢构医学科学产业园建设项目房建三部-排洪渠)四川省南充市顺庆区搬罾街道学府大道二段</v>
      </c>
      <c r="J547" s="41" t="str">
        <f>VLOOKUP(B547,辅助信息!E:I,4,FALSE)</f>
        <v>郑林</v>
      </c>
      <c r="K547" s="41">
        <f>VLOOKUP(J547,辅助信息!H:I,2,FALSE)</f>
        <v>18349955455</v>
      </c>
      <c r="L547" s="79"/>
      <c r="M547" s="92">
        <v>45708</v>
      </c>
      <c r="O547" s="63">
        <f ca="1" t="shared" si="12"/>
        <v>0</v>
      </c>
      <c r="P547" s="63">
        <f ca="1" t="shared" si="13"/>
        <v>251</v>
      </c>
      <c r="Q547" s="27" t="str">
        <f>VLOOKUP(B547,辅助信息!E:M,9,FALSE)</f>
        <v>ZTWM-CDGS-XS-2024-0248-五冶钢构-南充市医学院项目</v>
      </c>
      <c r="R547" s="27"/>
    </row>
    <row r="548" hidden="1" spans="1:18">
      <c r="A548" s="63"/>
      <c r="B548" s="41" t="s">
        <v>89</v>
      </c>
      <c r="C548" s="71">
        <v>45706</v>
      </c>
      <c r="D548" s="41" t="str">
        <f>VLOOKUP(B548,辅助信息!E:K,7,FALSE)</f>
        <v>JWDDCD2025051000019</v>
      </c>
      <c r="E548" s="41" t="str">
        <f>VLOOKUP(F548,辅助信息!A:B,2,FALSE)</f>
        <v>螺纹钢</v>
      </c>
      <c r="F548" s="41" t="s">
        <v>91</v>
      </c>
      <c r="G548" s="37">
        <v>95</v>
      </c>
      <c r="H548" s="37">
        <f>_xlfn._xlws.FILTER('[1]2025年已发货'!$E:$E,'[1]2025年已发货'!$F:$F&amp;'[1]2025年已发货'!$C:$C&amp;'[1]2025年已发货'!$G:$G&amp;'[1]2025年已发货'!$H:$H=C548&amp;F548&amp;I548&amp;J548,"未发货")</f>
        <v>70</v>
      </c>
      <c r="I548" s="41" t="str">
        <f>VLOOKUP(B548,辅助信息!E:I,3,FALSE)</f>
        <v>(五冶钢构医学科学产业园建设项目房建三部-排洪渠)四川省南充市顺庆区搬罾街道学府大道二段</v>
      </c>
      <c r="J548" s="41" t="str">
        <f>VLOOKUP(B548,辅助信息!E:I,4,FALSE)</f>
        <v>郑林</v>
      </c>
      <c r="K548" s="41">
        <f>VLOOKUP(J548,辅助信息!H:I,2,FALSE)</f>
        <v>18349955455</v>
      </c>
      <c r="L548" s="77"/>
      <c r="M548" s="92">
        <v>45708</v>
      </c>
      <c r="O548" s="63">
        <f ca="1" t="shared" si="12"/>
        <v>0</v>
      </c>
      <c r="P548" s="63">
        <f ca="1" t="shared" si="13"/>
        <v>251</v>
      </c>
      <c r="Q548" s="27" t="str">
        <f>VLOOKUP(B548,辅助信息!E:M,9,FALSE)</f>
        <v>ZTWM-CDGS-XS-2024-0248-五冶钢构-南充市医学院项目</v>
      </c>
      <c r="R548" s="27"/>
    </row>
    <row r="549" hidden="1" spans="1:18">
      <c r="A549" s="63"/>
      <c r="B549" s="41" t="s">
        <v>48</v>
      </c>
      <c r="C549" s="71">
        <v>45706</v>
      </c>
      <c r="D549" s="41" t="str">
        <f>VLOOKUP(B549,辅助信息!E:K,7,FALSE)</f>
        <v>ZTWM-CDGS-YL-20240529-006</v>
      </c>
      <c r="E549" s="41" t="str">
        <f>VLOOKUP(F549,辅助信息!A:B,2,FALSE)</f>
        <v>盘螺</v>
      </c>
      <c r="F549" s="41" t="s">
        <v>40</v>
      </c>
      <c r="G549" s="37">
        <v>10</v>
      </c>
      <c r="H549" s="37" t="str">
        <f>_xlfn._xlws.FILTER('[1]2025年已发货'!$E:$E,'[1]2025年已发货'!$F:$F&amp;'[1]2025年已发货'!$C:$C&amp;'[1]2025年已发货'!$G:$G&amp;'[1]2025年已发货'!$H:$H=C549&amp;F549&amp;I549&amp;J549,"未发货")</f>
        <v>未发货</v>
      </c>
      <c r="I549" s="41" t="str">
        <f>VLOOKUP(B549,辅助信息!E:I,3,FALSE)</f>
        <v>(华西颐海-科创农业生态谷-1号钢筋房)成都市简阳市白金山水库</v>
      </c>
      <c r="J549" s="41" t="str">
        <f>VLOOKUP(B549,辅助信息!E:I,4,FALSE)</f>
        <v>石清国</v>
      </c>
      <c r="K549" s="41">
        <f>VLOOKUP(J549,辅助信息!H:I,2,FALSE)</f>
        <v>13458642015</v>
      </c>
      <c r="L549" s="44" t="str">
        <f>VLOOKUP(B549,辅助信息!E:J,6,FALSE)</f>
        <v>优先威钢,我方卸车,新老国标钢厂不加价可直发</v>
      </c>
      <c r="M549" s="92">
        <v>45708</v>
      </c>
      <c r="O549" s="63">
        <f ca="1" t="shared" si="12"/>
        <v>0</v>
      </c>
      <c r="P549" s="63">
        <f ca="1" t="shared" si="13"/>
        <v>251</v>
      </c>
      <c r="Q549" s="27" t="str">
        <f>VLOOKUP(B549,辅助信息!E:M,9,FALSE)</f>
        <v>ZTWM-CDGS-XS-2024-0093-华西-颐海科创农业生态谷</v>
      </c>
      <c r="R549" s="27"/>
    </row>
    <row r="550" hidden="1" spans="1:18">
      <c r="A550" s="63"/>
      <c r="B550" s="41" t="s">
        <v>48</v>
      </c>
      <c r="C550" s="71">
        <v>45706</v>
      </c>
      <c r="D550" s="41" t="str">
        <f>VLOOKUP(B550,辅助信息!E:K,7,FALSE)</f>
        <v>ZTWM-CDGS-YL-20240529-006</v>
      </c>
      <c r="E550" s="41" t="str">
        <f>VLOOKUP(F550,辅助信息!A:B,2,FALSE)</f>
        <v>盘螺</v>
      </c>
      <c r="F550" s="41" t="s">
        <v>41</v>
      </c>
      <c r="G550" s="37">
        <v>10</v>
      </c>
      <c r="H550" s="37" t="str">
        <f>_xlfn._xlws.FILTER('[1]2025年已发货'!$E:$E,'[1]2025年已发货'!$F:$F&amp;'[1]2025年已发货'!$C:$C&amp;'[1]2025年已发货'!$G:$G&amp;'[1]2025年已发货'!$H:$H=C550&amp;F550&amp;I550&amp;J550,"未发货")</f>
        <v>未发货</v>
      </c>
      <c r="I550" s="41" t="str">
        <f>VLOOKUP(B550,辅助信息!E:I,3,FALSE)</f>
        <v>(华西颐海-科创农业生态谷-1号钢筋房)成都市简阳市白金山水库</v>
      </c>
      <c r="J550" s="41" t="str">
        <f>VLOOKUP(B550,辅助信息!E:I,4,FALSE)</f>
        <v>石清国</v>
      </c>
      <c r="K550" s="41">
        <f>VLOOKUP(J550,辅助信息!H:I,2,FALSE)</f>
        <v>13458642015</v>
      </c>
      <c r="L550" s="79"/>
      <c r="M550" s="92">
        <v>45708</v>
      </c>
      <c r="O550" s="63">
        <f ca="1" t="shared" si="12"/>
        <v>0</v>
      </c>
      <c r="P550" s="63">
        <f ca="1" t="shared" si="13"/>
        <v>251</v>
      </c>
      <c r="Q550" s="27" t="str">
        <f>VLOOKUP(B550,辅助信息!E:M,9,FALSE)</f>
        <v>ZTWM-CDGS-XS-2024-0093-华西-颐海科创农业生态谷</v>
      </c>
      <c r="R550" s="27"/>
    </row>
    <row r="551" hidden="1" spans="1:18">
      <c r="A551" s="63"/>
      <c r="B551" s="41" t="s">
        <v>48</v>
      </c>
      <c r="C551" s="71">
        <v>45706</v>
      </c>
      <c r="D551" s="41" t="str">
        <f>VLOOKUP(B551,辅助信息!E:K,7,FALSE)</f>
        <v>ZTWM-CDGS-YL-20240529-006</v>
      </c>
      <c r="E551" s="41" t="str">
        <f>VLOOKUP(F551,辅助信息!A:B,2,FALSE)</f>
        <v>螺纹钢</v>
      </c>
      <c r="F551" s="41" t="s">
        <v>66</v>
      </c>
      <c r="G551" s="37">
        <v>12</v>
      </c>
      <c r="H551" s="37" t="str">
        <f>_xlfn._xlws.FILTER('[1]2025年已发货'!$E:$E,'[1]2025年已发货'!$F:$F&amp;'[1]2025年已发货'!$C:$C&amp;'[1]2025年已发货'!$G:$G&amp;'[1]2025年已发货'!$H:$H=C551&amp;F551&amp;I551&amp;J551,"未发货")</f>
        <v>未发货</v>
      </c>
      <c r="I551" s="41" t="str">
        <f>VLOOKUP(B551,辅助信息!E:I,3,FALSE)</f>
        <v>(华西颐海-科创农业生态谷-1号钢筋房)成都市简阳市白金山水库</v>
      </c>
      <c r="J551" s="41" t="str">
        <f>VLOOKUP(B551,辅助信息!E:I,4,FALSE)</f>
        <v>石清国</v>
      </c>
      <c r="K551" s="41">
        <f>VLOOKUP(J551,辅助信息!H:I,2,FALSE)</f>
        <v>13458642015</v>
      </c>
      <c r="L551" s="79"/>
      <c r="M551" s="92">
        <v>45708</v>
      </c>
      <c r="O551" s="63">
        <f ca="1" t="shared" si="12"/>
        <v>0</v>
      </c>
      <c r="P551" s="63">
        <f ca="1" t="shared" si="13"/>
        <v>251</v>
      </c>
      <c r="Q551" s="27" t="str">
        <f>VLOOKUP(B551,辅助信息!E:M,9,FALSE)</f>
        <v>ZTWM-CDGS-XS-2024-0093-华西-颐海科创农业生态谷</v>
      </c>
      <c r="R551" s="27"/>
    </row>
    <row r="552" hidden="1" spans="1:18">
      <c r="A552" s="63"/>
      <c r="B552" s="41" t="s">
        <v>48</v>
      </c>
      <c r="C552" s="71">
        <v>45706</v>
      </c>
      <c r="D552" s="41" t="str">
        <f>VLOOKUP(B552,辅助信息!E:K,7,FALSE)</f>
        <v>ZTWM-CDGS-YL-20240529-006</v>
      </c>
      <c r="E552" s="41" t="str">
        <f>VLOOKUP(F552,辅助信息!A:B,2,FALSE)</f>
        <v>螺纹钢</v>
      </c>
      <c r="F552" s="41" t="s">
        <v>22</v>
      </c>
      <c r="G552" s="37">
        <v>6</v>
      </c>
      <c r="H552" s="37" t="str">
        <f>_xlfn._xlws.FILTER('[1]2025年已发货'!$E:$E,'[1]2025年已发货'!$F:$F&amp;'[1]2025年已发货'!$C:$C&amp;'[1]2025年已发货'!$G:$G&amp;'[1]2025年已发货'!$H:$H=C552&amp;F552&amp;I552&amp;J552,"未发货")</f>
        <v>未发货</v>
      </c>
      <c r="I552" s="41" t="str">
        <f>VLOOKUP(B552,辅助信息!E:I,3,FALSE)</f>
        <v>(华西颐海-科创农业生态谷-1号钢筋房)成都市简阳市白金山水库</v>
      </c>
      <c r="J552" s="41" t="str">
        <f>VLOOKUP(B552,辅助信息!E:I,4,FALSE)</f>
        <v>石清国</v>
      </c>
      <c r="K552" s="41">
        <f>VLOOKUP(J552,辅助信息!H:I,2,FALSE)</f>
        <v>13458642015</v>
      </c>
      <c r="L552" s="77"/>
      <c r="M552" s="92">
        <v>45708</v>
      </c>
      <c r="O552" s="63">
        <f ca="1" t="shared" si="12"/>
        <v>0</v>
      </c>
      <c r="P552" s="63">
        <f ca="1" t="shared" si="13"/>
        <v>251</v>
      </c>
      <c r="Q552" s="27" t="str">
        <f>VLOOKUP(B552,辅助信息!E:M,9,FALSE)</f>
        <v>ZTWM-CDGS-XS-2024-0093-华西-颐海科创农业生态谷</v>
      </c>
      <c r="R552" s="27"/>
    </row>
    <row r="553" hidden="1" spans="2:18">
      <c r="B553" s="41" t="s">
        <v>31</v>
      </c>
      <c r="C553" s="71">
        <v>45706</v>
      </c>
      <c r="D553" s="41" t="str">
        <f>VLOOKUP(B553,辅助信息!E:K,7,FALSE)</f>
        <v>JWDDCD2024121000136</v>
      </c>
      <c r="E553" s="41" t="str">
        <f>VLOOKUP(F553,辅助信息!A:B,2,FALSE)</f>
        <v>高线</v>
      </c>
      <c r="F553" s="41" t="s">
        <v>53</v>
      </c>
      <c r="G553" s="37">
        <v>6</v>
      </c>
      <c r="H553" s="37">
        <f>_xlfn._xlws.FILTER('[1]2025年已发货'!$E:$E,'[1]2025年已发货'!$F:$F&amp;'[1]2025年已发货'!$C:$C&amp;'[1]2025年已发货'!$G:$G&amp;'[1]2025年已发货'!$H:$H=C553&amp;F553&amp;I553&amp;J553,"未发货")</f>
        <v>6</v>
      </c>
      <c r="I553" s="41" t="str">
        <f>VLOOKUP(B553,辅助信息!E:I,3,FALSE)</f>
        <v>（四川商建-射洪城乡一体化项目）遂宁市射洪市忠新幼儿园北侧约220米新溪小区</v>
      </c>
      <c r="J553" s="41" t="str">
        <f>VLOOKUP(B553,辅助信息!E:I,4,FALSE)</f>
        <v>柏子刚</v>
      </c>
      <c r="K553" s="41">
        <f>VLOOKUP(J553,辅助信息!H:I,2,FALSE)</f>
        <v>15692885305</v>
      </c>
      <c r="L553" s="44" t="str">
        <f>VLOOKUP(B553,辅助信息!E:J,6,FALSE)</f>
        <v>提前联系到场规格及数量</v>
      </c>
      <c r="M553" s="92">
        <v>45708</v>
      </c>
      <c r="N553" s="58"/>
      <c r="O553" s="63">
        <f ca="1" t="shared" si="12"/>
        <v>0</v>
      </c>
      <c r="P553" s="63">
        <f ca="1" t="shared" si="13"/>
        <v>251</v>
      </c>
      <c r="Q553" s="27" t="str">
        <f>VLOOKUP(B553,辅助信息!E:M,9,FALSE)</f>
        <v>ZTWM-CDGS-XS-2024-0179-四川商投-射洪城乡一体化建设项目</v>
      </c>
      <c r="R553" s="27"/>
    </row>
    <row r="554" hidden="1" spans="2:18">
      <c r="B554" s="41" t="s">
        <v>31</v>
      </c>
      <c r="C554" s="71">
        <v>45706</v>
      </c>
      <c r="D554" s="41" t="str">
        <f>VLOOKUP(B554,辅助信息!E:K,7,FALSE)</f>
        <v>JWDDCD2024121000136</v>
      </c>
      <c r="E554" s="41" t="str">
        <f>VLOOKUP(F554,辅助信息!A:B,2,FALSE)</f>
        <v>盘螺</v>
      </c>
      <c r="F554" s="41" t="s">
        <v>49</v>
      </c>
      <c r="G554" s="37">
        <v>9</v>
      </c>
      <c r="H554" s="37" t="str">
        <f>_xlfn._xlws.FILTER('[1]2025年已发货'!$E:$E,'[1]2025年已发货'!$F:$F&amp;'[1]2025年已发货'!$C:$C&amp;'[1]2025年已发货'!$G:$G&amp;'[1]2025年已发货'!$H:$H=C554&amp;F554&amp;I554&amp;J554,"未发货")</f>
        <v>未发货</v>
      </c>
      <c r="I554" s="41" t="str">
        <f>VLOOKUP(B554,辅助信息!E:I,3,FALSE)</f>
        <v>（四川商建-射洪城乡一体化项目）遂宁市射洪市忠新幼儿园北侧约220米新溪小区</v>
      </c>
      <c r="J554" s="41" t="str">
        <f>VLOOKUP(B554,辅助信息!E:I,4,FALSE)</f>
        <v>柏子刚</v>
      </c>
      <c r="K554" s="41">
        <f>VLOOKUP(J554,辅助信息!H:I,2,FALSE)</f>
        <v>15692885305</v>
      </c>
      <c r="L554" s="79"/>
      <c r="M554" s="92">
        <v>45708</v>
      </c>
      <c r="N554" s="58"/>
      <c r="O554" s="63">
        <f ca="1" t="shared" si="12"/>
        <v>0</v>
      </c>
      <c r="P554" s="63">
        <f ca="1" t="shared" si="13"/>
        <v>251</v>
      </c>
      <c r="Q554" s="27" t="str">
        <f>VLOOKUP(B554,辅助信息!E:M,9,FALSE)</f>
        <v>ZTWM-CDGS-XS-2024-0179-四川商投-射洪城乡一体化建设项目</v>
      </c>
      <c r="R554" s="27"/>
    </row>
    <row r="555" hidden="1" spans="2:18">
      <c r="B555" s="41" t="s">
        <v>31</v>
      </c>
      <c r="C555" s="71">
        <v>45706</v>
      </c>
      <c r="D555" s="41" t="str">
        <f>VLOOKUP(B555,辅助信息!E:K,7,FALSE)</f>
        <v>JWDDCD2024121000136</v>
      </c>
      <c r="E555" s="41" t="str">
        <f>VLOOKUP(F555,辅助信息!A:B,2,FALSE)</f>
        <v>盘螺</v>
      </c>
      <c r="F555" s="41" t="s">
        <v>40</v>
      </c>
      <c r="G555" s="37">
        <v>35</v>
      </c>
      <c r="H555" s="37">
        <f>_xlfn._xlws.FILTER('[1]2025年已发货'!$E:$E,'[1]2025年已发货'!$F:$F&amp;'[1]2025年已发货'!$C:$C&amp;'[1]2025年已发货'!$G:$G&amp;'[1]2025年已发货'!$H:$H=C555&amp;F555&amp;I555&amp;J555,"未发货")</f>
        <v>35</v>
      </c>
      <c r="I555" s="41" t="str">
        <f>VLOOKUP(B555,辅助信息!E:I,3,FALSE)</f>
        <v>（四川商建-射洪城乡一体化项目）遂宁市射洪市忠新幼儿园北侧约220米新溪小区</v>
      </c>
      <c r="J555" s="41" t="str">
        <f>VLOOKUP(B555,辅助信息!E:I,4,FALSE)</f>
        <v>柏子刚</v>
      </c>
      <c r="K555" s="41">
        <f>VLOOKUP(J555,辅助信息!H:I,2,FALSE)</f>
        <v>15692885305</v>
      </c>
      <c r="L555" s="79"/>
      <c r="M555" s="92">
        <v>45708</v>
      </c>
      <c r="N555" s="58"/>
      <c r="O555" s="63">
        <f ca="1" t="shared" si="12"/>
        <v>0</v>
      </c>
      <c r="P555" s="63">
        <f ca="1" t="shared" si="13"/>
        <v>251</v>
      </c>
      <c r="Q555" s="27" t="str">
        <f>VLOOKUP(B555,辅助信息!E:M,9,FALSE)</f>
        <v>ZTWM-CDGS-XS-2024-0179-四川商投-射洪城乡一体化建设项目</v>
      </c>
      <c r="R555" s="27"/>
    </row>
    <row r="556" hidden="1" spans="2:18">
      <c r="B556" s="41" t="s">
        <v>31</v>
      </c>
      <c r="C556" s="71">
        <v>45706</v>
      </c>
      <c r="D556" s="41" t="str">
        <f>VLOOKUP(B556,辅助信息!E:K,7,FALSE)</f>
        <v>JWDDCD2024121000136</v>
      </c>
      <c r="E556" s="41" t="str">
        <f>VLOOKUP(F556,辅助信息!A:B,2,FALSE)</f>
        <v>盘螺</v>
      </c>
      <c r="F556" s="41" t="s">
        <v>41</v>
      </c>
      <c r="G556" s="37">
        <v>35</v>
      </c>
      <c r="H556" s="37">
        <f>_xlfn._xlws.FILTER('[1]2025年已发货'!$E:$E,'[1]2025年已发货'!$F:$F&amp;'[1]2025年已发货'!$C:$C&amp;'[1]2025年已发货'!$G:$G&amp;'[1]2025年已发货'!$H:$H=C556&amp;F556&amp;I556&amp;J556,"未发货")</f>
        <v>30</v>
      </c>
      <c r="I556" s="41" t="str">
        <f>VLOOKUP(B556,辅助信息!E:I,3,FALSE)</f>
        <v>（四川商建-射洪城乡一体化项目）遂宁市射洪市忠新幼儿园北侧约220米新溪小区</v>
      </c>
      <c r="J556" s="41" t="str">
        <f>VLOOKUP(B556,辅助信息!E:I,4,FALSE)</f>
        <v>柏子刚</v>
      </c>
      <c r="K556" s="41">
        <f>VLOOKUP(J556,辅助信息!H:I,2,FALSE)</f>
        <v>15692885305</v>
      </c>
      <c r="L556" s="79"/>
      <c r="M556" s="92">
        <v>45708</v>
      </c>
      <c r="N556" s="58"/>
      <c r="O556" s="63">
        <f ca="1" t="shared" si="12"/>
        <v>0</v>
      </c>
      <c r="P556" s="63">
        <f ca="1" t="shared" si="13"/>
        <v>251</v>
      </c>
      <c r="Q556" s="27" t="str">
        <f>VLOOKUP(B556,辅助信息!E:M,9,FALSE)</f>
        <v>ZTWM-CDGS-XS-2024-0179-四川商投-射洪城乡一体化建设项目</v>
      </c>
      <c r="R556" s="27"/>
    </row>
    <row r="557" hidden="1" spans="2:18">
      <c r="B557" s="41" t="s">
        <v>31</v>
      </c>
      <c r="C557" s="71">
        <v>45706</v>
      </c>
      <c r="D557" s="41" t="str">
        <f>VLOOKUP(B557,辅助信息!E:K,7,FALSE)</f>
        <v>JWDDCD2024121000136</v>
      </c>
      <c r="E557" s="41" t="str">
        <f>VLOOKUP(F557,辅助信息!A:B,2,FALSE)</f>
        <v>螺纹钢</v>
      </c>
      <c r="F557" s="41" t="s">
        <v>27</v>
      </c>
      <c r="G557" s="37">
        <v>21</v>
      </c>
      <c r="H557" s="37">
        <f>_xlfn._xlws.FILTER('[1]2025年已发货'!$E:$E,'[1]2025年已发货'!$F:$F&amp;'[1]2025年已发货'!$C:$C&amp;'[1]2025年已发货'!$G:$G&amp;'[1]2025年已发货'!$H:$H=C557&amp;F557&amp;I557&amp;J557,"未发货")</f>
        <v>21</v>
      </c>
      <c r="I557" s="41" t="str">
        <f>VLOOKUP(B557,辅助信息!E:I,3,FALSE)</f>
        <v>（四川商建-射洪城乡一体化项目）遂宁市射洪市忠新幼儿园北侧约220米新溪小区</v>
      </c>
      <c r="J557" s="41" t="str">
        <f>VLOOKUP(B557,辅助信息!E:I,4,FALSE)</f>
        <v>柏子刚</v>
      </c>
      <c r="K557" s="41">
        <f>VLOOKUP(J557,辅助信息!H:I,2,FALSE)</f>
        <v>15692885305</v>
      </c>
      <c r="L557" s="79"/>
      <c r="M557" s="92">
        <v>45708</v>
      </c>
      <c r="N557" s="58"/>
      <c r="O557" s="63">
        <f ca="1" t="shared" si="12"/>
        <v>0</v>
      </c>
      <c r="P557" s="63">
        <f ca="1" t="shared" si="13"/>
        <v>251</v>
      </c>
      <c r="Q557" s="27" t="str">
        <f>VLOOKUP(B557,辅助信息!E:M,9,FALSE)</f>
        <v>ZTWM-CDGS-XS-2024-0179-四川商投-射洪城乡一体化建设项目</v>
      </c>
      <c r="R557" s="27"/>
    </row>
    <row r="558" hidden="1" spans="2:18">
      <c r="B558" s="41" t="s">
        <v>31</v>
      </c>
      <c r="C558" s="71">
        <v>45706</v>
      </c>
      <c r="D558" s="41" t="str">
        <f>VLOOKUP(B558,辅助信息!E:K,7,FALSE)</f>
        <v>JWDDCD2024121000136</v>
      </c>
      <c r="E558" s="41" t="str">
        <f>VLOOKUP(F558,辅助信息!A:B,2,FALSE)</f>
        <v>螺纹钢</v>
      </c>
      <c r="F558" s="41" t="s">
        <v>22</v>
      </c>
      <c r="G558" s="37">
        <v>35</v>
      </c>
      <c r="H558" s="37">
        <f>_xlfn._xlws.FILTER('[1]2025年已发货'!$E:$E,'[1]2025年已发货'!$F:$F&amp;'[1]2025年已发货'!$C:$C&amp;'[1]2025年已发货'!$G:$G&amp;'[1]2025年已发货'!$H:$H=C558&amp;F558&amp;I558&amp;J558,"未发货")</f>
        <v>15</v>
      </c>
      <c r="I558" s="41" t="str">
        <f>VLOOKUP(B558,辅助信息!E:I,3,FALSE)</f>
        <v>（四川商建-射洪城乡一体化项目）遂宁市射洪市忠新幼儿园北侧约220米新溪小区</v>
      </c>
      <c r="J558" s="41" t="str">
        <f>VLOOKUP(B558,辅助信息!E:I,4,FALSE)</f>
        <v>柏子刚</v>
      </c>
      <c r="K558" s="41">
        <f>VLOOKUP(J558,辅助信息!H:I,2,FALSE)</f>
        <v>15692885305</v>
      </c>
      <c r="L558" s="77"/>
      <c r="M558" s="92">
        <v>45708</v>
      </c>
      <c r="N558" s="58"/>
      <c r="O558" s="63">
        <f ca="1" t="shared" si="12"/>
        <v>0</v>
      </c>
      <c r="P558" s="63">
        <f ca="1" t="shared" si="13"/>
        <v>251</v>
      </c>
      <c r="Q558" s="27" t="str">
        <f>VLOOKUP(B558,辅助信息!E:M,9,FALSE)</f>
        <v>ZTWM-CDGS-XS-2024-0179-四川商投-射洪城乡一体化建设项目</v>
      </c>
      <c r="R558" s="27"/>
    </row>
    <row r="559" hidden="1" spans="2:18">
      <c r="B559" s="41" t="s">
        <v>48</v>
      </c>
      <c r="C559" s="71">
        <v>45706</v>
      </c>
      <c r="D559" s="41" t="str">
        <f>VLOOKUP(B559,辅助信息!E:K,7,FALSE)</f>
        <v>ZTWM-CDGS-YL-20240529-006</v>
      </c>
      <c r="E559" s="41" t="str">
        <f>VLOOKUP(F559,辅助信息!A:B,2,FALSE)</f>
        <v>螺纹钢</v>
      </c>
      <c r="F559" s="41" t="s">
        <v>27</v>
      </c>
      <c r="G559" s="37">
        <v>7</v>
      </c>
      <c r="H559" s="37" t="str">
        <f>_xlfn._xlws.FILTER('[1]2025年已发货'!$E:$E,'[1]2025年已发货'!$F:$F&amp;'[1]2025年已发货'!$C:$C&amp;'[1]2025年已发货'!$G:$G&amp;'[1]2025年已发货'!$H:$H=C559&amp;F559&amp;I559&amp;J559,"未发货")</f>
        <v>未发货</v>
      </c>
      <c r="I559" s="41" t="str">
        <f>VLOOKUP(B559,辅助信息!E:I,3,FALSE)</f>
        <v>(华西颐海-科创农业生态谷-1号钢筋房)成都市简阳市白金山水库</v>
      </c>
      <c r="J559" s="41" t="str">
        <f>VLOOKUP(B559,辅助信息!E:I,4,FALSE)</f>
        <v>石清国</v>
      </c>
      <c r="K559" s="41">
        <f>VLOOKUP(J559,辅助信息!H:I,2,FALSE)</f>
        <v>13458642015</v>
      </c>
      <c r="L559" s="44" t="str">
        <f>VLOOKUP(B559,辅助信息!E:J,6,FALSE)</f>
        <v>优先威钢,我方卸车,新老国标钢厂不加价可直发</v>
      </c>
      <c r="M559" s="92">
        <v>45708</v>
      </c>
      <c r="N559" s="58"/>
      <c r="O559" s="63">
        <f ca="1" t="shared" si="12"/>
        <v>0</v>
      </c>
      <c r="P559" s="63">
        <f ca="1" t="shared" si="13"/>
        <v>251</v>
      </c>
      <c r="Q559" s="27" t="str">
        <f>VLOOKUP(B559,辅助信息!E:M,9,FALSE)</f>
        <v>ZTWM-CDGS-XS-2024-0093-华西-颐海科创农业生态谷</v>
      </c>
      <c r="R559" s="27"/>
    </row>
    <row r="560" hidden="1" spans="2:18">
      <c r="B560" s="41" t="s">
        <v>48</v>
      </c>
      <c r="C560" s="71">
        <v>45706</v>
      </c>
      <c r="D560" s="41" t="str">
        <f>VLOOKUP(B560,辅助信息!E:K,7,FALSE)</f>
        <v>ZTWM-CDGS-YL-20240529-006</v>
      </c>
      <c r="E560" s="41" t="str">
        <f>VLOOKUP(F560,辅助信息!A:B,2,FALSE)</f>
        <v>螺纹钢</v>
      </c>
      <c r="F560" s="41" t="s">
        <v>30</v>
      </c>
      <c r="G560" s="37">
        <v>13</v>
      </c>
      <c r="H560" s="37" t="str">
        <f>_xlfn._xlws.FILTER('[1]2025年已发货'!$E:$E,'[1]2025年已发货'!$F:$F&amp;'[1]2025年已发货'!$C:$C&amp;'[1]2025年已发货'!$G:$G&amp;'[1]2025年已发货'!$H:$H=C560&amp;F560&amp;I560&amp;J560,"未发货")</f>
        <v>未发货</v>
      </c>
      <c r="I560" s="41" t="str">
        <f>VLOOKUP(B560,辅助信息!E:I,3,FALSE)</f>
        <v>(华西颐海-科创农业生态谷-1号钢筋房)成都市简阳市白金山水库</v>
      </c>
      <c r="J560" s="41" t="str">
        <f>VLOOKUP(B560,辅助信息!E:I,4,FALSE)</f>
        <v>石清国</v>
      </c>
      <c r="K560" s="41">
        <f>VLOOKUP(J560,辅助信息!H:I,2,FALSE)</f>
        <v>13458642015</v>
      </c>
      <c r="L560" s="79"/>
      <c r="M560" s="92">
        <v>45708</v>
      </c>
      <c r="N560" s="58"/>
      <c r="O560" s="63">
        <f ca="1" t="shared" si="12"/>
        <v>0</v>
      </c>
      <c r="P560" s="63">
        <f ca="1" t="shared" si="13"/>
        <v>251</v>
      </c>
      <c r="Q560" s="27" t="str">
        <f>VLOOKUP(B560,辅助信息!E:M,9,FALSE)</f>
        <v>ZTWM-CDGS-XS-2024-0093-华西-颐海科创农业生态谷</v>
      </c>
      <c r="R560" s="27"/>
    </row>
    <row r="561" hidden="1" spans="2:18">
      <c r="B561" s="41" t="s">
        <v>48</v>
      </c>
      <c r="C561" s="71">
        <v>45706</v>
      </c>
      <c r="D561" s="41" t="str">
        <f>VLOOKUP(B561,辅助信息!E:K,7,FALSE)</f>
        <v>ZTWM-CDGS-YL-20240529-006</v>
      </c>
      <c r="E561" s="41" t="str">
        <f>VLOOKUP(F561,辅助信息!A:B,2,FALSE)</f>
        <v>螺纹钢</v>
      </c>
      <c r="F561" s="41" t="s">
        <v>66</v>
      </c>
      <c r="G561" s="37">
        <v>5</v>
      </c>
      <c r="H561" s="37" t="str">
        <f>_xlfn._xlws.FILTER('[1]2025年已发货'!$E:$E,'[1]2025年已发货'!$F:$F&amp;'[1]2025年已发货'!$C:$C&amp;'[1]2025年已发货'!$G:$G&amp;'[1]2025年已发货'!$H:$H=C561&amp;F561&amp;I561&amp;J561,"未发货")</f>
        <v>未发货</v>
      </c>
      <c r="I561" s="41" t="str">
        <f>VLOOKUP(B561,辅助信息!E:I,3,FALSE)</f>
        <v>(华西颐海-科创农业生态谷-1号钢筋房)成都市简阳市白金山水库</v>
      </c>
      <c r="J561" s="41" t="str">
        <f>VLOOKUP(B561,辅助信息!E:I,4,FALSE)</f>
        <v>石清国</v>
      </c>
      <c r="K561" s="41">
        <f>VLOOKUP(J561,辅助信息!H:I,2,FALSE)</f>
        <v>13458642015</v>
      </c>
      <c r="L561" s="79"/>
      <c r="M561" s="92">
        <v>45708</v>
      </c>
      <c r="N561" s="58"/>
      <c r="O561" s="63">
        <f ca="1" t="shared" si="12"/>
        <v>0</v>
      </c>
      <c r="P561" s="63">
        <f ca="1" t="shared" si="13"/>
        <v>251</v>
      </c>
      <c r="Q561" s="27" t="str">
        <f>VLOOKUP(B561,辅助信息!E:M,9,FALSE)</f>
        <v>ZTWM-CDGS-XS-2024-0093-华西-颐海科创农业生态谷</v>
      </c>
      <c r="R561" s="27"/>
    </row>
    <row r="562" hidden="1" spans="2:18">
      <c r="B562" s="41" t="s">
        <v>48</v>
      </c>
      <c r="C562" s="71">
        <v>45706</v>
      </c>
      <c r="D562" s="41" t="str">
        <f>VLOOKUP(B562,辅助信息!E:K,7,FALSE)</f>
        <v>ZTWM-CDGS-YL-20240529-006</v>
      </c>
      <c r="E562" s="41" t="str">
        <f>VLOOKUP(F562,辅助信息!A:B,2,FALSE)</f>
        <v>螺纹钢</v>
      </c>
      <c r="F562" s="41" t="s">
        <v>82</v>
      </c>
      <c r="G562" s="37">
        <v>8</v>
      </c>
      <c r="H562" s="37" t="str">
        <f>_xlfn._xlws.FILTER('[1]2025年已发货'!$E:$E,'[1]2025年已发货'!$F:$F&amp;'[1]2025年已发货'!$C:$C&amp;'[1]2025年已发货'!$G:$G&amp;'[1]2025年已发货'!$H:$H=C562&amp;F562&amp;I562&amp;J562,"未发货")</f>
        <v>未发货</v>
      </c>
      <c r="I562" s="41" t="str">
        <f>VLOOKUP(B562,辅助信息!E:I,3,FALSE)</f>
        <v>(华西颐海-科创农业生态谷-1号钢筋房)成都市简阳市白金山水库</v>
      </c>
      <c r="J562" s="41" t="str">
        <f>VLOOKUP(B562,辅助信息!E:I,4,FALSE)</f>
        <v>石清国</v>
      </c>
      <c r="K562" s="41">
        <f>VLOOKUP(J562,辅助信息!H:I,2,FALSE)</f>
        <v>13458642015</v>
      </c>
      <c r="L562" s="79"/>
      <c r="M562" s="92">
        <v>45708</v>
      </c>
      <c r="N562" s="58"/>
      <c r="O562" s="63">
        <f ca="1" t="shared" si="12"/>
        <v>0</v>
      </c>
      <c r="P562" s="63">
        <f ca="1" t="shared" si="13"/>
        <v>251</v>
      </c>
      <c r="Q562" s="27" t="str">
        <f>VLOOKUP(B562,辅助信息!E:M,9,FALSE)</f>
        <v>ZTWM-CDGS-XS-2024-0093-华西-颐海科创农业生态谷</v>
      </c>
      <c r="R562" s="27"/>
    </row>
    <row r="563" hidden="1" spans="2:18">
      <c r="B563" s="41" t="s">
        <v>48</v>
      </c>
      <c r="C563" s="71">
        <v>45706</v>
      </c>
      <c r="D563" s="41" t="str">
        <f>VLOOKUP(B563,辅助信息!E:K,7,FALSE)</f>
        <v>ZTWM-CDGS-YL-20240529-006</v>
      </c>
      <c r="E563" s="41" t="str">
        <f>VLOOKUP(F563,辅助信息!A:B,2,FALSE)</f>
        <v>螺纹钢</v>
      </c>
      <c r="F563" s="41" t="s">
        <v>21</v>
      </c>
      <c r="G563" s="37">
        <v>5</v>
      </c>
      <c r="H563" s="37" t="str">
        <f>_xlfn._xlws.FILTER('[1]2025年已发货'!$E:$E,'[1]2025年已发货'!$F:$F&amp;'[1]2025年已发货'!$C:$C&amp;'[1]2025年已发货'!$G:$G&amp;'[1]2025年已发货'!$H:$H=C563&amp;F563&amp;I563&amp;J563,"未发货")</f>
        <v>未发货</v>
      </c>
      <c r="I563" s="41" t="str">
        <f>VLOOKUP(B563,辅助信息!E:I,3,FALSE)</f>
        <v>(华西颐海-科创农业生态谷-1号钢筋房)成都市简阳市白金山水库</v>
      </c>
      <c r="J563" s="41" t="str">
        <f>VLOOKUP(B563,辅助信息!E:I,4,FALSE)</f>
        <v>石清国</v>
      </c>
      <c r="K563" s="41">
        <f>VLOOKUP(J563,辅助信息!H:I,2,FALSE)</f>
        <v>13458642015</v>
      </c>
      <c r="L563" s="77"/>
      <c r="M563" s="92">
        <v>45708</v>
      </c>
      <c r="N563" s="58"/>
      <c r="O563" s="63">
        <f ca="1" t="shared" si="12"/>
        <v>0</v>
      </c>
      <c r="P563" s="63">
        <f ca="1" t="shared" si="13"/>
        <v>251</v>
      </c>
      <c r="Q563" s="27" t="str">
        <f>VLOOKUP(B563,辅助信息!E:M,9,FALSE)</f>
        <v>ZTWM-CDGS-XS-2024-0093-华西-颐海科创农业生态谷</v>
      </c>
      <c r="R563" s="27"/>
    </row>
    <row r="564" hidden="1" spans="1:18">
      <c r="A564" s="27"/>
      <c r="B564" s="41" t="s">
        <v>29</v>
      </c>
      <c r="C564" s="71">
        <v>45707</v>
      </c>
      <c r="D564" s="41" t="e">
        <f>VLOOKUP(B564,辅助信息!E:K,7,FALSE)</f>
        <v>#N/A</v>
      </c>
      <c r="E564" s="41" t="str">
        <f>VLOOKUP(F564,辅助信息!A:B,2,FALSE)</f>
        <v>螺纹钢</v>
      </c>
      <c r="F564" s="41" t="s">
        <v>27</v>
      </c>
      <c r="G564" s="41">
        <v>15</v>
      </c>
      <c r="H564" s="41" t="e">
        <f>_xlfn._xlws.FILTER('[1]2025年已发货'!$E:$E,'[1]2025年已发货'!$F:$F&amp;'[1]2025年已发货'!$C:$C&amp;'[1]2025年已发货'!$G:$G&amp;'[1]2025年已发货'!$H:$H=C564&amp;F564&amp;I564&amp;J564,"未发货")</f>
        <v>#N/A</v>
      </c>
      <c r="I564" s="41" t="e">
        <f>VLOOKUP(B564,辅助信息!E:I,3,FALSE)</f>
        <v>#N/A</v>
      </c>
      <c r="J564" s="41" t="e">
        <f>VLOOKUP(B564,辅助信息!E:I,4,FALSE)</f>
        <v>#N/A</v>
      </c>
      <c r="K564" s="41" t="e">
        <f>VLOOKUP(J564,辅助信息!H:I,2,FALSE)</f>
        <v>#N/A</v>
      </c>
      <c r="L564" s="44" t="e">
        <f>VLOOKUP(B564,辅助信息!E:J,6,FALSE)</f>
        <v>#N/A</v>
      </c>
      <c r="M564" s="96">
        <v>45705</v>
      </c>
      <c r="N564" s="27"/>
      <c r="O564" s="27">
        <f ca="1" t="shared" si="12"/>
        <v>0</v>
      </c>
      <c r="P564" s="27">
        <f ca="1" t="shared" si="13"/>
        <v>254</v>
      </c>
      <c r="Q564" s="27" t="e">
        <f>VLOOKUP(B564,辅助信息!E:M,9,FALSE)</f>
        <v>#N/A</v>
      </c>
      <c r="R564" s="27"/>
    </row>
    <row r="565" hidden="1" spans="1:18">
      <c r="A565" s="27"/>
      <c r="B565" s="41" t="s">
        <v>29</v>
      </c>
      <c r="C565" s="71">
        <v>45707</v>
      </c>
      <c r="D565" s="41" t="e">
        <f>VLOOKUP(B565,辅助信息!E:K,7,FALSE)</f>
        <v>#N/A</v>
      </c>
      <c r="E565" s="41" t="str">
        <f>VLOOKUP(F565,辅助信息!A:B,2,FALSE)</f>
        <v>螺纹钢</v>
      </c>
      <c r="F565" s="41" t="s">
        <v>32</v>
      </c>
      <c r="G565" s="41">
        <v>20</v>
      </c>
      <c r="H565" s="41" t="e">
        <f>_xlfn._xlws.FILTER('[1]2025年已发货'!$E:$E,'[1]2025年已发货'!$F:$F&amp;'[1]2025年已发货'!$C:$C&amp;'[1]2025年已发货'!$G:$G&amp;'[1]2025年已发货'!$H:$H=C565&amp;F565&amp;I565&amp;J565,"未发货")</f>
        <v>#N/A</v>
      </c>
      <c r="I565" s="41" t="e">
        <f>VLOOKUP(B565,辅助信息!E:I,3,FALSE)</f>
        <v>#N/A</v>
      </c>
      <c r="J565" s="41" t="e">
        <f>VLOOKUP(B565,辅助信息!E:I,4,FALSE)</f>
        <v>#N/A</v>
      </c>
      <c r="K565" s="41" t="e">
        <f>VLOOKUP(J565,辅助信息!H:I,2,FALSE)</f>
        <v>#N/A</v>
      </c>
      <c r="L565" s="79"/>
      <c r="M565" s="96">
        <v>45705</v>
      </c>
      <c r="N565" s="27"/>
      <c r="O565" s="27">
        <f ca="1" t="shared" si="12"/>
        <v>0</v>
      </c>
      <c r="P565" s="27">
        <f ca="1" t="shared" si="13"/>
        <v>254</v>
      </c>
      <c r="Q565" s="27" t="e">
        <f>VLOOKUP(B565,辅助信息!E:M,9,FALSE)</f>
        <v>#N/A</v>
      </c>
      <c r="R565" s="27"/>
    </row>
    <row r="566" hidden="1" spans="1:18">
      <c r="A566" s="27"/>
      <c r="B566" s="41" t="s">
        <v>29</v>
      </c>
      <c r="C566" s="71">
        <v>45707</v>
      </c>
      <c r="D566" s="41" t="e">
        <f>VLOOKUP(B566,辅助信息!E:K,7,FALSE)</f>
        <v>#N/A</v>
      </c>
      <c r="E566" s="41" t="str">
        <f>VLOOKUP(F566,辅助信息!A:B,2,FALSE)</f>
        <v>螺纹钢</v>
      </c>
      <c r="F566" s="41" t="s">
        <v>30</v>
      </c>
      <c r="G566" s="41">
        <v>35</v>
      </c>
      <c r="H566" s="41" t="e">
        <f>_xlfn._xlws.FILTER('[1]2025年已发货'!$E:$E,'[1]2025年已发货'!$F:$F&amp;'[1]2025年已发货'!$C:$C&amp;'[1]2025年已发货'!$G:$G&amp;'[1]2025年已发货'!$H:$H=C566&amp;F566&amp;I566&amp;J566,"未发货")</f>
        <v>#N/A</v>
      </c>
      <c r="I566" s="41" t="e">
        <f>VLOOKUP(B566,辅助信息!E:I,3,FALSE)</f>
        <v>#N/A</v>
      </c>
      <c r="J566" s="41" t="e">
        <f>VLOOKUP(B566,辅助信息!E:I,4,FALSE)</f>
        <v>#N/A</v>
      </c>
      <c r="K566" s="41" t="e">
        <f>VLOOKUP(J566,辅助信息!H:I,2,FALSE)</f>
        <v>#N/A</v>
      </c>
      <c r="L566" s="77"/>
      <c r="M566" s="96">
        <v>45705</v>
      </c>
      <c r="N566" s="27"/>
      <c r="O566" s="27">
        <f ca="1" t="shared" si="12"/>
        <v>0</v>
      </c>
      <c r="P566" s="27">
        <f ca="1" t="shared" si="13"/>
        <v>254</v>
      </c>
      <c r="Q566" s="27" t="e">
        <f>VLOOKUP(B566,辅助信息!E:M,9,FALSE)</f>
        <v>#N/A</v>
      </c>
      <c r="R566" s="27"/>
    </row>
    <row r="567" ht="60" hidden="1" customHeight="1" spans="1:18">
      <c r="A567" s="97" t="s">
        <v>95</v>
      </c>
      <c r="B567" s="41" t="s">
        <v>78</v>
      </c>
      <c r="C567" s="71">
        <v>45707</v>
      </c>
      <c r="D567" s="41" t="e">
        <f>VLOOKUP(B567,辅助信息!E:K,7,FALSE)</f>
        <v>#N/A</v>
      </c>
      <c r="E567" s="41" t="str">
        <f>VLOOKUP(F567,辅助信息!A:B,2,FALSE)</f>
        <v>螺纹钢</v>
      </c>
      <c r="F567" s="41" t="s">
        <v>33</v>
      </c>
      <c r="G567" s="41">
        <v>35</v>
      </c>
      <c r="H567" s="41" t="e">
        <f>_xlfn._xlws.FILTER('[1]2025年已发货'!$E:$E,'[1]2025年已发货'!$F:$F&amp;'[1]2025年已发货'!$C:$C&amp;'[1]2025年已发货'!$G:$G&amp;'[1]2025年已发货'!$H:$H=C567&amp;F567&amp;I567&amp;J567,"未发货")</f>
        <v>#N/A</v>
      </c>
      <c r="I567" s="41" t="e">
        <f>VLOOKUP(B567,辅助信息!E:I,3,FALSE)</f>
        <v>#N/A</v>
      </c>
      <c r="J567" s="41" t="e">
        <f>VLOOKUP(B567,辅助信息!E:I,4,FALSE)</f>
        <v>#N/A</v>
      </c>
      <c r="K567" s="41" t="e">
        <f>VLOOKUP(J567,辅助信息!H:I,2,FALSE)</f>
        <v>#N/A</v>
      </c>
      <c r="L567" s="44" t="e">
        <f>VLOOKUP(B567,辅助信息!E:J,6,FALSE)</f>
        <v>#N/A</v>
      </c>
      <c r="M567" s="96">
        <v>45705</v>
      </c>
      <c r="N567" s="27"/>
      <c r="O567" s="27">
        <f ca="1" t="shared" si="12"/>
        <v>0</v>
      </c>
      <c r="P567" s="27">
        <f ca="1" t="shared" si="13"/>
        <v>254</v>
      </c>
      <c r="Q567" s="27" t="e">
        <f>VLOOKUP(B567,辅助信息!E:M,9,FALSE)</f>
        <v>#N/A</v>
      </c>
      <c r="R567" s="27"/>
    </row>
    <row r="568" ht="36" hidden="1" customHeight="1" spans="1:18">
      <c r="A568" s="97" t="s">
        <v>95</v>
      </c>
      <c r="B568" s="41" t="s">
        <v>69</v>
      </c>
      <c r="C568" s="71">
        <v>45707</v>
      </c>
      <c r="D568" s="41" t="str">
        <f>VLOOKUP(B568,辅助信息!E:K,7,FALSE)</f>
        <v>JWDDCD2025052800131</v>
      </c>
      <c r="E568" s="41" t="str">
        <f>VLOOKUP(F568,辅助信息!A:B,2,FALSE)</f>
        <v>螺纹钢</v>
      </c>
      <c r="F568" s="41" t="s">
        <v>21</v>
      </c>
      <c r="G568" s="41">
        <v>35</v>
      </c>
      <c r="H568" s="41" t="str">
        <f>_xlfn._xlws.FILTER('[1]2025年已发货'!$E:$E,'[1]2025年已发货'!$F:$F&amp;'[1]2025年已发货'!$C:$C&amp;'[1]2025年已发货'!$G:$G&amp;'[1]2025年已发货'!$H:$H=C568&amp;F568&amp;I568&amp;J568,"未发货")</f>
        <v>未发货</v>
      </c>
      <c r="I568" s="41" t="str">
        <f>VLOOKUP(B568,辅助信息!E:I,3,FALSE)</f>
        <v>（商投建工达州中医药科技园-4工区-2号楼）达州市通川区达州中医药职业学院犀牛大道北段</v>
      </c>
      <c r="J568" s="41" t="str">
        <f>VLOOKUP(B568,辅助信息!E:I,4,FALSE)</f>
        <v>张扬</v>
      </c>
      <c r="K568" s="41">
        <f>VLOOKUP(J568,辅助信息!H:I,2,FALSE)</f>
        <v>18381904567</v>
      </c>
      <c r="L568" s="44" t="str">
        <f>VLOOKUP(B568,辅助信息!E:J,6,FALSE)</f>
        <v>控制炉批号！多了现场不收！,优先安排达钢,提前联系到场规格及数量</v>
      </c>
      <c r="M568" s="96">
        <v>45704</v>
      </c>
      <c r="N568" s="27"/>
      <c r="O568" s="27">
        <f ca="1" t="shared" si="12"/>
        <v>0</v>
      </c>
      <c r="P568" s="27">
        <f ca="1" t="shared" si="13"/>
        <v>255</v>
      </c>
      <c r="Q568" s="27" t="str">
        <f>VLOOKUP(B568,辅助信息!E:M,9,FALSE)</f>
        <v>ZTWM-CDGS-XS-2024-0134-商投建工达州中医药科技成果示范园项目</v>
      </c>
      <c r="R568" s="27"/>
    </row>
    <row r="569" hidden="1" spans="1:18">
      <c r="A569" s="27"/>
      <c r="B569" s="41" t="s">
        <v>84</v>
      </c>
      <c r="C569" s="71">
        <v>45707</v>
      </c>
      <c r="D569" s="41" t="e">
        <f>VLOOKUP(B569,辅助信息!E:K,7,FALSE)</f>
        <v>#N/A</v>
      </c>
      <c r="E569" s="41" t="str">
        <f>VLOOKUP(F569,辅助信息!A:B,2,FALSE)</f>
        <v>螺纹钢</v>
      </c>
      <c r="F569" s="41" t="s">
        <v>27</v>
      </c>
      <c r="G569" s="41">
        <v>8</v>
      </c>
      <c r="H569" s="41" t="e">
        <f>_xlfn._xlws.FILTER('[1]2025年已发货'!$E:$E,'[1]2025年已发货'!$F:$F&amp;'[1]2025年已发货'!$C:$C&amp;'[1]2025年已发货'!$G:$G&amp;'[1]2025年已发货'!$H:$H=C569&amp;F569&amp;I569&amp;J569,"未发货")</f>
        <v>#N/A</v>
      </c>
      <c r="I569" s="41" t="e">
        <f>VLOOKUP(B569,辅助信息!E:I,3,FALSE)</f>
        <v>#N/A</v>
      </c>
      <c r="J569" s="41" t="e">
        <f>VLOOKUP(B569,辅助信息!E:I,4,FALSE)</f>
        <v>#N/A</v>
      </c>
      <c r="K569" s="41" t="e">
        <f>VLOOKUP(J569,辅助信息!H:I,2,FALSE)</f>
        <v>#N/A</v>
      </c>
      <c r="L569" s="44" t="e">
        <f>VLOOKUP(B569,辅助信息!E:J,6,FALSE)</f>
        <v>#N/A</v>
      </c>
      <c r="M569" s="96">
        <v>45705</v>
      </c>
      <c r="N569" s="27"/>
      <c r="O569" s="27">
        <f ca="1" t="shared" si="12"/>
        <v>0</v>
      </c>
      <c r="P569" s="27">
        <f ca="1" t="shared" si="13"/>
        <v>254</v>
      </c>
      <c r="Q569" s="27" t="e">
        <f>VLOOKUP(B569,辅助信息!E:M,9,FALSE)</f>
        <v>#N/A</v>
      </c>
      <c r="R569" s="27"/>
    </row>
    <row r="570" hidden="1" spans="1:18">
      <c r="A570" s="27"/>
      <c r="B570" s="41" t="s">
        <v>84</v>
      </c>
      <c r="C570" s="71">
        <v>45707</v>
      </c>
      <c r="D570" s="41" t="e">
        <f>VLOOKUP(B570,辅助信息!E:K,7,FALSE)</f>
        <v>#N/A</v>
      </c>
      <c r="E570" s="41" t="str">
        <f>VLOOKUP(F570,辅助信息!A:B,2,FALSE)</f>
        <v>螺纹钢</v>
      </c>
      <c r="F570" s="41" t="s">
        <v>33</v>
      </c>
      <c r="G570" s="41">
        <v>8</v>
      </c>
      <c r="H570" s="41" t="e">
        <f>_xlfn._xlws.FILTER('[1]2025年已发货'!$E:$E,'[1]2025年已发货'!$F:$F&amp;'[1]2025年已发货'!$C:$C&amp;'[1]2025年已发货'!$G:$G&amp;'[1]2025年已发货'!$H:$H=C570&amp;F570&amp;I570&amp;J570,"未发货")</f>
        <v>#N/A</v>
      </c>
      <c r="I570" s="41" t="e">
        <f>VLOOKUP(B570,辅助信息!E:I,3,FALSE)</f>
        <v>#N/A</v>
      </c>
      <c r="J570" s="41" t="e">
        <f>VLOOKUP(B570,辅助信息!E:I,4,FALSE)</f>
        <v>#N/A</v>
      </c>
      <c r="K570" s="41" t="e">
        <f>VLOOKUP(J570,辅助信息!H:I,2,FALSE)</f>
        <v>#N/A</v>
      </c>
      <c r="L570" s="79"/>
      <c r="M570" s="96">
        <v>45705</v>
      </c>
      <c r="N570" s="27"/>
      <c r="O570" s="27">
        <f ca="1" t="shared" si="12"/>
        <v>0</v>
      </c>
      <c r="P570" s="27">
        <f ca="1" t="shared" si="13"/>
        <v>254</v>
      </c>
      <c r="Q570" s="27" t="e">
        <f>VLOOKUP(B570,辅助信息!E:M,9,FALSE)</f>
        <v>#N/A</v>
      </c>
      <c r="R570" s="27"/>
    </row>
    <row r="571" hidden="1" spans="1:18">
      <c r="A571" s="27"/>
      <c r="B571" s="41" t="s">
        <v>84</v>
      </c>
      <c r="C571" s="71">
        <v>45707</v>
      </c>
      <c r="D571" s="41" t="e">
        <f>VLOOKUP(B571,辅助信息!E:K,7,FALSE)</f>
        <v>#N/A</v>
      </c>
      <c r="E571" s="41" t="str">
        <f>VLOOKUP(F571,辅助信息!A:B,2,FALSE)</f>
        <v>螺纹钢</v>
      </c>
      <c r="F571" s="41" t="s">
        <v>18</v>
      </c>
      <c r="G571" s="41">
        <v>12</v>
      </c>
      <c r="H571" s="41" t="e">
        <f>_xlfn._xlws.FILTER('[1]2025年已发货'!$E:$E,'[1]2025年已发货'!$F:$F&amp;'[1]2025年已发货'!$C:$C&amp;'[1]2025年已发货'!$G:$G&amp;'[1]2025年已发货'!$H:$H=C571&amp;F571&amp;I571&amp;J571,"未发货")</f>
        <v>#N/A</v>
      </c>
      <c r="I571" s="41" t="e">
        <f>VLOOKUP(B571,辅助信息!E:I,3,FALSE)</f>
        <v>#N/A</v>
      </c>
      <c r="J571" s="41" t="e">
        <f>VLOOKUP(B571,辅助信息!E:I,4,FALSE)</f>
        <v>#N/A</v>
      </c>
      <c r="K571" s="41" t="e">
        <f>VLOOKUP(J571,辅助信息!H:I,2,FALSE)</f>
        <v>#N/A</v>
      </c>
      <c r="L571" s="79"/>
      <c r="M571" s="96">
        <v>45705</v>
      </c>
      <c r="N571" s="27"/>
      <c r="O571" s="27">
        <f ca="1" t="shared" si="12"/>
        <v>0</v>
      </c>
      <c r="P571" s="27">
        <v>3</v>
      </c>
      <c r="Q571" s="27" t="e">
        <f>VLOOKUP(B571,辅助信息!E:M,9,FALSE)</f>
        <v>#N/A</v>
      </c>
      <c r="R571" s="27"/>
    </row>
    <row r="572" hidden="1" spans="1:18">
      <c r="A572" s="27"/>
      <c r="B572" s="41" t="s">
        <v>84</v>
      </c>
      <c r="C572" s="71">
        <v>45707</v>
      </c>
      <c r="D572" s="41" t="e">
        <f>VLOOKUP(B572,辅助信息!E:K,7,FALSE)</f>
        <v>#N/A</v>
      </c>
      <c r="E572" s="41" t="str">
        <f>VLOOKUP(F572,辅助信息!A:B,2,FALSE)</f>
        <v>高线</v>
      </c>
      <c r="F572" s="41" t="s">
        <v>51</v>
      </c>
      <c r="G572" s="41">
        <v>5</v>
      </c>
      <c r="H572" s="41" t="e">
        <f>_xlfn._xlws.FILTER('[1]2025年已发货'!$E:$E,'[1]2025年已发货'!$F:$F&amp;'[1]2025年已发货'!$C:$C&amp;'[1]2025年已发货'!$G:$G&amp;'[1]2025年已发货'!$H:$H=C572&amp;F572&amp;I572&amp;J572,"未发货")</f>
        <v>#N/A</v>
      </c>
      <c r="I572" s="41" t="e">
        <f>VLOOKUP(B572,辅助信息!E:I,3,FALSE)</f>
        <v>#N/A</v>
      </c>
      <c r="J572" s="41" t="e">
        <f>VLOOKUP(B572,辅助信息!E:I,4,FALSE)</f>
        <v>#N/A</v>
      </c>
      <c r="K572" s="41" t="e">
        <f>VLOOKUP(J572,辅助信息!H:I,2,FALSE)</f>
        <v>#N/A</v>
      </c>
      <c r="L572" s="77"/>
      <c r="M572" s="96">
        <v>45705</v>
      </c>
      <c r="N572" s="27"/>
      <c r="O572" s="27">
        <f ca="1" t="shared" si="12"/>
        <v>0</v>
      </c>
      <c r="P572" s="27">
        <v>3</v>
      </c>
      <c r="Q572" s="27"/>
      <c r="R572" s="27"/>
    </row>
    <row r="573" ht="60" hidden="1" customHeight="1" spans="1:18">
      <c r="A573" s="97" t="s">
        <v>95</v>
      </c>
      <c r="B573" s="41" t="s">
        <v>75</v>
      </c>
      <c r="C573" s="71">
        <v>45707</v>
      </c>
      <c r="D573" s="41" t="e">
        <f>VLOOKUP(B573,辅助信息!E:K,7,FALSE)</f>
        <v>#N/A</v>
      </c>
      <c r="E573" s="41" t="str">
        <f>VLOOKUP(F573,辅助信息!A:B,2,FALSE)</f>
        <v>螺纹钢</v>
      </c>
      <c r="F573" s="41" t="s">
        <v>65</v>
      </c>
      <c r="G573" s="41">
        <v>35</v>
      </c>
      <c r="H573" s="41" t="e">
        <f>_xlfn._xlws.FILTER('[1]2025年已发货'!$E:$E,'[1]2025年已发货'!$F:$F&amp;'[1]2025年已发货'!$C:$C&amp;'[1]2025年已发货'!$G:$G&amp;'[1]2025年已发货'!$H:$H=C573&amp;F573&amp;I573&amp;J573,"未发货")</f>
        <v>#N/A</v>
      </c>
      <c r="I573" s="41" t="e">
        <f>VLOOKUP(B573,辅助信息!E:I,3,FALSE)</f>
        <v>#N/A</v>
      </c>
      <c r="J573" s="41" t="e">
        <f>VLOOKUP(B573,辅助信息!E:I,4,FALSE)</f>
        <v>#N/A</v>
      </c>
      <c r="K573" s="41" t="e">
        <f>VLOOKUP(J573,辅助信息!H:I,2,FALSE)</f>
        <v>#N/A</v>
      </c>
      <c r="L573" s="44" t="e">
        <f>VLOOKUP(B573,辅助信息!E:J,6,FALSE)</f>
        <v>#N/A</v>
      </c>
      <c r="M573" s="96">
        <v>45709</v>
      </c>
      <c r="N573" s="27"/>
      <c r="O573" s="27">
        <f ca="1" t="shared" si="12"/>
        <v>0</v>
      </c>
      <c r="P573" s="27">
        <f ca="1" t="shared" ref="P573:P624" si="14">IF(M573="","",IF(N573&lt;&gt;"",MAX(N573-M573,0),IF(TODAY()&gt;M573,TODAY()-M573,0)))</f>
        <v>250</v>
      </c>
      <c r="Q573" s="27" t="e">
        <f>VLOOKUP(B573,辅助信息!E:M,9,FALSE)</f>
        <v>#N/A</v>
      </c>
      <c r="R573" s="27"/>
    </row>
    <row r="574" hidden="1" spans="1:18">
      <c r="A574" s="27"/>
      <c r="B574" s="41" t="s">
        <v>87</v>
      </c>
      <c r="C574" s="71">
        <v>45707</v>
      </c>
      <c r="D574" s="41" t="e">
        <f>VLOOKUP(B574,辅助信息!E:K,7,FALSE)</f>
        <v>#N/A</v>
      </c>
      <c r="E574" s="41" t="str">
        <f>VLOOKUP(F574,辅助信息!A:B,2,FALSE)</f>
        <v>螺纹钢</v>
      </c>
      <c r="F574" s="41" t="s">
        <v>27</v>
      </c>
      <c r="G574" s="41">
        <v>8</v>
      </c>
      <c r="H574" s="41" t="e">
        <f>_xlfn._xlws.FILTER('[1]2025年已发货'!$E:$E,'[1]2025年已发货'!$F:$F&amp;'[1]2025年已发货'!$C:$C&amp;'[1]2025年已发货'!$G:$G&amp;'[1]2025年已发货'!$H:$H=C574&amp;F574&amp;I574&amp;J574,"未发货")</f>
        <v>#N/A</v>
      </c>
      <c r="I574" s="41" t="e">
        <f>VLOOKUP(B574,辅助信息!E:I,3,FALSE)</f>
        <v>#N/A</v>
      </c>
      <c r="J574" s="41" t="e">
        <f>VLOOKUP(B574,辅助信息!E:I,4,FALSE)</f>
        <v>#N/A</v>
      </c>
      <c r="K574" s="41" t="e">
        <f>VLOOKUP(J574,辅助信息!H:I,2,FALSE)</f>
        <v>#N/A</v>
      </c>
      <c r="L574" s="44" t="e">
        <f>VLOOKUP(B574,辅助信息!E:J,6,FALSE)</f>
        <v>#N/A</v>
      </c>
      <c r="M574" s="96">
        <v>45706</v>
      </c>
      <c r="N574" s="27"/>
      <c r="O574" s="27">
        <f ca="1" t="shared" si="12"/>
        <v>0</v>
      </c>
      <c r="P574" s="27">
        <f ca="1" t="shared" si="14"/>
        <v>253</v>
      </c>
      <c r="Q574" s="27" t="e">
        <f>VLOOKUP(B574,辅助信息!E:M,9,FALSE)</f>
        <v>#N/A</v>
      </c>
      <c r="R574" s="27"/>
    </row>
    <row r="575" hidden="1" spans="1:18">
      <c r="A575" s="27"/>
      <c r="B575" s="41" t="s">
        <v>87</v>
      </c>
      <c r="C575" s="71">
        <v>45707</v>
      </c>
      <c r="D575" s="41" t="e">
        <f>VLOOKUP(B575,辅助信息!E:K,7,FALSE)</f>
        <v>#N/A</v>
      </c>
      <c r="E575" s="41" t="str">
        <f>VLOOKUP(F575,辅助信息!A:B,2,FALSE)</f>
        <v>螺纹钢</v>
      </c>
      <c r="F575" s="41" t="s">
        <v>65</v>
      </c>
      <c r="G575" s="41">
        <v>27</v>
      </c>
      <c r="H575" s="41" t="e">
        <f>_xlfn._xlws.FILTER('[1]2025年已发货'!$E:$E,'[1]2025年已发货'!$F:$F&amp;'[1]2025年已发货'!$C:$C&amp;'[1]2025年已发货'!$G:$G&amp;'[1]2025年已发货'!$H:$H=C575&amp;F575&amp;I575&amp;J575,"未发货")</f>
        <v>#N/A</v>
      </c>
      <c r="I575" s="41" t="e">
        <f>VLOOKUP(B575,辅助信息!E:I,3,FALSE)</f>
        <v>#N/A</v>
      </c>
      <c r="J575" s="41" t="e">
        <f>VLOOKUP(B575,辅助信息!E:I,4,FALSE)</f>
        <v>#N/A</v>
      </c>
      <c r="K575" s="41" t="e">
        <f>VLOOKUP(J575,辅助信息!H:I,2,FALSE)</f>
        <v>#N/A</v>
      </c>
      <c r="L575" s="77"/>
      <c r="M575" s="96">
        <v>45706</v>
      </c>
      <c r="N575" s="27"/>
      <c r="O575" s="27">
        <f ca="1" t="shared" si="12"/>
        <v>0</v>
      </c>
      <c r="P575" s="27">
        <f ca="1" t="shared" si="14"/>
        <v>253</v>
      </c>
      <c r="Q575" s="27" t="e">
        <f>VLOOKUP(B575,辅助信息!E:M,9,FALSE)</f>
        <v>#N/A</v>
      </c>
      <c r="R575" s="27"/>
    </row>
    <row r="576" hidden="1" spans="1:18">
      <c r="A576" s="27"/>
      <c r="B576" s="41" t="s">
        <v>74</v>
      </c>
      <c r="C576" s="71">
        <v>45707</v>
      </c>
      <c r="D576" s="41" t="e">
        <f>VLOOKUP(B576,辅助信息!E:K,7,FALSE)</f>
        <v>#N/A</v>
      </c>
      <c r="E576" s="41" t="str">
        <f>VLOOKUP(F576,辅助信息!A:B,2,FALSE)</f>
        <v>螺纹钢</v>
      </c>
      <c r="F576" s="41" t="s">
        <v>19</v>
      </c>
      <c r="G576" s="41">
        <v>12</v>
      </c>
      <c r="H576" s="41" t="e">
        <f>_xlfn._xlws.FILTER('[1]2025年已发货'!$E:$E,'[1]2025年已发货'!$F:$F&amp;'[1]2025年已发货'!$C:$C&amp;'[1]2025年已发货'!$G:$G&amp;'[1]2025年已发货'!$H:$H=C576&amp;F576&amp;I576&amp;J576,"未发货")</f>
        <v>#N/A</v>
      </c>
      <c r="I576" s="41" t="e">
        <f>VLOOKUP(B576,辅助信息!E:I,3,FALSE)</f>
        <v>#N/A</v>
      </c>
      <c r="J576" s="41" t="e">
        <f>VLOOKUP(B576,辅助信息!E:I,4,FALSE)</f>
        <v>#N/A</v>
      </c>
      <c r="K576" s="41" t="e">
        <f>VLOOKUP(J576,辅助信息!H:I,2,FALSE)</f>
        <v>#N/A</v>
      </c>
      <c r="L576" s="44" t="e">
        <f>VLOOKUP(B576,辅助信息!E:J,6,FALSE)</f>
        <v>#N/A</v>
      </c>
      <c r="M576" s="96">
        <v>45711</v>
      </c>
      <c r="N576" s="27"/>
      <c r="O576" s="27">
        <f ca="1" t="shared" si="12"/>
        <v>0</v>
      </c>
      <c r="P576" s="27">
        <f ca="1" t="shared" si="14"/>
        <v>248</v>
      </c>
      <c r="Q576" s="27" t="e">
        <f>VLOOKUP(B576,辅助信息!E:M,9,FALSE)</f>
        <v>#N/A</v>
      </c>
      <c r="R576" s="27"/>
    </row>
    <row r="577" hidden="1" spans="1:18">
      <c r="A577" s="27"/>
      <c r="B577" s="41" t="s">
        <v>74</v>
      </c>
      <c r="C577" s="71">
        <v>45707</v>
      </c>
      <c r="D577" s="41" t="e">
        <f>VLOOKUP(B577,辅助信息!E:K,7,FALSE)</f>
        <v>#N/A</v>
      </c>
      <c r="E577" s="41" t="str">
        <f>VLOOKUP(F577,辅助信息!A:B,2,FALSE)</f>
        <v>螺纹钢</v>
      </c>
      <c r="F577" s="41" t="s">
        <v>33</v>
      </c>
      <c r="G577" s="41">
        <v>12</v>
      </c>
      <c r="H577" s="41" t="e">
        <f>_xlfn._xlws.FILTER('[1]2025年已发货'!$E:$E,'[1]2025年已发货'!$F:$F&amp;'[1]2025年已发货'!$C:$C&amp;'[1]2025年已发货'!$G:$G&amp;'[1]2025年已发货'!$H:$H=C577&amp;F577&amp;I577&amp;J577,"未发货")</f>
        <v>#N/A</v>
      </c>
      <c r="I577" s="41" t="e">
        <f>VLOOKUP(B577,辅助信息!E:I,3,FALSE)</f>
        <v>#N/A</v>
      </c>
      <c r="J577" s="41" t="e">
        <f>VLOOKUP(B577,辅助信息!E:I,4,FALSE)</f>
        <v>#N/A</v>
      </c>
      <c r="K577" s="41" t="e">
        <f>VLOOKUP(J577,辅助信息!H:I,2,FALSE)</f>
        <v>#N/A</v>
      </c>
      <c r="L577" s="79"/>
      <c r="M577" s="96">
        <v>45711</v>
      </c>
      <c r="N577" s="27"/>
      <c r="O577" s="27">
        <f ca="1" t="shared" si="12"/>
        <v>0</v>
      </c>
      <c r="P577" s="27">
        <f ca="1" t="shared" si="14"/>
        <v>248</v>
      </c>
      <c r="Q577" s="27" t="e">
        <f>VLOOKUP(B577,辅助信息!E:M,9,FALSE)</f>
        <v>#N/A</v>
      </c>
      <c r="R577" s="27"/>
    </row>
    <row r="578" hidden="1" spans="1:18">
      <c r="A578" s="27"/>
      <c r="B578" s="41" t="s">
        <v>74</v>
      </c>
      <c r="C578" s="71">
        <v>45707</v>
      </c>
      <c r="D578" s="41" t="e">
        <f>VLOOKUP(B578,辅助信息!E:K,7,FALSE)</f>
        <v>#N/A</v>
      </c>
      <c r="E578" s="41" t="str">
        <f>VLOOKUP(F578,辅助信息!A:B,2,FALSE)</f>
        <v>螺纹钢</v>
      </c>
      <c r="F578" s="41" t="s">
        <v>28</v>
      </c>
      <c r="G578" s="41">
        <v>12</v>
      </c>
      <c r="H578" s="41" t="e">
        <f>_xlfn._xlws.FILTER('[1]2025年已发货'!$E:$E,'[1]2025年已发货'!$F:$F&amp;'[1]2025年已发货'!$C:$C&amp;'[1]2025年已发货'!$G:$G&amp;'[1]2025年已发货'!$H:$H=C578&amp;F578&amp;I578&amp;J578,"未发货")</f>
        <v>#N/A</v>
      </c>
      <c r="I578" s="41" t="e">
        <f>VLOOKUP(B578,辅助信息!E:I,3,FALSE)</f>
        <v>#N/A</v>
      </c>
      <c r="J578" s="41" t="e">
        <f>VLOOKUP(B578,辅助信息!E:I,4,FALSE)</f>
        <v>#N/A</v>
      </c>
      <c r="K578" s="41" t="e">
        <f>VLOOKUP(J578,辅助信息!H:I,2,FALSE)</f>
        <v>#N/A</v>
      </c>
      <c r="L578" s="79"/>
      <c r="M578" s="96">
        <v>45711</v>
      </c>
      <c r="N578" s="27"/>
      <c r="O578" s="27">
        <f ca="1" t="shared" si="12"/>
        <v>0</v>
      </c>
      <c r="P578" s="27">
        <f ca="1" t="shared" si="14"/>
        <v>248</v>
      </c>
      <c r="Q578" s="27" t="e">
        <f>VLOOKUP(B578,辅助信息!E:M,9,FALSE)</f>
        <v>#N/A</v>
      </c>
      <c r="R578" s="27"/>
    </row>
    <row r="579" hidden="1" spans="1:18">
      <c r="A579" s="27"/>
      <c r="B579" s="41" t="s">
        <v>74</v>
      </c>
      <c r="C579" s="71">
        <v>45707</v>
      </c>
      <c r="D579" s="41" t="e">
        <f>VLOOKUP(B579,辅助信息!E:K,7,FALSE)</f>
        <v>#N/A</v>
      </c>
      <c r="E579" s="41" t="str">
        <f>VLOOKUP(F579,辅助信息!A:B,2,FALSE)</f>
        <v>螺纹钢</v>
      </c>
      <c r="F579" s="41" t="s">
        <v>18</v>
      </c>
      <c r="G579" s="41">
        <v>3</v>
      </c>
      <c r="H579" s="41" t="e">
        <f>_xlfn._xlws.FILTER('[1]2025年已发货'!$E:$E,'[1]2025年已发货'!$F:$F&amp;'[1]2025年已发货'!$C:$C&amp;'[1]2025年已发货'!$G:$G&amp;'[1]2025年已发货'!$H:$H=C579&amp;F579&amp;I579&amp;J579,"未发货")</f>
        <v>#N/A</v>
      </c>
      <c r="I579" s="41" t="e">
        <f>VLOOKUP(B579,辅助信息!E:I,3,FALSE)</f>
        <v>#N/A</v>
      </c>
      <c r="J579" s="41" t="e">
        <f>VLOOKUP(B579,辅助信息!E:I,4,FALSE)</f>
        <v>#N/A</v>
      </c>
      <c r="K579" s="41" t="e">
        <f>VLOOKUP(J579,辅助信息!H:I,2,FALSE)</f>
        <v>#N/A</v>
      </c>
      <c r="L579" s="77"/>
      <c r="M579" s="96">
        <v>45711</v>
      </c>
      <c r="N579" s="27"/>
      <c r="O579" s="27">
        <f ca="1" t="shared" si="12"/>
        <v>0</v>
      </c>
      <c r="P579" s="27">
        <f ca="1" t="shared" si="14"/>
        <v>248</v>
      </c>
      <c r="Q579" s="27" t="e">
        <f>VLOOKUP(B579,辅助信息!E:M,9,FALSE)</f>
        <v>#N/A</v>
      </c>
      <c r="R579" s="27"/>
    </row>
    <row r="580" hidden="1" spans="1:18">
      <c r="A580" s="97" t="s">
        <v>96</v>
      </c>
      <c r="B580" s="98" t="s">
        <v>88</v>
      </c>
      <c r="C580" s="71">
        <v>45707</v>
      </c>
      <c r="D580" s="41" t="str">
        <f>VLOOKUP(B580,辅助信息!E:K,7,FALSE)</f>
        <v>JWDDCD2025051000019</v>
      </c>
      <c r="E580" s="41" t="str">
        <f>VLOOKUP(F580,辅助信息!A:B,2,FALSE)</f>
        <v>高线</v>
      </c>
      <c r="F580" s="41" t="s">
        <v>57</v>
      </c>
      <c r="G580" s="41">
        <v>6</v>
      </c>
      <c r="H580" s="41" t="str">
        <f>_xlfn._xlws.FILTER('[1]2025年已发货'!$E:$E,'[1]2025年已发货'!$F:$F&amp;'[1]2025年已发货'!$C:$C&amp;'[1]2025年已发货'!$G:$G&amp;'[1]2025年已发货'!$H:$H=C580&amp;F580&amp;I580&amp;J580,"未发货")</f>
        <v>未发货</v>
      </c>
      <c r="I580" s="41" t="str">
        <f>VLOOKUP(B580,辅助信息!E:I,3,FALSE)</f>
        <v>(五冶钢构医学科学产业园建设项目房建二部-四标（5-4）)四川省南充市顺庆区搬罾街道学府大道二段</v>
      </c>
      <c r="J580" s="41" t="str">
        <f>VLOOKUP(B580,辅助信息!E:I,4,FALSE)</f>
        <v>安南</v>
      </c>
      <c r="K580" s="41">
        <f>VLOOKUP(J580,辅助信息!H:I,2,FALSE)</f>
        <v>19950525030</v>
      </c>
      <c r="L580" s="44"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7"/>
      <c r="O580" s="27">
        <f ca="1" t="shared" si="12"/>
        <v>0</v>
      </c>
      <c r="P580" s="27">
        <f ca="1" t="shared" si="14"/>
        <v>253</v>
      </c>
      <c r="Q580" s="27" t="str">
        <f>VLOOKUP(B580,辅助信息!E:M,9,FALSE)</f>
        <v>ZTWM-CDGS-XS-2024-0248-五冶钢构-南充市医学院项目</v>
      </c>
      <c r="R580" s="27"/>
    </row>
    <row r="581" hidden="1" spans="1:18">
      <c r="A581" s="27"/>
      <c r="B581" s="98" t="s">
        <v>88</v>
      </c>
      <c r="C581" s="71">
        <v>45707</v>
      </c>
      <c r="D581" s="41" t="str">
        <f>VLOOKUP(B581,辅助信息!E:K,7,FALSE)</f>
        <v>JWDDCD2025051000019</v>
      </c>
      <c r="E581" s="41" t="str">
        <f>VLOOKUP(F581,辅助信息!A:B,2,FALSE)</f>
        <v>盘螺</v>
      </c>
      <c r="F581" s="41" t="s">
        <v>40</v>
      </c>
      <c r="G581" s="41">
        <v>14</v>
      </c>
      <c r="H581" s="41" t="str">
        <f>_xlfn._xlws.FILTER('[1]2025年已发货'!$E:$E,'[1]2025年已发货'!$F:$F&amp;'[1]2025年已发货'!$C:$C&amp;'[1]2025年已发货'!$G:$G&amp;'[1]2025年已发货'!$H:$H=C581&amp;F581&amp;I581&amp;J581,"未发货")</f>
        <v>未发货</v>
      </c>
      <c r="I581" s="41" t="str">
        <f>VLOOKUP(B581,辅助信息!E:I,3,FALSE)</f>
        <v>(五冶钢构医学科学产业园建设项目房建二部-四标（5-4）)四川省南充市顺庆区搬罾街道学府大道二段</v>
      </c>
      <c r="J581" s="41" t="str">
        <f>VLOOKUP(B581,辅助信息!E:I,4,FALSE)</f>
        <v>安南</v>
      </c>
      <c r="K581" s="41">
        <f>VLOOKUP(J581,辅助信息!H:I,2,FALSE)</f>
        <v>19950525030</v>
      </c>
      <c r="L581" s="79"/>
      <c r="M581" s="96">
        <v>45706</v>
      </c>
      <c r="N581" s="27"/>
      <c r="O581" s="27">
        <f ca="1" t="shared" si="12"/>
        <v>0</v>
      </c>
      <c r="P581" s="27">
        <f ca="1" t="shared" si="14"/>
        <v>253</v>
      </c>
      <c r="Q581" s="27" t="str">
        <f>VLOOKUP(B581,辅助信息!E:M,9,FALSE)</f>
        <v>ZTWM-CDGS-XS-2024-0248-五冶钢构-南充市医学院项目</v>
      </c>
      <c r="R581" s="27"/>
    </row>
    <row r="582" hidden="1" spans="1:18">
      <c r="A582" s="27"/>
      <c r="B582" s="98" t="s">
        <v>88</v>
      </c>
      <c r="C582" s="71">
        <v>45707</v>
      </c>
      <c r="D582" s="41" t="str">
        <f>VLOOKUP(B582,辅助信息!E:K,7,FALSE)</f>
        <v>JWDDCD2025051000019</v>
      </c>
      <c r="E582" s="41" t="str">
        <f>VLOOKUP(F582,辅助信息!A:B,2,FALSE)</f>
        <v>螺纹钢</v>
      </c>
      <c r="F582" s="41" t="s">
        <v>30</v>
      </c>
      <c r="G582" s="41">
        <v>3</v>
      </c>
      <c r="H582" s="41" t="str">
        <f>_xlfn._xlws.FILTER('[1]2025年已发货'!$E:$E,'[1]2025年已发货'!$F:$F&amp;'[1]2025年已发货'!$C:$C&amp;'[1]2025年已发货'!$G:$G&amp;'[1]2025年已发货'!$H:$H=C582&amp;F582&amp;I582&amp;J582,"未发货")</f>
        <v>未发货</v>
      </c>
      <c r="I582" s="41" t="str">
        <f>VLOOKUP(B582,辅助信息!E:I,3,FALSE)</f>
        <v>(五冶钢构医学科学产业园建设项目房建二部-四标（5-4）)四川省南充市顺庆区搬罾街道学府大道二段</v>
      </c>
      <c r="J582" s="41" t="str">
        <f>VLOOKUP(B582,辅助信息!E:I,4,FALSE)</f>
        <v>安南</v>
      </c>
      <c r="K582" s="41">
        <f>VLOOKUP(J582,辅助信息!H:I,2,FALSE)</f>
        <v>19950525030</v>
      </c>
      <c r="L582" s="79"/>
      <c r="M582" s="96">
        <v>45706</v>
      </c>
      <c r="N582" s="27"/>
      <c r="O582" s="27">
        <f ca="1" t="shared" si="12"/>
        <v>0</v>
      </c>
      <c r="P582" s="27">
        <f ca="1" t="shared" si="14"/>
        <v>253</v>
      </c>
      <c r="Q582" s="27" t="str">
        <f>VLOOKUP(B582,辅助信息!E:M,9,FALSE)</f>
        <v>ZTWM-CDGS-XS-2024-0248-五冶钢构-南充市医学院项目</v>
      </c>
      <c r="R582" s="27"/>
    </row>
    <row r="583" hidden="1" spans="1:18">
      <c r="A583" s="27"/>
      <c r="B583" s="98" t="s">
        <v>72</v>
      </c>
      <c r="C583" s="71">
        <v>45707</v>
      </c>
      <c r="D583" s="41" t="str">
        <f>VLOOKUP(B583,辅助信息!E:K,7,FALSE)</f>
        <v>JWDDCD2025051000019</v>
      </c>
      <c r="E583" s="41" t="str">
        <f>VLOOKUP(F583,辅助信息!A:B,2,FALSE)</f>
        <v>高线</v>
      </c>
      <c r="F583" s="41" t="s">
        <v>53</v>
      </c>
      <c r="G583" s="41">
        <v>6</v>
      </c>
      <c r="H583" s="41" t="str">
        <f>_xlfn._xlws.FILTER('[1]2025年已发货'!$E:$E,'[1]2025年已发货'!$F:$F&amp;'[1]2025年已发货'!$C:$C&amp;'[1]2025年已发货'!$G:$G&amp;'[1]2025年已发货'!$H:$H=C583&amp;F583&amp;I583&amp;J583,"未发货")</f>
        <v>未发货</v>
      </c>
      <c r="I583" s="41" t="str">
        <f>VLOOKUP(B583,辅助信息!E:I,3,FALSE)</f>
        <v>(五冶钢构医学科学产业园建设项目房建二部-网羽馆（6-5）)四川省南充市顺庆区搬罾街道学府大道二段</v>
      </c>
      <c r="J583" s="41" t="str">
        <f>VLOOKUP(B583,辅助信息!E:I,4,FALSE)</f>
        <v>安南</v>
      </c>
      <c r="K583" s="41">
        <f>VLOOKUP(J583,辅助信息!H:I,2,FALSE)</f>
        <v>19950525030</v>
      </c>
      <c r="L583" s="79"/>
      <c r="M583" s="96">
        <v>45708</v>
      </c>
      <c r="N583" s="27"/>
      <c r="O583" s="27">
        <f ca="1" t="shared" si="12"/>
        <v>0</v>
      </c>
      <c r="P583" s="27">
        <f ca="1" t="shared" si="14"/>
        <v>251</v>
      </c>
      <c r="Q583" s="27" t="str">
        <f>VLOOKUP(B583,辅助信息!E:M,9,FALSE)</f>
        <v>ZTWM-CDGS-XS-2024-0248-五冶钢构-南充市医学院项目</v>
      </c>
      <c r="R583" s="27"/>
    </row>
    <row r="584" hidden="1" spans="1:18">
      <c r="A584" s="27"/>
      <c r="B584" s="98" t="s">
        <v>72</v>
      </c>
      <c r="C584" s="71">
        <v>45707</v>
      </c>
      <c r="D584" s="41" t="str">
        <f>VLOOKUP(B584,辅助信息!E:K,7,FALSE)</f>
        <v>JWDDCD2025051000019</v>
      </c>
      <c r="E584" s="41" t="str">
        <f>VLOOKUP(F584,辅助信息!A:B,2,FALSE)</f>
        <v>螺纹钢</v>
      </c>
      <c r="F584" s="98" t="s">
        <v>19</v>
      </c>
      <c r="G584" s="41">
        <v>6</v>
      </c>
      <c r="H584" s="41" t="str">
        <f>_xlfn._xlws.FILTER('[1]2025年已发货'!$E:$E,'[1]2025年已发货'!$F:$F&amp;'[1]2025年已发货'!$C:$C&amp;'[1]2025年已发货'!$G:$G&amp;'[1]2025年已发货'!$H:$H=C584&amp;F584&amp;I584&amp;J584,"未发货")</f>
        <v>未发货</v>
      </c>
      <c r="I584" s="41" t="str">
        <f>VLOOKUP(B584,辅助信息!E:I,3,FALSE)</f>
        <v>(五冶钢构医学科学产业园建设项目房建二部-网羽馆（6-5）)四川省南充市顺庆区搬罾街道学府大道二段</v>
      </c>
      <c r="J584" s="41" t="str">
        <f>VLOOKUP(B584,辅助信息!E:I,4,FALSE)</f>
        <v>安南</v>
      </c>
      <c r="K584" s="41">
        <f>VLOOKUP(J584,辅助信息!H:I,2,FALSE)</f>
        <v>19950525030</v>
      </c>
      <c r="L584" s="77"/>
      <c r="M584" s="96">
        <v>45708</v>
      </c>
      <c r="N584" s="27"/>
      <c r="O584" s="27">
        <f ca="1" t="shared" si="12"/>
        <v>0</v>
      </c>
      <c r="P584" s="27">
        <f ca="1" t="shared" si="14"/>
        <v>251</v>
      </c>
      <c r="Q584" s="27" t="str">
        <f>VLOOKUP(B584,辅助信息!E:M,9,FALSE)</f>
        <v>ZTWM-CDGS-XS-2024-0248-五冶钢构-南充市医学院项目</v>
      </c>
      <c r="R584" s="27"/>
    </row>
    <row r="585" hidden="1" spans="1:18">
      <c r="A585" s="27"/>
      <c r="B585" s="41" t="s">
        <v>89</v>
      </c>
      <c r="C585" s="71">
        <v>45707</v>
      </c>
      <c r="D585" s="41" t="str">
        <f>VLOOKUP(B585,辅助信息!E:K,7,FALSE)</f>
        <v>JWDDCD2025051000019</v>
      </c>
      <c r="E585" s="41" t="str">
        <f>VLOOKUP(F585,辅助信息!A:B,2,FALSE)</f>
        <v>螺纹钢</v>
      </c>
      <c r="F585" s="41" t="s">
        <v>32</v>
      </c>
      <c r="G585" s="41">
        <f>130-70</f>
        <v>60</v>
      </c>
      <c r="H585" s="41">
        <f>_xlfn._xlws.FILTER('[1]2025年已发货'!$E:$E,'[1]2025年已发货'!$F:$F&amp;'[1]2025年已发货'!$C:$C&amp;'[1]2025年已发货'!$G:$G&amp;'[1]2025年已发货'!$H:$H=C585&amp;F585&amp;I585&amp;J585,"未发货")</f>
        <v>45</v>
      </c>
      <c r="I585" s="41" t="str">
        <f>VLOOKUP(B585,辅助信息!E:I,3,FALSE)</f>
        <v>(五冶钢构医学科学产业园建设项目房建三部-排洪渠)四川省南充市顺庆区搬罾街道学府大道二段</v>
      </c>
      <c r="J585" s="41" t="str">
        <f>VLOOKUP(B585,辅助信息!E:I,4,FALSE)</f>
        <v>郑林</v>
      </c>
      <c r="K585" s="41">
        <f>VLOOKUP(J585,辅助信息!H:I,2,FALSE)</f>
        <v>18349955455</v>
      </c>
      <c r="L585" s="44"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7"/>
      <c r="O585" s="27">
        <f ca="1" t="shared" si="12"/>
        <v>0</v>
      </c>
      <c r="P585" s="27">
        <f ca="1" t="shared" si="14"/>
        <v>251</v>
      </c>
      <c r="Q585" s="27" t="str">
        <f>VLOOKUP(B585,辅助信息!E:M,9,FALSE)</f>
        <v>ZTWM-CDGS-XS-2024-0248-五冶钢构-南充市医学院项目</v>
      </c>
      <c r="R585" s="27"/>
    </row>
    <row r="586" hidden="1" spans="1:18">
      <c r="A586" s="27"/>
      <c r="B586" s="41" t="s">
        <v>89</v>
      </c>
      <c r="C586" s="71">
        <v>45707</v>
      </c>
      <c r="D586" s="41" t="str">
        <f>VLOOKUP(B586,辅助信息!E:K,7,FALSE)</f>
        <v>JWDDCD2025051000019</v>
      </c>
      <c r="E586" s="41" t="str">
        <f>VLOOKUP(F586,辅助信息!A:B,2,FALSE)</f>
        <v>螺纹钢</v>
      </c>
      <c r="F586" s="41" t="s">
        <v>18</v>
      </c>
      <c r="G586" s="41">
        <v>25</v>
      </c>
      <c r="H586" s="41" t="str">
        <f>_xlfn._xlws.FILTER('[1]2025年已发货'!$E:$E,'[1]2025年已发货'!$F:$F&amp;'[1]2025年已发货'!$C:$C&amp;'[1]2025年已发货'!$G:$G&amp;'[1]2025年已发货'!$H:$H=C586&amp;F586&amp;I586&amp;J586,"未发货")</f>
        <v>未发货</v>
      </c>
      <c r="I586" s="41" t="str">
        <f>VLOOKUP(B586,辅助信息!E:I,3,FALSE)</f>
        <v>(五冶钢构医学科学产业园建设项目房建三部-排洪渠)四川省南充市顺庆区搬罾街道学府大道二段</v>
      </c>
      <c r="J586" s="41" t="str">
        <f>VLOOKUP(B586,辅助信息!E:I,4,FALSE)</f>
        <v>郑林</v>
      </c>
      <c r="K586" s="41">
        <f>VLOOKUP(J586,辅助信息!H:I,2,FALSE)</f>
        <v>18349955455</v>
      </c>
      <c r="L586" s="79"/>
      <c r="M586" s="96">
        <v>45708</v>
      </c>
      <c r="N586" s="27"/>
      <c r="O586" s="27">
        <f ca="1" t="shared" si="12"/>
        <v>0</v>
      </c>
      <c r="P586" s="27">
        <f ca="1" t="shared" si="14"/>
        <v>251</v>
      </c>
      <c r="Q586" s="27" t="str">
        <f>VLOOKUP(B586,辅助信息!E:M,9,FALSE)</f>
        <v>ZTWM-CDGS-XS-2024-0248-五冶钢构-南充市医学院项目</v>
      </c>
      <c r="R586" s="27"/>
    </row>
    <row r="587" hidden="1" spans="1:18">
      <c r="A587" s="27"/>
      <c r="B587" s="41" t="s">
        <v>89</v>
      </c>
      <c r="C587" s="71">
        <v>45707</v>
      </c>
      <c r="D587" s="41" t="str">
        <f>VLOOKUP(B587,辅助信息!E:K,7,FALSE)</f>
        <v>JWDDCD2025051000019</v>
      </c>
      <c r="E587" s="41" t="str">
        <f>VLOOKUP(F587,辅助信息!A:B,2,FALSE)</f>
        <v>螺纹钢</v>
      </c>
      <c r="F587" s="41" t="s">
        <v>91</v>
      </c>
      <c r="G587" s="41">
        <v>25</v>
      </c>
      <c r="H587" s="41">
        <f>_xlfn._xlws.FILTER('[1]2025年已发货'!$E:$E,'[1]2025年已发货'!$F:$F&amp;'[1]2025年已发货'!$C:$C&amp;'[1]2025年已发货'!$G:$G&amp;'[1]2025年已发货'!$H:$H=C587&amp;F587&amp;I587&amp;J587,"未发货")</f>
        <v>25</v>
      </c>
      <c r="I587" s="41" t="str">
        <f>VLOOKUP(B587,辅助信息!E:I,3,FALSE)</f>
        <v>(五冶钢构医学科学产业园建设项目房建三部-排洪渠)四川省南充市顺庆区搬罾街道学府大道二段</v>
      </c>
      <c r="J587" s="41" t="str">
        <f>VLOOKUP(B587,辅助信息!E:I,4,FALSE)</f>
        <v>郑林</v>
      </c>
      <c r="K587" s="41">
        <f>VLOOKUP(J587,辅助信息!H:I,2,FALSE)</f>
        <v>18349955455</v>
      </c>
      <c r="L587" s="79"/>
      <c r="M587" s="96">
        <v>45708</v>
      </c>
      <c r="N587" s="27"/>
      <c r="O587" s="27">
        <f ca="1" t="shared" si="12"/>
        <v>0</v>
      </c>
      <c r="P587" s="27">
        <f ca="1" t="shared" si="14"/>
        <v>251</v>
      </c>
      <c r="Q587" s="27" t="str">
        <f>VLOOKUP(B587,辅助信息!E:M,9,FALSE)</f>
        <v>ZTWM-CDGS-XS-2024-0248-五冶钢构-南充市医学院项目</v>
      </c>
      <c r="R587" s="27"/>
    </row>
    <row r="588" hidden="1" spans="1:18">
      <c r="A588" s="72" t="s">
        <v>97</v>
      </c>
      <c r="B588" s="41" t="s">
        <v>98</v>
      </c>
      <c r="C588" s="71">
        <v>45707</v>
      </c>
      <c r="D588" s="41" t="e">
        <f>VLOOKUP(B588,辅助信息!E:K,7,FALSE)</f>
        <v>#N/A</v>
      </c>
      <c r="E588" s="41" t="str">
        <f>VLOOKUP(F588,辅助信息!A:B,2,FALSE)</f>
        <v>高线</v>
      </c>
      <c r="F588" s="41" t="s">
        <v>51</v>
      </c>
      <c r="G588" s="37">
        <v>10</v>
      </c>
      <c r="H588" s="37" t="e">
        <f>_xlfn._xlws.FILTER('[1]2025年已发货'!$E:$E,'[1]2025年已发货'!$F:$F&amp;'[1]2025年已发货'!$C:$C&amp;'[1]2025年已发货'!$G:$G&amp;'[1]2025年已发货'!$H:$H=C588&amp;F588&amp;I588&amp;J588,"未发货")</f>
        <v>#N/A</v>
      </c>
      <c r="I588" s="41" t="e">
        <f>VLOOKUP(B588,辅助信息!E:I,3,FALSE)</f>
        <v>#N/A</v>
      </c>
      <c r="J588" s="41" t="e">
        <f>VLOOKUP(B588,辅助信息!E:I,4,FALSE)</f>
        <v>#N/A</v>
      </c>
      <c r="K588" s="41" t="e">
        <f>VLOOKUP(J588,辅助信息!H:I,2,FALSE)</f>
        <v>#N/A</v>
      </c>
      <c r="L588" s="79"/>
      <c r="M588" s="92">
        <v>45709</v>
      </c>
      <c r="N588" s="58"/>
      <c r="O588" s="63">
        <f ca="1" t="shared" si="12"/>
        <v>0</v>
      </c>
      <c r="P588" s="63">
        <f ca="1" t="shared" si="14"/>
        <v>250</v>
      </c>
      <c r="Q588" s="27" t="e">
        <f>VLOOKUP(B588,辅助信息!E:M,9,FALSE)</f>
        <v>#N/A</v>
      </c>
      <c r="R588" s="27"/>
    </row>
    <row r="589" hidden="1" spans="2:18">
      <c r="B589" s="41" t="s">
        <v>99</v>
      </c>
      <c r="C589" s="71">
        <v>45707</v>
      </c>
      <c r="D589" s="41" t="e">
        <f>VLOOKUP(B589,辅助信息!E:K,7,FALSE)</f>
        <v>#N/A</v>
      </c>
      <c r="E589" s="41" t="str">
        <f>VLOOKUP(F589,辅助信息!A:B,2,FALSE)</f>
        <v>高线</v>
      </c>
      <c r="F589" s="41" t="s">
        <v>53</v>
      </c>
      <c r="G589" s="37">
        <v>2.5</v>
      </c>
      <c r="H589" s="37" t="e">
        <f>_xlfn._xlws.FILTER('[1]2025年已发货'!$E:$E,'[1]2025年已发货'!$F:$F&amp;'[1]2025年已发货'!$C:$C&amp;'[1]2025年已发货'!$G:$G&amp;'[1]2025年已发货'!$H:$H=C589&amp;F589&amp;I589&amp;J589,"未发货")</f>
        <v>#N/A</v>
      </c>
      <c r="I589" s="41" t="e">
        <f>VLOOKUP(B589,辅助信息!E:I,3,FALSE)</f>
        <v>#N/A</v>
      </c>
      <c r="J589" s="41" t="e">
        <f>VLOOKUP(B589,辅助信息!E:I,4,FALSE)</f>
        <v>#N/A</v>
      </c>
      <c r="K589" s="41" t="e">
        <f>VLOOKUP(J589,辅助信息!H:I,2,FALSE)</f>
        <v>#N/A</v>
      </c>
      <c r="L589" s="79"/>
      <c r="M589" s="92">
        <v>45709</v>
      </c>
      <c r="N589" s="58"/>
      <c r="O589" s="63">
        <f ca="1" t="shared" si="12"/>
        <v>0</v>
      </c>
      <c r="P589" s="63">
        <f ca="1" t="shared" si="14"/>
        <v>250</v>
      </c>
      <c r="Q589" s="27" t="e">
        <f>VLOOKUP(B589,辅助信息!E:M,9,FALSE)</f>
        <v>#N/A</v>
      </c>
      <c r="R589" s="27"/>
    </row>
    <row r="590" hidden="1" spans="2:18">
      <c r="B590" s="41" t="s">
        <v>99</v>
      </c>
      <c r="C590" s="71">
        <v>45707</v>
      </c>
      <c r="D590" s="41" t="e">
        <f>VLOOKUP(B590,辅助信息!E:K,7,FALSE)</f>
        <v>#N/A</v>
      </c>
      <c r="E590" s="41" t="str">
        <f>VLOOKUP(F590,辅助信息!A:B,2,FALSE)</f>
        <v>高线</v>
      </c>
      <c r="F590" s="41" t="s">
        <v>51</v>
      </c>
      <c r="G590" s="37">
        <v>2.5</v>
      </c>
      <c r="H590" s="37" t="e">
        <f>_xlfn._xlws.FILTER('[1]2025年已发货'!$E:$E,'[1]2025年已发货'!$F:$F&amp;'[1]2025年已发货'!$C:$C&amp;'[1]2025年已发货'!$G:$G&amp;'[1]2025年已发货'!$H:$H=C590&amp;F590&amp;I590&amp;J590,"未发货")</f>
        <v>#N/A</v>
      </c>
      <c r="I590" s="41" t="e">
        <f>VLOOKUP(B590,辅助信息!E:I,3,FALSE)</f>
        <v>#N/A</v>
      </c>
      <c r="J590" s="41" t="e">
        <f>VLOOKUP(B590,辅助信息!E:I,4,FALSE)</f>
        <v>#N/A</v>
      </c>
      <c r="K590" s="41" t="e">
        <f>VLOOKUP(J590,辅助信息!H:I,2,FALSE)</f>
        <v>#N/A</v>
      </c>
      <c r="L590" s="79"/>
      <c r="M590" s="92">
        <v>45709</v>
      </c>
      <c r="N590" s="58"/>
      <c r="O590" s="63">
        <f ca="1" t="shared" si="12"/>
        <v>0</v>
      </c>
      <c r="P590" s="63">
        <f ca="1" t="shared" si="14"/>
        <v>250</v>
      </c>
      <c r="Q590" s="27" t="e">
        <f>VLOOKUP(B590,辅助信息!E:M,9,FALSE)</f>
        <v>#N/A</v>
      </c>
      <c r="R590" s="27"/>
    </row>
    <row r="591" hidden="1" spans="2:18">
      <c r="B591" s="41" t="s">
        <v>99</v>
      </c>
      <c r="C591" s="71">
        <v>45707</v>
      </c>
      <c r="D591" s="41" t="e">
        <f>VLOOKUP(B591,辅助信息!E:K,7,FALSE)</f>
        <v>#N/A</v>
      </c>
      <c r="E591" s="41" t="str">
        <f>VLOOKUP(F591,辅助信息!A:B,2,FALSE)</f>
        <v>螺纹钢</v>
      </c>
      <c r="F591" s="41" t="s">
        <v>27</v>
      </c>
      <c r="G591" s="37">
        <v>3</v>
      </c>
      <c r="H591" s="37" t="e">
        <f>_xlfn._xlws.FILTER('[1]2025年已发货'!$E:$E,'[1]2025年已发货'!$F:$F&amp;'[1]2025年已发货'!$C:$C&amp;'[1]2025年已发货'!$G:$G&amp;'[1]2025年已发货'!$H:$H=C591&amp;F591&amp;I591&amp;J591,"未发货")</f>
        <v>#N/A</v>
      </c>
      <c r="I591" s="41" t="e">
        <f>VLOOKUP(B591,辅助信息!E:I,3,FALSE)</f>
        <v>#N/A</v>
      </c>
      <c r="J591" s="41" t="e">
        <f>VLOOKUP(B591,辅助信息!E:I,4,FALSE)</f>
        <v>#N/A</v>
      </c>
      <c r="K591" s="41" t="e">
        <f>VLOOKUP(J591,辅助信息!H:I,2,FALSE)</f>
        <v>#N/A</v>
      </c>
      <c r="L591" s="79"/>
      <c r="M591" s="92">
        <v>45709</v>
      </c>
      <c r="N591" s="58"/>
      <c r="O591" s="63">
        <f ca="1" t="shared" si="12"/>
        <v>0</v>
      </c>
      <c r="P591" s="63">
        <f ca="1" t="shared" si="14"/>
        <v>250</v>
      </c>
      <c r="Q591" s="27" t="e">
        <f>VLOOKUP(B591,辅助信息!E:M,9,FALSE)</f>
        <v>#N/A</v>
      </c>
      <c r="R591" s="27"/>
    </row>
    <row r="592" hidden="1" spans="2:18">
      <c r="B592" s="41" t="s">
        <v>99</v>
      </c>
      <c r="C592" s="71">
        <v>45707</v>
      </c>
      <c r="D592" s="41" t="e">
        <f>VLOOKUP(B592,辅助信息!E:K,7,FALSE)</f>
        <v>#N/A</v>
      </c>
      <c r="E592" s="41" t="str">
        <f>VLOOKUP(F592,辅助信息!A:B,2,FALSE)</f>
        <v>螺纹钢</v>
      </c>
      <c r="F592" s="41" t="s">
        <v>19</v>
      </c>
      <c r="G592" s="37">
        <v>3</v>
      </c>
      <c r="H592" s="37" t="e">
        <f>_xlfn._xlws.FILTER('[1]2025年已发货'!$E:$E,'[1]2025年已发货'!$F:$F&amp;'[1]2025年已发货'!$C:$C&amp;'[1]2025年已发货'!$G:$G&amp;'[1]2025年已发货'!$H:$H=C592&amp;F592&amp;I592&amp;J592,"未发货")</f>
        <v>#N/A</v>
      </c>
      <c r="I592" s="41" t="e">
        <f>VLOOKUP(B592,辅助信息!E:I,3,FALSE)</f>
        <v>#N/A</v>
      </c>
      <c r="J592" s="41" t="e">
        <f>VLOOKUP(B592,辅助信息!E:I,4,FALSE)</f>
        <v>#N/A</v>
      </c>
      <c r="K592" s="41" t="e">
        <f>VLOOKUP(J592,辅助信息!H:I,2,FALSE)</f>
        <v>#N/A</v>
      </c>
      <c r="L592" s="79"/>
      <c r="M592" s="92">
        <v>45709</v>
      </c>
      <c r="N592" s="58"/>
      <c r="O592" s="63">
        <f ca="1" t="shared" si="12"/>
        <v>0</v>
      </c>
      <c r="P592" s="63">
        <f ca="1" t="shared" si="14"/>
        <v>250</v>
      </c>
      <c r="Q592" s="27" t="e">
        <f>VLOOKUP(B592,辅助信息!E:M,9,FALSE)</f>
        <v>#N/A</v>
      </c>
      <c r="R592" s="27"/>
    </row>
    <row r="593" hidden="1" spans="2:18">
      <c r="B593" s="41" t="s">
        <v>99</v>
      </c>
      <c r="C593" s="71">
        <v>45707</v>
      </c>
      <c r="D593" s="41" t="e">
        <f>VLOOKUP(B593,辅助信息!E:K,7,FALSE)</f>
        <v>#N/A</v>
      </c>
      <c r="E593" s="41" t="str">
        <f>VLOOKUP(F593,辅助信息!A:B,2,FALSE)</f>
        <v>螺纹钢</v>
      </c>
      <c r="F593" s="41" t="s">
        <v>32</v>
      </c>
      <c r="G593" s="37">
        <v>3</v>
      </c>
      <c r="H593" s="37" t="e">
        <f>_xlfn._xlws.FILTER('[1]2025年已发货'!$E:$E,'[1]2025年已发货'!$F:$F&amp;'[1]2025年已发货'!$C:$C&amp;'[1]2025年已发货'!$G:$G&amp;'[1]2025年已发货'!$H:$H=C593&amp;F593&amp;I593&amp;J593,"未发货")</f>
        <v>#N/A</v>
      </c>
      <c r="I593" s="41" t="e">
        <f>VLOOKUP(B593,辅助信息!E:I,3,FALSE)</f>
        <v>#N/A</v>
      </c>
      <c r="J593" s="41" t="e">
        <f>VLOOKUP(B593,辅助信息!E:I,4,FALSE)</f>
        <v>#N/A</v>
      </c>
      <c r="K593" s="41" t="e">
        <f>VLOOKUP(J593,辅助信息!H:I,2,FALSE)</f>
        <v>#N/A</v>
      </c>
      <c r="L593" s="77"/>
      <c r="M593" s="92">
        <v>45709</v>
      </c>
      <c r="N593" s="58"/>
      <c r="O593" s="63">
        <f ca="1" t="shared" si="12"/>
        <v>0</v>
      </c>
      <c r="P593" s="63">
        <f ca="1" t="shared" si="14"/>
        <v>250</v>
      </c>
      <c r="Q593" s="27" t="e">
        <f>VLOOKUP(B593,辅助信息!E:M,9,FALSE)</f>
        <v>#N/A</v>
      </c>
      <c r="R593" s="27"/>
    </row>
    <row r="594" hidden="1" spans="1:18">
      <c r="A594" s="27"/>
      <c r="B594" s="41" t="s">
        <v>48</v>
      </c>
      <c r="C594" s="71">
        <v>45707</v>
      </c>
      <c r="D594" s="41" t="str">
        <f>VLOOKUP(B594,辅助信息!E:K,7,FALSE)</f>
        <v>ZTWM-CDGS-YL-20240529-006</v>
      </c>
      <c r="E594" s="41" t="str">
        <f>VLOOKUP(F594,辅助信息!A:B,2,FALSE)</f>
        <v>盘螺</v>
      </c>
      <c r="F594" s="41" t="s">
        <v>40</v>
      </c>
      <c r="G594" s="41">
        <v>10</v>
      </c>
      <c r="H594" s="41">
        <f>_xlfn._xlws.FILTER('[1]2025年已发货'!$E:$E,'[1]2025年已发货'!$F:$F&amp;'[1]2025年已发货'!$C:$C&amp;'[1]2025年已发货'!$G:$G&amp;'[1]2025年已发货'!$H:$H=C594&amp;F594&amp;I594&amp;J594,"未发货")</f>
        <v>10</v>
      </c>
      <c r="I594" s="41" t="str">
        <f>VLOOKUP(B594,辅助信息!E:I,3,FALSE)</f>
        <v>(华西颐海-科创农业生态谷-1号钢筋房)成都市简阳市白金山水库</v>
      </c>
      <c r="J594" s="41" t="str">
        <f>VLOOKUP(B594,辅助信息!E:I,4,FALSE)</f>
        <v>石清国</v>
      </c>
      <c r="K594" s="41">
        <f>VLOOKUP(J594,辅助信息!H:I,2,FALSE)</f>
        <v>13458642015</v>
      </c>
      <c r="L594" s="44" t="str">
        <f>VLOOKUP(B594,辅助信息!E:J,6,FALSE)</f>
        <v>优先威钢,我方卸车,新老国标钢厂不加价可直发</v>
      </c>
      <c r="M594" s="96">
        <v>45708</v>
      </c>
      <c r="N594" s="27"/>
      <c r="O594" s="27">
        <f ca="1" t="shared" ref="O594:O624" si="15">IF(OR(M594="",N594&lt;&gt;""),"",MAX(M594-TODAY(),0))</f>
        <v>0</v>
      </c>
      <c r="P594" s="27">
        <f ca="1" t="shared" si="14"/>
        <v>251</v>
      </c>
      <c r="Q594" s="27" t="str">
        <f>VLOOKUP(B594,辅助信息!E:M,9,FALSE)</f>
        <v>ZTWM-CDGS-XS-2024-0093-华西-颐海科创农业生态谷</v>
      </c>
      <c r="R594" s="27"/>
    </row>
    <row r="595" hidden="1" spans="1:18">
      <c r="A595" s="27"/>
      <c r="B595" s="41" t="s">
        <v>48</v>
      </c>
      <c r="C595" s="71">
        <v>45707</v>
      </c>
      <c r="D595" s="41" t="str">
        <f>VLOOKUP(B595,辅助信息!E:K,7,FALSE)</f>
        <v>ZTWM-CDGS-YL-20240529-006</v>
      </c>
      <c r="E595" s="41" t="str">
        <f>VLOOKUP(F595,辅助信息!A:B,2,FALSE)</f>
        <v>盘螺</v>
      </c>
      <c r="F595" s="41" t="s">
        <v>41</v>
      </c>
      <c r="G595" s="41">
        <v>10</v>
      </c>
      <c r="H595" s="41">
        <f>_xlfn._xlws.FILTER('[1]2025年已发货'!$E:$E,'[1]2025年已发货'!$F:$F&amp;'[1]2025年已发货'!$C:$C&amp;'[1]2025年已发货'!$G:$G&amp;'[1]2025年已发货'!$H:$H=C595&amp;F595&amp;I595&amp;J595,"未发货")</f>
        <v>10</v>
      </c>
      <c r="I595" s="41" t="str">
        <f>VLOOKUP(B595,辅助信息!E:I,3,FALSE)</f>
        <v>(华西颐海-科创农业生态谷-1号钢筋房)成都市简阳市白金山水库</v>
      </c>
      <c r="J595" s="41" t="str">
        <f>VLOOKUP(B595,辅助信息!E:I,4,FALSE)</f>
        <v>石清国</v>
      </c>
      <c r="K595" s="41">
        <f>VLOOKUP(J595,辅助信息!H:I,2,FALSE)</f>
        <v>13458642015</v>
      </c>
      <c r="L595" s="79"/>
      <c r="M595" s="96">
        <v>45708</v>
      </c>
      <c r="N595" s="27"/>
      <c r="O595" s="27">
        <f ca="1" t="shared" si="15"/>
        <v>0</v>
      </c>
      <c r="P595" s="27">
        <f ca="1" t="shared" si="14"/>
        <v>251</v>
      </c>
      <c r="Q595" s="27" t="str">
        <f>VLOOKUP(B595,辅助信息!E:M,9,FALSE)</f>
        <v>ZTWM-CDGS-XS-2024-0093-华西-颐海科创农业生态谷</v>
      </c>
      <c r="R595" s="27"/>
    </row>
    <row r="596" hidden="1" spans="1:18">
      <c r="A596" s="27"/>
      <c r="B596" s="41" t="s">
        <v>48</v>
      </c>
      <c r="C596" s="71">
        <v>45707</v>
      </c>
      <c r="D596" s="41" t="str">
        <f>VLOOKUP(B596,辅助信息!E:K,7,FALSE)</f>
        <v>ZTWM-CDGS-YL-20240529-006</v>
      </c>
      <c r="E596" s="41" t="str">
        <f>VLOOKUP(F596,辅助信息!A:B,2,FALSE)</f>
        <v>螺纹钢</v>
      </c>
      <c r="F596" s="41" t="s">
        <v>66</v>
      </c>
      <c r="G596" s="41">
        <v>12</v>
      </c>
      <c r="H596" s="41">
        <f>_xlfn._xlws.FILTER('[1]2025年已发货'!$E:$E,'[1]2025年已发货'!$F:$F&amp;'[1]2025年已发货'!$C:$C&amp;'[1]2025年已发货'!$G:$G&amp;'[1]2025年已发货'!$H:$H=C596&amp;F596&amp;I596&amp;J596,"未发货")</f>
        <v>17</v>
      </c>
      <c r="I596" s="41" t="str">
        <f>VLOOKUP(B596,辅助信息!E:I,3,FALSE)</f>
        <v>(华西颐海-科创农业生态谷-1号钢筋房)成都市简阳市白金山水库</v>
      </c>
      <c r="J596" s="41" t="str">
        <f>VLOOKUP(B596,辅助信息!E:I,4,FALSE)</f>
        <v>石清国</v>
      </c>
      <c r="K596" s="41">
        <f>VLOOKUP(J596,辅助信息!H:I,2,FALSE)</f>
        <v>13458642015</v>
      </c>
      <c r="L596" s="79"/>
      <c r="M596" s="96">
        <v>45708</v>
      </c>
      <c r="N596" s="27"/>
      <c r="O596" s="27">
        <f ca="1" t="shared" si="15"/>
        <v>0</v>
      </c>
      <c r="P596" s="27">
        <f ca="1" t="shared" si="14"/>
        <v>251</v>
      </c>
      <c r="Q596" s="27" t="str">
        <f>VLOOKUP(B596,辅助信息!E:M,9,FALSE)</f>
        <v>ZTWM-CDGS-XS-2024-0093-华西-颐海科创农业生态谷</v>
      </c>
      <c r="R596" s="27"/>
    </row>
    <row r="597" hidden="1" spans="1:18">
      <c r="A597" s="27"/>
      <c r="B597" s="41" t="s">
        <v>48</v>
      </c>
      <c r="C597" s="71">
        <v>45707</v>
      </c>
      <c r="D597" s="41" t="str">
        <f>VLOOKUP(B597,辅助信息!E:K,7,FALSE)</f>
        <v>ZTWM-CDGS-YL-20240529-006</v>
      </c>
      <c r="E597" s="41" t="str">
        <f>VLOOKUP(F597,辅助信息!A:B,2,FALSE)</f>
        <v>螺纹钢</v>
      </c>
      <c r="F597" s="41" t="s">
        <v>22</v>
      </c>
      <c r="G597" s="41">
        <v>6</v>
      </c>
      <c r="H597" s="41">
        <f>_xlfn._xlws.FILTER('[1]2025年已发货'!$E:$E,'[1]2025年已发货'!$F:$F&amp;'[1]2025年已发货'!$C:$C&amp;'[1]2025年已发货'!$G:$G&amp;'[1]2025年已发货'!$H:$H=C597&amp;F597&amp;I597&amp;J597,"未发货")</f>
        <v>6</v>
      </c>
      <c r="I597" s="41" t="str">
        <f>VLOOKUP(B597,辅助信息!E:I,3,FALSE)</f>
        <v>(华西颐海-科创农业生态谷-1号钢筋房)成都市简阳市白金山水库</v>
      </c>
      <c r="J597" s="41" t="str">
        <f>VLOOKUP(B597,辅助信息!E:I,4,FALSE)</f>
        <v>石清国</v>
      </c>
      <c r="K597" s="41">
        <f>VLOOKUP(J597,辅助信息!H:I,2,FALSE)</f>
        <v>13458642015</v>
      </c>
      <c r="L597" s="77"/>
      <c r="M597" s="96">
        <v>45708</v>
      </c>
      <c r="N597" s="27"/>
      <c r="O597" s="27">
        <f ca="1" t="shared" si="15"/>
        <v>0</v>
      </c>
      <c r="P597" s="27">
        <f ca="1" t="shared" si="14"/>
        <v>251</v>
      </c>
      <c r="Q597" s="27" t="str">
        <f>VLOOKUP(B597,辅助信息!E:M,9,FALSE)</f>
        <v>ZTWM-CDGS-XS-2024-0093-华西-颐海科创农业生态谷</v>
      </c>
      <c r="R597" s="27"/>
    </row>
    <row r="598" hidden="1" spans="1:18">
      <c r="A598" s="63"/>
      <c r="B598" s="41" t="s">
        <v>31</v>
      </c>
      <c r="C598" s="71">
        <v>45707</v>
      </c>
      <c r="D598" s="41" t="str">
        <f>VLOOKUP(B598,辅助信息!E:K,7,FALSE)</f>
        <v>JWDDCD2024121000136</v>
      </c>
      <c r="E598" s="41" t="str">
        <f>VLOOKUP(F598,辅助信息!A:B,2,FALSE)</f>
        <v>盘螺</v>
      </c>
      <c r="F598" s="41" t="s">
        <v>49</v>
      </c>
      <c r="G598" s="37">
        <v>9</v>
      </c>
      <c r="H598" s="37" t="str">
        <f>_xlfn._xlws.FILTER('[1]2025年已发货'!$E:$E,'[1]2025年已发货'!$F:$F&amp;'[1]2025年已发货'!$C:$C&amp;'[1]2025年已发货'!$G:$G&amp;'[1]2025年已发货'!$H:$H=C598&amp;F598&amp;I598&amp;J598,"未发货")</f>
        <v>未发货</v>
      </c>
      <c r="I598" s="41" t="str">
        <f>VLOOKUP(B598,辅助信息!E:I,3,FALSE)</f>
        <v>（四川商建-射洪城乡一体化项目）遂宁市射洪市忠新幼儿园北侧约220米新溪小区</v>
      </c>
      <c r="J598" s="41" t="str">
        <f>VLOOKUP(B598,辅助信息!E:I,4,FALSE)</f>
        <v>柏子刚</v>
      </c>
      <c r="K598" s="41">
        <f>VLOOKUP(J598,辅助信息!H:I,2,FALSE)</f>
        <v>15692885305</v>
      </c>
      <c r="L598" s="44" t="str">
        <f>VLOOKUP(B598,辅助信息!E:J,6,FALSE)</f>
        <v>提前联系到场规格及数量</v>
      </c>
      <c r="M598" s="92">
        <v>45708</v>
      </c>
      <c r="O598" s="63">
        <f ca="1" t="shared" si="15"/>
        <v>0</v>
      </c>
      <c r="P598" s="63">
        <f ca="1" t="shared" si="14"/>
        <v>251</v>
      </c>
      <c r="Q598" s="27" t="str">
        <f>VLOOKUP(B598,辅助信息!E:M,9,FALSE)</f>
        <v>ZTWM-CDGS-XS-2024-0179-四川商投-射洪城乡一体化建设项目</v>
      </c>
      <c r="R598" s="27"/>
    </row>
    <row r="599" hidden="1" spans="1:18">
      <c r="A599" s="63"/>
      <c r="B599" s="41" t="s">
        <v>31</v>
      </c>
      <c r="C599" s="71">
        <v>45707</v>
      </c>
      <c r="D599" s="41" t="str">
        <f>VLOOKUP(B599,辅助信息!E:K,7,FALSE)</f>
        <v>JWDDCD2024121000136</v>
      </c>
      <c r="E599" s="41" t="str">
        <f>VLOOKUP(F599,辅助信息!A:B,2,FALSE)</f>
        <v>螺纹钢</v>
      </c>
      <c r="F599" s="41" t="s">
        <v>22</v>
      </c>
      <c r="G599" s="37">
        <v>20</v>
      </c>
      <c r="H599" s="37" t="str">
        <f>_xlfn._xlws.FILTER('[1]2025年已发货'!$E:$E,'[1]2025年已发货'!$F:$F&amp;'[1]2025年已发货'!$C:$C&amp;'[1]2025年已发货'!$G:$G&amp;'[1]2025年已发货'!$H:$H=C599&amp;F599&amp;I599&amp;J599,"未发货")</f>
        <v>未发货</v>
      </c>
      <c r="I599" s="41" t="str">
        <f>VLOOKUP(B599,辅助信息!E:I,3,FALSE)</f>
        <v>（四川商建-射洪城乡一体化项目）遂宁市射洪市忠新幼儿园北侧约220米新溪小区</v>
      </c>
      <c r="J599" s="41" t="str">
        <f>VLOOKUP(B599,辅助信息!E:I,4,FALSE)</f>
        <v>柏子刚</v>
      </c>
      <c r="K599" s="41">
        <f>VLOOKUP(J599,辅助信息!H:I,2,FALSE)</f>
        <v>15692885305</v>
      </c>
      <c r="L599" s="77"/>
      <c r="M599" s="92">
        <v>45708</v>
      </c>
      <c r="O599" s="63">
        <f ca="1" t="shared" si="15"/>
        <v>0</v>
      </c>
      <c r="P599" s="63">
        <f ca="1" t="shared" si="14"/>
        <v>251</v>
      </c>
      <c r="Q599" s="27" t="str">
        <f>VLOOKUP(B599,辅助信息!E:M,9,FALSE)</f>
        <v>ZTWM-CDGS-XS-2024-0179-四川商投-射洪城乡一体化建设项目</v>
      </c>
      <c r="R599" s="27"/>
    </row>
    <row r="600" hidden="1" spans="1:18">
      <c r="A600" s="63"/>
      <c r="B600" s="41" t="s">
        <v>48</v>
      </c>
      <c r="C600" s="71">
        <v>45707</v>
      </c>
      <c r="D600" s="41" t="str">
        <f>VLOOKUP(B600,辅助信息!E:K,7,FALSE)</f>
        <v>ZTWM-CDGS-YL-20240529-006</v>
      </c>
      <c r="E600" s="41" t="str">
        <f>VLOOKUP(F600,辅助信息!A:B,2,FALSE)</f>
        <v>螺纹钢</v>
      </c>
      <c r="F600" s="41" t="s">
        <v>27</v>
      </c>
      <c r="G600" s="37">
        <v>7</v>
      </c>
      <c r="H600" s="37">
        <f>_xlfn._xlws.FILTER('[1]2025年已发货'!$E:$E,'[1]2025年已发货'!$F:$F&amp;'[1]2025年已发货'!$C:$C&amp;'[1]2025年已发货'!$G:$G&amp;'[1]2025年已发货'!$H:$H=C600&amp;F600&amp;I600&amp;J600,"未发货")</f>
        <v>7</v>
      </c>
      <c r="I600" s="41" t="str">
        <f>VLOOKUP(B600,辅助信息!E:I,3,FALSE)</f>
        <v>(华西颐海-科创农业生态谷-1号钢筋房)成都市简阳市白金山水库</v>
      </c>
      <c r="J600" s="41" t="str">
        <f>VLOOKUP(B600,辅助信息!E:I,4,FALSE)</f>
        <v>石清国</v>
      </c>
      <c r="K600" s="41">
        <f>VLOOKUP(J600,辅助信息!H:I,2,FALSE)</f>
        <v>13458642015</v>
      </c>
      <c r="L600" s="44" t="str">
        <f>VLOOKUP(B600,辅助信息!E:J,6,FALSE)</f>
        <v>优先威钢,我方卸车,新老国标钢厂不加价可直发</v>
      </c>
      <c r="M600" s="92">
        <v>45708</v>
      </c>
      <c r="O600" s="63">
        <f ca="1" t="shared" si="15"/>
        <v>0</v>
      </c>
      <c r="P600" s="63">
        <f ca="1" t="shared" si="14"/>
        <v>251</v>
      </c>
      <c r="Q600" s="27" t="str">
        <f>VLOOKUP(B600,辅助信息!E:M,9,FALSE)</f>
        <v>ZTWM-CDGS-XS-2024-0093-华西-颐海科创农业生态谷</v>
      </c>
      <c r="R600" s="27"/>
    </row>
    <row r="601" hidden="1" spans="1:18">
      <c r="A601" s="63"/>
      <c r="B601" s="41" t="s">
        <v>48</v>
      </c>
      <c r="C601" s="71">
        <v>45707</v>
      </c>
      <c r="D601" s="41" t="str">
        <f>VLOOKUP(B601,辅助信息!E:K,7,FALSE)</f>
        <v>ZTWM-CDGS-YL-20240529-006</v>
      </c>
      <c r="E601" s="41" t="str">
        <f>VLOOKUP(F601,辅助信息!A:B,2,FALSE)</f>
        <v>螺纹钢</v>
      </c>
      <c r="F601" s="41" t="s">
        <v>30</v>
      </c>
      <c r="G601" s="37">
        <v>13</v>
      </c>
      <c r="H601" s="37">
        <f>_xlfn._xlws.FILTER('[1]2025年已发货'!$E:$E,'[1]2025年已发货'!$F:$F&amp;'[1]2025年已发货'!$C:$C&amp;'[1]2025年已发货'!$G:$G&amp;'[1]2025年已发货'!$H:$H=C601&amp;F601&amp;I601&amp;J601,"未发货")</f>
        <v>13</v>
      </c>
      <c r="I601" s="41" t="str">
        <f>VLOOKUP(B601,辅助信息!E:I,3,FALSE)</f>
        <v>(华西颐海-科创农业生态谷-1号钢筋房)成都市简阳市白金山水库</v>
      </c>
      <c r="J601" s="41" t="str">
        <f>VLOOKUP(B601,辅助信息!E:I,4,FALSE)</f>
        <v>石清国</v>
      </c>
      <c r="K601" s="41">
        <f>VLOOKUP(J601,辅助信息!H:I,2,FALSE)</f>
        <v>13458642015</v>
      </c>
      <c r="L601" s="79"/>
      <c r="M601" s="92">
        <v>45708</v>
      </c>
      <c r="O601" s="63">
        <f ca="1" t="shared" si="15"/>
        <v>0</v>
      </c>
      <c r="P601" s="63">
        <f ca="1" t="shared" si="14"/>
        <v>251</v>
      </c>
      <c r="Q601" s="27" t="str">
        <f>VLOOKUP(B601,辅助信息!E:M,9,FALSE)</f>
        <v>ZTWM-CDGS-XS-2024-0093-华西-颐海科创农业生态谷</v>
      </c>
      <c r="R601" s="27"/>
    </row>
    <row r="602" hidden="1" spans="1:18">
      <c r="A602" s="63"/>
      <c r="B602" s="41" t="s">
        <v>48</v>
      </c>
      <c r="C602" s="71">
        <v>45707</v>
      </c>
      <c r="D602" s="41" t="str">
        <f>VLOOKUP(B602,辅助信息!E:K,7,FALSE)</f>
        <v>ZTWM-CDGS-YL-20240529-006</v>
      </c>
      <c r="E602" s="41" t="str">
        <f>VLOOKUP(F602,辅助信息!A:B,2,FALSE)</f>
        <v>螺纹钢</v>
      </c>
      <c r="F602" s="41" t="s">
        <v>66</v>
      </c>
      <c r="G602" s="37">
        <v>5</v>
      </c>
      <c r="H602" s="37">
        <f>_xlfn._xlws.FILTER('[1]2025年已发货'!$E:$E,'[1]2025年已发货'!$F:$F&amp;'[1]2025年已发货'!$C:$C&amp;'[1]2025年已发货'!$G:$G&amp;'[1]2025年已发货'!$H:$H=C602&amp;F602&amp;I602&amp;J602,"未发货")</f>
        <v>17</v>
      </c>
      <c r="I602" s="41" t="str">
        <f>VLOOKUP(B602,辅助信息!E:I,3,FALSE)</f>
        <v>(华西颐海-科创农业生态谷-1号钢筋房)成都市简阳市白金山水库</v>
      </c>
      <c r="J602" s="41" t="str">
        <f>VLOOKUP(B602,辅助信息!E:I,4,FALSE)</f>
        <v>石清国</v>
      </c>
      <c r="K602" s="41">
        <f>VLOOKUP(J602,辅助信息!H:I,2,FALSE)</f>
        <v>13458642015</v>
      </c>
      <c r="L602" s="79"/>
      <c r="M602" s="92">
        <v>45708</v>
      </c>
      <c r="O602" s="63">
        <f ca="1" t="shared" si="15"/>
        <v>0</v>
      </c>
      <c r="P602" s="63">
        <f ca="1" t="shared" si="14"/>
        <v>251</v>
      </c>
      <c r="Q602" s="27" t="str">
        <f>VLOOKUP(B602,辅助信息!E:M,9,FALSE)</f>
        <v>ZTWM-CDGS-XS-2024-0093-华西-颐海科创农业生态谷</v>
      </c>
      <c r="R602" s="27"/>
    </row>
    <row r="603" hidden="1" spans="1:18">
      <c r="A603" s="63"/>
      <c r="B603" s="41" t="s">
        <v>48</v>
      </c>
      <c r="C603" s="71">
        <v>45707</v>
      </c>
      <c r="D603" s="41" t="str">
        <f>VLOOKUP(B603,辅助信息!E:K,7,FALSE)</f>
        <v>ZTWM-CDGS-YL-20240529-006</v>
      </c>
      <c r="E603" s="41" t="str">
        <f>VLOOKUP(F603,辅助信息!A:B,2,FALSE)</f>
        <v>螺纹钢</v>
      </c>
      <c r="F603" s="41" t="s">
        <v>82</v>
      </c>
      <c r="G603" s="37">
        <v>8</v>
      </c>
      <c r="H603" s="37">
        <f>_xlfn._xlws.FILTER('[1]2025年已发货'!$E:$E,'[1]2025年已发货'!$F:$F&amp;'[1]2025年已发货'!$C:$C&amp;'[1]2025年已发货'!$G:$G&amp;'[1]2025年已发货'!$H:$H=C603&amp;F603&amp;I603&amp;J603,"未发货")</f>
        <v>8</v>
      </c>
      <c r="I603" s="41" t="str">
        <f>VLOOKUP(B603,辅助信息!E:I,3,FALSE)</f>
        <v>(华西颐海-科创农业生态谷-1号钢筋房)成都市简阳市白金山水库</v>
      </c>
      <c r="J603" s="41" t="str">
        <f>VLOOKUP(B603,辅助信息!E:I,4,FALSE)</f>
        <v>石清国</v>
      </c>
      <c r="K603" s="41">
        <f>VLOOKUP(J603,辅助信息!H:I,2,FALSE)</f>
        <v>13458642015</v>
      </c>
      <c r="L603" s="79"/>
      <c r="M603" s="92">
        <v>45708</v>
      </c>
      <c r="O603" s="63">
        <f ca="1" t="shared" si="15"/>
        <v>0</v>
      </c>
      <c r="P603" s="63">
        <f ca="1" t="shared" si="14"/>
        <v>251</v>
      </c>
      <c r="Q603" s="27" t="str">
        <f>VLOOKUP(B603,辅助信息!E:M,9,FALSE)</f>
        <v>ZTWM-CDGS-XS-2024-0093-华西-颐海科创农业生态谷</v>
      </c>
      <c r="R603" s="27"/>
    </row>
    <row r="604" hidden="1" spans="1:18">
      <c r="A604" s="63"/>
      <c r="B604" s="41" t="s">
        <v>48</v>
      </c>
      <c r="C604" s="71">
        <v>45707</v>
      </c>
      <c r="D604" s="41" t="str">
        <f>VLOOKUP(B604,辅助信息!E:K,7,FALSE)</f>
        <v>ZTWM-CDGS-YL-20240529-006</v>
      </c>
      <c r="E604" s="41" t="str">
        <f>VLOOKUP(F604,辅助信息!A:B,2,FALSE)</f>
        <v>螺纹钢</v>
      </c>
      <c r="F604" s="41" t="s">
        <v>21</v>
      </c>
      <c r="G604" s="37">
        <v>5</v>
      </c>
      <c r="H604" s="37">
        <f>_xlfn._xlws.FILTER('[1]2025年已发货'!$E:$E,'[1]2025年已发货'!$F:$F&amp;'[1]2025年已发货'!$C:$C&amp;'[1]2025年已发货'!$G:$G&amp;'[1]2025年已发货'!$H:$H=C604&amp;F604&amp;I604&amp;J604,"未发货")</f>
        <v>5</v>
      </c>
      <c r="I604" s="41" t="str">
        <f>VLOOKUP(B604,辅助信息!E:I,3,FALSE)</f>
        <v>(华西颐海-科创农业生态谷-1号钢筋房)成都市简阳市白金山水库</v>
      </c>
      <c r="J604" s="41" t="str">
        <f>VLOOKUP(B604,辅助信息!E:I,4,FALSE)</f>
        <v>石清国</v>
      </c>
      <c r="K604" s="41">
        <f>VLOOKUP(J604,辅助信息!H:I,2,FALSE)</f>
        <v>13458642015</v>
      </c>
      <c r="L604" s="77"/>
      <c r="M604" s="92">
        <v>45708</v>
      </c>
      <c r="O604" s="63">
        <f ca="1" t="shared" si="15"/>
        <v>0</v>
      </c>
      <c r="P604" s="63">
        <f ca="1" t="shared" si="14"/>
        <v>251</v>
      </c>
      <c r="Q604" s="27" t="str">
        <f>VLOOKUP(B604,辅助信息!E:M,9,FALSE)</f>
        <v>ZTWM-CDGS-XS-2024-0093-华西-颐海科创农业生态谷</v>
      </c>
      <c r="R604" s="27"/>
    </row>
    <row r="605" hidden="1" spans="2:18">
      <c r="B605" s="41" t="s">
        <v>80</v>
      </c>
      <c r="C605" s="71">
        <v>45707</v>
      </c>
      <c r="D605" s="41" t="e">
        <f>VLOOKUP(B605,辅助信息!E:K,7,FALSE)</f>
        <v>#N/A</v>
      </c>
      <c r="E605" s="41" t="str">
        <f>VLOOKUP(F605,辅助信息!A:B,2,FALSE)</f>
        <v>螺纹钢</v>
      </c>
      <c r="F605" s="41" t="s">
        <v>27</v>
      </c>
      <c r="G605" s="37">
        <v>6</v>
      </c>
      <c r="H605" s="37" t="e">
        <f>_xlfn._xlws.FILTER('[1]2025年已发货'!$E:$E,'[1]2025年已发货'!$F:$F&amp;'[1]2025年已发货'!$C:$C&amp;'[1]2025年已发货'!$G:$G&amp;'[1]2025年已发货'!$H:$H=C605&amp;F605&amp;I605&amp;J605,"未发货")</f>
        <v>#N/A</v>
      </c>
      <c r="I605" s="41" t="e">
        <f>VLOOKUP(B605,辅助信息!E:I,3,FALSE)</f>
        <v>#N/A</v>
      </c>
      <c r="J605" s="41" t="e">
        <f>VLOOKUP(B605,辅助信息!E:I,4,FALSE)</f>
        <v>#N/A</v>
      </c>
      <c r="K605" s="41" t="e">
        <f>VLOOKUP(J605,辅助信息!H:I,2,FALSE)</f>
        <v>#N/A</v>
      </c>
      <c r="L605" s="44" t="e">
        <f>VLOOKUP(B605,辅助信息!E:J,6,FALSE)</f>
        <v>#N/A</v>
      </c>
      <c r="M605" s="92">
        <v>45708</v>
      </c>
      <c r="N605" s="58"/>
      <c r="O605" s="63">
        <f ca="1" t="shared" si="15"/>
        <v>0</v>
      </c>
      <c r="P605" s="63">
        <f ca="1" t="shared" si="14"/>
        <v>251</v>
      </c>
      <c r="Q605" s="27" t="e">
        <f>VLOOKUP(B605,辅助信息!E:M,9,FALSE)</f>
        <v>#N/A</v>
      </c>
      <c r="R605" s="27"/>
    </row>
    <row r="606" hidden="1" spans="2:18">
      <c r="B606" s="41" t="s">
        <v>80</v>
      </c>
      <c r="C606" s="71">
        <v>45707</v>
      </c>
      <c r="D606" s="41" t="e">
        <f>VLOOKUP(B606,辅助信息!E:K,7,FALSE)</f>
        <v>#N/A</v>
      </c>
      <c r="E606" s="41" t="str">
        <f>VLOOKUP(F606,辅助信息!A:B,2,FALSE)</f>
        <v>螺纹钢</v>
      </c>
      <c r="F606" s="41" t="s">
        <v>32</v>
      </c>
      <c r="G606" s="37">
        <v>30</v>
      </c>
      <c r="H606" s="37" t="e">
        <f>_xlfn._xlws.FILTER('[1]2025年已发货'!$E:$E,'[1]2025年已发货'!$F:$F&amp;'[1]2025年已发货'!$C:$C&amp;'[1]2025年已发货'!$G:$G&amp;'[1]2025年已发货'!$H:$H=C606&amp;F606&amp;I606&amp;J606,"未发货")</f>
        <v>#N/A</v>
      </c>
      <c r="I606" s="41" t="e">
        <f>VLOOKUP(B606,辅助信息!E:I,3,FALSE)</f>
        <v>#N/A</v>
      </c>
      <c r="J606" s="41" t="e">
        <f>VLOOKUP(B606,辅助信息!E:I,4,FALSE)</f>
        <v>#N/A</v>
      </c>
      <c r="K606" s="41" t="e">
        <f>VLOOKUP(J606,辅助信息!H:I,2,FALSE)</f>
        <v>#N/A</v>
      </c>
      <c r="L606" s="77"/>
      <c r="M606" s="92">
        <v>45708</v>
      </c>
      <c r="N606" s="58"/>
      <c r="O606" s="63">
        <f ca="1" t="shared" si="15"/>
        <v>0</v>
      </c>
      <c r="P606" s="63">
        <f ca="1" t="shared" si="14"/>
        <v>251</v>
      </c>
      <c r="Q606" s="27" t="e">
        <f>VLOOKUP(B606,辅助信息!E:M,9,FALSE)</f>
        <v>#N/A</v>
      </c>
      <c r="R606" s="27"/>
    </row>
    <row r="607" ht="36" hidden="1" customHeight="1" spans="2:18">
      <c r="B607" s="41" t="s">
        <v>47</v>
      </c>
      <c r="C607" s="71">
        <v>45707</v>
      </c>
      <c r="D607" s="41" t="str">
        <f>VLOOKUP(B607,辅助信息!E:K,7,FALSE)</f>
        <v>JWDDCD2025052800131</v>
      </c>
      <c r="E607" s="41" t="str">
        <f>VLOOKUP(F607,辅助信息!A:B,2,FALSE)</f>
        <v>螺纹钢</v>
      </c>
      <c r="F607" s="41" t="s">
        <v>18</v>
      </c>
      <c r="G607" s="37">
        <v>225</v>
      </c>
      <c r="H607" s="37" t="str">
        <f>_xlfn._xlws.FILTER('[1]2025年已发货'!$E:$E,'[1]2025年已发货'!$F:$F&amp;'[1]2025年已发货'!$C:$C&amp;'[1]2025年已发货'!$G:$G&amp;'[1]2025年已发货'!$H:$H=C607&amp;F607&amp;I607&amp;J607,"未发货")</f>
        <v>未发货</v>
      </c>
      <c r="I607" s="41" t="str">
        <f>VLOOKUP(B607,辅助信息!E:I,3,FALSE)</f>
        <v>（商投建工达州中医药科技园-1工区）达州市通川区达州中医药职业学院犀牛大道北段</v>
      </c>
      <c r="J607" s="41" t="str">
        <f>VLOOKUP(B607,辅助信息!E:I,4,FALSE)</f>
        <v>程黄刚</v>
      </c>
      <c r="K607" s="41">
        <f>VLOOKUP(J607,辅助信息!H:I,2,FALSE)</f>
        <v>15108211617</v>
      </c>
      <c r="L607" s="44" t="str">
        <f>VLOOKUP(B607,辅助信息!E:J,6,FALSE)</f>
        <v>控制炉批号！多了现场不收！,优先安排达钢,提前联系到场规格及数量</v>
      </c>
      <c r="M607" s="92">
        <v>45710</v>
      </c>
      <c r="N607" s="58"/>
      <c r="O607" s="63">
        <f ca="1" t="shared" si="15"/>
        <v>0</v>
      </c>
      <c r="P607" s="63">
        <f ca="1" t="shared" si="14"/>
        <v>249</v>
      </c>
      <c r="Q607" s="27" t="str">
        <f>VLOOKUP(B607,辅助信息!E:M,9,FALSE)</f>
        <v>ZTWM-CDGS-XS-2024-0134-商投建工达州中医药科技成果示范园项目</v>
      </c>
      <c r="R607" s="27"/>
    </row>
    <row r="608" ht="36" hidden="1" customHeight="1" spans="1:18">
      <c r="A608" s="27"/>
      <c r="B608" s="41" t="s">
        <v>69</v>
      </c>
      <c r="C608" s="71">
        <v>45708</v>
      </c>
      <c r="D608" s="41" t="str">
        <f>VLOOKUP(B608,辅助信息!E:K,7,FALSE)</f>
        <v>JWDDCD2025052800131</v>
      </c>
      <c r="E608" s="41" t="str">
        <f>VLOOKUP(F608,辅助信息!A:B,2,FALSE)</f>
        <v>螺纹钢</v>
      </c>
      <c r="F608" s="41" t="s">
        <v>21</v>
      </c>
      <c r="G608" s="41">
        <v>35</v>
      </c>
      <c r="H608" s="41" t="str">
        <f>_xlfn._xlws.FILTER('[1]2025年已发货'!$E:$E,'[1]2025年已发货'!$F:$F&amp;'[1]2025年已发货'!$C:$C&amp;'[1]2025年已发货'!$G:$G&amp;'[1]2025年已发货'!$H:$H=C608&amp;F608&amp;I608&amp;J608,"未发货")</f>
        <v>未发货</v>
      </c>
      <c r="I608" s="41" t="str">
        <f>VLOOKUP(B608,辅助信息!E:I,3,FALSE)</f>
        <v>（商投建工达州中医药科技园-4工区-2号楼）达州市通川区达州中医药职业学院犀牛大道北段</v>
      </c>
      <c r="J608" s="41" t="str">
        <f>VLOOKUP(B608,辅助信息!E:I,4,FALSE)</f>
        <v>张扬</v>
      </c>
      <c r="K608" s="41">
        <f>VLOOKUP(J608,辅助信息!H:I,2,FALSE)</f>
        <v>18381904567</v>
      </c>
      <c r="L608" s="44" t="str">
        <f>VLOOKUP(B608,辅助信息!E:J,6,FALSE)</f>
        <v>控制炉批号！多了现场不收！,优先安排达钢,提前联系到场规格及数量</v>
      </c>
      <c r="M608" s="96">
        <v>45704</v>
      </c>
      <c r="N608" s="27"/>
      <c r="O608" s="27">
        <f ca="1" t="shared" si="15"/>
        <v>0</v>
      </c>
      <c r="P608" s="63">
        <f ca="1" t="shared" si="14"/>
        <v>255</v>
      </c>
      <c r="Q608" s="27" t="str">
        <f>VLOOKUP(B608,辅助信息!E:M,9,FALSE)</f>
        <v>ZTWM-CDGS-XS-2024-0134-商投建工达州中医药科技成果示范园项目</v>
      </c>
      <c r="R608" s="27"/>
    </row>
    <row r="609" s="27" customFormat="1" hidden="1" spans="2:17">
      <c r="B609" s="41" t="s">
        <v>84</v>
      </c>
      <c r="C609" s="71">
        <v>45708</v>
      </c>
      <c r="D609" s="41" t="e">
        <f>VLOOKUP(B609,辅助信息!E:K,7,FALSE)</f>
        <v>#N/A</v>
      </c>
      <c r="E609" s="41" t="str">
        <f>VLOOKUP(F609,辅助信息!A:B,2,FALSE)</f>
        <v>螺纹钢</v>
      </c>
      <c r="F609" s="41" t="s">
        <v>27</v>
      </c>
      <c r="G609" s="41">
        <v>20</v>
      </c>
      <c r="H609" s="41" t="e">
        <f>_xlfn._xlws.FILTER('[1]2025年已发货'!$E:$E,'[1]2025年已发货'!$F:$F&amp;'[1]2025年已发货'!$C:$C&amp;'[1]2025年已发货'!$G:$G&amp;'[1]2025年已发货'!$H:$H=C609&amp;F609&amp;I609&amp;J609,"未发货")</f>
        <v>#N/A</v>
      </c>
      <c r="I609" s="41" t="e">
        <f>VLOOKUP(B609,辅助信息!E:I,3,FALSE)</f>
        <v>#N/A</v>
      </c>
      <c r="J609" s="41" t="e">
        <f>VLOOKUP(B609,辅助信息!E:I,4,FALSE)</f>
        <v>#N/A</v>
      </c>
      <c r="K609" s="41" t="e">
        <f>VLOOKUP(J609,辅助信息!H:I,2,FALSE)</f>
        <v>#N/A</v>
      </c>
      <c r="L609" s="44" t="e">
        <f>VLOOKUP(B609,辅助信息!E:J,6,FALSE)</f>
        <v>#N/A</v>
      </c>
      <c r="M609" s="96">
        <v>45705</v>
      </c>
      <c r="O609" s="27">
        <f ca="1" t="shared" si="15"/>
        <v>0</v>
      </c>
      <c r="P609" s="63">
        <f ca="1" t="shared" si="14"/>
        <v>254</v>
      </c>
      <c r="Q609" s="27" t="e">
        <f>VLOOKUP(B609,辅助信息!E:M,9,FALSE)</f>
        <v>#N/A</v>
      </c>
    </row>
    <row r="610" s="27" customFormat="1" hidden="1" spans="2:17">
      <c r="B610" s="41" t="s">
        <v>84</v>
      </c>
      <c r="C610" s="71">
        <v>45708</v>
      </c>
      <c r="D610" s="41" t="e">
        <f>VLOOKUP(B610,辅助信息!E:K,7,FALSE)</f>
        <v>#N/A</v>
      </c>
      <c r="E610" s="41" t="str">
        <f>VLOOKUP(F610,辅助信息!A:B,2,FALSE)</f>
        <v>螺纹钢</v>
      </c>
      <c r="F610" s="41" t="s">
        <v>33</v>
      </c>
      <c r="G610" s="41">
        <v>8</v>
      </c>
      <c r="H610" s="41" t="e">
        <f>_xlfn._xlws.FILTER('[1]2025年已发货'!$E:$E,'[1]2025年已发货'!$F:$F&amp;'[1]2025年已发货'!$C:$C&amp;'[1]2025年已发货'!$G:$G&amp;'[1]2025年已发货'!$H:$H=C610&amp;F610&amp;I610&amp;J610,"未发货")</f>
        <v>#N/A</v>
      </c>
      <c r="I610" s="41" t="e">
        <f>VLOOKUP(B610,辅助信息!E:I,3,FALSE)</f>
        <v>#N/A</v>
      </c>
      <c r="J610" s="41" t="e">
        <f>VLOOKUP(B610,辅助信息!E:I,4,FALSE)</f>
        <v>#N/A</v>
      </c>
      <c r="K610" s="41" t="e">
        <f>VLOOKUP(J610,辅助信息!H:I,2,FALSE)</f>
        <v>#N/A</v>
      </c>
      <c r="L610" s="79"/>
      <c r="M610" s="96">
        <v>45705</v>
      </c>
      <c r="O610" s="27">
        <f ca="1" t="shared" si="15"/>
        <v>0</v>
      </c>
      <c r="P610" s="63">
        <f ca="1" t="shared" si="14"/>
        <v>254</v>
      </c>
      <c r="Q610" s="27" t="e">
        <f>VLOOKUP(B610,辅助信息!E:M,9,FALSE)</f>
        <v>#N/A</v>
      </c>
    </row>
    <row r="611" s="27" customFormat="1" hidden="1" spans="2:17">
      <c r="B611" s="41" t="s">
        <v>84</v>
      </c>
      <c r="C611" s="71">
        <v>45708</v>
      </c>
      <c r="D611" s="41" t="e">
        <f>VLOOKUP(B611,辅助信息!E:K,7,FALSE)</f>
        <v>#N/A</v>
      </c>
      <c r="E611" s="41" t="str">
        <f>VLOOKUP(F611,辅助信息!A:B,2,FALSE)</f>
        <v>螺纹钢</v>
      </c>
      <c r="F611" s="41" t="s">
        <v>18</v>
      </c>
      <c r="G611" s="41">
        <v>12</v>
      </c>
      <c r="H611" s="41" t="e">
        <f>_xlfn._xlws.FILTER('[1]2025年已发货'!$E:$E,'[1]2025年已发货'!$F:$F&amp;'[1]2025年已发货'!$C:$C&amp;'[1]2025年已发货'!$G:$G&amp;'[1]2025年已发货'!$H:$H=C611&amp;F611&amp;I611&amp;J611,"未发货")</f>
        <v>#N/A</v>
      </c>
      <c r="I611" s="41" t="e">
        <f>VLOOKUP(B611,辅助信息!E:I,3,FALSE)</f>
        <v>#N/A</v>
      </c>
      <c r="J611" s="41" t="e">
        <f>VLOOKUP(B611,辅助信息!E:I,4,FALSE)</f>
        <v>#N/A</v>
      </c>
      <c r="K611" s="41" t="e">
        <f>VLOOKUP(J611,辅助信息!H:I,2,FALSE)</f>
        <v>#N/A</v>
      </c>
      <c r="L611" s="79"/>
      <c r="M611" s="96">
        <v>45705</v>
      </c>
      <c r="O611" s="27">
        <f ca="1" t="shared" si="15"/>
        <v>0</v>
      </c>
      <c r="P611" s="63">
        <f ca="1" t="shared" si="14"/>
        <v>254</v>
      </c>
      <c r="Q611" s="27" t="e">
        <f>VLOOKUP(B611,辅助信息!E:M,9,FALSE)</f>
        <v>#N/A</v>
      </c>
    </row>
    <row r="612" s="27" customFormat="1" hidden="1" spans="2:17">
      <c r="B612" s="41" t="s">
        <v>84</v>
      </c>
      <c r="C612" s="71">
        <v>45708</v>
      </c>
      <c r="D612" s="41" t="e">
        <f>VLOOKUP(B612,辅助信息!E:K,7,FALSE)</f>
        <v>#N/A</v>
      </c>
      <c r="E612" s="41" t="str">
        <f>VLOOKUP(F612,辅助信息!A:B,2,FALSE)</f>
        <v>高线</v>
      </c>
      <c r="F612" s="41" t="s">
        <v>51</v>
      </c>
      <c r="G612" s="41">
        <v>5</v>
      </c>
      <c r="H612" s="41" t="e">
        <f>_xlfn._xlws.FILTER('[1]2025年已发货'!$E:$E,'[1]2025年已发货'!$F:$F&amp;'[1]2025年已发货'!$C:$C&amp;'[1]2025年已发货'!$G:$G&amp;'[1]2025年已发货'!$H:$H=C612&amp;F612&amp;I612&amp;J612,"未发货")</f>
        <v>#N/A</v>
      </c>
      <c r="I612" s="41" t="e">
        <f>VLOOKUP(B612,辅助信息!E:I,3,FALSE)</f>
        <v>#N/A</v>
      </c>
      <c r="J612" s="41" t="e">
        <f>VLOOKUP(B612,辅助信息!E:I,4,FALSE)</f>
        <v>#N/A</v>
      </c>
      <c r="K612" s="41" t="e">
        <f>VLOOKUP(J612,辅助信息!H:I,2,FALSE)</f>
        <v>#N/A</v>
      </c>
      <c r="L612" s="77"/>
      <c r="M612" s="96">
        <v>45705</v>
      </c>
      <c r="O612" s="27">
        <f ca="1" t="shared" si="15"/>
        <v>0</v>
      </c>
      <c r="P612" s="63">
        <f ca="1" t="shared" si="14"/>
        <v>254</v>
      </c>
      <c r="Q612" s="27" t="e">
        <f>VLOOKUP(B612,辅助信息!E:M,9,FALSE)</f>
        <v>#N/A</v>
      </c>
    </row>
    <row r="613" s="27" customFormat="1" ht="60" hidden="1" customHeight="1" spans="2:17">
      <c r="B613" s="41" t="s">
        <v>75</v>
      </c>
      <c r="C613" s="71">
        <v>45708</v>
      </c>
      <c r="D613" s="41" t="e">
        <f>VLOOKUP(B613,辅助信息!E:K,7,FALSE)</f>
        <v>#N/A</v>
      </c>
      <c r="E613" s="41" t="str">
        <f>VLOOKUP(F613,辅助信息!A:B,2,FALSE)</f>
        <v>螺纹钢</v>
      </c>
      <c r="F613" s="41" t="s">
        <v>65</v>
      </c>
      <c r="G613" s="41">
        <v>35</v>
      </c>
      <c r="H613" s="41" t="e">
        <f>_xlfn._xlws.FILTER('[1]2025年已发货'!$E:$E,'[1]2025年已发货'!$F:$F&amp;'[1]2025年已发货'!$C:$C&amp;'[1]2025年已发货'!$G:$G&amp;'[1]2025年已发货'!$H:$H=C613&amp;F613&amp;I613&amp;J613,"未发货")</f>
        <v>#N/A</v>
      </c>
      <c r="I613" s="41" t="e">
        <f>VLOOKUP(B613,辅助信息!E:I,3,FALSE)</f>
        <v>#N/A</v>
      </c>
      <c r="J613" s="41" t="e">
        <f>VLOOKUP(B613,辅助信息!E:I,4,FALSE)</f>
        <v>#N/A</v>
      </c>
      <c r="K613" s="41" t="e">
        <f>VLOOKUP(J613,辅助信息!H:I,2,FALSE)</f>
        <v>#N/A</v>
      </c>
      <c r="L613" s="44" t="e">
        <f>VLOOKUP(B613,辅助信息!E:J,6,FALSE)</f>
        <v>#N/A</v>
      </c>
      <c r="M613" s="96">
        <v>45709</v>
      </c>
      <c r="O613" s="27">
        <f ca="1" t="shared" si="15"/>
        <v>0</v>
      </c>
      <c r="P613" s="63">
        <f ca="1" t="shared" si="14"/>
        <v>250</v>
      </c>
      <c r="Q613" s="27" t="e">
        <f>VLOOKUP(B613,辅助信息!E:M,9,FALSE)</f>
        <v>#N/A</v>
      </c>
    </row>
    <row r="614" s="27" customFormat="1" hidden="1" spans="1:17">
      <c r="A614" s="63" t="s">
        <v>100</v>
      </c>
      <c r="B614" s="41" t="s">
        <v>87</v>
      </c>
      <c r="C614" s="71">
        <v>45708</v>
      </c>
      <c r="D614" s="41" t="e">
        <f>VLOOKUP(B614,辅助信息!E:K,7,FALSE)</f>
        <v>#N/A</v>
      </c>
      <c r="E614" s="41" t="str">
        <f>VLOOKUP(F614,辅助信息!A:B,2,FALSE)</f>
        <v>螺纹钢</v>
      </c>
      <c r="F614" s="41" t="s">
        <v>27</v>
      </c>
      <c r="G614" s="41">
        <v>8</v>
      </c>
      <c r="H614" s="41" t="e">
        <f>_xlfn._xlws.FILTER('[1]2025年已发货'!$E:$E,'[1]2025年已发货'!$F:$F&amp;'[1]2025年已发货'!$C:$C&amp;'[1]2025年已发货'!$G:$G&amp;'[1]2025年已发货'!$H:$H=C614&amp;F614&amp;I614&amp;J614,"未发货")</f>
        <v>#N/A</v>
      </c>
      <c r="I614" s="41" t="e">
        <f>VLOOKUP(B614,辅助信息!E:I,3,FALSE)</f>
        <v>#N/A</v>
      </c>
      <c r="J614" s="41" t="e">
        <f>VLOOKUP(B614,辅助信息!E:I,4,FALSE)</f>
        <v>#N/A</v>
      </c>
      <c r="K614" s="41" t="e">
        <f>VLOOKUP(J614,辅助信息!H:I,2,FALSE)</f>
        <v>#N/A</v>
      </c>
      <c r="L614" s="44" t="e">
        <f>VLOOKUP(B614,辅助信息!E:J,6,FALSE)</f>
        <v>#N/A</v>
      </c>
      <c r="M614" s="96">
        <v>45706</v>
      </c>
      <c r="O614" s="27">
        <f ca="1" t="shared" si="15"/>
        <v>0</v>
      </c>
      <c r="P614" s="63">
        <f ca="1" t="shared" si="14"/>
        <v>253</v>
      </c>
      <c r="Q614" s="27" t="e">
        <f>VLOOKUP(B614,辅助信息!E:M,9,FALSE)</f>
        <v>#N/A</v>
      </c>
    </row>
    <row r="615" s="27" customFormat="1" hidden="1" spans="2:17">
      <c r="B615" s="41" t="s">
        <v>87</v>
      </c>
      <c r="C615" s="71">
        <v>45708</v>
      </c>
      <c r="D615" s="41" t="e">
        <f>VLOOKUP(B615,辅助信息!E:K,7,FALSE)</f>
        <v>#N/A</v>
      </c>
      <c r="E615" s="41" t="str">
        <f>VLOOKUP(F615,辅助信息!A:B,2,FALSE)</f>
        <v>螺纹钢</v>
      </c>
      <c r="F615" s="41" t="s">
        <v>65</v>
      </c>
      <c r="G615" s="41">
        <v>27</v>
      </c>
      <c r="H615" s="41" t="e">
        <f>_xlfn._xlws.FILTER('[1]2025年已发货'!$E:$E,'[1]2025年已发货'!$F:$F&amp;'[1]2025年已发货'!$C:$C&amp;'[1]2025年已发货'!$G:$G&amp;'[1]2025年已发货'!$H:$H=C615&amp;F615&amp;I615&amp;J615,"未发货")</f>
        <v>#N/A</v>
      </c>
      <c r="I615" s="41" t="e">
        <f>VLOOKUP(B615,辅助信息!E:I,3,FALSE)</f>
        <v>#N/A</v>
      </c>
      <c r="J615" s="41" t="e">
        <f>VLOOKUP(B615,辅助信息!E:I,4,FALSE)</f>
        <v>#N/A</v>
      </c>
      <c r="K615" s="41" t="e">
        <f>VLOOKUP(J615,辅助信息!H:I,2,FALSE)</f>
        <v>#N/A</v>
      </c>
      <c r="L615" s="77"/>
      <c r="M615" s="96">
        <v>45706</v>
      </c>
      <c r="O615" s="27">
        <f ca="1" t="shared" si="15"/>
        <v>0</v>
      </c>
      <c r="P615" s="63">
        <f ca="1" t="shared" si="14"/>
        <v>253</v>
      </c>
      <c r="Q615" s="27" t="e">
        <f>VLOOKUP(B615,辅助信息!E:M,9,FALSE)</f>
        <v>#N/A</v>
      </c>
    </row>
    <row r="616" s="27" customFormat="1" hidden="1" spans="2:17">
      <c r="B616" s="41" t="s">
        <v>74</v>
      </c>
      <c r="C616" s="71">
        <v>45708</v>
      </c>
      <c r="D616" s="41" t="e">
        <f>VLOOKUP(B616,辅助信息!E:K,7,FALSE)</f>
        <v>#N/A</v>
      </c>
      <c r="E616" s="41" t="str">
        <f>VLOOKUP(F616,辅助信息!A:B,2,FALSE)</f>
        <v>螺纹钢</v>
      </c>
      <c r="F616" s="41" t="s">
        <v>19</v>
      </c>
      <c r="G616" s="41">
        <v>12</v>
      </c>
      <c r="H616" s="41" t="e">
        <f>_xlfn._xlws.FILTER('[1]2025年已发货'!$E:$E,'[1]2025年已发货'!$F:$F&amp;'[1]2025年已发货'!$C:$C&amp;'[1]2025年已发货'!$G:$G&amp;'[1]2025年已发货'!$H:$H=C616&amp;F616&amp;I616&amp;J616,"未发货")</f>
        <v>#N/A</v>
      </c>
      <c r="I616" s="41" t="e">
        <f>VLOOKUP(B616,辅助信息!E:I,3,FALSE)</f>
        <v>#N/A</v>
      </c>
      <c r="J616" s="41" t="e">
        <f>VLOOKUP(B616,辅助信息!E:I,4,FALSE)</f>
        <v>#N/A</v>
      </c>
      <c r="K616" s="41" t="e">
        <f>VLOOKUP(J616,辅助信息!H:I,2,FALSE)</f>
        <v>#N/A</v>
      </c>
      <c r="L616" s="44" t="e">
        <f>VLOOKUP(B616,辅助信息!E:J,6,FALSE)</f>
        <v>#N/A</v>
      </c>
      <c r="M616" s="96">
        <v>45711</v>
      </c>
      <c r="O616" s="27">
        <f ca="1" t="shared" si="15"/>
        <v>0</v>
      </c>
      <c r="P616" s="63">
        <f ca="1" t="shared" si="14"/>
        <v>248</v>
      </c>
      <c r="Q616" s="27" t="e">
        <f>VLOOKUP(B616,辅助信息!E:M,9,FALSE)</f>
        <v>#N/A</v>
      </c>
    </row>
    <row r="617" s="27" customFormat="1" hidden="1" spans="2:17">
      <c r="B617" s="41" t="s">
        <v>74</v>
      </c>
      <c r="C617" s="71">
        <v>45708</v>
      </c>
      <c r="D617" s="41" t="e">
        <f>VLOOKUP(B617,辅助信息!E:K,7,FALSE)</f>
        <v>#N/A</v>
      </c>
      <c r="E617" s="41" t="str">
        <f>VLOOKUP(F617,辅助信息!A:B,2,FALSE)</f>
        <v>螺纹钢</v>
      </c>
      <c r="F617" s="41" t="s">
        <v>33</v>
      </c>
      <c r="G617" s="41">
        <v>12</v>
      </c>
      <c r="H617" s="41" t="e">
        <f>_xlfn._xlws.FILTER('[1]2025年已发货'!$E:$E,'[1]2025年已发货'!$F:$F&amp;'[1]2025年已发货'!$C:$C&amp;'[1]2025年已发货'!$G:$G&amp;'[1]2025年已发货'!$H:$H=C617&amp;F617&amp;I617&amp;J617,"未发货")</f>
        <v>#N/A</v>
      </c>
      <c r="I617" s="41" t="e">
        <f>VLOOKUP(B617,辅助信息!E:I,3,FALSE)</f>
        <v>#N/A</v>
      </c>
      <c r="J617" s="41" t="e">
        <f>VLOOKUP(B617,辅助信息!E:I,4,FALSE)</f>
        <v>#N/A</v>
      </c>
      <c r="K617" s="41" t="e">
        <f>VLOOKUP(J617,辅助信息!H:I,2,FALSE)</f>
        <v>#N/A</v>
      </c>
      <c r="L617" s="79"/>
      <c r="M617" s="96">
        <v>45711</v>
      </c>
      <c r="O617" s="27">
        <f ca="1" t="shared" si="15"/>
        <v>0</v>
      </c>
      <c r="P617" s="63">
        <f ca="1" t="shared" si="14"/>
        <v>248</v>
      </c>
      <c r="Q617" s="27" t="e">
        <f>VLOOKUP(B617,辅助信息!E:M,9,FALSE)</f>
        <v>#N/A</v>
      </c>
    </row>
    <row r="618" s="27" customFormat="1" hidden="1" spans="2:17">
      <c r="B618" s="41" t="s">
        <v>74</v>
      </c>
      <c r="C618" s="71">
        <v>45708</v>
      </c>
      <c r="D618" s="41" t="e">
        <f>VLOOKUP(B618,辅助信息!E:K,7,FALSE)</f>
        <v>#N/A</v>
      </c>
      <c r="E618" s="41" t="str">
        <f>VLOOKUP(F618,辅助信息!A:B,2,FALSE)</f>
        <v>螺纹钢</v>
      </c>
      <c r="F618" s="41" t="s">
        <v>28</v>
      </c>
      <c r="G618" s="41">
        <v>12</v>
      </c>
      <c r="H618" s="41" t="e">
        <f>_xlfn._xlws.FILTER('[1]2025年已发货'!$E:$E,'[1]2025年已发货'!$F:$F&amp;'[1]2025年已发货'!$C:$C&amp;'[1]2025年已发货'!$G:$G&amp;'[1]2025年已发货'!$H:$H=C618&amp;F618&amp;I618&amp;J618,"未发货")</f>
        <v>#N/A</v>
      </c>
      <c r="I618" s="41" t="e">
        <f>VLOOKUP(B618,辅助信息!E:I,3,FALSE)</f>
        <v>#N/A</v>
      </c>
      <c r="J618" s="41" t="e">
        <f>VLOOKUP(B618,辅助信息!E:I,4,FALSE)</f>
        <v>#N/A</v>
      </c>
      <c r="K618" s="41" t="e">
        <f>VLOOKUP(J618,辅助信息!H:I,2,FALSE)</f>
        <v>#N/A</v>
      </c>
      <c r="L618" s="79"/>
      <c r="M618" s="96">
        <v>45711</v>
      </c>
      <c r="O618" s="27">
        <f ca="1" t="shared" si="15"/>
        <v>0</v>
      </c>
      <c r="P618" s="63">
        <f ca="1" t="shared" si="14"/>
        <v>248</v>
      </c>
      <c r="Q618" s="27" t="e">
        <f>VLOOKUP(B618,辅助信息!E:M,9,FALSE)</f>
        <v>#N/A</v>
      </c>
    </row>
    <row r="619" s="27" customFormat="1" hidden="1" spans="2:17">
      <c r="B619" s="41" t="s">
        <v>74</v>
      </c>
      <c r="C619" s="71">
        <v>45708</v>
      </c>
      <c r="D619" s="41" t="e">
        <f>VLOOKUP(B619,辅助信息!E:K,7,FALSE)</f>
        <v>#N/A</v>
      </c>
      <c r="E619" s="41" t="str">
        <f>VLOOKUP(F619,辅助信息!A:B,2,FALSE)</f>
        <v>螺纹钢</v>
      </c>
      <c r="F619" s="41" t="s">
        <v>18</v>
      </c>
      <c r="G619" s="41">
        <v>3</v>
      </c>
      <c r="H619" s="41" t="e">
        <f>_xlfn._xlws.FILTER('[1]2025年已发货'!$E:$E,'[1]2025年已发货'!$F:$F&amp;'[1]2025年已发货'!$C:$C&amp;'[1]2025年已发货'!$G:$G&amp;'[1]2025年已发货'!$H:$H=C619&amp;F619&amp;I619&amp;J619,"未发货")</f>
        <v>#N/A</v>
      </c>
      <c r="I619" s="41" t="e">
        <f>VLOOKUP(B619,辅助信息!E:I,3,FALSE)</f>
        <v>#N/A</v>
      </c>
      <c r="J619" s="41" t="e">
        <f>VLOOKUP(B619,辅助信息!E:I,4,FALSE)</f>
        <v>#N/A</v>
      </c>
      <c r="K619" s="41" t="e">
        <f>VLOOKUP(J619,辅助信息!H:I,2,FALSE)</f>
        <v>#N/A</v>
      </c>
      <c r="L619" s="77"/>
      <c r="M619" s="96">
        <v>45711</v>
      </c>
      <c r="O619" s="27">
        <f ca="1" t="shared" si="15"/>
        <v>0</v>
      </c>
      <c r="P619" s="63">
        <f ca="1" t="shared" si="14"/>
        <v>248</v>
      </c>
      <c r="Q619" s="27" t="e">
        <f>VLOOKUP(B619,辅助信息!E:M,9,FALSE)</f>
        <v>#N/A</v>
      </c>
    </row>
    <row r="620" s="27" customFormat="1" hidden="1" spans="1:17">
      <c r="A620" s="97" t="s">
        <v>101</v>
      </c>
      <c r="B620" s="41" t="s">
        <v>88</v>
      </c>
      <c r="C620" s="71">
        <v>45708</v>
      </c>
      <c r="D620" s="41" t="str">
        <f>VLOOKUP(B620,辅助信息!E:K,7,FALSE)</f>
        <v>JWDDCD2025051000019</v>
      </c>
      <c r="E620" s="41" t="str">
        <f>VLOOKUP(F620,辅助信息!A:B,2,FALSE)</f>
        <v>盘螺</v>
      </c>
      <c r="F620" s="41" t="s">
        <v>49</v>
      </c>
      <c r="G620" s="41">
        <v>18</v>
      </c>
      <c r="H620" s="41">
        <f>_xlfn._xlws.FILTER('[1]2025年已发货'!$E:$E,'[1]2025年已发货'!$F:$F&amp;'[1]2025年已发货'!$C:$C&amp;'[1]2025年已发货'!$G:$G&amp;'[1]2025年已发货'!$H:$H=C620&amp;F620&amp;I620&amp;J620,"未发货")</f>
        <v>14</v>
      </c>
      <c r="I620" s="41" t="str">
        <f>VLOOKUP(B620,辅助信息!E:I,3,FALSE)</f>
        <v>(五冶钢构医学科学产业园建设项目房建二部-四标（5-4）)四川省南充市顺庆区搬罾街道学府大道二段</v>
      </c>
      <c r="J620" s="41" t="str">
        <f>VLOOKUP(B620,辅助信息!E:I,4,FALSE)</f>
        <v>安南</v>
      </c>
      <c r="K620" s="41">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7">
        <f ca="1" t="shared" si="15"/>
        <v>0</v>
      </c>
      <c r="P620" s="63">
        <f ca="1" t="shared" si="14"/>
        <v>253</v>
      </c>
      <c r="Q620" s="27" t="str">
        <f>VLOOKUP(B620,辅助信息!E:M,9,FALSE)</f>
        <v>ZTWM-CDGS-XS-2024-0248-五冶钢构-南充市医学院项目</v>
      </c>
    </row>
    <row r="621" s="27" customFormat="1" hidden="1" spans="2:17">
      <c r="B621" s="41" t="s">
        <v>88</v>
      </c>
      <c r="C621" s="71">
        <v>45708</v>
      </c>
      <c r="D621" s="41" t="str">
        <f>VLOOKUP(B621,辅助信息!E:K,7,FALSE)</f>
        <v>JWDDCD2025051000019</v>
      </c>
      <c r="E621" s="41" t="str">
        <f>VLOOKUP(F621,辅助信息!A:B,2,FALSE)</f>
        <v>盘螺</v>
      </c>
      <c r="F621" s="41" t="s">
        <v>40</v>
      </c>
      <c r="G621" s="41">
        <v>14</v>
      </c>
      <c r="H621" s="41">
        <f>_xlfn._xlws.FILTER('[1]2025年已发货'!$E:$E,'[1]2025年已发货'!$F:$F&amp;'[1]2025年已发货'!$C:$C&amp;'[1]2025年已发货'!$G:$G&amp;'[1]2025年已发货'!$H:$H=C621&amp;F621&amp;I621&amp;J621,"未发货")</f>
        <v>14</v>
      </c>
      <c r="I621" s="41" t="str">
        <f>VLOOKUP(B621,辅助信息!E:I,3,FALSE)</f>
        <v>(五冶钢构医学科学产业园建设项目房建二部-四标（5-4）)四川省南充市顺庆区搬罾街道学府大道二段</v>
      </c>
      <c r="J621" s="41" t="str">
        <f>VLOOKUP(B621,辅助信息!E:I,4,FALSE)</f>
        <v>安南</v>
      </c>
      <c r="K621" s="41">
        <f>VLOOKUP(J621,辅助信息!H:I,2,FALSE)</f>
        <v>19950525030</v>
      </c>
      <c r="L621" s="79"/>
      <c r="M621" s="96">
        <v>45706</v>
      </c>
      <c r="O621" s="27">
        <f ca="1" t="shared" si="15"/>
        <v>0</v>
      </c>
      <c r="P621" s="63">
        <f ca="1" t="shared" si="14"/>
        <v>253</v>
      </c>
      <c r="Q621" s="27" t="str">
        <f>VLOOKUP(B621,辅助信息!E:M,9,FALSE)</f>
        <v>ZTWM-CDGS-XS-2024-0248-五冶钢构-南充市医学院项目</v>
      </c>
    </row>
    <row r="622" s="27" customFormat="1" hidden="1" spans="2:17">
      <c r="B622" s="41" t="s">
        <v>88</v>
      </c>
      <c r="C622" s="71">
        <v>45708</v>
      </c>
      <c r="D622" s="41" t="str">
        <f>VLOOKUP(B622,辅助信息!E:K,7,FALSE)</f>
        <v>JWDDCD2025051000019</v>
      </c>
      <c r="E622" s="41" t="str">
        <f>VLOOKUP(F622,辅助信息!A:B,2,FALSE)</f>
        <v>螺纹钢</v>
      </c>
      <c r="F622" s="41" t="s">
        <v>30</v>
      </c>
      <c r="G622" s="41">
        <v>3</v>
      </c>
      <c r="H622" s="41">
        <f>_xlfn._xlws.FILTER('[1]2025年已发货'!$E:$E,'[1]2025年已发货'!$F:$F&amp;'[1]2025年已发货'!$C:$C&amp;'[1]2025年已发货'!$G:$G&amp;'[1]2025年已发货'!$H:$H=C622&amp;F622&amp;I622&amp;J622,"未发货")</f>
        <v>3</v>
      </c>
      <c r="I622" s="41" t="str">
        <f>VLOOKUP(B622,辅助信息!E:I,3,FALSE)</f>
        <v>(五冶钢构医学科学产业园建设项目房建二部-四标（5-4）)四川省南充市顺庆区搬罾街道学府大道二段</v>
      </c>
      <c r="J622" s="41" t="str">
        <f>VLOOKUP(B622,辅助信息!E:I,4,FALSE)</f>
        <v>安南</v>
      </c>
      <c r="K622" s="41">
        <f>VLOOKUP(J622,辅助信息!H:I,2,FALSE)</f>
        <v>19950525030</v>
      </c>
      <c r="L622" s="79"/>
      <c r="M622" s="96">
        <v>45706</v>
      </c>
      <c r="O622" s="27">
        <f ca="1" t="shared" si="15"/>
        <v>0</v>
      </c>
      <c r="P622" s="63">
        <f ca="1" t="shared" si="14"/>
        <v>253</v>
      </c>
      <c r="Q622" s="27" t="str">
        <f>VLOOKUP(B622,辅助信息!E:M,9,FALSE)</f>
        <v>ZTWM-CDGS-XS-2024-0248-五冶钢构-南充市医学院项目</v>
      </c>
    </row>
    <row r="623" s="27" customFormat="1" hidden="1" spans="2:17">
      <c r="B623" s="41" t="s">
        <v>72</v>
      </c>
      <c r="C623" s="71">
        <v>45708</v>
      </c>
      <c r="D623" s="41" t="str">
        <f>VLOOKUP(B623,辅助信息!E:K,7,FALSE)</f>
        <v>JWDDCD2025051000019</v>
      </c>
      <c r="E623" s="41" t="str">
        <f>VLOOKUP(F623,辅助信息!A:B,2,FALSE)</f>
        <v>高线</v>
      </c>
      <c r="F623" s="41" t="s">
        <v>53</v>
      </c>
      <c r="G623" s="41">
        <v>6</v>
      </c>
      <c r="H623" s="41">
        <f>_xlfn._xlws.FILTER('[1]2025年已发货'!$E:$E,'[1]2025年已发货'!$F:$F&amp;'[1]2025年已发货'!$C:$C&amp;'[1]2025年已发货'!$G:$G&amp;'[1]2025年已发货'!$H:$H=C623&amp;F623&amp;I623&amp;J623,"未发货")</f>
        <v>6</v>
      </c>
      <c r="I623" s="41" t="str">
        <f>VLOOKUP(B623,辅助信息!E:I,3,FALSE)</f>
        <v>(五冶钢构医学科学产业园建设项目房建二部-网羽馆（6-5）)四川省南充市顺庆区搬罾街道学府大道二段</v>
      </c>
      <c r="J623" s="41" t="str">
        <f>VLOOKUP(B623,辅助信息!E:I,4,FALSE)</f>
        <v>安南</v>
      </c>
      <c r="K623" s="41">
        <f>VLOOKUP(J623,辅助信息!H:I,2,FALSE)</f>
        <v>19950525030</v>
      </c>
      <c r="L623" s="79"/>
      <c r="M623" s="96">
        <v>45708</v>
      </c>
      <c r="O623" s="27">
        <f ca="1" t="shared" si="15"/>
        <v>0</v>
      </c>
      <c r="P623" s="63">
        <f ca="1" t="shared" si="14"/>
        <v>251</v>
      </c>
      <c r="Q623" s="27" t="str">
        <f>VLOOKUP(B623,辅助信息!E:M,9,FALSE)</f>
        <v>ZTWM-CDGS-XS-2024-0248-五冶钢构-南充市医学院项目</v>
      </c>
    </row>
    <row r="624" s="27" customFormat="1" hidden="1" spans="2:17">
      <c r="B624" s="41" t="s">
        <v>72</v>
      </c>
      <c r="C624" s="71">
        <v>45708</v>
      </c>
      <c r="D624" s="41" t="str">
        <f>VLOOKUP(B624,辅助信息!E:K,7,FALSE)</f>
        <v>JWDDCD2025051000019</v>
      </c>
      <c r="E624" s="41" t="str">
        <f>VLOOKUP(F624,辅助信息!A:B,2,FALSE)</f>
        <v>螺纹钢</v>
      </c>
      <c r="F624" s="41" t="s">
        <v>19</v>
      </c>
      <c r="G624" s="41">
        <v>8</v>
      </c>
      <c r="H624" s="41">
        <f>_xlfn._xlws.FILTER('[1]2025年已发货'!$E:$E,'[1]2025年已发货'!$F:$F&amp;'[1]2025年已发货'!$C:$C&amp;'[1]2025年已发货'!$G:$G&amp;'[1]2025年已发货'!$H:$H=C624&amp;F624&amp;I624&amp;J624,"未发货")</f>
        <v>8</v>
      </c>
      <c r="I624" s="41" t="str">
        <f>VLOOKUP(B624,辅助信息!E:I,3,FALSE)</f>
        <v>(五冶钢构医学科学产业园建设项目房建二部-网羽馆（6-5）)四川省南充市顺庆区搬罾街道学府大道二段</v>
      </c>
      <c r="J624" s="41" t="str">
        <f>VLOOKUP(B624,辅助信息!E:I,4,FALSE)</f>
        <v>安南</v>
      </c>
      <c r="K624" s="41">
        <f>VLOOKUP(J624,辅助信息!H:I,2,FALSE)</f>
        <v>19950525030</v>
      </c>
      <c r="L624" s="79"/>
      <c r="M624" s="96">
        <v>45708</v>
      </c>
      <c r="O624" s="27">
        <f ca="1" t="shared" si="15"/>
        <v>0</v>
      </c>
      <c r="P624" s="63">
        <f ca="1" t="shared" si="14"/>
        <v>251</v>
      </c>
      <c r="Q624" s="27" t="str">
        <f>VLOOKUP(B624,辅助信息!E:M,9,FALSE)</f>
        <v>ZTWM-CDGS-XS-2024-0248-五冶钢构-南充市医学院项目</v>
      </c>
    </row>
    <row r="625" hidden="1" spans="1:18">
      <c r="A625" s="27"/>
      <c r="B625" s="41" t="s">
        <v>72</v>
      </c>
      <c r="C625" s="71">
        <v>45708</v>
      </c>
      <c r="D625" s="41" t="str">
        <f>VLOOKUP(B625,辅助信息!E:K,7,FALSE)</f>
        <v>JWDDCD2025051000019</v>
      </c>
      <c r="E625" s="41" t="str">
        <f>VLOOKUP(F625,辅助信息!A:B,2,FALSE)</f>
        <v>螺纹钢</v>
      </c>
      <c r="F625" s="41" t="s">
        <v>18</v>
      </c>
      <c r="G625" s="41">
        <v>24</v>
      </c>
      <c r="H625" s="41">
        <f>_xlfn._xlws.FILTER('[1]2025年已发货'!$E:$E,'[1]2025年已发货'!$F:$F&amp;'[1]2025年已发货'!$C:$C&amp;'[1]2025年已发货'!$G:$G&amp;'[1]2025年已发货'!$H:$H=C625&amp;F625&amp;I625&amp;J625,"未发货")</f>
        <v>24</v>
      </c>
      <c r="I625" s="41" t="str">
        <f>VLOOKUP(B625,辅助信息!E:I,3,FALSE)</f>
        <v>(五冶钢构医学科学产业园建设项目房建二部-网羽馆（6-5）)四川省南充市顺庆区搬罾街道学府大道二段</v>
      </c>
      <c r="J625" s="41" t="str">
        <f>VLOOKUP(B625,辅助信息!E:I,4,FALSE)</f>
        <v>安南</v>
      </c>
      <c r="K625" s="41">
        <f>VLOOKUP(J625,辅助信息!H:I,2,FALSE)</f>
        <v>19950525030</v>
      </c>
      <c r="L625" s="79"/>
      <c r="M625" s="96"/>
      <c r="N625" s="27"/>
      <c r="O625" s="27"/>
      <c r="Q625" s="27"/>
      <c r="R625" s="27"/>
    </row>
    <row r="626" hidden="1" spans="1:18">
      <c r="A626" s="27"/>
      <c r="B626" s="41" t="s">
        <v>89</v>
      </c>
      <c r="C626" s="71">
        <v>45708</v>
      </c>
      <c r="D626" s="41" t="str">
        <f>VLOOKUP(B626,辅助信息!E:K,7,FALSE)</f>
        <v>JWDDCD2025051000019</v>
      </c>
      <c r="E626" s="41" t="str">
        <f>VLOOKUP(F626,辅助信息!A:B,2,FALSE)</f>
        <v>螺纹钢</v>
      </c>
      <c r="F626" s="41" t="s">
        <v>32</v>
      </c>
      <c r="G626" s="41">
        <f>130-70-45</f>
        <v>15</v>
      </c>
      <c r="H626" s="41">
        <f>_xlfn._xlws.FILTER('[1]2025年已发货'!$E:$E,'[1]2025年已发货'!$F:$F&amp;'[1]2025年已发货'!$C:$C&amp;'[1]2025年已发货'!$G:$G&amp;'[1]2025年已发货'!$H:$H=C626&amp;F626&amp;I626&amp;J626,"未发货")</f>
        <v>15</v>
      </c>
      <c r="I626" s="41" t="str">
        <f>VLOOKUP(B626,辅助信息!E:I,3,FALSE)</f>
        <v>(五冶钢构医学科学产业园建设项目房建三部-排洪渠)四川省南充市顺庆区搬罾街道学府大道二段</v>
      </c>
      <c r="J626" s="41" t="str">
        <f>VLOOKUP(B626,辅助信息!E:I,4,FALSE)</f>
        <v>郑林</v>
      </c>
      <c r="K626" s="41">
        <f>VLOOKUP(J626,辅助信息!H:I,2,FALSE)</f>
        <v>18349955455</v>
      </c>
      <c r="L626" s="44"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7"/>
      <c r="O626" s="27">
        <f ca="1" t="shared" ref="O626:O689" si="16">IF(OR(M626="",N626&lt;&gt;""),"",MAX(M626-TODAY(),0))</f>
        <v>0</v>
      </c>
      <c r="P626" s="63">
        <f ca="1" t="shared" ref="P626:P689" si="17">IF(M626="","",IF(N626&lt;&gt;"",MAX(N626-M626,0),IF(TODAY()&gt;M626,TODAY()-M626,0)))</f>
        <v>251</v>
      </c>
      <c r="Q626" s="27" t="str">
        <f>VLOOKUP(B626,辅助信息!E:M,9,FALSE)</f>
        <v>ZTWM-CDGS-XS-2024-0248-五冶钢构-南充市医学院项目</v>
      </c>
      <c r="R626" s="27"/>
    </row>
    <row r="627" hidden="1" spans="1:18">
      <c r="A627" s="27"/>
      <c r="B627" s="41" t="s">
        <v>89</v>
      </c>
      <c r="C627" s="71">
        <v>45708</v>
      </c>
      <c r="D627" s="41" t="str">
        <f>VLOOKUP(B627,辅助信息!E:K,7,FALSE)</f>
        <v>JWDDCD2025051000019</v>
      </c>
      <c r="E627" s="41" t="str">
        <f>VLOOKUP(F627,辅助信息!A:B,2,FALSE)</f>
        <v>螺纹钢</v>
      </c>
      <c r="F627" s="41" t="s">
        <v>18</v>
      </c>
      <c r="G627" s="41">
        <v>25</v>
      </c>
      <c r="H627" s="41">
        <f>_xlfn._xlws.FILTER('[1]2025年已发货'!$E:$E,'[1]2025年已发货'!$F:$F&amp;'[1]2025年已发货'!$C:$C&amp;'[1]2025年已发货'!$G:$G&amp;'[1]2025年已发货'!$H:$H=C627&amp;F627&amp;I627&amp;J627,"未发货")</f>
        <v>21</v>
      </c>
      <c r="I627" s="41" t="str">
        <f>VLOOKUP(B627,辅助信息!E:I,3,FALSE)</f>
        <v>(五冶钢构医学科学产业园建设项目房建三部-排洪渠)四川省南充市顺庆区搬罾街道学府大道二段</v>
      </c>
      <c r="J627" s="41" t="str">
        <f>VLOOKUP(B627,辅助信息!E:I,4,FALSE)</f>
        <v>郑林</v>
      </c>
      <c r="K627" s="41">
        <f>VLOOKUP(J627,辅助信息!H:I,2,FALSE)</f>
        <v>18349955455</v>
      </c>
      <c r="L627" s="79"/>
      <c r="M627" s="96">
        <v>45708</v>
      </c>
      <c r="N627" s="27"/>
      <c r="O627" s="27">
        <f ca="1" t="shared" si="16"/>
        <v>0</v>
      </c>
      <c r="P627" s="63">
        <f ca="1" t="shared" si="17"/>
        <v>251</v>
      </c>
      <c r="Q627" s="27" t="str">
        <f>VLOOKUP(B627,辅助信息!E:M,9,FALSE)</f>
        <v>ZTWM-CDGS-XS-2024-0248-五冶钢构-南充市医学院项目</v>
      </c>
      <c r="R627" s="27"/>
    </row>
    <row r="628" hidden="1" spans="1:18">
      <c r="A628" s="63" t="s">
        <v>97</v>
      </c>
      <c r="B628" s="41" t="s">
        <v>98</v>
      </c>
      <c r="C628" s="71">
        <v>45708</v>
      </c>
      <c r="D628" s="41" t="e">
        <f>VLOOKUP(B628,辅助信息!E:K,7,FALSE)</f>
        <v>#N/A</v>
      </c>
      <c r="E628" s="41" t="str">
        <f>VLOOKUP(F628,辅助信息!A:B,2,FALSE)</f>
        <v>高线</v>
      </c>
      <c r="F628" s="41" t="s">
        <v>51</v>
      </c>
      <c r="G628" s="37">
        <v>10</v>
      </c>
      <c r="H628" s="37" t="e">
        <f>_xlfn._xlws.FILTER('[1]2025年已发货'!$E:$E,'[1]2025年已发货'!$F:$F&amp;'[1]2025年已发货'!$C:$C&amp;'[1]2025年已发货'!$G:$G&amp;'[1]2025年已发货'!$H:$H=C628&amp;F628&amp;I628&amp;J628,"未发货")</f>
        <v>#N/A</v>
      </c>
      <c r="I628" s="41" t="e">
        <f>VLOOKUP(B628,辅助信息!E:I,3,FALSE)</f>
        <v>#N/A</v>
      </c>
      <c r="J628" s="41" t="e">
        <f>VLOOKUP(B628,辅助信息!E:I,4,FALSE)</f>
        <v>#N/A</v>
      </c>
      <c r="K628" s="41" t="e">
        <f>VLOOKUP(J628,辅助信息!H:I,2,FALSE)</f>
        <v>#N/A</v>
      </c>
      <c r="L628" s="79"/>
      <c r="M628" s="92">
        <v>45709</v>
      </c>
      <c r="O628" s="63">
        <f ca="1" t="shared" si="16"/>
        <v>0</v>
      </c>
      <c r="P628" s="63">
        <f ca="1" t="shared" si="17"/>
        <v>250</v>
      </c>
      <c r="Q628" s="27" t="e">
        <f>VLOOKUP(B628,辅助信息!E:M,9,FALSE)</f>
        <v>#N/A</v>
      </c>
      <c r="R628" s="27"/>
    </row>
    <row r="629" hidden="1" spans="1:18">
      <c r="A629" s="27"/>
      <c r="B629" s="41" t="s">
        <v>99</v>
      </c>
      <c r="C629" s="71">
        <v>45708</v>
      </c>
      <c r="D629" s="41" t="e">
        <f>VLOOKUP(B629,辅助信息!E:K,7,FALSE)</f>
        <v>#N/A</v>
      </c>
      <c r="E629" s="41" t="str">
        <f>VLOOKUP(F629,辅助信息!A:B,2,FALSE)</f>
        <v>高线</v>
      </c>
      <c r="F629" s="41" t="s">
        <v>53</v>
      </c>
      <c r="G629" s="37">
        <v>2.5</v>
      </c>
      <c r="H629" s="37" t="e">
        <f>_xlfn._xlws.FILTER('[1]2025年已发货'!$E:$E,'[1]2025年已发货'!$F:$F&amp;'[1]2025年已发货'!$C:$C&amp;'[1]2025年已发货'!$G:$G&amp;'[1]2025年已发货'!$H:$H=C629&amp;F629&amp;I629&amp;J629,"未发货")</f>
        <v>#N/A</v>
      </c>
      <c r="I629" s="41" t="e">
        <f>VLOOKUP(B629,辅助信息!E:I,3,FALSE)</f>
        <v>#N/A</v>
      </c>
      <c r="J629" s="41" t="e">
        <f>VLOOKUP(B629,辅助信息!E:I,4,FALSE)</f>
        <v>#N/A</v>
      </c>
      <c r="K629" s="41" t="e">
        <f>VLOOKUP(J629,辅助信息!H:I,2,FALSE)</f>
        <v>#N/A</v>
      </c>
      <c r="L629" s="79"/>
      <c r="M629" s="92">
        <v>45709</v>
      </c>
      <c r="O629" s="63">
        <f ca="1" t="shared" si="16"/>
        <v>0</v>
      </c>
      <c r="P629" s="63">
        <f ca="1" t="shared" si="17"/>
        <v>250</v>
      </c>
      <c r="Q629" s="27" t="e">
        <f>VLOOKUP(B629,辅助信息!E:M,9,FALSE)</f>
        <v>#N/A</v>
      </c>
      <c r="R629" s="27"/>
    </row>
    <row r="630" hidden="1" spans="1:18">
      <c r="A630" s="27"/>
      <c r="B630" s="41" t="s">
        <v>99</v>
      </c>
      <c r="C630" s="71">
        <v>45708</v>
      </c>
      <c r="D630" s="41" t="e">
        <f>VLOOKUP(B630,辅助信息!E:K,7,FALSE)</f>
        <v>#N/A</v>
      </c>
      <c r="E630" s="41" t="str">
        <f>VLOOKUP(F630,辅助信息!A:B,2,FALSE)</f>
        <v>高线</v>
      </c>
      <c r="F630" s="41" t="s">
        <v>51</v>
      </c>
      <c r="G630" s="37">
        <v>2.5</v>
      </c>
      <c r="H630" s="37" t="e">
        <f>_xlfn._xlws.FILTER('[1]2025年已发货'!$E:$E,'[1]2025年已发货'!$F:$F&amp;'[1]2025年已发货'!$C:$C&amp;'[1]2025年已发货'!$G:$G&amp;'[1]2025年已发货'!$H:$H=C630&amp;F630&amp;I630&amp;J630,"未发货")</f>
        <v>#N/A</v>
      </c>
      <c r="I630" s="41" t="e">
        <f>VLOOKUP(B630,辅助信息!E:I,3,FALSE)</f>
        <v>#N/A</v>
      </c>
      <c r="J630" s="41" t="e">
        <f>VLOOKUP(B630,辅助信息!E:I,4,FALSE)</f>
        <v>#N/A</v>
      </c>
      <c r="K630" s="41" t="e">
        <f>VLOOKUP(J630,辅助信息!H:I,2,FALSE)</f>
        <v>#N/A</v>
      </c>
      <c r="L630" s="79"/>
      <c r="M630" s="92">
        <v>45709</v>
      </c>
      <c r="O630" s="63">
        <f ca="1" t="shared" si="16"/>
        <v>0</v>
      </c>
      <c r="P630" s="63">
        <f ca="1" t="shared" si="17"/>
        <v>250</v>
      </c>
      <c r="Q630" s="27" t="e">
        <f>VLOOKUP(B630,辅助信息!E:M,9,FALSE)</f>
        <v>#N/A</v>
      </c>
      <c r="R630" s="27"/>
    </row>
    <row r="631" hidden="1" spans="1:18">
      <c r="A631" s="27"/>
      <c r="B631" s="41" t="s">
        <v>99</v>
      </c>
      <c r="C631" s="71">
        <v>45708</v>
      </c>
      <c r="D631" s="41" t="e">
        <f>VLOOKUP(B631,辅助信息!E:K,7,FALSE)</f>
        <v>#N/A</v>
      </c>
      <c r="E631" s="41" t="str">
        <f>VLOOKUP(F631,辅助信息!A:B,2,FALSE)</f>
        <v>螺纹钢</v>
      </c>
      <c r="F631" s="41" t="s">
        <v>27</v>
      </c>
      <c r="G631" s="37">
        <v>3</v>
      </c>
      <c r="H631" s="37" t="e">
        <f>_xlfn._xlws.FILTER('[1]2025年已发货'!$E:$E,'[1]2025年已发货'!$F:$F&amp;'[1]2025年已发货'!$C:$C&amp;'[1]2025年已发货'!$G:$G&amp;'[1]2025年已发货'!$H:$H=C631&amp;F631&amp;I631&amp;J631,"未发货")</f>
        <v>#N/A</v>
      </c>
      <c r="I631" s="41" t="e">
        <f>VLOOKUP(B631,辅助信息!E:I,3,FALSE)</f>
        <v>#N/A</v>
      </c>
      <c r="J631" s="41" t="e">
        <f>VLOOKUP(B631,辅助信息!E:I,4,FALSE)</f>
        <v>#N/A</v>
      </c>
      <c r="K631" s="41" t="e">
        <f>VLOOKUP(J631,辅助信息!H:I,2,FALSE)</f>
        <v>#N/A</v>
      </c>
      <c r="L631" s="79"/>
      <c r="M631" s="92">
        <v>45709</v>
      </c>
      <c r="O631" s="63">
        <f ca="1" t="shared" si="16"/>
        <v>0</v>
      </c>
      <c r="P631" s="63">
        <f ca="1" t="shared" si="17"/>
        <v>250</v>
      </c>
      <c r="Q631" s="27" t="e">
        <f>VLOOKUP(B631,辅助信息!E:M,9,FALSE)</f>
        <v>#N/A</v>
      </c>
      <c r="R631" s="27"/>
    </row>
    <row r="632" hidden="1" spans="1:18">
      <c r="A632" s="27"/>
      <c r="B632" s="41" t="s">
        <v>99</v>
      </c>
      <c r="C632" s="71">
        <v>45708</v>
      </c>
      <c r="D632" s="41" t="e">
        <f>VLOOKUP(B632,辅助信息!E:K,7,FALSE)</f>
        <v>#N/A</v>
      </c>
      <c r="E632" s="41" t="str">
        <f>VLOOKUP(F632,辅助信息!A:B,2,FALSE)</f>
        <v>螺纹钢</v>
      </c>
      <c r="F632" s="41" t="s">
        <v>19</v>
      </c>
      <c r="G632" s="37">
        <v>3</v>
      </c>
      <c r="H632" s="37" t="e">
        <f>_xlfn._xlws.FILTER('[1]2025年已发货'!$E:$E,'[1]2025年已发货'!$F:$F&amp;'[1]2025年已发货'!$C:$C&amp;'[1]2025年已发货'!$G:$G&amp;'[1]2025年已发货'!$H:$H=C632&amp;F632&amp;I632&amp;J632,"未发货")</f>
        <v>#N/A</v>
      </c>
      <c r="I632" s="41" t="e">
        <f>VLOOKUP(B632,辅助信息!E:I,3,FALSE)</f>
        <v>#N/A</v>
      </c>
      <c r="J632" s="41" t="e">
        <f>VLOOKUP(B632,辅助信息!E:I,4,FALSE)</f>
        <v>#N/A</v>
      </c>
      <c r="K632" s="41" t="e">
        <f>VLOOKUP(J632,辅助信息!H:I,2,FALSE)</f>
        <v>#N/A</v>
      </c>
      <c r="L632" s="79"/>
      <c r="M632" s="92">
        <v>45709</v>
      </c>
      <c r="O632" s="63">
        <f ca="1" t="shared" si="16"/>
        <v>0</v>
      </c>
      <c r="P632" s="63">
        <f ca="1" t="shared" si="17"/>
        <v>250</v>
      </c>
      <c r="Q632" s="27" t="e">
        <f>VLOOKUP(B632,辅助信息!E:M,9,FALSE)</f>
        <v>#N/A</v>
      </c>
      <c r="R632" s="27"/>
    </row>
    <row r="633" hidden="1" spans="1:18">
      <c r="A633" s="27"/>
      <c r="B633" s="41" t="s">
        <v>99</v>
      </c>
      <c r="C633" s="71">
        <v>45708</v>
      </c>
      <c r="D633" s="41" t="e">
        <f>VLOOKUP(B633,辅助信息!E:K,7,FALSE)</f>
        <v>#N/A</v>
      </c>
      <c r="E633" s="41" t="str">
        <f>VLOOKUP(F633,辅助信息!A:B,2,FALSE)</f>
        <v>螺纹钢</v>
      </c>
      <c r="F633" s="41" t="s">
        <v>32</v>
      </c>
      <c r="G633" s="37">
        <v>3</v>
      </c>
      <c r="H633" s="37" t="e">
        <f>_xlfn._xlws.FILTER('[1]2025年已发货'!$E:$E,'[1]2025年已发货'!$F:$F&amp;'[1]2025年已发货'!$C:$C&amp;'[1]2025年已发货'!$G:$G&amp;'[1]2025年已发货'!$H:$H=C633&amp;F633&amp;I633&amp;J633,"未发货")</f>
        <v>#N/A</v>
      </c>
      <c r="I633" s="41" t="e">
        <f>VLOOKUP(B633,辅助信息!E:I,3,FALSE)</f>
        <v>#N/A</v>
      </c>
      <c r="J633" s="41" t="e">
        <f>VLOOKUP(B633,辅助信息!E:I,4,FALSE)</f>
        <v>#N/A</v>
      </c>
      <c r="K633" s="41" t="e">
        <f>VLOOKUP(J633,辅助信息!H:I,2,FALSE)</f>
        <v>#N/A</v>
      </c>
      <c r="L633" s="77"/>
      <c r="M633" s="92">
        <v>45709</v>
      </c>
      <c r="O633" s="63">
        <f ca="1" t="shared" si="16"/>
        <v>0</v>
      </c>
      <c r="P633" s="63">
        <f ca="1" t="shared" si="17"/>
        <v>250</v>
      </c>
      <c r="Q633" s="27" t="e">
        <f>VLOOKUP(B633,辅助信息!E:M,9,FALSE)</f>
        <v>#N/A</v>
      </c>
      <c r="R633" s="27"/>
    </row>
    <row r="634" hidden="1" spans="1:18">
      <c r="A634" s="27"/>
      <c r="B634" s="41" t="s">
        <v>31</v>
      </c>
      <c r="C634" s="71">
        <v>45708</v>
      </c>
      <c r="D634" s="41" t="str">
        <f>VLOOKUP(B634,辅助信息!E:K,7,FALSE)</f>
        <v>JWDDCD2024121000136</v>
      </c>
      <c r="E634" s="41" t="str">
        <f>VLOOKUP(F634,辅助信息!A:B,2,FALSE)</f>
        <v>盘螺</v>
      </c>
      <c r="F634" s="41" t="s">
        <v>49</v>
      </c>
      <c r="G634" s="41">
        <v>15</v>
      </c>
      <c r="H634" s="41" t="str">
        <f>_xlfn._xlws.FILTER('[1]2025年已发货'!$E:$E,'[1]2025年已发货'!$F:$F&amp;'[1]2025年已发货'!$C:$C&amp;'[1]2025年已发货'!$G:$G&amp;'[1]2025年已发货'!$H:$H=C634&amp;F634&amp;I634&amp;J634,"未发货")</f>
        <v>未发货</v>
      </c>
      <c r="I634" s="41" t="str">
        <f>VLOOKUP(B634,辅助信息!E:I,3,FALSE)</f>
        <v>（四川商建-射洪城乡一体化项目）遂宁市射洪市忠新幼儿园北侧约220米新溪小区</v>
      </c>
      <c r="J634" s="41" t="str">
        <f>VLOOKUP(B634,辅助信息!E:I,4,FALSE)</f>
        <v>柏子刚</v>
      </c>
      <c r="K634" s="41">
        <f>VLOOKUP(J634,辅助信息!H:I,2,FALSE)</f>
        <v>15692885305</v>
      </c>
      <c r="L634" s="44" t="str">
        <f>VLOOKUP(B634,辅助信息!E:J,6,FALSE)</f>
        <v>提前联系到场规格及数量</v>
      </c>
      <c r="M634" s="96">
        <v>45708</v>
      </c>
      <c r="N634" s="27"/>
      <c r="O634" s="27">
        <f ca="1" t="shared" si="16"/>
        <v>0</v>
      </c>
      <c r="P634" s="63">
        <f ca="1" t="shared" si="17"/>
        <v>251</v>
      </c>
      <c r="Q634" s="27" t="str">
        <f>VLOOKUP(B634,辅助信息!E:M,9,FALSE)</f>
        <v>ZTWM-CDGS-XS-2024-0179-四川商投-射洪城乡一体化建设项目</v>
      </c>
      <c r="R634" s="27"/>
    </row>
    <row r="635" hidden="1" spans="1:18">
      <c r="A635" s="27"/>
      <c r="B635" s="41" t="s">
        <v>31</v>
      </c>
      <c r="C635" s="71">
        <v>45708</v>
      </c>
      <c r="D635" s="41" t="str">
        <f>VLOOKUP(B635,辅助信息!E:K,7,FALSE)</f>
        <v>JWDDCD2024121000136</v>
      </c>
      <c r="E635" s="41" t="str">
        <f>VLOOKUP(F635,辅助信息!A:B,2,FALSE)</f>
        <v>螺纹钢</v>
      </c>
      <c r="F635" s="41" t="s">
        <v>22</v>
      </c>
      <c r="G635" s="41">
        <v>20</v>
      </c>
      <c r="H635" s="41" t="str">
        <f>_xlfn._xlws.FILTER('[1]2025年已发货'!$E:$E,'[1]2025年已发货'!$F:$F&amp;'[1]2025年已发货'!$C:$C&amp;'[1]2025年已发货'!$G:$G&amp;'[1]2025年已发货'!$H:$H=C635&amp;F635&amp;I635&amp;J635,"未发货")</f>
        <v>未发货</v>
      </c>
      <c r="I635" s="41" t="str">
        <f>VLOOKUP(B635,辅助信息!E:I,3,FALSE)</f>
        <v>（四川商建-射洪城乡一体化项目）遂宁市射洪市忠新幼儿园北侧约220米新溪小区</v>
      </c>
      <c r="J635" s="41" t="str">
        <f>VLOOKUP(B635,辅助信息!E:I,4,FALSE)</f>
        <v>柏子刚</v>
      </c>
      <c r="K635" s="41">
        <f>VLOOKUP(J635,辅助信息!H:I,2,FALSE)</f>
        <v>15692885305</v>
      </c>
      <c r="L635" s="77"/>
      <c r="M635" s="96">
        <v>45708</v>
      </c>
      <c r="N635" s="27"/>
      <c r="O635" s="27">
        <f ca="1" t="shared" si="16"/>
        <v>0</v>
      </c>
      <c r="P635" s="63">
        <f ca="1" t="shared" si="17"/>
        <v>251</v>
      </c>
      <c r="Q635" s="27" t="str">
        <f>VLOOKUP(B635,辅助信息!E:M,9,FALSE)</f>
        <v>ZTWM-CDGS-XS-2024-0179-四川商投-射洪城乡一体化建设项目</v>
      </c>
      <c r="R635" s="27"/>
    </row>
    <row r="636" ht="36" hidden="1" customHeight="1" spans="1:18">
      <c r="A636" s="63" t="s">
        <v>100</v>
      </c>
      <c r="B636" s="41" t="s">
        <v>47</v>
      </c>
      <c r="C636" s="71">
        <v>45708</v>
      </c>
      <c r="D636" s="41" t="str">
        <f>VLOOKUP(B636,辅助信息!E:K,7,FALSE)</f>
        <v>JWDDCD2025052800131</v>
      </c>
      <c r="E636" s="41" t="str">
        <f>VLOOKUP(F636,辅助信息!A:B,2,FALSE)</f>
        <v>螺纹钢</v>
      </c>
      <c r="F636" s="41" t="s">
        <v>18</v>
      </c>
      <c r="G636" s="37">
        <v>225</v>
      </c>
      <c r="H636" s="37">
        <f>_xlfn._xlws.FILTER('[1]2025年已发货'!$E:$E,'[1]2025年已发货'!$F:$F&amp;'[1]2025年已发货'!$C:$C&amp;'[1]2025年已发货'!$G:$G&amp;'[1]2025年已发货'!$H:$H=C636&amp;F636&amp;I636&amp;J636,"未发货")</f>
        <v>210</v>
      </c>
      <c r="I636" s="41" t="str">
        <f>VLOOKUP(B636,辅助信息!E:I,3,FALSE)</f>
        <v>（商投建工达州中医药科技园-1工区）达州市通川区达州中医药职业学院犀牛大道北段</v>
      </c>
      <c r="J636" s="41" t="str">
        <f>VLOOKUP(B636,辅助信息!E:I,4,FALSE)</f>
        <v>程黄刚</v>
      </c>
      <c r="K636" s="41">
        <f>VLOOKUP(J636,辅助信息!H:I,2,FALSE)</f>
        <v>15108211617</v>
      </c>
      <c r="L636" s="44" t="str">
        <f>VLOOKUP(B636,辅助信息!E:J,6,FALSE)</f>
        <v>控制炉批号！多了现场不收！,优先安排达钢,提前联系到场规格及数量</v>
      </c>
      <c r="M636" s="92">
        <v>45710</v>
      </c>
      <c r="O636" s="63">
        <f ca="1" t="shared" si="16"/>
        <v>0</v>
      </c>
      <c r="P636" s="63">
        <f ca="1" t="shared" si="17"/>
        <v>249</v>
      </c>
      <c r="Q636" s="27" t="str">
        <f>VLOOKUP(B636,辅助信息!E:M,9,FALSE)</f>
        <v>ZTWM-CDGS-XS-2024-0134-商投建工达州中医药科技成果示范园项目</v>
      </c>
      <c r="R636" s="27"/>
    </row>
    <row r="637" ht="36" hidden="1" customHeight="1" spans="1:18">
      <c r="A637" s="72" t="s">
        <v>102</v>
      </c>
      <c r="B637" s="41" t="s">
        <v>81</v>
      </c>
      <c r="C637" s="71">
        <v>45708</v>
      </c>
      <c r="D637" s="41" t="str">
        <f>VLOOKUP(B637,辅助信息!E:K,7,FALSE)</f>
        <v>JWDDCD2025060900080</v>
      </c>
      <c r="E637" s="41" t="str">
        <f>VLOOKUP(F637,辅助信息!A:B,2,FALSE)</f>
        <v>螺纹钢</v>
      </c>
      <c r="F637" s="41" t="s">
        <v>18</v>
      </c>
      <c r="G637" s="37">
        <v>70</v>
      </c>
      <c r="H637" s="37" t="str">
        <f>_xlfn._xlws.FILTER('[1]2025年已发货'!$E:$E,'[1]2025年已发货'!$F:$F&amp;'[1]2025年已发货'!$C:$C&amp;'[1]2025年已发货'!$G:$G&amp;'[1]2025年已发货'!$H:$H=C637&amp;F637&amp;I637&amp;J637,"未发货")</f>
        <v>未发货</v>
      </c>
      <c r="I637" s="41" t="str">
        <f>VLOOKUP(B637,辅助信息!E:I,3,FALSE)</f>
        <v>（华西简阳西城嘉苑）四川省成都市简阳市简城街道高屋村</v>
      </c>
      <c r="J637" s="41" t="str">
        <f>VLOOKUP(B637,辅助信息!E:I,4,FALSE)</f>
        <v>张瀚镭</v>
      </c>
      <c r="K637" s="41">
        <f>VLOOKUP(J637,辅助信息!H:I,2,FALSE)</f>
        <v>15884666220</v>
      </c>
      <c r="L637" s="44"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248</v>
      </c>
      <c r="Q637" s="27" t="str">
        <f>VLOOKUP(B637,辅助信息!E:M,9,FALSE)</f>
        <v>ZTWM-CDGS-XS-2024-0030-华西集采-简州大道</v>
      </c>
      <c r="R637" s="27"/>
    </row>
    <row r="638" hidden="1" spans="1:18">
      <c r="A638" s="27"/>
      <c r="B638" s="41" t="s">
        <v>69</v>
      </c>
      <c r="C638" s="71">
        <v>45709</v>
      </c>
      <c r="D638" s="41" t="str">
        <f>VLOOKUP(B638,辅助信息!E:K,7,FALSE)</f>
        <v>JWDDCD2025052800131</v>
      </c>
      <c r="E638" s="41" t="str">
        <f>VLOOKUP(F638,辅助信息!A:B,2,FALSE)</f>
        <v>螺纹钢</v>
      </c>
      <c r="F638" s="41" t="s">
        <v>21</v>
      </c>
      <c r="G638" s="41">
        <v>35</v>
      </c>
      <c r="H638" s="41" t="str">
        <f>_xlfn._xlws.FILTER('[1]2025年已发货'!$E:$E,'[1]2025年已发货'!$F:$F&amp;'[1]2025年已发货'!$C:$C&amp;'[1]2025年已发货'!$G:$G&amp;'[1]2025年已发货'!$H:$H=C638&amp;F638&amp;I638&amp;J638,"未发货")</f>
        <v>未发货</v>
      </c>
      <c r="I638" s="41" t="str">
        <f>VLOOKUP(B638,辅助信息!E:I,3,FALSE)</f>
        <v>（商投建工达州中医药科技园-4工区-2号楼）达州市通川区达州中医药职业学院犀牛大道北段</v>
      </c>
      <c r="J638" s="41" t="str">
        <f>VLOOKUP(B638,辅助信息!E:I,4,FALSE)</f>
        <v>张扬</v>
      </c>
      <c r="K638" s="41">
        <f>VLOOKUP(J638,辅助信息!H:I,2,FALSE)</f>
        <v>18381904567</v>
      </c>
      <c r="L638" s="44" t="str">
        <f>VLOOKUP(B638,辅助信息!E:J,6,FALSE)</f>
        <v>控制炉批号！多了现场不收！,优先安排达钢,提前联系到场规格及数量</v>
      </c>
      <c r="M638" s="96">
        <v>45704</v>
      </c>
      <c r="N638" s="27"/>
      <c r="O638" s="27">
        <f ca="1" t="shared" si="16"/>
        <v>0</v>
      </c>
      <c r="P638" s="63">
        <f ca="1" t="shared" si="17"/>
        <v>255</v>
      </c>
      <c r="Q638" s="27" t="str">
        <f>VLOOKUP(B638,辅助信息!E:M,9,FALSE)</f>
        <v>ZTWM-CDGS-XS-2024-0134-商投建工达州中医药科技成果示范园项目</v>
      </c>
      <c r="R638" s="27"/>
    </row>
    <row r="639" hidden="1" spans="1:18">
      <c r="A639" s="27"/>
      <c r="B639" s="41" t="s">
        <v>69</v>
      </c>
      <c r="C639" s="71">
        <v>45709</v>
      </c>
      <c r="D639" s="41" t="str">
        <f>VLOOKUP(B639,辅助信息!E:K,7,FALSE)</f>
        <v>JWDDCD2025052800131</v>
      </c>
      <c r="E639" s="41" t="str">
        <f>VLOOKUP(F639,辅助信息!A:B,2,FALSE)</f>
        <v>盘螺</v>
      </c>
      <c r="F639" s="41" t="s">
        <v>40</v>
      </c>
      <c r="G639" s="41">
        <v>16</v>
      </c>
      <c r="H639" s="41">
        <f>_xlfn._xlws.FILTER('[1]2025年已发货'!$E:$E,'[1]2025年已发货'!$F:$F&amp;'[1]2025年已发货'!$C:$C&amp;'[1]2025年已发货'!$G:$G&amp;'[1]2025年已发货'!$H:$H=C639&amp;F639&amp;I639&amp;J639,"未发货")</f>
        <v>18</v>
      </c>
      <c r="I639" s="41" t="str">
        <f>VLOOKUP(B639,辅助信息!E:I,3,FALSE)</f>
        <v>（商投建工达州中医药科技园-4工区-2号楼）达州市通川区达州中医药职业学院犀牛大道北段</v>
      </c>
      <c r="J639" s="41" t="str">
        <f>VLOOKUP(B639,辅助信息!E:I,4,FALSE)</f>
        <v>张扬</v>
      </c>
      <c r="K639" s="41">
        <f>VLOOKUP(J639,辅助信息!H:I,2,FALSE)</f>
        <v>18381904567</v>
      </c>
      <c r="L639" s="79"/>
      <c r="M639" s="96">
        <v>45710</v>
      </c>
      <c r="N639" s="27"/>
      <c r="O639" s="27">
        <f ca="1" t="shared" si="16"/>
        <v>0</v>
      </c>
      <c r="P639" s="63">
        <f ca="1" t="shared" si="17"/>
        <v>249</v>
      </c>
      <c r="Q639" s="27"/>
      <c r="R639" s="27"/>
    </row>
    <row r="640" hidden="1" spans="1:18">
      <c r="A640" s="27"/>
      <c r="B640" s="41" t="s">
        <v>69</v>
      </c>
      <c r="C640" s="71">
        <v>45709</v>
      </c>
      <c r="D640" s="41" t="str">
        <f>VLOOKUP(B640,辅助信息!E:K,7,FALSE)</f>
        <v>JWDDCD2025052800131</v>
      </c>
      <c r="E640" s="41" t="str">
        <f>VLOOKUP(F640,辅助信息!A:B,2,FALSE)</f>
        <v>盘螺</v>
      </c>
      <c r="F640" s="41" t="s">
        <v>41</v>
      </c>
      <c r="G640" s="41">
        <v>16</v>
      </c>
      <c r="H640" s="41">
        <f>_xlfn._xlws.FILTER('[1]2025年已发货'!$E:$E,'[1]2025年已发货'!$F:$F&amp;'[1]2025年已发货'!$C:$C&amp;'[1]2025年已发货'!$G:$G&amp;'[1]2025年已发货'!$H:$H=C640&amp;F640&amp;I640&amp;J640,"未发货")</f>
        <v>18</v>
      </c>
      <c r="I640" s="41" t="str">
        <f>VLOOKUP(B640,辅助信息!E:I,3,FALSE)</f>
        <v>（商投建工达州中医药科技园-4工区-2号楼）达州市通川区达州中医药职业学院犀牛大道北段</v>
      </c>
      <c r="J640" s="41" t="str">
        <f>VLOOKUP(B640,辅助信息!E:I,4,FALSE)</f>
        <v>张扬</v>
      </c>
      <c r="K640" s="41">
        <f>VLOOKUP(J640,辅助信息!H:I,2,FALSE)</f>
        <v>18381904567</v>
      </c>
      <c r="L640" s="77"/>
      <c r="M640" s="96">
        <v>45710</v>
      </c>
      <c r="N640" s="27"/>
      <c r="O640" s="27">
        <f ca="1" t="shared" si="16"/>
        <v>0</v>
      </c>
      <c r="P640" s="63">
        <f ca="1" t="shared" si="17"/>
        <v>249</v>
      </c>
      <c r="Q640" s="27"/>
      <c r="R640" s="27"/>
    </row>
    <row r="641" s="27" customFormat="1" hidden="1" spans="2:17">
      <c r="B641" s="41" t="s">
        <v>84</v>
      </c>
      <c r="C641" s="71">
        <v>45709</v>
      </c>
      <c r="D641" s="41" t="e">
        <f>VLOOKUP(B641,辅助信息!E:K,7,FALSE)</f>
        <v>#N/A</v>
      </c>
      <c r="E641" s="41" t="str">
        <f>VLOOKUP(F641,辅助信息!A:B,2,FALSE)</f>
        <v>螺纹钢</v>
      </c>
      <c r="F641" s="41" t="s">
        <v>27</v>
      </c>
      <c r="G641" s="41">
        <v>20</v>
      </c>
      <c r="H641" s="41" t="e">
        <f>_xlfn._xlws.FILTER('[1]2025年已发货'!$E:$E,'[1]2025年已发货'!$F:$F&amp;'[1]2025年已发货'!$C:$C&amp;'[1]2025年已发货'!$G:$G&amp;'[1]2025年已发货'!$H:$H=C641&amp;F641&amp;I641&amp;J641,"未发货")</f>
        <v>#N/A</v>
      </c>
      <c r="I641" s="41" t="e">
        <f>VLOOKUP(B641,辅助信息!E:I,3,FALSE)</f>
        <v>#N/A</v>
      </c>
      <c r="J641" s="41" t="e">
        <f>VLOOKUP(B641,辅助信息!E:I,4,FALSE)</f>
        <v>#N/A</v>
      </c>
      <c r="K641" s="41" t="e">
        <f>VLOOKUP(J641,辅助信息!H:I,2,FALSE)</f>
        <v>#N/A</v>
      </c>
      <c r="L641" s="44" t="e">
        <f>VLOOKUP(B641,辅助信息!E:J,6,FALSE)</f>
        <v>#N/A</v>
      </c>
      <c r="M641" s="96">
        <v>45705</v>
      </c>
      <c r="O641" s="27">
        <f ca="1" t="shared" si="16"/>
        <v>0</v>
      </c>
      <c r="P641" s="63">
        <f ca="1" t="shared" si="17"/>
        <v>254</v>
      </c>
      <c r="Q641" s="27" t="e">
        <f>VLOOKUP(B641,辅助信息!E:M,9,FALSE)</f>
        <v>#N/A</v>
      </c>
    </row>
    <row r="642" s="27" customFormat="1" hidden="1" spans="2:17">
      <c r="B642" s="41" t="s">
        <v>84</v>
      </c>
      <c r="C642" s="71">
        <v>45709</v>
      </c>
      <c r="D642" s="41" t="e">
        <f>VLOOKUP(B642,辅助信息!E:K,7,FALSE)</f>
        <v>#N/A</v>
      </c>
      <c r="E642" s="41" t="str">
        <f>VLOOKUP(F642,辅助信息!A:B,2,FALSE)</f>
        <v>螺纹钢</v>
      </c>
      <c r="F642" s="41" t="s">
        <v>33</v>
      </c>
      <c r="G642" s="41">
        <v>8</v>
      </c>
      <c r="H642" s="41" t="e">
        <f>_xlfn._xlws.FILTER('[1]2025年已发货'!$E:$E,'[1]2025年已发货'!$F:$F&amp;'[1]2025年已发货'!$C:$C&amp;'[1]2025年已发货'!$G:$G&amp;'[1]2025年已发货'!$H:$H=C642&amp;F642&amp;I642&amp;J642,"未发货")</f>
        <v>#N/A</v>
      </c>
      <c r="I642" s="41" t="e">
        <f>VLOOKUP(B642,辅助信息!E:I,3,FALSE)</f>
        <v>#N/A</v>
      </c>
      <c r="J642" s="41" t="e">
        <f>VLOOKUP(B642,辅助信息!E:I,4,FALSE)</f>
        <v>#N/A</v>
      </c>
      <c r="K642" s="41" t="e">
        <f>VLOOKUP(J642,辅助信息!H:I,2,FALSE)</f>
        <v>#N/A</v>
      </c>
      <c r="L642" s="79"/>
      <c r="M642" s="96">
        <v>45705</v>
      </c>
      <c r="O642" s="27">
        <f ca="1" t="shared" si="16"/>
        <v>0</v>
      </c>
      <c r="P642" s="63">
        <f ca="1" t="shared" si="17"/>
        <v>254</v>
      </c>
      <c r="Q642" s="27" t="e">
        <f>VLOOKUP(B642,辅助信息!E:M,9,FALSE)</f>
        <v>#N/A</v>
      </c>
    </row>
    <row r="643" s="27" customFormat="1" hidden="1" spans="2:17">
      <c r="B643" s="41" t="s">
        <v>84</v>
      </c>
      <c r="C643" s="71">
        <v>45709</v>
      </c>
      <c r="D643" s="41" t="e">
        <f>VLOOKUP(B643,辅助信息!E:K,7,FALSE)</f>
        <v>#N/A</v>
      </c>
      <c r="E643" s="41" t="str">
        <f>VLOOKUP(F643,辅助信息!A:B,2,FALSE)</f>
        <v>螺纹钢</v>
      </c>
      <c r="F643" s="41" t="s">
        <v>18</v>
      </c>
      <c r="G643" s="41">
        <v>12</v>
      </c>
      <c r="H643" s="41" t="e">
        <f>_xlfn._xlws.FILTER('[1]2025年已发货'!$E:$E,'[1]2025年已发货'!$F:$F&amp;'[1]2025年已发货'!$C:$C&amp;'[1]2025年已发货'!$G:$G&amp;'[1]2025年已发货'!$H:$H=C643&amp;F643&amp;I643&amp;J643,"未发货")</f>
        <v>#N/A</v>
      </c>
      <c r="I643" s="41" t="e">
        <f>VLOOKUP(B643,辅助信息!E:I,3,FALSE)</f>
        <v>#N/A</v>
      </c>
      <c r="J643" s="41" t="e">
        <f>VLOOKUP(B643,辅助信息!E:I,4,FALSE)</f>
        <v>#N/A</v>
      </c>
      <c r="K643" s="41" t="e">
        <f>VLOOKUP(J643,辅助信息!H:I,2,FALSE)</f>
        <v>#N/A</v>
      </c>
      <c r="L643" s="79"/>
      <c r="M643" s="96">
        <v>45705</v>
      </c>
      <c r="O643" s="27">
        <f ca="1" t="shared" si="16"/>
        <v>0</v>
      </c>
      <c r="P643" s="63">
        <f ca="1" t="shared" si="17"/>
        <v>254</v>
      </c>
      <c r="Q643" s="27" t="e">
        <f>VLOOKUP(B643,辅助信息!E:M,9,FALSE)</f>
        <v>#N/A</v>
      </c>
    </row>
    <row r="644" s="27" customFormat="1" hidden="1" spans="2:17">
      <c r="B644" s="41" t="s">
        <v>84</v>
      </c>
      <c r="C644" s="71">
        <v>45709</v>
      </c>
      <c r="D644" s="41" t="e">
        <f>VLOOKUP(B644,辅助信息!E:K,7,FALSE)</f>
        <v>#N/A</v>
      </c>
      <c r="E644" s="41" t="str">
        <f>VLOOKUP(F644,辅助信息!A:B,2,FALSE)</f>
        <v>高线</v>
      </c>
      <c r="F644" s="41" t="s">
        <v>51</v>
      </c>
      <c r="G644" s="41">
        <v>5</v>
      </c>
      <c r="H644" s="41" t="e">
        <f>_xlfn._xlws.FILTER('[1]2025年已发货'!$E:$E,'[1]2025年已发货'!$F:$F&amp;'[1]2025年已发货'!$C:$C&amp;'[1]2025年已发货'!$G:$G&amp;'[1]2025年已发货'!$H:$H=C644&amp;F644&amp;I644&amp;J644,"未发货")</f>
        <v>#N/A</v>
      </c>
      <c r="I644" s="41" t="e">
        <f>VLOOKUP(B644,辅助信息!E:I,3,FALSE)</f>
        <v>#N/A</v>
      </c>
      <c r="J644" s="41" t="e">
        <f>VLOOKUP(B644,辅助信息!E:I,4,FALSE)</f>
        <v>#N/A</v>
      </c>
      <c r="K644" s="41" t="e">
        <f>VLOOKUP(J644,辅助信息!H:I,2,FALSE)</f>
        <v>#N/A</v>
      </c>
      <c r="L644" s="77"/>
      <c r="M644" s="96">
        <v>45705</v>
      </c>
      <c r="O644" s="27">
        <f ca="1" t="shared" si="16"/>
        <v>0</v>
      </c>
      <c r="P644" s="63">
        <f ca="1" t="shared" si="17"/>
        <v>254</v>
      </c>
      <c r="Q644" s="27" t="e">
        <f>VLOOKUP(B644,辅助信息!E:M,9,FALSE)</f>
        <v>#N/A</v>
      </c>
    </row>
    <row r="645" s="27" customFormat="1" hidden="1" spans="2:17">
      <c r="B645" s="41" t="s">
        <v>74</v>
      </c>
      <c r="C645" s="71">
        <v>45709</v>
      </c>
      <c r="D645" s="41" t="e">
        <f>VLOOKUP(B645,辅助信息!E:K,7,FALSE)</f>
        <v>#N/A</v>
      </c>
      <c r="E645" s="41" t="str">
        <f>VLOOKUP(F645,辅助信息!A:B,2,FALSE)</f>
        <v>螺纹钢</v>
      </c>
      <c r="F645" s="41" t="s">
        <v>19</v>
      </c>
      <c r="G645" s="41">
        <v>12</v>
      </c>
      <c r="H645" s="41" t="e">
        <f>_xlfn._xlws.FILTER('[1]2025年已发货'!$E:$E,'[1]2025年已发货'!$F:$F&amp;'[1]2025年已发货'!$C:$C&amp;'[1]2025年已发货'!$G:$G&amp;'[1]2025年已发货'!$H:$H=C645&amp;F645&amp;I645&amp;J645,"未发货")</f>
        <v>#N/A</v>
      </c>
      <c r="I645" s="41" t="e">
        <f>VLOOKUP(B645,辅助信息!E:I,3,FALSE)</f>
        <v>#N/A</v>
      </c>
      <c r="J645" s="41" t="e">
        <f>VLOOKUP(B645,辅助信息!E:I,4,FALSE)</f>
        <v>#N/A</v>
      </c>
      <c r="K645" s="41" t="e">
        <f>VLOOKUP(J645,辅助信息!H:I,2,FALSE)</f>
        <v>#N/A</v>
      </c>
      <c r="L645" s="44" t="e">
        <f>VLOOKUP(B645,辅助信息!E:J,6,FALSE)</f>
        <v>#N/A</v>
      </c>
      <c r="M645" s="96">
        <v>45711</v>
      </c>
      <c r="O645" s="27">
        <f ca="1" t="shared" si="16"/>
        <v>0</v>
      </c>
      <c r="P645" s="63">
        <f ca="1" t="shared" si="17"/>
        <v>248</v>
      </c>
      <c r="Q645" s="27" t="e">
        <f>VLOOKUP(B645,辅助信息!E:M,9,FALSE)</f>
        <v>#N/A</v>
      </c>
    </row>
    <row r="646" s="27" customFormat="1" hidden="1" spans="2:17">
      <c r="B646" s="41" t="s">
        <v>74</v>
      </c>
      <c r="C646" s="71">
        <v>45709</v>
      </c>
      <c r="D646" s="41" t="e">
        <f>VLOOKUP(B646,辅助信息!E:K,7,FALSE)</f>
        <v>#N/A</v>
      </c>
      <c r="E646" s="41" t="str">
        <f>VLOOKUP(F646,辅助信息!A:B,2,FALSE)</f>
        <v>螺纹钢</v>
      </c>
      <c r="F646" s="41" t="s">
        <v>33</v>
      </c>
      <c r="G646" s="41">
        <v>12</v>
      </c>
      <c r="H646" s="41" t="e">
        <f>_xlfn._xlws.FILTER('[1]2025年已发货'!$E:$E,'[1]2025年已发货'!$F:$F&amp;'[1]2025年已发货'!$C:$C&amp;'[1]2025年已发货'!$G:$G&amp;'[1]2025年已发货'!$H:$H=C646&amp;F646&amp;I646&amp;J646,"未发货")</f>
        <v>#N/A</v>
      </c>
      <c r="I646" s="41" t="e">
        <f>VLOOKUP(B646,辅助信息!E:I,3,FALSE)</f>
        <v>#N/A</v>
      </c>
      <c r="J646" s="41" t="e">
        <f>VLOOKUP(B646,辅助信息!E:I,4,FALSE)</f>
        <v>#N/A</v>
      </c>
      <c r="K646" s="41" t="e">
        <f>VLOOKUP(J646,辅助信息!H:I,2,FALSE)</f>
        <v>#N/A</v>
      </c>
      <c r="L646" s="79"/>
      <c r="M646" s="96">
        <v>45711</v>
      </c>
      <c r="O646" s="27">
        <f ca="1" t="shared" si="16"/>
        <v>0</v>
      </c>
      <c r="P646" s="63">
        <f ca="1" t="shared" si="17"/>
        <v>248</v>
      </c>
      <c r="Q646" s="27" t="e">
        <f>VLOOKUP(B646,辅助信息!E:M,9,FALSE)</f>
        <v>#N/A</v>
      </c>
    </row>
    <row r="647" s="27" customFormat="1" hidden="1" spans="2:17">
      <c r="B647" s="41" t="s">
        <v>74</v>
      </c>
      <c r="C647" s="71">
        <v>45709</v>
      </c>
      <c r="D647" s="41" t="e">
        <f>VLOOKUP(B647,辅助信息!E:K,7,FALSE)</f>
        <v>#N/A</v>
      </c>
      <c r="E647" s="41" t="str">
        <f>VLOOKUP(F647,辅助信息!A:B,2,FALSE)</f>
        <v>螺纹钢</v>
      </c>
      <c r="F647" s="41" t="s">
        <v>28</v>
      </c>
      <c r="G647" s="41">
        <v>12</v>
      </c>
      <c r="H647" s="41" t="e">
        <f>_xlfn._xlws.FILTER('[1]2025年已发货'!$E:$E,'[1]2025年已发货'!$F:$F&amp;'[1]2025年已发货'!$C:$C&amp;'[1]2025年已发货'!$G:$G&amp;'[1]2025年已发货'!$H:$H=C647&amp;F647&amp;I647&amp;J647,"未发货")</f>
        <v>#N/A</v>
      </c>
      <c r="I647" s="41" t="e">
        <f>VLOOKUP(B647,辅助信息!E:I,3,FALSE)</f>
        <v>#N/A</v>
      </c>
      <c r="J647" s="41" t="e">
        <f>VLOOKUP(B647,辅助信息!E:I,4,FALSE)</f>
        <v>#N/A</v>
      </c>
      <c r="K647" s="41" t="e">
        <f>VLOOKUP(J647,辅助信息!H:I,2,FALSE)</f>
        <v>#N/A</v>
      </c>
      <c r="L647" s="79"/>
      <c r="M647" s="96">
        <v>45711</v>
      </c>
      <c r="O647" s="27">
        <f ca="1" t="shared" si="16"/>
        <v>0</v>
      </c>
      <c r="P647" s="63">
        <f ca="1" t="shared" si="17"/>
        <v>248</v>
      </c>
      <c r="Q647" s="27" t="e">
        <f>VLOOKUP(B647,辅助信息!E:M,9,FALSE)</f>
        <v>#N/A</v>
      </c>
    </row>
    <row r="648" s="27" customFormat="1" hidden="1" spans="2:17">
      <c r="B648" s="41" t="s">
        <v>74</v>
      </c>
      <c r="C648" s="71">
        <v>45709</v>
      </c>
      <c r="D648" s="41" t="e">
        <f>VLOOKUP(B648,辅助信息!E:K,7,FALSE)</f>
        <v>#N/A</v>
      </c>
      <c r="E648" s="41" t="str">
        <f>VLOOKUP(F648,辅助信息!A:B,2,FALSE)</f>
        <v>螺纹钢</v>
      </c>
      <c r="F648" s="41" t="s">
        <v>18</v>
      </c>
      <c r="G648" s="41">
        <v>3</v>
      </c>
      <c r="H648" s="41" t="e">
        <f>_xlfn._xlws.FILTER('[1]2025年已发货'!$E:$E,'[1]2025年已发货'!$F:$F&amp;'[1]2025年已发货'!$C:$C&amp;'[1]2025年已发货'!$G:$G&amp;'[1]2025年已发货'!$H:$H=C648&amp;F648&amp;I648&amp;J648,"未发货")</f>
        <v>#N/A</v>
      </c>
      <c r="I648" s="41" t="e">
        <f>VLOOKUP(B648,辅助信息!E:I,3,FALSE)</f>
        <v>#N/A</v>
      </c>
      <c r="J648" s="41" t="e">
        <f>VLOOKUP(B648,辅助信息!E:I,4,FALSE)</f>
        <v>#N/A</v>
      </c>
      <c r="K648" s="41" t="e">
        <f>VLOOKUP(J648,辅助信息!H:I,2,FALSE)</f>
        <v>#N/A</v>
      </c>
      <c r="L648" s="77"/>
      <c r="M648" s="96">
        <v>45711</v>
      </c>
      <c r="O648" s="27">
        <f ca="1" t="shared" si="16"/>
        <v>0</v>
      </c>
      <c r="P648" s="63">
        <f ca="1" t="shared" si="17"/>
        <v>248</v>
      </c>
      <c r="Q648" s="27" t="e">
        <f>VLOOKUP(B648,辅助信息!E:M,9,FALSE)</f>
        <v>#N/A</v>
      </c>
    </row>
    <row r="649" s="27" customFormat="1" hidden="1" spans="1:17">
      <c r="A649" s="97" t="s">
        <v>97</v>
      </c>
      <c r="B649" s="41" t="s">
        <v>98</v>
      </c>
      <c r="C649" s="71">
        <v>45709</v>
      </c>
      <c r="D649" s="41" t="e">
        <f>VLOOKUP(B649,辅助信息!E:K,7,FALSE)</f>
        <v>#N/A</v>
      </c>
      <c r="E649" s="41" t="str">
        <f>VLOOKUP(F649,辅助信息!A:B,2,FALSE)</f>
        <v>高线</v>
      </c>
      <c r="F649" s="41" t="s">
        <v>51</v>
      </c>
      <c r="G649" s="41">
        <v>10</v>
      </c>
      <c r="H649" s="41" t="e">
        <f>_xlfn._xlws.FILTER('[1]2025年已发货'!$E:$E,'[1]2025年已发货'!$F:$F&amp;'[1]2025年已发货'!$C:$C&amp;'[1]2025年已发货'!$G:$G&amp;'[1]2025年已发货'!$H:$H=C649&amp;F649&amp;I649&amp;J649,"未发货")</f>
        <v>#N/A</v>
      </c>
      <c r="I649" s="41" t="e">
        <f>VLOOKUP(B649,辅助信息!E:I,3,FALSE)</f>
        <v>#N/A</v>
      </c>
      <c r="J649" s="41" t="e">
        <f>VLOOKUP(B649,辅助信息!E:I,4,FALSE)</f>
        <v>#N/A</v>
      </c>
      <c r="K649" s="41" t="e">
        <f>VLOOKUP(J649,辅助信息!H:I,2,FALSE)</f>
        <v>#N/A</v>
      </c>
      <c r="L649" s="44" t="e">
        <f>VLOOKUP(B649,辅助信息!E:J,6,FALSE)</f>
        <v>#N/A</v>
      </c>
      <c r="M649" s="96">
        <v>45709</v>
      </c>
      <c r="O649" s="27">
        <f ca="1" t="shared" si="16"/>
        <v>0</v>
      </c>
      <c r="P649" s="63">
        <f ca="1" t="shared" si="17"/>
        <v>250</v>
      </c>
      <c r="Q649" s="27" t="e">
        <f>VLOOKUP(B649,辅助信息!E:M,9,FALSE)</f>
        <v>#N/A</v>
      </c>
    </row>
    <row r="650" s="27" customFormat="1" hidden="1" spans="2:17">
      <c r="B650" s="41" t="s">
        <v>99</v>
      </c>
      <c r="C650" s="71">
        <v>45709</v>
      </c>
      <c r="D650" s="41" t="e">
        <f>VLOOKUP(B650,辅助信息!E:K,7,FALSE)</f>
        <v>#N/A</v>
      </c>
      <c r="E650" s="41" t="str">
        <f>VLOOKUP(F650,辅助信息!A:B,2,FALSE)</f>
        <v>高线</v>
      </c>
      <c r="F650" s="41" t="s">
        <v>53</v>
      </c>
      <c r="G650" s="41">
        <v>2.5</v>
      </c>
      <c r="H650" s="41" t="e">
        <f>_xlfn._xlws.FILTER('[1]2025年已发货'!$E:$E,'[1]2025年已发货'!$F:$F&amp;'[1]2025年已发货'!$C:$C&amp;'[1]2025年已发货'!$G:$G&amp;'[1]2025年已发货'!$H:$H=C650&amp;F650&amp;I650&amp;J650,"未发货")</f>
        <v>#N/A</v>
      </c>
      <c r="I650" s="41" t="e">
        <f>VLOOKUP(B650,辅助信息!E:I,3,FALSE)</f>
        <v>#N/A</v>
      </c>
      <c r="J650" s="41" t="e">
        <f>VLOOKUP(B650,辅助信息!E:I,4,FALSE)</f>
        <v>#N/A</v>
      </c>
      <c r="K650" s="41" t="e">
        <f>VLOOKUP(J650,辅助信息!H:I,2,FALSE)</f>
        <v>#N/A</v>
      </c>
      <c r="L650" s="79"/>
      <c r="M650" s="96">
        <v>45709</v>
      </c>
      <c r="O650" s="27">
        <f ca="1" t="shared" si="16"/>
        <v>0</v>
      </c>
      <c r="P650" s="63">
        <f ca="1" t="shared" si="17"/>
        <v>250</v>
      </c>
      <c r="Q650" s="27" t="e">
        <f>VLOOKUP(B650,辅助信息!E:M,9,FALSE)</f>
        <v>#N/A</v>
      </c>
    </row>
    <row r="651" s="27" customFormat="1" hidden="1" spans="2:17">
      <c r="B651" s="41" t="s">
        <v>99</v>
      </c>
      <c r="C651" s="71">
        <v>45709</v>
      </c>
      <c r="D651" s="41" t="e">
        <f>VLOOKUP(B651,辅助信息!E:K,7,FALSE)</f>
        <v>#N/A</v>
      </c>
      <c r="E651" s="41" t="str">
        <f>VLOOKUP(F651,辅助信息!A:B,2,FALSE)</f>
        <v>高线</v>
      </c>
      <c r="F651" s="41" t="s">
        <v>51</v>
      </c>
      <c r="G651" s="41">
        <v>2.5</v>
      </c>
      <c r="H651" s="41" t="e">
        <f>_xlfn._xlws.FILTER('[1]2025年已发货'!$E:$E,'[1]2025年已发货'!$F:$F&amp;'[1]2025年已发货'!$C:$C&amp;'[1]2025年已发货'!$G:$G&amp;'[1]2025年已发货'!$H:$H=C651&amp;F651&amp;I651&amp;J651,"未发货")</f>
        <v>#N/A</v>
      </c>
      <c r="I651" s="41" t="e">
        <f>VLOOKUP(B651,辅助信息!E:I,3,FALSE)</f>
        <v>#N/A</v>
      </c>
      <c r="J651" s="41" t="e">
        <f>VLOOKUP(B651,辅助信息!E:I,4,FALSE)</f>
        <v>#N/A</v>
      </c>
      <c r="K651" s="41" t="e">
        <f>VLOOKUP(J651,辅助信息!H:I,2,FALSE)</f>
        <v>#N/A</v>
      </c>
      <c r="L651" s="79"/>
      <c r="M651" s="96">
        <v>45709</v>
      </c>
      <c r="O651" s="27">
        <f ca="1" t="shared" si="16"/>
        <v>0</v>
      </c>
      <c r="P651" s="63">
        <f ca="1" t="shared" si="17"/>
        <v>250</v>
      </c>
      <c r="Q651" s="27" t="e">
        <f>VLOOKUP(B651,辅助信息!E:M,9,FALSE)</f>
        <v>#N/A</v>
      </c>
    </row>
    <row r="652" s="27" customFormat="1" hidden="1" spans="2:17">
      <c r="B652" s="41" t="s">
        <v>99</v>
      </c>
      <c r="C652" s="71">
        <v>45709</v>
      </c>
      <c r="D652" s="41" t="e">
        <f>VLOOKUP(B652,辅助信息!E:K,7,FALSE)</f>
        <v>#N/A</v>
      </c>
      <c r="E652" s="41" t="str">
        <f>VLOOKUP(F652,辅助信息!A:B,2,FALSE)</f>
        <v>螺纹钢</v>
      </c>
      <c r="F652" s="41" t="s">
        <v>27</v>
      </c>
      <c r="G652" s="41">
        <v>3</v>
      </c>
      <c r="H652" s="41" t="e">
        <f>_xlfn._xlws.FILTER('[1]2025年已发货'!$E:$E,'[1]2025年已发货'!$F:$F&amp;'[1]2025年已发货'!$C:$C&amp;'[1]2025年已发货'!$G:$G&amp;'[1]2025年已发货'!$H:$H=C652&amp;F652&amp;I652&amp;J652,"未发货")</f>
        <v>#N/A</v>
      </c>
      <c r="I652" s="41" t="e">
        <f>VLOOKUP(B652,辅助信息!E:I,3,FALSE)</f>
        <v>#N/A</v>
      </c>
      <c r="J652" s="41" t="e">
        <f>VLOOKUP(B652,辅助信息!E:I,4,FALSE)</f>
        <v>#N/A</v>
      </c>
      <c r="K652" s="41" t="e">
        <f>VLOOKUP(J652,辅助信息!H:I,2,FALSE)</f>
        <v>#N/A</v>
      </c>
      <c r="L652" s="79"/>
      <c r="M652" s="96">
        <v>45709</v>
      </c>
      <c r="O652" s="27">
        <f ca="1" t="shared" si="16"/>
        <v>0</v>
      </c>
      <c r="P652" s="63">
        <f ca="1" t="shared" si="17"/>
        <v>250</v>
      </c>
      <c r="Q652" s="27" t="e">
        <f>VLOOKUP(B652,辅助信息!E:M,9,FALSE)</f>
        <v>#N/A</v>
      </c>
    </row>
    <row r="653" s="27" customFormat="1" hidden="1" spans="2:17">
      <c r="B653" s="41" t="s">
        <v>99</v>
      </c>
      <c r="C653" s="71">
        <v>45709</v>
      </c>
      <c r="D653" s="41" t="e">
        <f>VLOOKUP(B653,辅助信息!E:K,7,FALSE)</f>
        <v>#N/A</v>
      </c>
      <c r="E653" s="41" t="str">
        <f>VLOOKUP(F653,辅助信息!A:B,2,FALSE)</f>
        <v>螺纹钢</v>
      </c>
      <c r="F653" s="41" t="s">
        <v>19</v>
      </c>
      <c r="G653" s="41">
        <v>3</v>
      </c>
      <c r="H653" s="41" t="e">
        <f>_xlfn._xlws.FILTER('[1]2025年已发货'!$E:$E,'[1]2025年已发货'!$F:$F&amp;'[1]2025年已发货'!$C:$C&amp;'[1]2025年已发货'!$G:$G&amp;'[1]2025年已发货'!$H:$H=C653&amp;F653&amp;I653&amp;J653,"未发货")</f>
        <v>#N/A</v>
      </c>
      <c r="I653" s="41" t="e">
        <f>VLOOKUP(B653,辅助信息!E:I,3,FALSE)</f>
        <v>#N/A</v>
      </c>
      <c r="J653" s="41" t="e">
        <f>VLOOKUP(B653,辅助信息!E:I,4,FALSE)</f>
        <v>#N/A</v>
      </c>
      <c r="K653" s="41" t="e">
        <f>VLOOKUP(J653,辅助信息!H:I,2,FALSE)</f>
        <v>#N/A</v>
      </c>
      <c r="L653" s="79"/>
      <c r="M653" s="96">
        <v>45709</v>
      </c>
      <c r="O653" s="27">
        <f ca="1" t="shared" si="16"/>
        <v>0</v>
      </c>
      <c r="P653" s="63">
        <f ca="1" t="shared" si="17"/>
        <v>250</v>
      </c>
      <c r="Q653" s="27" t="e">
        <f>VLOOKUP(B653,辅助信息!E:M,9,FALSE)</f>
        <v>#N/A</v>
      </c>
    </row>
    <row r="654" s="27" customFormat="1" hidden="1" spans="2:17">
      <c r="B654" s="41" t="s">
        <v>99</v>
      </c>
      <c r="C654" s="71">
        <v>45709</v>
      </c>
      <c r="D654" s="41" t="e">
        <f>VLOOKUP(B654,辅助信息!E:K,7,FALSE)</f>
        <v>#N/A</v>
      </c>
      <c r="E654" s="41" t="str">
        <f>VLOOKUP(F654,辅助信息!A:B,2,FALSE)</f>
        <v>螺纹钢</v>
      </c>
      <c r="F654" s="41" t="s">
        <v>32</v>
      </c>
      <c r="G654" s="41">
        <v>3</v>
      </c>
      <c r="H654" s="41" t="e">
        <f>_xlfn._xlws.FILTER('[1]2025年已发货'!$E:$E,'[1]2025年已发货'!$F:$F&amp;'[1]2025年已发货'!$C:$C&amp;'[1]2025年已发货'!$G:$G&amp;'[1]2025年已发货'!$H:$H=C654&amp;F654&amp;I654&amp;J654,"未发货")</f>
        <v>#N/A</v>
      </c>
      <c r="I654" s="41" t="e">
        <f>VLOOKUP(B654,辅助信息!E:I,3,FALSE)</f>
        <v>#N/A</v>
      </c>
      <c r="J654" s="41" t="e">
        <f>VLOOKUP(B654,辅助信息!E:I,4,FALSE)</f>
        <v>#N/A</v>
      </c>
      <c r="K654" s="41" t="e">
        <f>VLOOKUP(J654,辅助信息!H:I,2,FALSE)</f>
        <v>#N/A</v>
      </c>
      <c r="L654" s="77"/>
      <c r="M654" s="96">
        <v>45709</v>
      </c>
      <c r="O654" s="27">
        <f ca="1" t="shared" si="16"/>
        <v>0</v>
      </c>
      <c r="P654" s="63">
        <f ca="1" t="shared" si="17"/>
        <v>250</v>
      </c>
      <c r="Q654" s="27" t="e">
        <f>VLOOKUP(B654,辅助信息!E:M,9,FALSE)</f>
        <v>#N/A</v>
      </c>
    </row>
    <row r="655" s="27" customFormat="1" hidden="1" spans="2:17">
      <c r="B655" s="41" t="s">
        <v>31</v>
      </c>
      <c r="C655" s="71">
        <v>45709</v>
      </c>
      <c r="D655" s="41" t="str">
        <f>VLOOKUP(B655,辅助信息!E:K,7,FALSE)</f>
        <v>JWDDCD2024121000136</v>
      </c>
      <c r="E655" s="41" t="str">
        <f>VLOOKUP(F655,辅助信息!A:B,2,FALSE)</f>
        <v>盘螺</v>
      </c>
      <c r="F655" s="41" t="s">
        <v>49</v>
      </c>
      <c r="G655" s="41">
        <v>15</v>
      </c>
      <c r="H655" s="41" t="str">
        <f>_xlfn._xlws.FILTER('[1]2025年已发货'!$E:$E,'[1]2025年已发货'!$F:$F&amp;'[1]2025年已发货'!$C:$C&amp;'[1]2025年已发货'!$G:$G&amp;'[1]2025年已发货'!$H:$H=C655&amp;F655&amp;I655&amp;J655,"未发货")</f>
        <v>未发货</v>
      </c>
      <c r="I655" s="41" t="str">
        <f>VLOOKUP(B655,辅助信息!E:I,3,FALSE)</f>
        <v>（四川商建-射洪城乡一体化项目）遂宁市射洪市忠新幼儿园北侧约220米新溪小区</v>
      </c>
      <c r="J655" s="41" t="str">
        <f>VLOOKUP(B655,辅助信息!E:I,4,FALSE)</f>
        <v>柏子刚</v>
      </c>
      <c r="K655" s="41">
        <f>VLOOKUP(J655,辅助信息!H:I,2,FALSE)</f>
        <v>15692885305</v>
      </c>
      <c r="L655" s="44" t="str">
        <f>VLOOKUP(B655,辅助信息!E:J,6,FALSE)</f>
        <v>提前联系到场规格及数量</v>
      </c>
      <c r="M655" s="96">
        <v>45708</v>
      </c>
      <c r="O655" s="27">
        <f ca="1" t="shared" si="16"/>
        <v>0</v>
      </c>
      <c r="P655" s="63">
        <f ca="1" t="shared" si="17"/>
        <v>251</v>
      </c>
      <c r="Q655" s="27" t="str">
        <f>VLOOKUP(B655,辅助信息!E:M,9,FALSE)</f>
        <v>ZTWM-CDGS-XS-2024-0179-四川商投-射洪城乡一体化建设项目</v>
      </c>
    </row>
    <row r="656" s="27" customFormat="1" hidden="1" spans="2:17">
      <c r="B656" s="41" t="s">
        <v>31</v>
      </c>
      <c r="C656" s="71">
        <v>45709</v>
      </c>
      <c r="D656" s="41" t="str">
        <f>VLOOKUP(B656,辅助信息!E:K,7,FALSE)</f>
        <v>JWDDCD2024121000136</v>
      </c>
      <c r="E656" s="41" t="str">
        <f>VLOOKUP(F656,辅助信息!A:B,2,FALSE)</f>
        <v>螺纹钢</v>
      </c>
      <c r="F656" s="41" t="s">
        <v>22</v>
      </c>
      <c r="G656" s="41">
        <v>20</v>
      </c>
      <c r="H656" s="41" t="str">
        <f>_xlfn._xlws.FILTER('[1]2025年已发货'!$E:$E,'[1]2025年已发货'!$F:$F&amp;'[1]2025年已发货'!$C:$C&amp;'[1]2025年已发货'!$G:$G&amp;'[1]2025年已发货'!$H:$H=C656&amp;F656&amp;I656&amp;J656,"未发货")</f>
        <v>未发货</v>
      </c>
      <c r="I656" s="41" t="str">
        <f>VLOOKUP(B656,辅助信息!E:I,3,FALSE)</f>
        <v>（四川商建-射洪城乡一体化项目）遂宁市射洪市忠新幼儿园北侧约220米新溪小区</v>
      </c>
      <c r="J656" s="41" t="str">
        <f>VLOOKUP(B656,辅助信息!E:I,4,FALSE)</f>
        <v>柏子刚</v>
      </c>
      <c r="K656" s="41">
        <f>VLOOKUP(J656,辅助信息!H:I,2,FALSE)</f>
        <v>15692885305</v>
      </c>
      <c r="L656" s="77"/>
      <c r="M656" s="96">
        <v>45708</v>
      </c>
      <c r="O656" s="27">
        <f ca="1" t="shared" si="16"/>
        <v>0</v>
      </c>
      <c r="P656" s="63">
        <f ca="1" t="shared" si="17"/>
        <v>251</v>
      </c>
      <c r="Q656" s="27" t="str">
        <f>VLOOKUP(B656,辅助信息!E:M,9,FALSE)</f>
        <v>ZTWM-CDGS-XS-2024-0179-四川商投-射洪城乡一体化建设项目</v>
      </c>
    </row>
    <row r="657" s="27" customFormat="1" ht="36" hidden="1" customHeight="1" spans="1:17">
      <c r="A657" s="63" t="s">
        <v>103</v>
      </c>
      <c r="B657" s="41" t="s">
        <v>81</v>
      </c>
      <c r="C657" s="71">
        <v>45709</v>
      </c>
      <c r="D657" s="41" t="str">
        <f>VLOOKUP(B657,辅助信息!E:K,7,FALSE)</f>
        <v>JWDDCD2025060900080</v>
      </c>
      <c r="E657" s="41" t="str">
        <f>VLOOKUP(F657,辅助信息!A:B,2,FALSE)</f>
        <v>螺纹钢</v>
      </c>
      <c r="F657" s="41" t="s">
        <v>18</v>
      </c>
      <c r="G657" s="37">
        <v>70</v>
      </c>
      <c r="H657" s="37">
        <f>_xlfn._xlws.FILTER('[1]2025年已发货'!$E:$E,'[1]2025年已发货'!$F:$F&amp;'[1]2025年已发货'!$C:$C&amp;'[1]2025年已发货'!$G:$G&amp;'[1]2025年已发货'!$H:$H=C657&amp;F657&amp;I657&amp;J657,"未发货")</f>
        <v>70</v>
      </c>
      <c r="I657" s="41" t="str">
        <f>VLOOKUP(B657,辅助信息!E:I,3,FALSE)</f>
        <v>（华西简阳西城嘉苑）四川省成都市简阳市简城街道高屋村</v>
      </c>
      <c r="J657" s="41" t="str">
        <f>VLOOKUP(B657,辅助信息!E:I,4,FALSE)</f>
        <v>张瀚镭</v>
      </c>
      <c r="K657" s="41">
        <f>VLOOKUP(J657,辅助信息!H:I,2,FALSE)</f>
        <v>15884666220</v>
      </c>
      <c r="L657" s="44" t="str">
        <f>VLOOKUP(B657,辅助信息!E:J,6,FALSE)</f>
        <v>现场禁止使用氢能源挂车！优先威钢发货,我方卸车,新老国标钢厂不加价可直发，因陕钢多次出现磅差，项目拒绝使用</v>
      </c>
      <c r="M657" s="92">
        <v>45711</v>
      </c>
      <c r="N657" s="63"/>
      <c r="O657" s="27">
        <f ca="1" t="shared" si="16"/>
        <v>0</v>
      </c>
      <c r="P657" s="63">
        <f ca="1" t="shared" si="17"/>
        <v>248</v>
      </c>
      <c r="Q657" s="27" t="str">
        <f>VLOOKUP(B657,辅助信息!E:M,9,FALSE)</f>
        <v>ZTWM-CDGS-XS-2024-0030-华西集采-简州大道</v>
      </c>
    </row>
    <row r="658" s="27" customFormat="1" ht="36" hidden="1" customHeight="1" spans="2:17">
      <c r="B658" s="41" t="s">
        <v>69</v>
      </c>
      <c r="C658" s="71">
        <v>45710</v>
      </c>
      <c r="D658" s="41" t="str">
        <f>VLOOKUP(B658,辅助信息!E:K,7,FALSE)</f>
        <v>JWDDCD2025052800131</v>
      </c>
      <c r="E658" s="41" t="str">
        <f>VLOOKUP(F658,辅助信息!A:B,2,FALSE)</f>
        <v>螺纹钢</v>
      </c>
      <c r="F658" s="41" t="s">
        <v>21</v>
      </c>
      <c r="G658" s="41">
        <v>35</v>
      </c>
      <c r="H658" s="41">
        <f>_xlfn._xlws.FILTER('[1]2025年已发货'!$E:$E,'[1]2025年已发货'!$F:$F&amp;'[1]2025年已发货'!$C:$C&amp;'[1]2025年已发货'!$G:$G&amp;'[1]2025年已发货'!$H:$H=C658&amp;F658&amp;I658&amp;J658,"未发货")</f>
        <v>35</v>
      </c>
      <c r="I658" s="41" t="str">
        <f>VLOOKUP(B658,辅助信息!E:I,3,FALSE)</f>
        <v>（商投建工达州中医药科技园-4工区-2号楼）达州市通川区达州中医药职业学院犀牛大道北段</v>
      </c>
      <c r="J658" s="41" t="str">
        <f>VLOOKUP(B658,辅助信息!E:I,4,FALSE)</f>
        <v>张扬</v>
      </c>
      <c r="K658" s="41">
        <f>VLOOKUP(J658,辅助信息!H:I,2,FALSE)</f>
        <v>18381904567</v>
      </c>
      <c r="L658" s="44" t="str">
        <f>VLOOKUP(B658,辅助信息!E:J,6,FALSE)</f>
        <v>控制炉批号！多了现场不收！,优先安排达钢,提前联系到场规格及数量</v>
      </c>
      <c r="M658" s="96">
        <v>45704</v>
      </c>
      <c r="O658" s="27">
        <f ca="1" t="shared" si="16"/>
        <v>0</v>
      </c>
      <c r="P658" s="63">
        <f ca="1" t="shared" si="17"/>
        <v>255</v>
      </c>
      <c r="Q658" s="27" t="str">
        <f>VLOOKUP(B658,辅助信息!E:M,9,FALSE)</f>
        <v>ZTWM-CDGS-XS-2024-0134-商投建工达州中医药科技成果示范园项目</v>
      </c>
    </row>
    <row r="659" s="27" customFormat="1" hidden="1" spans="2:17">
      <c r="B659" s="41" t="s">
        <v>84</v>
      </c>
      <c r="C659" s="71">
        <v>45710</v>
      </c>
      <c r="D659" s="41" t="e">
        <f>VLOOKUP(B659,辅助信息!E:K,7,FALSE)</f>
        <v>#N/A</v>
      </c>
      <c r="E659" s="41" t="str">
        <f>VLOOKUP(F659,辅助信息!A:B,2,FALSE)</f>
        <v>螺纹钢</v>
      </c>
      <c r="F659" s="41" t="s">
        <v>27</v>
      </c>
      <c r="G659" s="41">
        <v>20</v>
      </c>
      <c r="H659" s="41" t="e">
        <f>_xlfn._xlws.FILTER('[1]2025年已发货'!$E:$E,'[1]2025年已发货'!$F:$F&amp;'[1]2025年已发货'!$C:$C&amp;'[1]2025年已发货'!$G:$G&amp;'[1]2025年已发货'!$H:$H=C659&amp;F659&amp;I659&amp;J659,"未发货")</f>
        <v>#N/A</v>
      </c>
      <c r="I659" s="41" t="e">
        <f>VLOOKUP(B659,辅助信息!E:I,3,FALSE)</f>
        <v>#N/A</v>
      </c>
      <c r="J659" s="41" t="e">
        <f>VLOOKUP(B659,辅助信息!E:I,4,FALSE)</f>
        <v>#N/A</v>
      </c>
      <c r="K659" s="41" t="e">
        <f>VLOOKUP(J659,辅助信息!H:I,2,FALSE)</f>
        <v>#N/A</v>
      </c>
      <c r="L659" s="44" t="e">
        <f>VLOOKUP(B659,辅助信息!E:J,6,FALSE)</f>
        <v>#N/A</v>
      </c>
      <c r="M659" s="96">
        <v>45705</v>
      </c>
      <c r="O659" s="27">
        <f ca="1" t="shared" si="16"/>
        <v>0</v>
      </c>
      <c r="P659" s="63">
        <f ca="1" t="shared" si="17"/>
        <v>254</v>
      </c>
      <c r="Q659" s="27" t="e">
        <f>VLOOKUP(B659,辅助信息!E:M,9,FALSE)</f>
        <v>#N/A</v>
      </c>
    </row>
    <row r="660" s="27" customFormat="1" hidden="1" spans="2:17">
      <c r="B660" s="41" t="s">
        <v>84</v>
      </c>
      <c r="C660" s="71">
        <v>45710</v>
      </c>
      <c r="D660" s="41" t="e">
        <f>VLOOKUP(B660,辅助信息!E:K,7,FALSE)</f>
        <v>#N/A</v>
      </c>
      <c r="E660" s="41" t="str">
        <f>VLOOKUP(F660,辅助信息!A:B,2,FALSE)</f>
        <v>螺纹钢</v>
      </c>
      <c r="F660" s="41" t="s">
        <v>33</v>
      </c>
      <c r="G660" s="41">
        <v>8</v>
      </c>
      <c r="H660" s="41" t="e">
        <f>_xlfn._xlws.FILTER('[1]2025年已发货'!$E:$E,'[1]2025年已发货'!$F:$F&amp;'[1]2025年已发货'!$C:$C&amp;'[1]2025年已发货'!$G:$G&amp;'[1]2025年已发货'!$H:$H=C660&amp;F660&amp;I660&amp;J660,"未发货")</f>
        <v>#N/A</v>
      </c>
      <c r="I660" s="41" t="e">
        <f>VLOOKUP(B660,辅助信息!E:I,3,FALSE)</f>
        <v>#N/A</v>
      </c>
      <c r="J660" s="41" t="e">
        <f>VLOOKUP(B660,辅助信息!E:I,4,FALSE)</f>
        <v>#N/A</v>
      </c>
      <c r="K660" s="41" t="e">
        <f>VLOOKUP(J660,辅助信息!H:I,2,FALSE)</f>
        <v>#N/A</v>
      </c>
      <c r="L660" s="79"/>
      <c r="M660" s="96">
        <v>45705</v>
      </c>
      <c r="O660" s="27">
        <f ca="1" t="shared" si="16"/>
        <v>0</v>
      </c>
      <c r="P660" s="63">
        <f ca="1" t="shared" si="17"/>
        <v>254</v>
      </c>
      <c r="Q660" s="27" t="e">
        <f>VLOOKUP(B660,辅助信息!E:M,9,FALSE)</f>
        <v>#N/A</v>
      </c>
    </row>
    <row r="661" s="27" customFormat="1" hidden="1" spans="2:17">
      <c r="B661" s="41" t="s">
        <v>84</v>
      </c>
      <c r="C661" s="71">
        <v>45710</v>
      </c>
      <c r="D661" s="41" t="e">
        <f>VLOOKUP(B661,辅助信息!E:K,7,FALSE)</f>
        <v>#N/A</v>
      </c>
      <c r="E661" s="41" t="str">
        <f>VLOOKUP(F661,辅助信息!A:B,2,FALSE)</f>
        <v>螺纹钢</v>
      </c>
      <c r="F661" s="41" t="s">
        <v>18</v>
      </c>
      <c r="G661" s="41">
        <v>12</v>
      </c>
      <c r="H661" s="41" t="e">
        <f>_xlfn._xlws.FILTER('[1]2025年已发货'!$E:$E,'[1]2025年已发货'!$F:$F&amp;'[1]2025年已发货'!$C:$C&amp;'[1]2025年已发货'!$G:$G&amp;'[1]2025年已发货'!$H:$H=C661&amp;F661&amp;I661&amp;J661,"未发货")</f>
        <v>#N/A</v>
      </c>
      <c r="I661" s="41" t="e">
        <f>VLOOKUP(B661,辅助信息!E:I,3,FALSE)</f>
        <v>#N/A</v>
      </c>
      <c r="J661" s="41" t="e">
        <f>VLOOKUP(B661,辅助信息!E:I,4,FALSE)</f>
        <v>#N/A</v>
      </c>
      <c r="K661" s="41" t="e">
        <f>VLOOKUP(J661,辅助信息!H:I,2,FALSE)</f>
        <v>#N/A</v>
      </c>
      <c r="L661" s="79"/>
      <c r="M661" s="96">
        <v>45705</v>
      </c>
      <c r="O661" s="27">
        <f ca="1" t="shared" si="16"/>
        <v>0</v>
      </c>
      <c r="P661" s="63">
        <f ca="1" t="shared" si="17"/>
        <v>254</v>
      </c>
      <c r="Q661" s="27" t="e">
        <f>VLOOKUP(B661,辅助信息!E:M,9,FALSE)</f>
        <v>#N/A</v>
      </c>
    </row>
    <row r="662" s="27" customFormat="1" hidden="1" spans="2:17">
      <c r="B662" s="41" t="s">
        <v>84</v>
      </c>
      <c r="C662" s="71">
        <v>45710</v>
      </c>
      <c r="D662" s="41" t="e">
        <f>VLOOKUP(B662,辅助信息!E:K,7,FALSE)</f>
        <v>#N/A</v>
      </c>
      <c r="E662" s="41" t="str">
        <f>VLOOKUP(F662,辅助信息!A:B,2,FALSE)</f>
        <v>高线</v>
      </c>
      <c r="F662" s="41" t="s">
        <v>51</v>
      </c>
      <c r="G662" s="41">
        <v>5</v>
      </c>
      <c r="H662" s="41" t="e">
        <f>_xlfn._xlws.FILTER('[1]2025年已发货'!$E:$E,'[1]2025年已发货'!$F:$F&amp;'[1]2025年已发货'!$C:$C&amp;'[1]2025年已发货'!$G:$G&amp;'[1]2025年已发货'!$H:$H=C662&amp;F662&amp;I662&amp;J662,"未发货")</f>
        <v>#N/A</v>
      </c>
      <c r="I662" s="41" t="e">
        <f>VLOOKUP(B662,辅助信息!E:I,3,FALSE)</f>
        <v>#N/A</v>
      </c>
      <c r="J662" s="41" t="e">
        <f>VLOOKUP(B662,辅助信息!E:I,4,FALSE)</f>
        <v>#N/A</v>
      </c>
      <c r="K662" s="41" t="e">
        <f>VLOOKUP(J662,辅助信息!H:I,2,FALSE)</f>
        <v>#N/A</v>
      </c>
      <c r="L662" s="77"/>
      <c r="M662" s="96">
        <v>45705</v>
      </c>
      <c r="O662" s="27">
        <f ca="1" t="shared" si="16"/>
        <v>0</v>
      </c>
      <c r="P662" s="63">
        <f ca="1" t="shared" si="17"/>
        <v>254</v>
      </c>
      <c r="Q662" s="27" t="e">
        <f>VLOOKUP(B662,辅助信息!E:M,9,FALSE)</f>
        <v>#N/A</v>
      </c>
    </row>
    <row r="663" s="27" customFormat="1" hidden="1" spans="2:17">
      <c r="B663" s="41" t="s">
        <v>74</v>
      </c>
      <c r="C663" s="71">
        <v>45710</v>
      </c>
      <c r="D663" s="41" t="e">
        <f>VLOOKUP(B663,辅助信息!E:K,7,FALSE)</f>
        <v>#N/A</v>
      </c>
      <c r="E663" s="41" t="str">
        <f>VLOOKUP(F663,辅助信息!A:B,2,FALSE)</f>
        <v>螺纹钢</v>
      </c>
      <c r="F663" s="41" t="s">
        <v>19</v>
      </c>
      <c r="G663" s="41">
        <v>12</v>
      </c>
      <c r="H663" s="41" t="e">
        <f>_xlfn._xlws.FILTER('[1]2025年已发货'!$E:$E,'[1]2025年已发货'!$F:$F&amp;'[1]2025年已发货'!$C:$C&amp;'[1]2025年已发货'!$G:$G&amp;'[1]2025年已发货'!$H:$H=C663&amp;F663&amp;I663&amp;J663,"未发货")</f>
        <v>#N/A</v>
      </c>
      <c r="I663" s="41" t="e">
        <f>VLOOKUP(B663,辅助信息!E:I,3,FALSE)</f>
        <v>#N/A</v>
      </c>
      <c r="J663" s="41" t="e">
        <f>VLOOKUP(B663,辅助信息!E:I,4,FALSE)</f>
        <v>#N/A</v>
      </c>
      <c r="K663" s="41" t="e">
        <f>VLOOKUP(J663,辅助信息!H:I,2,FALSE)</f>
        <v>#N/A</v>
      </c>
      <c r="L663" s="44" t="e">
        <f>VLOOKUP(B663,辅助信息!E:J,6,FALSE)</f>
        <v>#N/A</v>
      </c>
      <c r="M663" s="96">
        <v>45711</v>
      </c>
      <c r="O663" s="27">
        <f ca="1" t="shared" si="16"/>
        <v>0</v>
      </c>
      <c r="P663" s="63">
        <f ca="1" t="shared" si="17"/>
        <v>248</v>
      </c>
      <c r="Q663" s="27" t="e">
        <f>VLOOKUP(B663,辅助信息!E:M,9,FALSE)</f>
        <v>#N/A</v>
      </c>
    </row>
    <row r="664" s="27" customFormat="1" hidden="1" spans="2:17">
      <c r="B664" s="41" t="s">
        <v>74</v>
      </c>
      <c r="C664" s="71">
        <v>45710</v>
      </c>
      <c r="D664" s="41" t="e">
        <f>VLOOKUP(B664,辅助信息!E:K,7,FALSE)</f>
        <v>#N/A</v>
      </c>
      <c r="E664" s="41" t="str">
        <f>VLOOKUP(F664,辅助信息!A:B,2,FALSE)</f>
        <v>螺纹钢</v>
      </c>
      <c r="F664" s="41" t="s">
        <v>33</v>
      </c>
      <c r="G664" s="41">
        <v>12</v>
      </c>
      <c r="H664" s="41" t="e">
        <f>_xlfn._xlws.FILTER('[1]2025年已发货'!$E:$E,'[1]2025年已发货'!$F:$F&amp;'[1]2025年已发货'!$C:$C&amp;'[1]2025年已发货'!$G:$G&amp;'[1]2025年已发货'!$H:$H=C664&amp;F664&amp;I664&amp;J664,"未发货")</f>
        <v>#N/A</v>
      </c>
      <c r="I664" s="41" t="e">
        <f>VLOOKUP(B664,辅助信息!E:I,3,FALSE)</f>
        <v>#N/A</v>
      </c>
      <c r="J664" s="41" t="e">
        <f>VLOOKUP(B664,辅助信息!E:I,4,FALSE)</f>
        <v>#N/A</v>
      </c>
      <c r="K664" s="41" t="e">
        <f>VLOOKUP(J664,辅助信息!H:I,2,FALSE)</f>
        <v>#N/A</v>
      </c>
      <c r="L664" s="79"/>
      <c r="M664" s="96">
        <v>45711</v>
      </c>
      <c r="O664" s="27">
        <f ca="1" t="shared" si="16"/>
        <v>0</v>
      </c>
      <c r="P664" s="63">
        <f ca="1" t="shared" si="17"/>
        <v>248</v>
      </c>
      <c r="Q664" s="27" t="e">
        <f>VLOOKUP(B664,辅助信息!E:M,9,FALSE)</f>
        <v>#N/A</v>
      </c>
    </row>
    <row r="665" s="27" customFormat="1" hidden="1" spans="2:17">
      <c r="B665" s="41" t="s">
        <v>74</v>
      </c>
      <c r="C665" s="71">
        <v>45710</v>
      </c>
      <c r="D665" s="41" t="e">
        <f>VLOOKUP(B665,辅助信息!E:K,7,FALSE)</f>
        <v>#N/A</v>
      </c>
      <c r="E665" s="41" t="str">
        <f>VLOOKUP(F665,辅助信息!A:B,2,FALSE)</f>
        <v>螺纹钢</v>
      </c>
      <c r="F665" s="41" t="s">
        <v>28</v>
      </c>
      <c r="G665" s="41">
        <v>12</v>
      </c>
      <c r="H665" s="41" t="e">
        <f>_xlfn._xlws.FILTER('[1]2025年已发货'!$E:$E,'[1]2025年已发货'!$F:$F&amp;'[1]2025年已发货'!$C:$C&amp;'[1]2025年已发货'!$G:$G&amp;'[1]2025年已发货'!$H:$H=C665&amp;F665&amp;I665&amp;J665,"未发货")</f>
        <v>#N/A</v>
      </c>
      <c r="I665" s="41" t="e">
        <f>VLOOKUP(B665,辅助信息!E:I,3,FALSE)</f>
        <v>#N/A</v>
      </c>
      <c r="J665" s="41" t="e">
        <f>VLOOKUP(B665,辅助信息!E:I,4,FALSE)</f>
        <v>#N/A</v>
      </c>
      <c r="K665" s="41" t="e">
        <f>VLOOKUP(J665,辅助信息!H:I,2,FALSE)</f>
        <v>#N/A</v>
      </c>
      <c r="L665" s="79"/>
      <c r="M665" s="96">
        <v>45711</v>
      </c>
      <c r="O665" s="27">
        <f ca="1" t="shared" si="16"/>
        <v>0</v>
      </c>
      <c r="P665" s="63">
        <f ca="1" t="shared" si="17"/>
        <v>248</v>
      </c>
      <c r="Q665" s="27" t="e">
        <f>VLOOKUP(B665,辅助信息!E:M,9,FALSE)</f>
        <v>#N/A</v>
      </c>
    </row>
    <row r="666" s="27" customFormat="1" hidden="1" spans="2:17">
      <c r="B666" s="41" t="s">
        <v>74</v>
      </c>
      <c r="C666" s="71">
        <v>45710</v>
      </c>
      <c r="D666" s="41" t="e">
        <f>VLOOKUP(B666,辅助信息!E:K,7,FALSE)</f>
        <v>#N/A</v>
      </c>
      <c r="E666" s="41" t="str">
        <f>VLOOKUP(F666,辅助信息!A:B,2,FALSE)</f>
        <v>螺纹钢</v>
      </c>
      <c r="F666" s="41" t="s">
        <v>18</v>
      </c>
      <c r="G666" s="41">
        <v>3</v>
      </c>
      <c r="H666" s="41" t="e">
        <f>_xlfn._xlws.FILTER('[1]2025年已发货'!$E:$E,'[1]2025年已发货'!$F:$F&amp;'[1]2025年已发货'!$C:$C&amp;'[1]2025年已发货'!$G:$G&amp;'[1]2025年已发货'!$H:$H=C666&amp;F666&amp;I666&amp;J666,"未发货")</f>
        <v>#N/A</v>
      </c>
      <c r="I666" s="41" t="e">
        <f>VLOOKUP(B666,辅助信息!E:I,3,FALSE)</f>
        <v>#N/A</v>
      </c>
      <c r="J666" s="41" t="e">
        <f>VLOOKUP(B666,辅助信息!E:I,4,FALSE)</f>
        <v>#N/A</v>
      </c>
      <c r="K666" s="41" t="e">
        <f>VLOOKUP(J666,辅助信息!H:I,2,FALSE)</f>
        <v>#N/A</v>
      </c>
      <c r="L666" s="77"/>
      <c r="M666" s="96">
        <v>45711</v>
      </c>
      <c r="O666" s="27">
        <f ca="1" t="shared" si="16"/>
        <v>0</v>
      </c>
      <c r="P666" s="63">
        <f ca="1" t="shared" si="17"/>
        <v>248</v>
      </c>
      <c r="Q666" s="27" t="e">
        <f>VLOOKUP(B666,辅助信息!E:M,9,FALSE)</f>
        <v>#N/A</v>
      </c>
    </row>
    <row r="667" s="27" customFormat="1" hidden="1" spans="1:17">
      <c r="A667" s="27" t="s">
        <v>97</v>
      </c>
      <c r="B667" s="41" t="s">
        <v>98</v>
      </c>
      <c r="C667" s="71">
        <v>45710</v>
      </c>
      <c r="D667" s="41" t="e">
        <f>VLOOKUP(B667,辅助信息!E:K,7,FALSE)</f>
        <v>#N/A</v>
      </c>
      <c r="E667" s="41" t="str">
        <f>VLOOKUP(F667,辅助信息!A:B,2,FALSE)</f>
        <v>高线</v>
      </c>
      <c r="F667" s="41" t="s">
        <v>51</v>
      </c>
      <c r="G667" s="41">
        <v>10</v>
      </c>
      <c r="H667" s="41" t="e">
        <f>_xlfn._xlws.FILTER('[1]2025年已发货'!$E:$E,'[1]2025年已发货'!$F:$F&amp;'[1]2025年已发货'!$C:$C&amp;'[1]2025年已发货'!$G:$G&amp;'[1]2025年已发货'!$H:$H=C667&amp;F667&amp;I667&amp;J667,"未发货")</f>
        <v>#N/A</v>
      </c>
      <c r="I667" s="41" t="e">
        <f>VLOOKUP(B667,辅助信息!E:I,3,FALSE)</f>
        <v>#N/A</v>
      </c>
      <c r="J667" s="41" t="e">
        <f>VLOOKUP(B667,辅助信息!E:I,4,FALSE)</f>
        <v>#N/A</v>
      </c>
      <c r="K667" s="41" t="e">
        <f>VLOOKUP(J667,辅助信息!H:I,2,FALSE)</f>
        <v>#N/A</v>
      </c>
      <c r="L667" s="44" t="e">
        <f>VLOOKUP(B667,辅助信息!E:J,6,FALSE)</f>
        <v>#N/A</v>
      </c>
      <c r="M667" s="96">
        <v>45709</v>
      </c>
      <c r="O667" s="27">
        <f ca="1" t="shared" si="16"/>
        <v>0</v>
      </c>
      <c r="P667" s="63">
        <f ca="1" t="shared" si="17"/>
        <v>250</v>
      </c>
      <c r="Q667" s="27" t="e">
        <f>VLOOKUP(B667,辅助信息!E:M,9,FALSE)</f>
        <v>#N/A</v>
      </c>
    </row>
    <row r="668" s="27" customFormat="1" hidden="1" spans="2:17">
      <c r="B668" s="41" t="s">
        <v>99</v>
      </c>
      <c r="C668" s="71">
        <v>45710</v>
      </c>
      <c r="D668" s="41" t="e">
        <f>VLOOKUP(B668,辅助信息!E:K,7,FALSE)</f>
        <v>#N/A</v>
      </c>
      <c r="E668" s="41" t="str">
        <f>VLOOKUP(F668,辅助信息!A:B,2,FALSE)</f>
        <v>高线</v>
      </c>
      <c r="F668" s="41" t="s">
        <v>53</v>
      </c>
      <c r="G668" s="41">
        <v>2.5</v>
      </c>
      <c r="H668" s="41" t="e">
        <f>_xlfn._xlws.FILTER('[1]2025年已发货'!$E:$E,'[1]2025年已发货'!$F:$F&amp;'[1]2025年已发货'!$C:$C&amp;'[1]2025年已发货'!$G:$G&amp;'[1]2025年已发货'!$H:$H=C668&amp;F668&amp;I668&amp;J668,"未发货")</f>
        <v>#N/A</v>
      </c>
      <c r="I668" s="41" t="e">
        <f>VLOOKUP(B668,辅助信息!E:I,3,FALSE)</f>
        <v>#N/A</v>
      </c>
      <c r="J668" s="41" t="e">
        <f>VLOOKUP(B668,辅助信息!E:I,4,FALSE)</f>
        <v>#N/A</v>
      </c>
      <c r="K668" s="41" t="e">
        <f>VLOOKUP(J668,辅助信息!H:I,2,FALSE)</f>
        <v>#N/A</v>
      </c>
      <c r="L668" s="79"/>
      <c r="M668" s="96">
        <v>45709</v>
      </c>
      <c r="O668" s="27">
        <f ca="1" t="shared" si="16"/>
        <v>0</v>
      </c>
      <c r="P668" s="63">
        <f ca="1" t="shared" si="17"/>
        <v>250</v>
      </c>
      <c r="Q668" s="27" t="e">
        <f>VLOOKUP(B668,辅助信息!E:M,9,FALSE)</f>
        <v>#N/A</v>
      </c>
    </row>
    <row r="669" s="27" customFormat="1" hidden="1" spans="2:17">
      <c r="B669" s="41" t="s">
        <v>99</v>
      </c>
      <c r="C669" s="71">
        <v>45710</v>
      </c>
      <c r="D669" s="41" t="e">
        <f>VLOOKUP(B669,辅助信息!E:K,7,FALSE)</f>
        <v>#N/A</v>
      </c>
      <c r="E669" s="41" t="str">
        <f>VLOOKUP(F669,辅助信息!A:B,2,FALSE)</f>
        <v>高线</v>
      </c>
      <c r="F669" s="41" t="s">
        <v>51</v>
      </c>
      <c r="G669" s="41">
        <v>2.5</v>
      </c>
      <c r="H669" s="41" t="e">
        <f>_xlfn._xlws.FILTER('[1]2025年已发货'!$E:$E,'[1]2025年已发货'!$F:$F&amp;'[1]2025年已发货'!$C:$C&amp;'[1]2025年已发货'!$G:$G&amp;'[1]2025年已发货'!$H:$H=C669&amp;F669&amp;I669&amp;J669,"未发货")</f>
        <v>#N/A</v>
      </c>
      <c r="I669" s="41" t="e">
        <f>VLOOKUP(B669,辅助信息!E:I,3,FALSE)</f>
        <v>#N/A</v>
      </c>
      <c r="J669" s="41" t="e">
        <f>VLOOKUP(B669,辅助信息!E:I,4,FALSE)</f>
        <v>#N/A</v>
      </c>
      <c r="K669" s="41" t="e">
        <f>VLOOKUP(J669,辅助信息!H:I,2,FALSE)</f>
        <v>#N/A</v>
      </c>
      <c r="L669" s="79"/>
      <c r="M669" s="96">
        <v>45709</v>
      </c>
      <c r="O669" s="27">
        <f ca="1" t="shared" si="16"/>
        <v>0</v>
      </c>
      <c r="P669" s="63">
        <f ca="1" t="shared" si="17"/>
        <v>250</v>
      </c>
      <c r="Q669" s="27" t="e">
        <f>VLOOKUP(B669,辅助信息!E:M,9,FALSE)</f>
        <v>#N/A</v>
      </c>
    </row>
    <row r="670" s="27" customFormat="1" hidden="1" spans="2:17">
      <c r="B670" s="41" t="s">
        <v>99</v>
      </c>
      <c r="C670" s="71">
        <v>45710</v>
      </c>
      <c r="D670" s="41" t="e">
        <f>VLOOKUP(B670,辅助信息!E:K,7,FALSE)</f>
        <v>#N/A</v>
      </c>
      <c r="E670" s="41" t="str">
        <f>VLOOKUP(F670,辅助信息!A:B,2,FALSE)</f>
        <v>螺纹钢</v>
      </c>
      <c r="F670" s="41" t="s">
        <v>27</v>
      </c>
      <c r="G670" s="41">
        <v>3</v>
      </c>
      <c r="H670" s="41" t="e">
        <f>_xlfn._xlws.FILTER('[1]2025年已发货'!$E:$E,'[1]2025年已发货'!$F:$F&amp;'[1]2025年已发货'!$C:$C&amp;'[1]2025年已发货'!$G:$G&amp;'[1]2025年已发货'!$H:$H=C670&amp;F670&amp;I670&amp;J670,"未发货")</f>
        <v>#N/A</v>
      </c>
      <c r="I670" s="41" t="e">
        <f>VLOOKUP(B670,辅助信息!E:I,3,FALSE)</f>
        <v>#N/A</v>
      </c>
      <c r="J670" s="41" t="e">
        <f>VLOOKUP(B670,辅助信息!E:I,4,FALSE)</f>
        <v>#N/A</v>
      </c>
      <c r="K670" s="41" t="e">
        <f>VLOOKUP(J670,辅助信息!H:I,2,FALSE)</f>
        <v>#N/A</v>
      </c>
      <c r="L670" s="79"/>
      <c r="M670" s="96">
        <v>45709</v>
      </c>
      <c r="O670" s="27">
        <f ca="1" t="shared" si="16"/>
        <v>0</v>
      </c>
      <c r="P670" s="63">
        <f ca="1" t="shared" si="17"/>
        <v>250</v>
      </c>
      <c r="Q670" s="27" t="e">
        <f>VLOOKUP(B670,辅助信息!E:M,9,FALSE)</f>
        <v>#N/A</v>
      </c>
    </row>
    <row r="671" s="27" customFormat="1" hidden="1" spans="2:17">
      <c r="B671" s="41" t="s">
        <v>99</v>
      </c>
      <c r="C671" s="71">
        <v>45710</v>
      </c>
      <c r="D671" s="41" t="e">
        <f>VLOOKUP(B671,辅助信息!E:K,7,FALSE)</f>
        <v>#N/A</v>
      </c>
      <c r="E671" s="41" t="str">
        <f>VLOOKUP(F671,辅助信息!A:B,2,FALSE)</f>
        <v>螺纹钢</v>
      </c>
      <c r="F671" s="41" t="s">
        <v>19</v>
      </c>
      <c r="G671" s="41">
        <v>3</v>
      </c>
      <c r="H671" s="41" t="e">
        <f>_xlfn._xlws.FILTER('[1]2025年已发货'!$E:$E,'[1]2025年已发货'!$F:$F&amp;'[1]2025年已发货'!$C:$C&amp;'[1]2025年已发货'!$G:$G&amp;'[1]2025年已发货'!$H:$H=C671&amp;F671&amp;I671&amp;J671,"未发货")</f>
        <v>#N/A</v>
      </c>
      <c r="I671" s="41" t="e">
        <f>VLOOKUP(B671,辅助信息!E:I,3,FALSE)</f>
        <v>#N/A</v>
      </c>
      <c r="J671" s="41" t="e">
        <f>VLOOKUP(B671,辅助信息!E:I,4,FALSE)</f>
        <v>#N/A</v>
      </c>
      <c r="K671" s="41" t="e">
        <f>VLOOKUP(J671,辅助信息!H:I,2,FALSE)</f>
        <v>#N/A</v>
      </c>
      <c r="L671" s="79"/>
      <c r="M671" s="96">
        <v>45709</v>
      </c>
      <c r="O671" s="27">
        <f ca="1" t="shared" si="16"/>
        <v>0</v>
      </c>
      <c r="P671" s="63">
        <f ca="1" t="shared" si="17"/>
        <v>250</v>
      </c>
      <c r="Q671" s="27" t="e">
        <f>VLOOKUP(B671,辅助信息!E:M,9,FALSE)</f>
        <v>#N/A</v>
      </c>
    </row>
    <row r="672" s="27" customFormat="1" hidden="1" spans="2:17">
      <c r="B672" s="41" t="s">
        <v>99</v>
      </c>
      <c r="C672" s="71">
        <v>45710</v>
      </c>
      <c r="D672" s="41" t="e">
        <f>VLOOKUP(B672,辅助信息!E:K,7,FALSE)</f>
        <v>#N/A</v>
      </c>
      <c r="E672" s="41" t="str">
        <f>VLOOKUP(F672,辅助信息!A:B,2,FALSE)</f>
        <v>螺纹钢</v>
      </c>
      <c r="F672" s="41" t="s">
        <v>32</v>
      </c>
      <c r="G672" s="41">
        <v>3</v>
      </c>
      <c r="H672" s="41" t="e">
        <f>_xlfn._xlws.FILTER('[1]2025年已发货'!$E:$E,'[1]2025年已发货'!$F:$F&amp;'[1]2025年已发货'!$C:$C&amp;'[1]2025年已发货'!$G:$G&amp;'[1]2025年已发货'!$H:$H=C672&amp;F672&amp;I672&amp;J672,"未发货")</f>
        <v>#N/A</v>
      </c>
      <c r="I672" s="41" t="e">
        <f>VLOOKUP(B672,辅助信息!E:I,3,FALSE)</f>
        <v>#N/A</v>
      </c>
      <c r="J672" s="41" t="e">
        <f>VLOOKUP(B672,辅助信息!E:I,4,FALSE)</f>
        <v>#N/A</v>
      </c>
      <c r="K672" s="41" t="e">
        <f>VLOOKUP(J672,辅助信息!H:I,2,FALSE)</f>
        <v>#N/A</v>
      </c>
      <c r="L672" s="77"/>
      <c r="M672" s="96">
        <v>45709</v>
      </c>
      <c r="O672" s="27">
        <f ca="1" t="shared" si="16"/>
        <v>0</v>
      </c>
      <c r="P672" s="63">
        <f ca="1" t="shared" si="17"/>
        <v>250</v>
      </c>
      <c r="Q672" s="27" t="e">
        <f>VLOOKUP(B672,辅助信息!E:M,9,FALSE)</f>
        <v>#N/A</v>
      </c>
    </row>
    <row r="673" s="27" customFormat="1" hidden="1" spans="2:17">
      <c r="B673" s="41" t="s">
        <v>31</v>
      </c>
      <c r="C673" s="71">
        <v>45710</v>
      </c>
      <c r="D673" s="41" t="str">
        <f>VLOOKUP(B673,辅助信息!E:K,7,FALSE)</f>
        <v>JWDDCD2024121000136</v>
      </c>
      <c r="E673" s="41" t="str">
        <f>VLOOKUP(F673,辅助信息!A:B,2,FALSE)</f>
        <v>盘螺</v>
      </c>
      <c r="F673" s="41" t="s">
        <v>49</v>
      </c>
      <c r="G673" s="41">
        <v>15</v>
      </c>
      <c r="H673" s="41">
        <f>_xlfn._xlws.FILTER('[1]2025年已发货'!$E:$E,'[1]2025年已发货'!$F:$F&amp;'[1]2025年已发货'!$C:$C&amp;'[1]2025年已发货'!$G:$G&amp;'[1]2025年已发货'!$H:$H=C673&amp;F673&amp;I673&amp;J673,"未发货")</f>
        <v>35</v>
      </c>
      <c r="I673" s="41" t="str">
        <f>VLOOKUP(B673,辅助信息!E:I,3,FALSE)</f>
        <v>（四川商建-射洪城乡一体化项目）遂宁市射洪市忠新幼儿园北侧约220米新溪小区</v>
      </c>
      <c r="J673" s="41" t="str">
        <f>VLOOKUP(B673,辅助信息!E:I,4,FALSE)</f>
        <v>柏子刚</v>
      </c>
      <c r="K673" s="41">
        <f>VLOOKUP(J673,辅助信息!H:I,2,FALSE)</f>
        <v>15692885305</v>
      </c>
      <c r="L673" s="44" t="str">
        <f>VLOOKUP(B673,辅助信息!E:J,6,FALSE)</f>
        <v>提前联系到场规格及数量</v>
      </c>
      <c r="M673" s="96">
        <v>45708</v>
      </c>
      <c r="O673" s="27">
        <f ca="1" t="shared" si="16"/>
        <v>0</v>
      </c>
      <c r="P673" s="63">
        <f ca="1" t="shared" si="17"/>
        <v>251</v>
      </c>
      <c r="Q673" s="27" t="str">
        <f>VLOOKUP(B673,辅助信息!E:M,9,FALSE)</f>
        <v>ZTWM-CDGS-XS-2024-0179-四川商投-射洪城乡一体化建设项目</v>
      </c>
    </row>
    <row r="674" s="27" customFormat="1" hidden="1" spans="2:17">
      <c r="B674" s="41" t="s">
        <v>31</v>
      </c>
      <c r="C674" s="71">
        <v>45710</v>
      </c>
      <c r="D674" s="41" t="str">
        <f>VLOOKUP(B674,辅助信息!E:K,7,FALSE)</f>
        <v>JWDDCD2024121000136</v>
      </c>
      <c r="E674" s="41" t="str">
        <f>VLOOKUP(F674,辅助信息!A:B,2,FALSE)</f>
        <v>螺纹钢</v>
      </c>
      <c r="F674" s="41" t="s">
        <v>22</v>
      </c>
      <c r="G674" s="41">
        <v>20</v>
      </c>
      <c r="H674" s="41">
        <f>_xlfn._xlws.FILTER('[1]2025年已发货'!$E:$E,'[1]2025年已发货'!$F:$F&amp;'[1]2025年已发货'!$C:$C&amp;'[1]2025年已发货'!$G:$G&amp;'[1]2025年已发货'!$H:$H=C674&amp;F674&amp;I674&amp;J674,"未发货")</f>
        <v>35</v>
      </c>
      <c r="I674" s="41" t="str">
        <f>VLOOKUP(B674,辅助信息!E:I,3,FALSE)</f>
        <v>（四川商建-射洪城乡一体化项目）遂宁市射洪市忠新幼儿园北侧约220米新溪小区</v>
      </c>
      <c r="J674" s="41" t="str">
        <f>VLOOKUP(B674,辅助信息!E:I,4,FALSE)</f>
        <v>柏子刚</v>
      </c>
      <c r="K674" s="41">
        <f>VLOOKUP(J674,辅助信息!H:I,2,FALSE)</f>
        <v>15692885305</v>
      </c>
      <c r="L674" s="77"/>
      <c r="M674" s="96">
        <v>45708</v>
      </c>
      <c r="O674" s="27">
        <f ca="1" t="shared" si="16"/>
        <v>0</v>
      </c>
      <c r="P674" s="63">
        <f ca="1" t="shared" si="17"/>
        <v>251</v>
      </c>
      <c r="Q674" s="27" t="str">
        <f>VLOOKUP(B674,辅助信息!E:M,9,FALSE)</f>
        <v>ZTWM-CDGS-XS-2024-0179-四川商投-射洪城乡一体化建设项目</v>
      </c>
    </row>
    <row r="675" hidden="1" spans="2:18">
      <c r="B675" s="41" t="s">
        <v>25</v>
      </c>
      <c r="C675" s="71">
        <v>45711</v>
      </c>
      <c r="D675" s="41" t="e">
        <f>VLOOKUP(B675,辅助信息!E:K,7,FALSE)</f>
        <v>#N/A</v>
      </c>
      <c r="E675" s="41" t="str">
        <f>VLOOKUP(F675,辅助信息!A:B,2,FALSE)</f>
        <v>螺纹钢</v>
      </c>
      <c r="F675" s="41" t="s">
        <v>27</v>
      </c>
      <c r="G675" s="37">
        <v>22</v>
      </c>
      <c r="H675" s="41" t="e">
        <f>_xlfn._xlws.FILTER('[1]2025年已发货'!$E:$E,'[1]2025年已发货'!$F:$F&amp;'[1]2025年已发货'!$C:$C&amp;'[1]2025年已发货'!$G:$G&amp;'[1]2025年已发货'!$H:$H=C675&amp;F675&amp;I675&amp;J675,"未发货")</f>
        <v>#N/A</v>
      </c>
      <c r="I675" s="41" t="e">
        <f>VLOOKUP(B675,辅助信息!E:I,3,FALSE)</f>
        <v>#N/A</v>
      </c>
      <c r="J675" s="41" t="e">
        <f>VLOOKUP(B675,辅助信息!E:I,4,FALSE)</f>
        <v>#N/A</v>
      </c>
      <c r="K675" s="41" t="e">
        <f>VLOOKUP(J675,辅助信息!H:I,2,FALSE)</f>
        <v>#N/A</v>
      </c>
      <c r="L675" s="44" t="e">
        <f>VLOOKUP(B675,辅助信息!E:J,6,FALSE)</f>
        <v>#N/A</v>
      </c>
      <c r="M675" s="96">
        <v>45712</v>
      </c>
      <c r="N675" s="58"/>
      <c r="O675" s="27">
        <f ca="1" t="shared" si="16"/>
        <v>0</v>
      </c>
      <c r="P675" s="63">
        <f ca="1" t="shared" si="17"/>
        <v>247</v>
      </c>
      <c r="Q675" s="27" t="e">
        <f>VLOOKUP(B675,辅助信息!E:M,9,FALSE)</f>
        <v>#N/A</v>
      </c>
      <c r="R675" s="27"/>
    </row>
    <row r="676" hidden="1" spans="2:18">
      <c r="B676" s="41" t="s">
        <v>25</v>
      </c>
      <c r="C676" s="71">
        <v>45711</v>
      </c>
      <c r="D676" s="41" t="e">
        <f>VLOOKUP(B676,辅助信息!E:K,7,FALSE)</f>
        <v>#N/A</v>
      </c>
      <c r="E676" s="41" t="str">
        <f>VLOOKUP(F676,辅助信息!A:B,2,FALSE)</f>
        <v>螺纹钢</v>
      </c>
      <c r="F676" s="41" t="s">
        <v>19</v>
      </c>
      <c r="G676" s="37">
        <v>10</v>
      </c>
      <c r="H676" s="41" t="e">
        <f>_xlfn._xlws.FILTER('[1]2025年已发货'!$E:$E,'[1]2025年已发货'!$F:$F&amp;'[1]2025年已发货'!$C:$C&amp;'[1]2025年已发货'!$G:$G&amp;'[1]2025年已发货'!$H:$H=C676&amp;F676&amp;I676&amp;J676,"未发货")</f>
        <v>#N/A</v>
      </c>
      <c r="I676" s="41" t="e">
        <f>VLOOKUP(B676,辅助信息!E:I,3,FALSE)</f>
        <v>#N/A</v>
      </c>
      <c r="J676" s="41" t="e">
        <f>VLOOKUP(B676,辅助信息!E:I,4,FALSE)</f>
        <v>#N/A</v>
      </c>
      <c r="K676" s="41" t="e">
        <f>VLOOKUP(J676,辅助信息!H:I,2,FALSE)</f>
        <v>#N/A</v>
      </c>
      <c r="L676" s="79"/>
      <c r="M676" s="96">
        <v>45712</v>
      </c>
      <c r="N676" s="58"/>
      <c r="O676" s="27">
        <f ca="1" t="shared" si="16"/>
        <v>0</v>
      </c>
      <c r="P676" s="63">
        <f ca="1" t="shared" si="17"/>
        <v>247</v>
      </c>
      <c r="Q676" s="27" t="e">
        <f>VLOOKUP(B676,辅助信息!E:M,9,FALSE)</f>
        <v>#N/A</v>
      </c>
      <c r="R676" s="27"/>
    </row>
    <row r="677" hidden="1" spans="2:18">
      <c r="B677" s="41" t="s">
        <v>25</v>
      </c>
      <c r="C677" s="71">
        <v>45711</v>
      </c>
      <c r="D677" s="41" t="e">
        <f>VLOOKUP(B677,辅助信息!E:K,7,FALSE)</f>
        <v>#N/A</v>
      </c>
      <c r="E677" s="41" t="str">
        <f>VLOOKUP(F677,辅助信息!A:B,2,FALSE)</f>
        <v>螺纹钢</v>
      </c>
      <c r="F677" s="41" t="s">
        <v>32</v>
      </c>
      <c r="G677" s="37">
        <v>50</v>
      </c>
      <c r="H677" s="41" t="e">
        <f>_xlfn._xlws.FILTER('[1]2025年已发货'!$E:$E,'[1]2025年已发货'!$F:$F&amp;'[1]2025年已发货'!$C:$C&amp;'[1]2025年已发货'!$G:$G&amp;'[1]2025年已发货'!$H:$H=C677&amp;F677&amp;I677&amp;J677,"未发货")</f>
        <v>#N/A</v>
      </c>
      <c r="I677" s="41" t="e">
        <f>VLOOKUP(B677,辅助信息!E:I,3,FALSE)</f>
        <v>#N/A</v>
      </c>
      <c r="J677" s="41" t="e">
        <f>VLOOKUP(B677,辅助信息!E:I,4,FALSE)</f>
        <v>#N/A</v>
      </c>
      <c r="K677" s="41" t="e">
        <f>VLOOKUP(J677,辅助信息!H:I,2,FALSE)</f>
        <v>#N/A</v>
      </c>
      <c r="L677" s="79"/>
      <c r="M677" s="96">
        <v>45712</v>
      </c>
      <c r="N677" s="58"/>
      <c r="O677" s="27">
        <f ca="1" t="shared" si="16"/>
        <v>0</v>
      </c>
      <c r="P677" s="63">
        <f ca="1" t="shared" si="17"/>
        <v>247</v>
      </c>
      <c r="Q677" s="27" t="e">
        <f>VLOOKUP(B677,辅助信息!E:M,9,FALSE)</f>
        <v>#N/A</v>
      </c>
      <c r="R677" s="27"/>
    </row>
    <row r="678" hidden="1" spans="2:18">
      <c r="B678" s="41" t="s">
        <v>25</v>
      </c>
      <c r="C678" s="71">
        <v>45711</v>
      </c>
      <c r="D678" s="41" t="e">
        <f>VLOOKUP(B678,辅助信息!E:K,7,FALSE)</f>
        <v>#N/A</v>
      </c>
      <c r="E678" s="41" t="str">
        <f>VLOOKUP(F678,辅助信息!A:B,2,FALSE)</f>
        <v>螺纹钢</v>
      </c>
      <c r="F678" s="41" t="s">
        <v>30</v>
      </c>
      <c r="G678" s="37">
        <v>4</v>
      </c>
      <c r="H678" s="41" t="e">
        <f>_xlfn._xlws.FILTER('[1]2025年已发货'!$E:$E,'[1]2025年已发货'!$F:$F&amp;'[1]2025年已发货'!$C:$C&amp;'[1]2025年已发货'!$G:$G&amp;'[1]2025年已发货'!$H:$H=C678&amp;F678&amp;I678&amp;J678,"未发货")</f>
        <v>#N/A</v>
      </c>
      <c r="I678" s="41" t="e">
        <f>VLOOKUP(B678,辅助信息!E:I,3,FALSE)</f>
        <v>#N/A</v>
      </c>
      <c r="J678" s="41" t="e">
        <f>VLOOKUP(B678,辅助信息!E:I,4,FALSE)</f>
        <v>#N/A</v>
      </c>
      <c r="K678" s="41" t="e">
        <f>VLOOKUP(J678,辅助信息!H:I,2,FALSE)</f>
        <v>#N/A</v>
      </c>
      <c r="L678" s="79"/>
      <c r="M678" s="96">
        <v>45712</v>
      </c>
      <c r="N678" s="58"/>
      <c r="O678" s="27">
        <f ca="1" t="shared" si="16"/>
        <v>0</v>
      </c>
      <c r="P678" s="63">
        <f ca="1" t="shared" si="17"/>
        <v>247</v>
      </c>
      <c r="Q678" s="27" t="e">
        <f>VLOOKUP(B678,辅助信息!E:M,9,FALSE)</f>
        <v>#N/A</v>
      </c>
      <c r="R678" s="27"/>
    </row>
    <row r="679" hidden="1" spans="2:18">
      <c r="B679" s="41" t="s">
        <v>25</v>
      </c>
      <c r="C679" s="71">
        <v>45711</v>
      </c>
      <c r="D679" s="41" t="e">
        <f>VLOOKUP(B679,辅助信息!E:K,7,FALSE)</f>
        <v>#N/A</v>
      </c>
      <c r="E679" s="41" t="str">
        <f>VLOOKUP(F679,辅助信息!A:B,2,FALSE)</f>
        <v>螺纹钢</v>
      </c>
      <c r="F679" s="41" t="s">
        <v>65</v>
      </c>
      <c r="G679" s="37">
        <v>16</v>
      </c>
      <c r="H679" s="41" t="e">
        <f>_xlfn._xlws.FILTER('[1]2025年已发货'!$E:$E,'[1]2025年已发货'!$F:$F&amp;'[1]2025年已发货'!$C:$C&amp;'[1]2025年已发货'!$G:$G&amp;'[1]2025年已发货'!$H:$H=C679&amp;F679&amp;I679&amp;J679,"未发货")</f>
        <v>#N/A</v>
      </c>
      <c r="I679" s="41" t="e">
        <f>VLOOKUP(B679,辅助信息!E:I,3,FALSE)</f>
        <v>#N/A</v>
      </c>
      <c r="J679" s="41" t="e">
        <f>VLOOKUP(B679,辅助信息!E:I,4,FALSE)</f>
        <v>#N/A</v>
      </c>
      <c r="K679" s="41" t="e">
        <f>VLOOKUP(J679,辅助信息!H:I,2,FALSE)</f>
        <v>#N/A</v>
      </c>
      <c r="L679" s="79"/>
      <c r="M679" s="96">
        <v>45712</v>
      </c>
      <c r="N679" s="58"/>
      <c r="O679" s="27">
        <f ca="1" t="shared" si="16"/>
        <v>0</v>
      </c>
      <c r="P679" s="63">
        <f ca="1" t="shared" si="17"/>
        <v>247</v>
      </c>
      <c r="Q679" s="27" t="e">
        <f>VLOOKUP(B679,辅助信息!E:M,9,FALSE)</f>
        <v>#N/A</v>
      </c>
      <c r="R679" s="27"/>
    </row>
    <row r="680" hidden="1" spans="2:18">
      <c r="B680" s="41" t="s">
        <v>25</v>
      </c>
      <c r="C680" s="71">
        <v>45711</v>
      </c>
      <c r="D680" s="41" t="e">
        <f>VLOOKUP(B680,辅助信息!E:K,7,FALSE)</f>
        <v>#N/A</v>
      </c>
      <c r="E680" s="41" t="str">
        <f>VLOOKUP(F680,辅助信息!A:B,2,FALSE)</f>
        <v>螺纹钢</v>
      </c>
      <c r="F680" s="41" t="s">
        <v>52</v>
      </c>
      <c r="G680" s="37">
        <v>6</v>
      </c>
      <c r="H680" s="41" t="e">
        <f>_xlfn._xlws.FILTER('[1]2025年已发货'!$E:$E,'[1]2025年已发货'!$F:$F&amp;'[1]2025年已发货'!$C:$C&amp;'[1]2025年已发货'!$G:$G&amp;'[1]2025年已发货'!$H:$H=C680&amp;F680&amp;I680&amp;J680,"未发货")</f>
        <v>#N/A</v>
      </c>
      <c r="I680" s="41" t="e">
        <f>VLOOKUP(B680,辅助信息!E:I,3,FALSE)</f>
        <v>#N/A</v>
      </c>
      <c r="J680" s="41" t="e">
        <f>VLOOKUP(B680,辅助信息!E:I,4,FALSE)</f>
        <v>#N/A</v>
      </c>
      <c r="K680" s="41" t="e">
        <f>VLOOKUP(J680,辅助信息!H:I,2,FALSE)</f>
        <v>#N/A</v>
      </c>
      <c r="L680" s="77"/>
      <c r="M680" s="96">
        <v>45712</v>
      </c>
      <c r="N680" s="58"/>
      <c r="O680" s="27">
        <f ca="1" t="shared" si="16"/>
        <v>0</v>
      </c>
      <c r="P680" s="63">
        <f ca="1" t="shared" si="17"/>
        <v>247</v>
      </c>
      <c r="Q680" s="27" t="e">
        <f>VLOOKUP(B680,辅助信息!E:M,9,FALSE)</f>
        <v>#N/A</v>
      </c>
      <c r="R680" s="27"/>
    </row>
    <row r="681" hidden="1" spans="2:18">
      <c r="B681" s="41" t="s">
        <v>74</v>
      </c>
      <c r="C681" s="71">
        <v>45711</v>
      </c>
      <c r="D681" s="41" t="e">
        <f>VLOOKUP(B681,辅助信息!E:K,7,FALSE)</f>
        <v>#N/A</v>
      </c>
      <c r="E681" s="41" t="str">
        <f>VLOOKUP(F681,辅助信息!A:B,2,FALSE)</f>
        <v>螺纹钢</v>
      </c>
      <c r="F681" s="41" t="s">
        <v>19</v>
      </c>
      <c r="G681" s="37">
        <v>15</v>
      </c>
      <c r="H681" s="41" t="e">
        <f>_xlfn._xlws.FILTER('[1]2025年已发货'!$E:$E,'[1]2025年已发货'!$F:$F&amp;'[1]2025年已发货'!$C:$C&amp;'[1]2025年已发货'!$G:$G&amp;'[1]2025年已发货'!$H:$H=C681&amp;F681&amp;I681&amp;J681,"未发货")</f>
        <v>#N/A</v>
      </c>
      <c r="I681" s="41" t="e">
        <f>VLOOKUP(B681,辅助信息!E:I,3,FALSE)</f>
        <v>#N/A</v>
      </c>
      <c r="J681" s="41" t="e">
        <f>VLOOKUP(B681,辅助信息!E:I,4,FALSE)</f>
        <v>#N/A</v>
      </c>
      <c r="K681" s="41" t="e">
        <f>VLOOKUP(J681,辅助信息!H:I,2,FALSE)</f>
        <v>#N/A</v>
      </c>
      <c r="L681" s="44" t="e">
        <f>VLOOKUP(B681,辅助信息!E:J,6,FALSE)</f>
        <v>#N/A</v>
      </c>
      <c r="M681" s="96">
        <v>45718</v>
      </c>
      <c r="N681" s="58"/>
      <c r="O681" s="27">
        <f ca="1" t="shared" si="16"/>
        <v>0</v>
      </c>
      <c r="P681" s="63">
        <f ca="1" t="shared" si="17"/>
        <v>241</v>
      </c>
      <c r="Q681" s="27" t="e">
        <f>VLOOKUP(B681,辅助信息!E:M,9,FALSE)</f>
        <v>#N/A</v>
      </c>
      <c r="R681" s="27"/>
    </row>
    <row r="682" hidden="1" spans="2:18">
      <c r="B682" s="41" t="s">
        <v>74</v>
      </c>
      <c r="C682" s="71">
        <v>45711</v>
      </c>
      <c r="D682" s="41" t="e">
        <f>VLOOKUP(B682,辅助信息!E:K,7,FALSE)</f>
        <v>#N/A</v>
      </c>
      <c r="E682" s="41" t="str">
        <f>VLOOKUP(F682,辅助信息!A:B,2,FALSE)</f>
        <v>螺纹钢</v>
      </c>
      <c r="F682" s="41" t="s">
        <v>33</v>
      </c>
      <c r="G682" s="37">
        <v>15</v>
      </c>
      <c r="H682" s="41" t="e">
        <f>_xlfn._xlws.FILTER('[1]2025年已发货'!$E:$E,'[1]2025年已发货'!$F:$F&amp;'[1]2025年已发货'!$C:$C&amp;'[1]2025年已发货'!$G:$G&amp;'[1]2025年已发货'!$H:$H=C682&amp;F682&amp;I682&amp;J682,"未发货")</f>
        <v>#N/A</v>
      </c>
      <c r="I682" s="41" t="e">
        <f>VLOOKUP(B682,辅助信息!E:I,3,FALSE)</f>
        <v>#N/A</v>
      </c>
      <c r="J682" s="41" t="e">
        <f>VLOOKUP(B682,辅助信息!E:I,4,FALSE)</f>
        <v>#N/A</v>
      </c>
      <c r="K682" s="41" t="e">
        <f>VLOOKUP(J682,辅助信息!H:I,2,FALSE)</f>
        <v>#N/A</v>
      </c>
      <c r="L682" s="79"/>
      <c r="M682" s="96">
        <v>45718</v>
      </c>
      <c r="N682" s="58"/>
      <c r="O682" s="27">
        <f ca="1" t="shared" si="16"/>
        <v>0</v>
      </c>
      <c r="P682" s="63">
        <f ca="1" t="shared" si="17"/>
        <v>241</v>
      </c>
      <c r="Q682" s="27" t="e">
        <f>VLOOKUP(B682,辅助信息!E:M,9,FALSE)</f>
        <v>#N/A</v>
      </c>
      <c r="R682" s="27"/>
    </row>
    <row r="683" hidden="1" spans="2:18">
      <c r="B683" s="41" t="s">
        <v>74</v>
      </c>
      <c r="C683" s="71">
        <v>45711</v>
      </c>
      <c r="D683" s="41" t="e">
        <f>VLOOKUP(B683,辅助信息!E:K,7,FALSE)</f>
        <v>#N/A</v>
      </c>
      <c r="E683" s="41" t="str">
        <f>VLOOKUP(F683,辅助信息!A:B,2,FALSE)</f>
        <v>螺纹钢</v>
      </c>
      <c r="F683" s="41" t="s">
        <v>28</v>
      </c>
      <c r="G683" s="37">
        <v>15</v>
      </c>
      <c r="H683" s="41" t="e">
        <f>_xlfn._xlws.FILTER('[1]2025年已发货'!$E:$E,'[1]2025年已发货'!$F:$F&amp;'[1]2025年已发货'!$C:$C&amp;'[1]2025年已发货'!$G:$G&amp;'[1]2025年已发货'!$H:$H=C683&amp;F683&amp;I683&amp;J683,"未发货")</f>
        <v>#N/A</v>
      </c>
      <c r="I683" s="41" t="e">
        <f>VLOOKUP(B683,辅助信息!E:I,3,FALSE)</f>
        <v>#N/A</v>
      </c>
      <c r="J683" s="41" t="e">
        <f>VLOOKUP(B683,辅助信息!E:I,4,FALSE)</f>
        <v>#N/A</v>
      </c>
      <c r="K683" s="41" t="e">
        <f>VLOOKUP(J683,辅助信息!H:I,2,FALSE)</f>
        <v>#N/A</v>
      </c>
      <c r="L683" s="79"/>
      <c r="M683" s="96">
        <v>45718</v>
      </c>
      <c r="N683" s="58"/>
      <c r="O683" s="27">
        <f ca="1" t="shared" si="16"/>
        <v>0</v>
      </c>
      <c r="P683" s="63">
        <f ca="1" t="shared" si="17"/>
        <v>241</v>
      </c>
      <c r="Q683" s="27" t="e">
        <f>VLOOKUP(B683,辅助信息!E:M,9,FALSE)</f>
        <v>#N/A</v>
      </c>
      <c r="R683" s="27"/>
    </row>
    <row r="684" hidden="1" spans="2:18">
      <c r="B684" s="41" t="s">
        <v>74</v>
      </c>
      <c r="C684" s="71">
        <v>45711</v>
      </c>
      <c r="D684" s="41" t="e">
        <f>VLOOKUP(B684,辅助信息!E:K,7,FALSE)</f>
        <v>#N/A</v>
      </c>
      <c r="E684" s="41" t="str">
        <f>VLOOKUP(F684,辅助信息!A:B,2,FALSE)</f>
        <v>螺纹钢</v>
      </c>
      <c r="F684" s="41" t="s">
        <v>18</v>
      </c>
      <c r="G684" s="37">
        <v>6</v>
      </c>
      <c r="H684" s="41" t="e">
        <f>_xlfn._xlws.FILTER('[1]2025年已发货'!$E:$E,'[1]2025年已发货'!$F:$F&amp;'[1]2025年已发货'!$C:$C&amp;'[1]2025年已发货'!$G:$G&amp;'[1]2025年已发货'!$H:$H=C684&amp;F684&amp;I684&amp;J684,"未发货")</f>
        <v>#N/A</v>
      </c>
      <c r="I684" s="41" t="e">
        <f>VLOOKUP(B684,辅助信息!E:I,3,FALSE)</f>
        <v>#N/A</v>
      </c>
      <c r="J684" s="41" t="e">
        <f>VLOOKUP(B684,辅助信息!E:I,4,FALSE)</f>
        <v>#N/A</v>
      </c>
      <c r="K684" s="41" t="e">
        <f>VLOOKUP(J684,辅助信息!H:I,2,FALSE)</f>
        <v>#N/A</v>
      </c>
      <c r="L684" s="79"/>
      <c r="M684" s="96">
        <v>45718</v>
      </c>
      <c r="N684" s="58"/>
      <c r="O684" s="27">
        <f ca="1" t="shared" si="16"/>
        <v>0</v>
      </c>
      <c r="P684" s="63">
        <f ca="1" t="shared" si="17"/>
        <v>241</v>
      </c>
      <c r="Q684" s="27" t="e">
        <f>VLOOKUP(B684,辅助信息!E:M,9,FALSE)</f>
        <v>#N/A</v>
      </c>
      <c r="R684" s="27"/>
    </row>
    <row r="685" hidden="1" spans="2:18">
      <c r="B685" s="41" t="s">
        <v>74</v>
      </c>
      <c r="C685" s="71">
        <v>45711</v>
      </c>
      <c r="D685" s="41" t="e">
        <f>VLOOKUP(B685,辅助信息!E:K,7,FALSE)</f>
        <v>#N/A</v>
      </c>
      <c r="E685" s="41" t="str">
        <f>VLOOKUP(F685,辅助信息!A:B,2,FALSE)</f>
        <v>螺纹钢</v>
      </c>
      <c r="F685" s="41" t="s">
        <v>65</v>
      </c>
      <c r="G685" s="37">
        <v>30</v>
      </c>
      <c r="H685" s="41" t="e">
        <f>_xlfn._xlws.FILTER('[1]2025年已发货'!$E:$E,'[1]2025年已发货'!$F:$F&amp;'[1]2025年已发货'!$C:$C&amp;'[1]2025年已发货'!$G:$G&amp;'[1]2025年已发货'!$H:$H=C685&amp;F685&amp;I685&amp;J685,"未发货")</f>
        <v>#N/A</v>
      </c>
      <c r="I685" s="41" t="e">
        <f>VLOOKUP(B685,辅助信息!E:I,3,FALSE)</f>
        <v>#N/A</v>
      </c>
      <c r="J685" s="41" t="e">
        <f>VLOOKUP(B685,辅助信息!E:I,4,FALSE)</f>
        <v>#N/A</v>
      </c>
      <c r="K685" s="41" t="e">
        <f>VLOOKUP(J685,辅助信息!H:I,2,FALSE)</f>
        <v>#N/A</v>
      </c>
      <c r="L685" s="77"/>
      <c r="M685" s="96">
        <v>45718</v>
      </c>
      <c r="N685" s="58"/>
      <c r="O685" s="27">
        <f ca="1" t="shared" si="16"/>
        <v>0</v>
      </c>
      <c r="P685" s="63">
        <f ca="1" t="shared" si="17"/>
        <v>241</v>
      </c>
      <c r="Q685" s="27" t="e">
        <f>VLOOKUP(B685,辅助信息!E:M,9,FALSE)</f>
        <v>#N/A</v>
      </c>
      <c r="R685" s="27"/>
    </row>
    <row r="686" hidden="1" spans="2:18">
      <c r="B686" s="41" t="s">
        <v>63</v>
      </c>
      <c r="C686" s="71">
        <v>45711</v>
      </c>
      <c r="D686" s="41" t="e">
        <f>VLOOKUP(B686,辅助信息!E:K,7,FALSE)</f>
        <v>#N/A</v>
      </c>
      <c r="E686" s="41" t="str">
        <f>VLOOKUP(F686,辅助信息!A:B,2,FALSE)</f>
        <v>高线</v>
      </c>
      <c r="F686" s="41" t="s">
        <v>51</v>
      </c>
      <c r="G686" s="37">
        <v>7</v>
      </c>
      <c r="H686" s="41" t="e">
        <f>_xlfn._xlws.FILTER('[1]2025年已发货'!$E:$E,'[1]2025年已发货'!$F:$F&amp;'[1]2025年已发货'!$C:$C&amp;'[1]2025年已发货'!$G:$G&amp;'[1]2025年已发货'!$H:$H=C686&amp;F686&amp;I686&amp;J686,"未发货")</f>
        <v>#N/A</v>
      </c>
      <c r="I686" s="41" t="e">
        <f>VLOOKUP(B686,辅助信息!E:I,3,FALSE)</f>
        <v>#N/A</v>
      </c>
      <c r="J686" s="41" t="e">
        <f>VLOOKUP(B686,辅助信息!E:I,4,FALSE)</f>
        <v>#N/A</v>
      </c>
      <c r="K686" s="41" t="e">
        <f>VLOOKUP(J686,辅助信息!H:I,2,FALSE)</f>
        <v>#N/A</v>
      </c>
      <c r="L686" s="44" t="e">
        <f>VLOOKUP(B686,辅助信息!E:J,6,FALSE)</f>
        <v>#N/A</v>
      </c>
      <c r="M686" s="96">
        <v>45714</v>
      </c>
      <c r="N686" s="58"/>
      <c r="O686" s="27">
        <f ca="1" t="shared" si="16"/>
        <v>0</v>
      </c>
      <c r="P686" s="63">
        <f ca="1" t="shared" si="17"/>
        <v>245</v>
      </c>
      <c r="Q686" s="27" t="e">
        <f>VLOOKUP(B686,辅助信息!E:M,9,FALSE)</f>
        <v>#N/A</v>
      </c>
      <c r="R686" s="27"/>
    </row>
    <row r="687" hidden="1" spans="2:18">
      <c r="B687" s="41" t="s">
        <v>63</v>
      </c>
      <c r="C687" s="71">
        <v>45711</v>
      </c>
      <c r="D687" s="41" t="e">
        <f>VLOOKUP(B687,辅助信息!E:K,7,FALSE)</f>
        <v>#N/A</v>
      </c>
      <c r="E687" s="41" t="str">
        <f>VLOOKUP(F687,辅助信息!A:B,2,FALSE)</f>
        <v>螺纹钢</v>
      </c>
      <c r="F687" s="41" t="s">
        <v>52</v>
      </c>
      <c r="G687" s="37">
        <v>30</v>
      </c>
      <c r="H687" s="41" t="e">
        <f>_xlfn._xlws.FILTER('[1]2025年已发货'!$E:$E,'[1]2025年已发货'!$F:$F&amp;'[1]2025年已发货'!$C:$C&amp;'[1]2025年已发货'!$G:$G&amp;'[1]2025年已发货'!$H:$H=C687&amp;F687&amp;I687&amp;J687,"未发货")</f>
        <v>#N/A</v>
      </c>
      <c r="I687" s="41" t="e">
        <f>VLOOKUP(B687,辅助信息!E:I,3,FALSE)</f>
        <v>#N/A</v>
      </c>
      <c r="J687" s="41" t="e">
        <f>VLOOKUP(B687,辅助信息!E:I,4,FALSE)</f>
        <v>#N/A</v>
      </c>
      <c r="K687" s="41" t="e">
        <f>VLOOKUP(J687,辅助信息!H:I,2,FALSE)</f>
        <v>#N/A</v>
      </c>
      <c r="L687" s="77"/>
      <c r="M687" s="96">
        <v>45714</v>
      </c>
      <c r="N687" s="58"/>
      <c r="O687" s="27">
        <f ca="1" t="shared" si="16"/>
        <v>0</v>
      </c>
      <c r="P687" s="63">
        <f ca="1" t="shared" si="17"/>
        <v>245</v>
      </c>
      <c r="Q687" s="27" t="e">
        <f>VLOOKUP(B687,辅助信息!E:M,9,FALSE)</f>
        <v>#N/A</v>
      </c>
      <c r="R687" s="27"/>
    </row>
    <row r="688" hidden="1" spans="2:18">
      <c r="B688" s="41" t="s">
        <v>75</v>
      </c>
      <c r="C688" s="71">
        <v>45711</v>
      </c>
      <c r="D688" s="41" t="e">
        <f>VLOOKUP(B688,辅助信息!E:K,7,FALSE)</f>
        <v>#N/A</v>
      </c>
      <c r="E688" s="41" t="str">
        <f>VLOOKUP(F688,辅助信息!A:B,2,FALSE)</f>
        <v>螺纹钢</v>
      </c>
      <c r="F688" s="41" t="s">
        <v>28</v>
      </c>
      <c r="G688" s="37">
        <v>15</v>
      </c>
      <c r="H688" s="41" t="e">
        <f>_xlfn._xlws.FILTER('[1]2025年已发货'!$E:$E,'[1]2025年已发货'!$F:$F&amp;'[1]2025年已发货'!$C:$C&amp;'[1]2025年已发货'!$G:$G&amp;'[1]2025年已发货'!$H:$H=C688&amp;F688&amp;I688&amp;J688,"未发货")</f>
        <v>#N/A</v>
      </c>
      <c r="I688" s="41" t="e">
        <f>VLOOKUP(B688,辅助信息!E:I,3,FALSE)</f>
        <v>#N/A</v>
      </c>
      <c r="J688" s="41" t="e">
        <f>VLOOKUP(B688,辅助信息!E:I,4,FALSE)</f>
        <v>#N/A</v>
      </c>
      <c r="K688" s="41" t="e">
        <f>VLOOKUP(J688,辅助信息!H:I,2,FALSE)</f>
        <v>#N/A</v>
      </c>
      <c r="L688" s="44" t="e">
        <f>VLOOKUP(B688,辅助信息!E:J,6,FALSE)</f>
        <v>#N/A</v>
      </c>
      <c r="M688" s="96">
        <v>45716</v>
      </c>
      <c r="N688" s="58"/>
      <c r="O688" s="27">
        <f ca="1" t="shared" si="16"/>
        <v>0</v>
      </c>
      <c r="P688" s="63">
        <f ca="1" t="shared" si="17"/>
        <v>243</v>
      </c>
      <c r="Q688" s="27" t="e">
        <f>VLOOKUP(B688,辅助信息!E:M,9,FALSE)</f>
        <v>#N/A</v>
      </c>
      <c r="R688" s="27"/>
    </row>
    <row r="689" hidden="1" spans="2:18">
      <c r="B689" s="41" t="s">
        <v>75</v>
      </c>
      <c r="C689" s="71">
        <v>45711</v>
      </c>
      <c r="D689" s="41" t="e">
        <f>VLOOKUP(B689,辅助信息!E:K,7,FALSE)</f>
        <v>#N/A</v>
      </c>
      <c r="E689" s="41" t="str">
        <f>VLOOKUP(F689,辅助信息!A:B,2,FALSE)</f>
        <v>螺纹钢</v>
      </c>
      <c r="F689" s="41" t="s">
        <v>18</v>
      </c>
      <c r="G689" s="37">
        <v>15</v>
      </c>
      <c r="H689" s="41" t="e">
        <f>_xlfn._xlws.FILTER('[1]2025年已发货'!$E:$E,'[1]2025年已发货'!$F:$F&amp;'[1]2025年已发货'!$C:$C&amp;'[1]2025年已发货'!$G:$G&amp;'[1]2025年已发货'!$H:$H=C689&amp;F689&amp;I689&amp;J689,"未发货")</f>
        <v>#N/A</v>
      </c>
      <c r="I689" s="41" t="e">
        <f>VLOOKUP(B689,辅助信息!E:I,3,FALSE)</f>
        <v>#N/A</v>
      </c>
      <c r="J689" s="41" t="e">
        <f>VLOOKUP(B689,辅助信息!E:I,4,FALSE)</f>
        <v>#N/A</v>
      </c>
      <c r="K689" s="41" t="e">
        <f>VLOOKUP(J689,辅助信息!H:I,2,FALSE)</f>
        <v>#N/A</v>
      </c>
      <c r="L689" s="79"/>
      <c r="M689" s="96">
        <v>45716</v>
      </c>
      <c r="N689" s="58"/>
      <c r="O689" s="27">
        <f ca="1" t="shared" si="16"/>
        <v>0</v>
      </c>
      <c r="P689" s="63">
        <f ca="1" t="shared" si="17"/>
        <v>243</v>
      </c>
      <c r="Q689" s="27" t="e">
        <f>VLOOKUP(B689,辅助信息!E:M,9,FALSE)</f>
        <v>#N/A</v>
      </c>
      <c r="R689" s="27"/>
    </row>
    <row r="690" hidden="1" spans="2:18">
      <c r="B690" s="41" t="s">
        <v>75</v>
      </c>
      <c r="C690" s="71">
        <v>45711</v>
      </c>
      <c r="D690" s="41" t="e">
        <f>VLOOKUP(B690,辅助信息!E:K,7,FALSE)</f>
        <v>#N/A</v>
      </c>
      <c r="E690" s="41" t="str">
        <f>VLOOKUP(F690,辅助信息!A:B,2,FALSE)</f>
        <v>螺纹钢</v>
      </c>
      <c r="F690" s="41" t="s">
        <v>65</v>
      </c>
      <c r="G690" s="37">
        <v>45</v>
      </c>
      <c r="H690" s="41" t="e">
        <f>_xlfn._xlws.FILTER('[1]2025年已发货'!$E:$E,'[1]2025年已发货'!$F:$F&amp;'[1]2025年已发货'!$C:$C&amp;'[1]2025年已发货'!$G:$G&amp;'[1]2025年已发货'!$H:$H=C690&amp;F690&amp;I690&amp;J690,"未发货")</f>
        <v>#N/A</v>
      </c>
      <c r="I690" s="41" t="e">
        <f>VLOOKUP(B690,辅助信息!E:I,3,FALSE)</f>
        <v>#N/A</v>
      </c>
      <c r="J690" s="41" t="e">
        <f>VLOOKUP(B690,辅助信息!E:I,4,FALSE)</f>
        <v>#N/A</v>
      </c>
      <c r="K690" s="41" t="e">
        <f>VLOOKUP(J690,辅助信息!H:I,2,FALSE)</f>
        <v>#N/A</v>
      </c>
      <c r="L690" s="79"/>
      <c r="M690" s="96">
        <v>45716</v>
      </c>
      <c r="N690" s="58"/>
      <c r="O690" s="27">
        <f ca="1" t="shared" ref="O690:O712" si="18">IF(OR(M690="",N690&lt;&gt;""),"",MAX(M690-TODAY(),0))</f>
        <v>0</v>
      </c>
      <c r="P690" s="63">
        <f ca="1" t="shared" ref="P690:P712" si="19">IF(M690="","",IF(N690&lt;&gt;"",MAX(N690-M690,0),IF(TODAY()&gt;M690,TODAY()-M690,0)))</f>
        <v>243</v>
      </c>
      <c r="Q690" s="27" t="e">
        <f>VLOOKUP(B690,辅助信息!E:M,9,FALSE)</f>
        <v>#N/A</v>
      </c>
      <c r="R690" s="27"/>
    </row>
    <row r="691" hidden="1" spans="2:18">
      <c r="B691" s="41" t="s">
        <v>75</v>
      </c>
      <c r="C691" s="71">
        <v>45711</v>
      </c>
      <c r="D691" s="41" t="e">
        <f>VLOOKUP(B691,辅助信息!E:K,7,FALSE)</f>
        <v>#N/A</v>
      </c>
      <c r="E691" s="41" t="str">
        <f>VLOOKUP(F691,辅助信息!A:B,2,FALSE)</f>
        <v>螺纹钢</v>
      </c>
      <c r="F691" s="41" t="s">
        <v>52</v>
      </c>
      <c r="G691" s="37">
        <v>30</v>
      </c>
      <c r="H691" s="41" t="e">
        <f>_xlfn._xlws.FILTER('[1]2025年已发货'!$E:$E,'[1]2025年已发货'!$F:$F&amp;'[1]2025年已发货'!$C:$C&amp;'[1]2025年已发货'!$G:$G&amp;'[1]2025年已发货'!$H:$H=C691&amp;F691&amp;I691&amp;J691,"未发货")</f>
        <v>#N/A</v>
      </c>
      <c r="I691" s="41" t="e">
        <f>VLOOKUP(B691,辅助信息!E:I,3,FALSE)</f>
        <v>#N/A</v>
      </c>
      <c r="J691" s="41" t="e">
        <f>VLOOKUP(B691,辅助信息!E:I,4,FALSE)</f>
        <v>#N/A</v>
      </c>
      <c r="K691" s="41" t="e">
        <f>VLOOKUP(J691,辅助信息!H:I,2,FALSE)</f>
        <v>#N/A</v>
      </c>
      <c r="L691" s="79"/>
      <c r="M691" s="96">
        <v>45716</v>
      </c>
      <c r="N691" s="58"/>
      <c r="O691" s="27">
        <f ca="1" t="shared" si="18"/>
        <v>0</v>
      </c>
      <c r="P691" s="63">
        <f ca="1" t="shared" si="19"/>
        <v>243</v>
      </c>
      <c r="Q691" s="27" t="e">
        <f>VLOOKUP(B691,辅助信息!E:M,9,FALSE)</f>
        <v>#N/A</v>
      </c>
      <c r="R691" s="27"/>
    </row>
    <row r="692" hidden="1" spans="2:18">
      <c r="B692" s="41" t="s">
        <v>75</v>
      </c>
      <c r="C692" s="71">
        <v>45711</v>
      </c>
      <c r="D692" s="41" t="e">
        <f>VLOOKUP(B692,辅助信息!E:K,7,FALSE)</f>
        <v>#N/A</v>
      </c>
      <c r="E692" s="41" t="str">
        <f>VLOOKUP(F692,辅助信息!A:B,2,FALSE)</f>
        <v>螺纹钢</v>
      </c>
      <c r="F692" s="41" t="s">
        <v>86</v>
      </c>
      <c r="G692" s="37">
        <v>30</v>
      </c>
      <c r="H692" s="41" t="e">
        <f>_xlfn._xlws.FILTER('[1]2025年已发货'!$E:$E,'[1]2025年已发货'!$F:$F&amp;'[1]2025年已发货'!$C:$C&amp;'[1]2025年已发货'!$G:$G&amp;'[1]2025年已发货'!$H:$H=C692&amp;F692&amp;I692&amp;J692,"未发货")</f>
        <v>#N/A</v>
      </c>
      <c r="I692" s="41" t="e">
        <f>VLOOKUP(B692,辅助信息!E:I,3,FALSE)</f>
        <v>#N/A</v>
      </c>
      <c r="J692" s="41" t="e">
        <f>VLOOKUP(B692,辅助信息!E:I,4,FALSE)</f>
        <v>#N/A</v>
      </c>
      <c r="K692" s="41" t="e">
        <f>VLOOKUP(J692,辅助信息!H:I,2,FALSE)</f>
        <v>#N/A</v>
      </c>
      <c r="L692" s="77"/>
      <c r="M692" s="96">
        <v>45716</v>
      </c>
      <c r="N692" s="58"/>
      <c r="O692" s="27">
        <f ca="1" t="shared" si="18"/>
        <v>0</v>
      </c>
      <c r="P692" s="63">
        <f ca="1" t="shared" si="19"/>
        <v>243</v>
      </c>
      <c r="Q692" s="27" t="e">
        <f>VLOOKUP(B692,辅助信息!E:M,9,FALSE)</f>
        <v>#N/A</v>
      </c>
      <c r="R692" s="27"/>
    </row>
    <row r="693" hidden="1" spans="2:18">
      <c r="B693" s="41" t="s">
        <v>25</v>
      </c>
      <c r="C693" s="71">
        <v>45713</v>
      </c>
      <c r="D693" s="41" t="e">
        <f>VLOOKUP(B693,辅助信息!E:K,7,FALSE)</f>
        <v>#N/A</v>
      </c>
      <c r="E693" s="41" t="str">
        <f>VLOOKUP(F693,辅助信息!A:B,2,FALSE)</f>
        <v>螺纹钢</v>
      </c>
      <c r="F693" s="41" t="s">
        <v>19</v>
      </c>
      <c r="G693" s="37">
        <v>8</v>
      </c>
      <c r="H693" s="37" t="e">
        <f>_xlfn._xlws.FILTER('[1]2025年已发货'!$E:$E,'[1]2025年已发货'!$F:$F&amp;'[1]2025年已发货'!$C:$C&amp;'[1]2025年已发货'!$G:$G&amp;'[1]2025年已发货'!$H:$H=C693&amp;F693&amp;I693&amp;J693,"未发货")</f>
        <v>#N/A</v>
      </c>
      <c r="I693" s="41" t="e">
        <f>VLOOKUP(B693,辅助信息!E:I,3,FALSE)</f>
        <v>#N/A</v>
      </c>
      <c r="J693" s="41" t="e">
        <f>VLOOKUP(B693,辅助信息!E:I,4,FALSE)</f>
        <v>#N/A</v>
      </c>
      <c r="K693" s="41" t="e">
        <f>VLOOKUP(J693,辅助信息!H:I,2,FALSE)</f>
        <v>#N/A</v>
      </c>
      <c r="L693" s="58" t="e">
        <f>VLOOKUP(B694,辅助信息!E:J,6,FALSE)</f>
        <v>#N/A</v>
      </c>
      <c r="M693" s="92">
        <v>45712</v>
      </c>
      <c r="O693" s="63">
        <f ca="1" t="shared" si="18"/>
        <v>0</v>
      </c>
      <c r="P693" s="63">
        <f ca="1" t="shared" si="19"/>
        <v>247</v>
      </c>
      <c r="Q693" s="27"/>
      <c r="R693" s="27"/>
    </row>
    <row r="694" hidden="1" spans="2:18">
      <c r="B694" s="41" t="s">
        <v>25</v>
      </c>
      <c r="C694" s="71">
        <v>45713</v>
      </c>
      <c r="D694" s="41" t="e">
        <f>VLOOKUP(B694,辅助信息!E:K,7,FALSE)</f>
        <v>#N/A</v>
      </c>
      <c r="E694" s="41" t="str">
        <f>VLOOKUP(F694,辅助信息!A:B,2,FALSE)</f>
        <v>螺纹钢</v>
      </c>
      <c r="F694" s="41" t="s">
        <v>32</v>
      </c>
      <c r="G694" s="37">
        <v>8</v>
      </c>
      <c r="H694" s="37" t="e">
        <f>_xlfn._xlws.FILTER('[1]2025年已发货'!$E:$E,'[1]2025年已发货'!$F:$F&amp;'[1]2025年已发货'!$C:$C&amp;'[1]2025年已发货'!$G:$G&amp;'[1]2025年已发货'!$H:$H=C694&amp;F694&amp;I694&amp;J694,"未发货")</f>
        <v>#N/A</v>
      </c>
      <c r="I694" s="41" t="e">
        <f>VLOOKUP(B694,辅助信息!E:I,3,FALSE)</f>
        <v>#N/A</v>
      </c>
      <c r="J694" s="41" t="e">
        <f>VLOOKUP(B694,辅助信息!E:I,4,FALSE)</f>
        <v>#N/A</v>
      </c>
      <c r="K694" s="41" t="e">
        <f>VLOOKUP(J694,辅助信息!H:I,2,FALSE)</f>
        <v>#N/A</v>
      </c>
      <c r="M694" s="92">
        <v>45712</v>
      </c>
      <c r="O694" s="63">
        <f ca="1" t="shared" si="18"/>
        <v>0</v>
      </c>
      <c r="P694" s="63">
        <f ca="1" t="shared" si="19"/>
        <v>247</v>
      </c>
      <c r="Q694" s="27" t="e">
        <f>VLOOKUP(B694,辅助信息!E:M,9,FALSE)</f>
        <v>#N/A</v>
      </c>
      <c r="R694" s="27"/>
    </row>
    <row r="695" hidden="1" spans="2:18">
      <c r="B695" s="41" t="s">
        <v>25</v>
      </c>
      <c r="C695" s="71">
        <v>45713</v>
      </c>
      <c r="D695" s="41" t="e">
        <f>VLOOKUP(B695,辅助信息!E:K,7,FALSE)</f>
        <v>#N/A</v>
      </c>
      <c r="E695" s="41" t="str">
        <f>VLOOKUP(F695,辅助信息!A:B,2,FALSE)</f>
        <v>螺纹钢</v>
      </c>
      <c r="F695" s="41" t="s">
        <v>65</v>
      </c>
      <c r="G695" s="37">
        <v>18</v>
      </c>
      <c r="H695" s="37" t="e">
        <f>_xlfn._xlws.FILTER('[1]2025年已发货'!$E:$E,'[1]2025年已发货'!$F:$F&amp;'[1]2025年已发货'!$C:$C&amp;'[1]2025年已发货'!$G:$G&amp;'[1]2025年已发货'!$H:$H=C695&amp;F695&amp;I695&amp;J695,"未发货")</f>
        <v>#N/A</v>
      </c>
      <c r="I695" s="41" t="e">
        <f>VLOOKUP(B695,辅助信息!E:I,3,FALSE)</f>
        <v>#N/A</v>
      </c>
      <c r="J695" s="41" t="e">
        <f>VLOOKUP(B695,辅助信息!E:I,4,FALSE)</f>
        <v>#N/A</v>
      </c>
      <c r="K695" s="41" t="e">
        <f>VLOOKUP(J695,辅助信息!H:I,2,FALSE)</f>
        <v>#N/A</v>
      </c>
      <c r="M695" s="92">
        <v>45712</v>
      </c>
      <c r="O695" s="63">
        <f ca="1" t="shared" si="18"/>
        <v>0</v>
      </c>
      <c r="P695" s="63">
        <f ca="1" t="shared" si="19"/>
        <v>247</v>
      </c>
      <c r="Q695" s="27" t="e">
        <f>VLOOKUP(B695,辅助信息!E:M,9,FALSE)</f>
        <v>#N/A</v>
      </c>
      <c r="R695" s="27"/>
    </row>
    <row r="696" hidden="1" spans="2:18">
      <c r="B696" s="41" t="s">
        <v>25</v>
      </c>
      <c r="C696" s="71">
        <v>45713</v>
      </c>
      <c r="D696" s="41" t="e">
        <f>VLOOKUP(B696,辅助信息!E:K,7,FALSE)</f>
        <v>#N/A</v>
      </c>
      <c r="E696" s="41" t="str">
        <f>VLOOKUP(F696,辅助信息!A:B,2,FALSE)</f>
        <v>螺纹钢</v>
      </c>
      <c r="F696" s="41" t="s">
        <v>52</v>
      </c>
      <c r="G696" s="37">
        <v>2</v>
      </c>
      <c r="H696" s="37" t="e">
        <f>_xlfn._xlws.FILTER('[1]2025年已发货'!$E:$E,'[1]2025年已发货'!$F:$F&amp;'[1]2025年已发货'!$C:$C&amp;'[1]2025年已发货'!$G:$G&amp;'[1]2025年已发货'!$H:$H=C696&amp;F696&amp;I696&amp;J696,"未发货")</f>
        <v>#N/A</v>
      </c>
      <c r="I696" s="41" t="e">
        <f>VLOOKUP(B696,辅助信息!E:I,3,FALSE)</f>
        <v>#N/A</v>
      </c>
      <c r="J696" s="41" t="e">
        <f>VLOOKUP(B696,辅助信息!E:I,4,FALSE)</f>
        <v>#N/A</v>
      </c>
      <c r="K696" s="41" t="e">
        <f>VLOOKUP(J696,辅助信息!H:I,2,FALSE)</f>
        <v>#N/A</v>
      </c>
      <c r="M696" s="92">
        <v>45712</v>
      </c>
      <c r="O696" s="63">
        <f ca="1" t="shared" si="18"/>
        <v>0</v>
      </c>
      <c r="P696" s="63">
        <f ca="1" t="shared" si="19"/>
        <v>247</v>
      </c>
      <c r="Q696" s="27" t="e">
        <f>VLOOKUP(B696,辅助信息!E:M,9,FALSE)</f>
        <v>#N/A</v>
      </c>
      <c r="R696" s="27"/>
    </row>
    <row r="697" hidden="1" spans="2:18">
      <c r="B697" s="41" t="s">
        <v>63</v>
      </c>
      <c r="C697" s="71">
        <v>45713</v>
      </c>
      <c r="D697" s="41" t="e">
        <f>VLOOKUP(B697,辅助信息!E:K,7,FALSE)</f>
        <v>#N/A</v>
      </c>
      <c r="E697" s="41" t="str">
        <f>VLOOKUP(F697,辅助信息!A:B,2,FALSE)</f>
        <v>高线</v>
      </c>
      <c r="F697" s="41" t="s">
        <v>51</v>
      </c>
      <c r="G697" s="37">
        <v>7</v>
      </c>
      <c r="H697" s="37" t="e">
        <f>_xlfn._xlws.FILTER('[1]2025年已发货'!$E:$E,'[1]2025年已发货'!$F:$F&amp;'[1]2025年已发货'!$C:$C&amp;'[1]2025年已发货'!$G:$G&amp;'[1]2025年已发货'!$H:$H=C697&amp;F697&amp;I697&amp;J697,"未发货")</f>
        <v>#N/A</v>
      </c>
      <c r="I697" s="41" t="e">
        <f>VLOOKUP(B697,辅助信息!E:I,3,FALSE)</f>
        <v>#N/A</v>
      </c>
      <c r="J697" s="41" t="e">
        <f>VLOOKUP(B697,辅助信息!E:I,4,FALSE)</f>
        <v>#N/A</v>
      </c>
      <c r="K697" s="41" t="e">
        <f>VLOOKUP(J697,辅助信息!H:I,2,FALSE)</f>
        <v>#N/A</v>
      </c>
      <c r="L697" s="58" t="e">
        <f>VLOOKUP(B697,辅助信息!E:J,6,FALSE)</f>
        <v>#N/A</v>
      </c>
      <c r="M697" s="92">
        <v>45714</v>
      </c>
      <c r="O697" s="63">
        <f ca="1" t="shared" si="18"/>
        <v>0</v>
      </c>
      <c r="P697" s="63">
        <f ca="1" t="shared" si="19"/>
        <v>245</v>
      </c>
      <c r="Q697" s="27" t="e">
        <f>VLOOKUP(B697,辅助信息!E:M,9,FALSE)</f>
        <v>#N/A</v>
      </c>
      <c r="R697" s="27"/>
    </row>
    <row r="698" hidden="1" spans="2:18">
      <c r="B698" s="41" t="s">
        <v>63</v>
      </c>
      <c r="C698" s="71">
        <v>45713</v>
      </c>
      <c r="D698" s="41" t="e">
        <f>VLOOKUP(B698,辅助信息!E:K,7,FALSE)</f>
        <v>#N/A</v>
      </c>
      <c r="E698" s="41" t="str">
        <f>VLOOKUP(F698,辅助信息!A:B,2,FALSE)</f>
        <v>螺纹钢</v>
      </c>
      <c r="F698" s="41" t="s">
        <v>52</v>
      </c>
      <c r="G698" s="37">
        <v>30</v>
      </c>
      <c r="H698" s="37" t="e">
        <f>_xlfn._xlws.FILTER('[1]2025年已发货'!$E:$E,'[1]2025年已发货'!$F:$F&amp;'[1]2025年已发货'!$C:$C&amp;'[1]2025年已发货'!$G:$G&amp;'[1]2025年已发货'!$H:$H=C698&amp;F698&amp;I698&amp;J698,"未发货")</f>
        <v>#N/A</v>
      </c>
      <c r="I698" s="41" t="e">
        <f>VLOOKUP(B698,辅助信息!E:I,3,FALSE)</f>
        <v>#N/A</v>
      </c>
      <c r="J698" s="41" t="e">
        <f>VLOOKUP(B698,辅助信息!E:I,4,FALSE)</f>
        <v>#N/A</v>
      </c>
      <c r="K698" s="41" t="e">
        <f>VLOOKUP(J698,辅助信息!H:I,2,FALSE)</f>
        <v>#N/A</v>
      </c>
      <c r="M698" s="92">
        <v>45714</v>
      </c>
      <c r="O698" s="63">
        <f ca="1" t="shared" si="18"/>
        <v>0</v>
      </c>
      <c r="P698" s="63">
        <f ca="1" t="shared" si="19"/>
        <v>245</v>
      </c>
      <c r="Q698" s="27" t="e">
        <f>VLOOKUP(B698,辅助信息!E:M,9,FALSE)</f>
        <v>#N/A</v>
      </c>
      <c r="R698" s="27"/>
    </row>
    <row r="699" hidden="1" spans="2:18">
      <c r="B699" s="41" t="s">
        <v>75</v>
      </c>
      <c r="C699" s="71">
        <v>45713</v>
      </c>
      <c r="D699" s="41" t="e">
        <f>VLOOKUP(B699,辅助信息!E:K,7,FALSE)</f>
        <v>#N/A</v>
      </c>
      <c r="E699" s="41" t="str">
        <f>VLOOKUP(F699,辅助信息!A:B,2,FALSE)</f>
        <v>螺纹钢</v>
      </c>
      <c r="F699" s="41" t="s">
        <v>65</v>
      </c>
      <c r="G699" s="37">
        <v>30</v>
      </c>
      <c r="H699" s="37" t="e">
        <f>_xlfn._xlws.FILTER('[1]2025年已发货'!$E:$E,'[1]2025年已发货'!$F:$F&amp;'[1]2025年已发货'!$C:$C&amp;'[1]2025年已发货'!$G:$G&amp;'[1]2025年已发货'!$H:$H=C699&amp;F699&amp;I699&amp;J699,"未发货")</f>
        <v>#N/A</v>
      </c>
      <c r="I699" s="41" t="e">
        <f>VLOOKUP(B699,辅助信息!E:I,3,FALSE)</f>
        <v>#N/A</v>
      </c>
      <c r="J699" s="41" t="e">
        <f>VLOOKUP(B699,辅助信息!E:I,4,FALSE)</f>
        <v>#N/A</v>
      </c>
      <c r="K699" s="41" t="e">
        <f>VLOOKUP(J699,辅助信息!H:I,2,FALSE)</f>
        <v>#N/A</v>
      </c>
      <c r="L699" s="58" t="e">
        <f>VLOOKUP(B699,辅助信息!E:J,6,FALSE)</f>
        <v>#N/A</v>
      </c>
      <c r="M699" s="92">
        <v>45716</v>
      </c>
      <c r="O699" s="63">
        <f ca="1" t="shared" si="18"/>
        <v>0</v>
      </c>
      <c r="P699" s="63">
        <f ca="1" t="shared" si="19"/>
        <v>243</v>
      </c>
      <c r="Q699" s="27" t="e">
        <f>VLOOKUP(B699,辅助信息!E:M,9,FALSE)</f>
        <v>#N/A</v>
      </c>
      <c r="R699" s="27"/>
    </row>
    <row r="700" hidden="1" spans="2:18">
      <c r="B700" s="41" t="s">
        <v>75</v>
      </c>
      <c r="C700" s="71">
        <v>45713</v>
      </c>
      <c r="D700" s="41" t="e">
        <f>VLOOKUP(B700,辅助信息!E:K,7,FALSE)</f>
        <v>#N/A</v>
      </c>
      <c r="E700" s="41" t="str">
        <f>VLOOKUP(F700,辅助信息!A:B,2,FALSE)</f>
        <v>螺纹钢</v>
      </c>
      <c r="F700" s="41" t="s">
        <v>52</v>
      </c>
      <c r="G700" s="37">
        <v>30</v>
      </c>
      <c r="H700" s="37" t="e">
        <f>_xlfn._xlws.FILTER('[1]2025年已发货'!$E:$E,'[1]2025年已发货'!$F:$F&amp;'[1]2025年已发货'!$C:$C&amp;'[1]2025年已发货'!$G:$G&amp;'[1]2025年已发货'!$H:$H=C700&amp;F700&amp;I700&amp;J700,"未发货")</f>
        <v>#N/A</v>
      </c>
      <c r="I700" s="41" t="e">
        <f>VLOOKUP(B700,辅助信息!E:I,3,FALSE)</f>
        <v>#N/A</v>
      </c>
      <c r="J700" s="41" t="e">
        <f>VLOOKUP(B700,辅助信息!E:I,4,FALSE)</f>
        <v>#N/A</v>
      </c>
      <c r="K700" s="41" t="e">
        <f>VLOOKUP(J700,辅助信息!H:I,2,FALSE)</f>
        <v>#N/A</v>
      </c>
      <c r="M700" s="92">
        <v>45716</v>
      </c>
      <c r="O700" s="63">
        <f ca="1" t="shared" si="18"/>
        <v>0</v>
      </c>
      <c r="P700" s="63">
        <f ca="1" t="shared" si="19"/>
        <v>243</v>
      </c>
      <c r="Q700" s="27" t="e">
        <f>VLOOKUP(B700,辅助信息!E:M,9,FALSE)</f>
        <v>#N/A</v>
      </c>
      <c r="R700" s="27"/>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243</v>
      </c>
      <c r="Q701" s="27" t="e">
        <f>VLOOKUP(B701,辅助信息!E:M,9,FALSE)</f>
        <v>#N/A</v>
      </c>
      <c r="R701" s="27"/>
    </row>
    <row r="702" hidden="1" spans="1:18">
      <c r="A702" s="83" t="s">
        <v>96</v>
      </c>
      <c r="B702" s="41" t="s">
        <v>43</v>
      </c>
      <c r="C702" s="71">
        <v>45713</v>
      </c>
      <c r="D702" s="41" t="str">
        <f>VLOOKUP(B702,辅助信息!E:K,7,FALSE)</f>
        <v>JWDDCD2024101600090</v>
      </c>
      <c r="E702" s="41" t="str">
        <f>VLOOKUP(F702,辅助信息!A:B,2,FALSE)</f>
        <v>盘螺</v>
      </c>
      <c r="F702" s="41" t="s">
        <v>49</v>
      </c>
      <c r="G702" s="37">
        <v>12</v>
      </c>
      <c r="H702" s="37">
        <f>_xlfn._xlws.FILTER('[1]2025年已发货'!$E:$E,'[1]2025年已发货'!$F:$F&amp;'[1]2025年已发货'!$C:$C&amp;'[1]2025年已发货'!$G:$G&amp;'[1]2025年已发货'!$H:$H=C702&amp;F702&amp;I702&amp;J702,"未发货")</f>
        <v>12</v>
      </c>
      <c r="I702" s="41" t="str">
        <f>VLOOKUP(B702,辅助信息!E:I,3,FALSE)</f>
        <v>（达州市公共卫生医疗中心项目-二标-3号楼）达州市通川区西外复兴镇公共卫生临床医疗中心项目</v>
      </c>
      <c r="J702" s="41" t="str">
        <f>VLOOKUP(B702,辅助信息!E:I,4,FALSE)</f>
        <v>黄永林</v>
      </c>
      <c r="K702" s="41">
        <f>VLOOKUP(J702,辅助信息!H:I,2,FALSE)</f>
        <v>15982487227</v>
      </c>
      <c r="L702" s="78" t="str">
        <f>VLOOKUP(B702,辅助信息!E:J,6,FALSE)</f>
        <v>提前联系到场规格,一天到场车辆不低于2车</v>
      </c>
      <c r="M702" s="92">
        <v>45714</v>
      </c>
      <c r="O702" s="63">
        <f ca="1" t="shared" si="18"/>
        <v>0</v>
      </c>
      <c r="P702" s="63">
        <f ca="1" t="shared" si="19"/>
        <v>245</v>
      </c>
      <c r="Q702" s="27"/>
      <c r="R702" s="27"/>
    </row>
    <row r="703" hidden="1" spans="1:18">
      <c r="A703" s="79"/>
      <c r="B703" s="41" t="s">
        <v>43</v>
      </c>
      <c r="C703" s="71">
        <v>45713</v>
      </c>
      <c r="D703" s="41" t="str">
        <f>VLOOKUP(B703,辅助信息!E:K,7,FALSE)</f>
        <v>JWDDCD2024101600090</v>
      </c>
      <c r="E703" s="41" t="str">
        <f>VLOOKUP(F703,辅助信息!A:B,2,FALSE)</f>
        <v>盘螺</v>
      </c>
      <c r="F703" s="41" t="s">
        <v>40</v>
      </c>
      <c r="G703" s="37">
        <v>9</v>
      </c>
      <c r="H703" s="37">
        <f>_xlfn._xlws.FILTER('[1]2025年已发货'!$E:$E,'[1]2025年已发货'!$F:$F&amp;'[1]2025年已发货'!$C:$C&amp;'[1]2025年已发货'!$G:$G&amp;'[1]2025年已发货'!$H:$H=C703&amp;F703&amp;I703&amp;J703,"未发货")</f>
        <v>9</v>
      </c>
      <c r="I703" s="41" t="str">
        <f>VLOOKUP(B703,辅助信息!E:I,3,FALSE)</f>
        <v>（达州市公共卫生医疗中心项目-二标-3号楼）达州市通川区西外复兴镇公共卫生临床医疗中心项目</v>
      </c>
      <c r="J703" s="41" t="str">
        <f>VLOOKUP(B703,辅助信息!E:I,4,FALSE)</f>
        <v>黄永林</v>
      </c>
      <c r="K703" s="41">
        <f>VLOOKUP(J703,辅助信息!H:I,2,FALSE)</f>
        <v>15982487227</v>
      </c>
      <c r="L703" s="79"/>
      <c r="M703" s="92">
        <v>45714</v>
      </c>
      <c r="O703" s="63">
        <f ca="1" t="shared" si="18"/>
        <v>0</v>
      </c>
      <c r="P703" s="63">
        <f ca="1" t="shared" si="19"/>
        <v>245</v>
      </c>
      <c r="Q703" s="27"/>
      <c r="R703" s="27"/>
    </row>
    <row r="704" hidden="1" spans="1:18">
      <c r="A704" s="79"/>
      <c r="B704" s="41" t="s">
        <v>43</v>
      </c>
      <c r="C704" s="71">
        <v>45713</v>
      </c>
      <c r="D704" s="41" t="str">
        <f>VLOOKUP(B704,辅助信息!E:K,7,FALSE)</f>
        <v>JWDDCD2024101600090</v>
      </c>
      <c r="E704" s="41" t="str">
        <f>VLOOKUP(F704,辅助信息!A:B,2,FALSE)</f>
        <v>螺纹钢</v>
      </c>
      <c r="F704" s="41" t="s">
        <v>27</v>
      </c>
      <c r="G704" s="37">
        <v>25</v>
      </c>
      <c r="H704" s="37">
        <f>_xlfn._xlws.FILTER('[1]2025年已发货'!$E:$E,'[1]2025年已发货'!$F:$F&amp;'[1]2025年已发货'!$C:$C&amp;'[1]2025年已发货'!$G:$G&amp;'[1]2025年已发货'!$H:$H=C704&amp;F704&amp;I704&amp;J704,"未发货")</f>
        <v>25</v>
      </c>
      <c r="I704" s="41" t="str">
        <f>VLOOKUP(B704,辅助信息!E:I,3,FALSE)</f>
        <v>（达州市公共卫生医疗中心项目-二标-3号楼）达州市通川区西外复兴镇公共卫生临床医疗中心项目</v>
      </c>
      <c r="J704" s="41" t="str">
        <f>VLOOKUP(B704,辅助信息!E:I,4,FALSE)</f>
        <v>黄永林</v>
      </c>
      <c r="K704" s="41">
        <f>VLOOKUP(J704,辅助信息!H:I,2,FALSE)</f>
        <v>15982487227</v>
      </c>
      <c r="L704" s="79"/>
      <c r="M704" s="92">
        <v>45714</v>
      </c>
      <c r="O704" s="63">
        <f ca="1" t="shared" si="18"/>
        <v>0</v>
      </c>
      <c r="P704" s="63">
        <f ca="1" t="shared" si="19"/>
        <v>245</v>
      </c>
      <c r="Q704" s="27"/>
      <c r="R704" s="27"/>
    </row>
    <row r="705" hidden="1" spans="1:18">
      <c r="A705" s="79"/>
      <c r="B705" s="41" t="s">
        <v>104</v>
      </c>
      <c r="C705" s="71">
        <v>45713</v>
      </c>
      <c r="D705" s="41" t="str">
        <f>VLOOKUP(B705,辅助信息!E:K,7,FALSE)</f>
        <v>JWDDCD2024101600090</v>
      </c>
      <c r="E705" s="41" t="str">
        <f>VLOOKUP(F705,辅助信息!A:B,2,FALSE)</f>
        <v>盘螺</v>
      </c>
      <c r="F705" s="41" t="s">
        <v>40</v>
      </c>
      <c r="G705" s="37">
        <v>7</v>
      </c>
      <c r="H705" s="37">
        <f>_xlfn._xlws.FILTER('[1]2025年已发货'!$E:$E,'[1]2025年已发货'!$F:$F&amp;'[1]2025年已发货'!$C:$C&amp;'[1]2025年已发货'!$G:$G&amp;'[1]2025年已发货'!$H:$H=C705&amp;F705&amp;I705&amp;J705,"未发货")</f>
        <v>7</v>
      </c>
      <c r="I705" s="41" t="str">
        <f>VLOOKUP(B705,辅助信息!E:I,3,FALSE)</f>
        <v>（达州市公共卫生医疗中心项目-二标-78号楼）达州市通川区西外复兴镇公共卫生临床医疗中心项目</v>
      </c>
      <c r="J705" s="41" t="str">
        <f>VLOOKUP(B705,辅助信息!E:I,4,FALSE)</f>
        <v>黄永林</v>
      </c>
      <c r="K705" s="41">
        <f>VLOOKUP(J705,辅助信息!H:I,2,FALSE)</f>
        <v>15982487227</v>
      </c>
      <c r="L705" s="79"/>
      <c r="M705" s="92">
        <v>45714</v>
      </c>
      <c r="O705" s="63">
        <f ca="1" t="shared" si="18"/>
        <v>0</v>
      </c>
      <c r="P705" s="63">
        <f ca="1" t="shared" si="19"/>
        <v>245</v>
      </c>
      <c r="Q705" s="27"/>
      <c r="R705" s="27"/>
    </row>
    <row r="706" hidden="1" spans="1:18">
      <c r="A706" s="79"/>
      <c r="B706" s="41" t="s">
        <v>104</v>
      </c>
      <c r="C706" s="71">
        <v>45713</v>
      </c>
      <c r="D706" s="41" t="str">
        <f>VLOOKUP(B706,辅助信息!E:K,7,FALSE)</f>
        <v>JWDDCD2024101600090</v>
      </c>
      <c r="E706" s="41" t="str">
        <f>VLOOKUP(F706,辅助信息!A:B,2,FALSE)</f>
        <v>盘螺</v>
      </c>
      <c r="F706" s="41" t="s">
        <v>41</v>
      </c>
      <c r="G706" s="37">
        <v>4</v>
      </c>
      <c r="H706" s="37">
        <f>_xlfn._xlws.FILTER('[1]2025年已发货'!$E:$E,'[1]2025年已发货'!$F:$F&amp;'[1]2025年已发货'!$C:$C&amp;'[1]2025年已发货'!$G:$G&amp;'[1]2025年已发货'!$H:$H=C706&amp;F706&amp;I706&amp;J706,"未发货")</f>
        <v>4</v>
      </c>
      <c r="I706" s="41" t="str">
        <f>VLOOKUP(B706,辅助信息!E:I,3,FALSE)</f>
        <v>（达州市公共卫生医疗中心项目-二标-78号楼）达州市通川区西外复兴镇公共卫生临床医疗中心项目</v>
      </c>
      <c r="J706" s="41" t="str">
        <f>VLOOKUP(B706,辅助信息!E:I,4,FALSE)</f>
        <v>黄永林</v>
      </c>
      <c r="K706" s="41">
        <f>VLOOKUP(J706,辅助信息!H:I,2,FALSE)</f>
        <v>15982487227</v>
      </c>
      <c r="L706" s="79"/>
      <c r="M706" s="92">
        <v>45714</v>
      </c>
      <c r="O706" s="63">
        <f ca="1" t="shared" si="18"/>
        <v>0</v>
      </c>
      <c r="P706" s="63">
        <f ca="1" t="shared" si="19"/>
        <v>245</v>
      </c>
      <c r="Q706" s="27"/>
      <c r="R706" s="27"/>
    </row>
    <row r="707" hidden="1" spans="1:18">
      <c r="A707" s="77"/>
      <c r="B707" s="41" t="s">
        <v>104</v>
      </c>
      <c r="C707" s="71">
        <v>45713</v>
      </c>
      <c r="D707" s="41" t="str">
        <f>VLOOKUP(B707,辅助信息!E:K,7,FALSE)</f>
        <v>JWDDCD2024101600090</v>
      </c>
      <c r="E707" s="41" t="str">
        <f>VLOOKUP(F707,辅助信息!A:B,2,FALSE)</f>
        <v>螺纹钢</v>
      </c>
      <c r="F707" s="41" t="s">
        <v>27</v>
      </c>
      <c r="G707" s="37">
        <v>18</v>
      </c>
      <c r="H707" s="37">
        <f>_xlfn._xlws.FILTER('[1]2025年已发货'!$E:$E,'[1]2025年已发货'!$F:$F&amp;'[1]2025年已发货'!$C:$C&amp;'[1]2025年已发货'!$G:$G&amp;'[1]2025年已发货'!$H:$H=C707&amp;F707&amp;I707&amp;J707,"未发货")</f>
        <v>18</v>
      </c>
      <c r="I707" s="41" t="str">
        <f>VLOOKUP(B707,辅助信息!E:I,3,FALSE)</f>
        <v>（达州市公共卫生医疗中心项目-二标-78号楼）达州市通川区西外复兴镇公共卫生临床医疗中心项目</v>
      </c>
      <c r="J707" s="41" t="str">
        <f>VLOOKUP(B707,辅助信息!E:I,4,FALSE)</f>
        <v>黄永林</v>
      </c>
      <c r="K707" s="41">
        <f>VLOOKUP(J707,辅助信息!H:I,2,FALSE)</f>
        <v>15982487227</v>
      </c>
      <c r="L707" s="77"/>
      <c r="M707" s="92">
        <v>45714</v>
      </c>
      <c r="O707" s="63">
        <f ca="1" t="shared" si="18"/>
        <v>0</v>
      </c>
      <c r="P707" s="63">
        <f ca="1" t="shared" si="19"/>
        <v>245</v>
      </c>
      <c r="Q707" s="27"/>
      <c r="R707" s="27"/>
    </row>
    <row r="708" hidden="1" spans="1:18">
      <c r="A708" s="100" t="s">
        <v>105</v>
      </c>
      <c r="B708" s="41" t="s">
        <v>99</v>
      </c>
      <c r="C708" s="71">
        <v>45713</v>
      </c>
      <c r="D708" s="41" t="e">
        <f>VLOOKUP(B708,辅助信息!E:K,7,FALSE)</f>
        <v>#N/A</v>
      </c>
      <c r="E708" s="41" t="str">
        <f>VLOOKUP(F708,辅助信息!A:B,2,FALSE)</f>
        <v>高线</v>
      </c>
      <c r="F708" s="41" t="s">
        <v>53</v>
      </c>
      <c r="G708" s="41">
        <v>2.5</v>
      </c>
      <c r="H708" s="41" t="e">
        <f>_xlfn._xlws.FILTER('[1]2025年已发货'!$E:$E,'[1]2025年已发货'!$F:$F&amp;'[1]2025年已发货'!$C:$C&amp;'[1]2025年已发货'!$G:$G&amp;'[1]2025年已发货'!$H:$H=C708&amp;F708&amp;I708&amp;J708,"未发货")</f>
        <v>#N/A</v>
      </c>
      <c r="I708" s="41" t="e">
        <f>VLOOKUP(B708,辅助信息!E:I,3,FALSE)</f>
        <v>#N/A</v>
      </c>
      <c r="J708" s="41" t="e">
        <f>VLOOKUP(B708,辅助信息!E:I,4,FALSE)</f>
        <v>#N/A</v>
      </c>
      <c r="K708" s="41" t="e">
        <f>VLOOKUP(J708,辅助信息!H:I,2,FALSE)</f>
        <v>#N/A</v>
      </c>
      <c r="L708" s="63" t="s">
        <v>34</v>
      </c>
      <c r="M708" s="96">
        <v>45709</v>
      </c>
      <c r="N708" s="27"/>
      <c r="O708" s="27">
        <f ca="1" t="shared" si="18"/>
        <v>0</v>
      </c>
      <c r="P708" s="27">
        <f ca="1" t="shared" si="19"/>
        <v>250</v>
      </c>
      <c r="Q708" s="27" t="e">
        <f>VLOOKUP(B708,辅助信息!E:M,9,FALSE)</f>
        <v>#N/A</v>
      </c>
      <c r="R708" s="27"/>
    </row>
    <row r="709" hidden="1" spans="1:18">
      <c r="A709" s="79"/>
      <c r="B709" s="41" t="s">
        <v>99</v>
      </c>
      <c r="C709" s="71">
        <v>45713</v>
      </c>
      <c r="D709" s="41" t="e">
        <f>VLOOKUP(B709,辅助信息!E:K,7,FALSE)</f>
        <v>#N/A</v>
      </c>
      <c r="E709" s="41" t="str">
        <f>VLOOKUP(F709,辅助信息!A:B,2,FALSE)</f>
        <v>高线</v>
      </c>
      <c r="F709" s="41" t="s">
        <v>51</v>
      </c>
      <c r="G709" s="41">
        <v>2.5</v>
      </c>
      <c r="H709" s="41" t="e">
        <f>_xlfn._xlws.FILTER('[1]2025年已发货'!$E:$E,'[1]2025年已发货'!$F:$F&amp;'[1]2025年已发货'!$C:$C&amp;'[1]2025年已发货'!$G:$G&amp;'[1]2025年已发货'!$H:$H=C709&amp;F709&amp;I709&amp;J709,"未发货")</f>
        <v>#N/A</v>
      </c>
      <c r="I709" s="41" t="e">
        <f>VLOOKUP(B709,辅助信息!E:I,3,FALSE)</f>
        <v>#N/A</v>
      </c>
      <c r="J709" s="41" t="e">
        <f>VLOOKUP(B709,辅助信息!E:I,4,FALSE)</f>
        <v>#N/A</v>
      </c>
      <c r="K709" s="41" t="e">
        <f>VLOOKUP(J709,辅助信息!H:I,2,FALSE)</f>
        <v>#N/A</v>
      </c>
      <c r="L709" s="27"/>
      <c r="M709" s="96">
        <v>45709</v>
      </c>
      <c r="N709" s="27"/>
      <c r="O709" s="27">
        <f ca="1" t="shared" si="18"/>
        <v>0</v>
      </c>
      <c r="P709" s="27">
        <f ca="1" t="shared" si="19"/>
        <v>250</v>
      </c>
      <c r="Q709" s="27" t="e">
        <f>VLOOKUP(B709,辅助信息!E:M,9,FALSE)</f>
        <v>#N/A</v>
      </c>
      <c r="R709" s="27"/>
    </row>
    <row r="710" hidden="1" spans="1:18">
      <c r="A710" s="79"/>
      <c r="B710" s="41" t="s">
        <v>99</v>
      </c>
      <c r="C710" s="71">
        <v>45713</v>
      </c>
      <c r="D710" s="41" t="e">
        <f>VLOOKUP(B710,辅助信息!E:K,7,FALSE)</f>
        <v>#N/A</v>
      </c>
      <c r="E710" s="41" t="str">
        <f>VLOOKUP(F710,辅助信息!A:B,2,FALSE)</f>
        <v>螺纹钢</v>
      </c>
      <c r="F710" s="41" t="s">
        <v>27</v>
      </c>
      <c r="G710" s="41">
        <v>17</v>
      </c>
      <c r="H710" s="41" t="e">
        <f>_xlfn._xlws.FILTER('[1]2025年已发货'!$E:$E,'[1]2025年已发货'!$F:$F&amp;'[1]2025年已发货'!$C:$C&amp;'[1]2025年已发货'!$G:$G&amp;'[1]2025年已发货'!$H:$H=C710&amp;F710&amp;I710&amp;J710,"未发货")</f>
        <v>#N/A</v>
      </c>
      <c r="I710" s="41" t="e">
        <f>VLOOKUP(B710,辅助信息!E:I,3,FALSE)</f>
        <v>#N/A</v>
      </c>
      <c r="J710" s="41" t="e">
        <f>VLOOKUP(B710,辅助信息!E:I,4,FALSE)</f>
        <v>#N/A</v>
      </c>
      <c r="K710" s="41" t="e">
        <f>VLOOKUP(J710,辅助信息!H:I,2,FALSE)</f>
        <v>#N/A</v>
      </c>
      <c r="L710" s="27"/>
      <c r="M710" s="96">
        <v>45709</v>
      </c>
      <c r="N710" s="27"/>
      <c r="O710" s="27">
        <f ca="1" t="shared" si="18"/>
        <v>0</v>
      </c>
      <c r="P710" s="27">
        <f ca="1" t="shared" si="19"/>
        <v>250</v>
      </c>
      <c r="Q710" s="27" t="e">
        <f>VLOOKUP(B710,辅助信息!E:M,9,FALSE)</f>
        <v>#N/A</v>
      </c>
      <c r="R710" s="27"/>
    </row>
    <row r="711" hidden="1" spans="1:18">
      <c r="A711" s="79"/>
      <c r="B711" s="41" t="s">
        <v>99</v>
      </c>
      <c r="C711" s="71">
        <v>45713</v>
      </c>
      <c r="D711" s="41" t="e">
        <f>VLOOKUP(B711,辅助信息!E:K,7,FALSE)</f>
        <v>#N/A</v>
      </c>
      <c r="E711" s="41" t="str">
        <f>VLOOKUP(F711,辅助信息!A:B,2,FALSE)</f>
        <v>螺纹钢</v>
      </c>
      <c r="F711" s="41" t="s">
        <v>19</v>
      </c>
      <c r="G711" s="41">
        <v>10</v>
      </c>
      <c r="H711" s="41" t="e">
        <f>_xlfn._xlws.FILTER('[1]2025年已发货'!$E:$E,'[1]2025年已发货'!$F:$F&amp;'[1]2025年已发货'!$C:$C&amp;'[1]2025年已发货'!$G:$G&amp;'[1]2025年已发货'!$H:$H=C711&amp;F711&amp;I711&amp;J711,"未发货")</f>
        <v>#N/A</v>
      </c>
      <c r="I711" s="41" t="e">
        <f>VLOOKUP(B711,辅助信息!E:I,3,FALSE)</f>
        <v>#N/A</v>
      </c>
      <c r="J711" s="41" t="e">
        <f>VLOOKUP(B711,辅助信息!E:I,4,FALSE)</f>
        <v>#N/A</v>
      </c>
      <c r="K711" s="41" t="e">
        <f>VLOOKUP(J711,辅助信息!H:I,2,FALSE)</f>
        <v>#N/A</v>
      </c>
      <c r="L711" s="27"/>
      <c r="M711" s="96">
        <v>45709</v>
      </c>
      <c r="N711" s="27"/>
      <c r="O711" s="27">
        <f ca="1" t="shared" si="18"/>
        <v>0</v>
      </c>
      <c r="P711" s="27">
        <f ca="1" t="shared" si="19"/>
        <v>250</v>
      </c>
      <c r="Q711" s="27" t="e">
        <f>VLOOKUP(B711,辅助信息!E:M,9,FALSE)</f>
        <v>#N/A</v>
      </c>
      <c r="R711" s="27"/>
    </row>
    <row r="712" hidden="1" spans="1:18">
      <c r="A712" s="77"/>
      <c r="B712" s="41" t="s">
        <v>99</v>
      </c>
      <c r="C712" s="71">
        <v>45713</v>
      </c>
      <c r="D712" s="41" t="e">
        <f>VLOOKUP(B712,辅助信息!E:K,7,FALSE)</f>
        <v>#N/A</v>
      </c>
      <c r="E712" s="41" t="str">
        <f>VLOOKUP(F712,辅助信息!A:B,2,FALSE)</f>
        <v>螺纹钢</v>
      </c>
      <c r="F712" s="41" t="s">
        <v>32</v>
      </c>
      <c r="G712" s="41">
        <v>3</v>
      </c>
      <c r="H712" s="41" t="e">
        <f>_xlfn._xlws.FILTER('[1]2025年已发货'!$E:$E,'[1]2025年已发货'!$F:$F&amp;'[1]2025年已发货'!$C:$C&amp;'[1]2025年已发货'!$G:$G&amp;'[1]2025年已发货'!$H:$H=C712&amp;F712&amp;I712&amp;J712,"未发货")</f>
        <v>#N/A</v>
      </c>
      <c r="I712" s="41" t="e">
        <f>VLOOKUP(B712,辅助信息!E:I,3,FALSE)</f>
        <v>#N/A</v>
      </c>
      <c r="J712" s="41" t="e">
        <f>VLOOKUP(B712,辅助信息!E:I,4,FALSE)</f>
        <v>#N/A</v>
      </c>
      <c r="K712" s="41" t="e">
        <f>VLOOKUP(J712,辅助信息!H:I,2,FALSE)</f>
        <v>#N/A</v>
      </c>
      <c r="L712" s="27"/>
      <c r="M712" s="96">
        <v>45709</v>
      </c>
      <c r="N712" s="27"/>
      <c r="O712" s="27">
        <f ca="1" t="shared" si="18"/>
        <v>0</v>
      </c>
      <c r="P712" s="27">
        <f ca="1" t="shared" si="19"/>
        <v>250</v>
      </c>
      <c r="Q712" s="27" t="e">
        <f>VLOOKUP(B712,辅助信息!E:M,9,FALSE)</f>
        <v>#N/A</v>
      </c>
      <c r="R712" s="27"/>
    </row>
    <row r="713" hidden="1" spans="2:18">
      <c r="B713" s="41" t="s">
        <v>79</v>
      </c>
      <c r="C713" s="71">
        <v>45713</v>
      </c>
      <c r="D713" s="41" t="e">
        <f>VLOOKUP(B713,辅助信息!E:K,7,FALSE)</f>
        <v>#N/A</v>
      </c>
      <c r="E713" s="41" t="str">
        <f>VLOOKUP(F713,辅助信息!A:B,2,FALSE)</f>
        <v>盘螺</v>
      </c>
      <c r="F713" s="41" t="s">
        <v>40</v>
      </c>
      <c r="G713" s="37">
        <v>2</v>
      </c>
      <c r="H713" s="41" t="e">
        <f>_xlfn._xlws.FILTER('[1]2025年已发货'!$E:$E,'[1]2025年已发货'!$F:$F&amp;'[1]2025年已发货'!$C:$C&amp;'[1]2025年已发货'!$G:$G&amp;'[1]2025年已发货'!$H:$H=C713&amp;F713&amp;I713&amp;J713,"未发货")</f>
        <v>#N/A</v>
      </c>
      <c r="I713" s="41" t="e">
        <f>VLOOKUP(B713,辅助信息!E:I,3,FALSE)</f>
        <v>#N/A</v>
      </c>
      <c r="J713" s="41" t="e">
        <f>VLOOKUP(B713,辅助信息!E:I,4,FALSE)</f>
        <v>#N/A</v>
      </c>
      <c r="K713" s="41" t="e">
        <f>VLOOKUP(J713,辅助信息!H:I,2,FALSE)</f>
        <v>#N/A</v>
      </c>
      <c r="L713" s="58" t="e">
        <f>VLOOKUP(B713,辅助信息!E:J,6,FALSE)</f>
        <v>#N/A</v>
      </c>
      <c r="M713" s="58"/>
      <c r="N713" s="58"/>
      <c r="O713" s="58"/>
      <c r="P713" s="58"/>
      <c r="Q713" s="27"/>
      <c r="R713" s="27"/>
    </row>
    <row r="714" hidden="1" spans="2:18">
      <c r="B714" s="41" t="s">
        <v>79</v>
      </c>
      <c r="C714" s="71">
        <v>45713</v>
      </c>
      <c r="D714" s="41" t="e">
        <f>VLOOKUP(B714,辅助信息!E:K,7,FALSE)</f>
        <v>#N/A</v>
      </c>
      <c r="E714" s="41" t="str">
        <f>VLOOKUP(F714,辅助信息!A:B,2,FALSE)</f>
        <v>螺纹钢</v>
      </c>
      <c r="F714" s="41" t="s">
        <v>27</v>
      </c>
      <c r="G714" s="37">
        <v>3</v>
      </c>
      <c r="H714" s="41" t="e">
        <f>_xlfn._xlws.FILTER('[1]2025年已发货'!$E:$E,'[1]2025年已发货'!$F:$F&amp;'[1]2025年已发货'!$C:$C&amp;'[1]2025年已发货'!$G:$G&amp;'[1]2025年已发货'!$H:$H=C714&amp;F714&amp;I714&amp;J714,"未发货")</f>
        <v>#N/A</v>
      </c>
      <c r="I714" s="41" t="e">
        <f>VLOOKUP(B714,辅助信息!E:I,3,FALSE)</f>
        <v>#N/A</v>
      </c>
      <c r="J714" s="41" t="e">
        <f>VLOOKUP(B714,辅助信息!E:I,4,FALSE)</f>
        <v>#N/A</v>
      </c>
      <c r="K714" s="41" t="e">
        <f>VLOOKUP(J714,辅助信息!H:I,2,FALSE)</f>
        <v>#N/A</v>
      </c>
      <c r="M714" s="58"/>
      <c r="N714" s="58"/>
      <c r="O714" s="58"/>
      <c r="P714" s="58"/>
      <c r="Q714" s="27"/>
      <c r="R714" s="27"/>
    </row>
    <row r="715" hidden="1" spans="2:18">
      <c r="B715" s="41" t="s">
        <v>79</v>
      </c>
      <c r="C715" s="71">
        <v>45713</v>
      </c>
      <c r="D715" s="41" t="e">
        <f>VLOOKUP(B715,辅助信息!E:K,7,FALSE)</f>
        <v>#N/A</v>
      </c>
      <c r="E715" s="41" t="str">
        <f>VLOOKUP(F715,辅助信息!A:B,2,FALSE)</f>
        <v>螺纹钢</v>
      </c>
      <c r="F715" s="41" t="s">
        <v>32</v>
      </c>
      <c r="G715" s="37">
        <v>91</v>
      </c>
      <c r="H715" s="41" t="e">
        <f>_xlfn._xlws.FILTER('[1]2025年已发货'!$E:$E,'[1]2025年已发货'!$F:$F&amp;'[1]2025年已发货'!$C:$C&amp;'[1]2025年已发货'!$G:$G&amp;'[1]2025年已发货'!$H:$H=C715&amp;F715&amp;I715&amp;J715,"未发货")</f>
        <v>#N/A</v>
      </c>
      <c r="I715" s="41" t="e">
        <f>VLOOKUP(B715,辅助信息!E:I,3,FALSE)</f>
        <v>#N/A</v>
      </c>
      <c r="J715" s="41" t="e">
        <f>VLOOKUP(B715,辅助信息!E:I,4,FALSE)</f>
        <v>#N/A</v>
      </c>
      <c r="K715" s="41" t="e">
        <f>VLOOKUP(J715,辅助信息!H:I,2,FALSE)</f>
        <v>#N/A</v>
      </c>
      <c r="M715" s="58"/>
      <c r="N715" s="58"/>
      <c r="O715" s="58"/>
      <c r="P715" s="58"/>
      <c r="Q715" s="27"/>
      <c r="R715" s="27"/>
    </row>
    <row r="716" hidden="1" spans="2:18">
      <c r="B716" s="41" t="s">
        <v>79</v>
      </c>
      <c r="C716" s="71">
        <v>45713</v>
      </c>
      <c r="D716" s="41" t="e">
        <f>VLOOKUP(B716,辅助信息!E:K,7,FALSE)</f>
        <v>#N/A</v>
      </c>
      <c r="E716" s="41" t="str">
        <f>VLOOKUP(F716,辅助信息!A:B,2,FALSE)</f>
        <v>螺纹钢</v>
      </c>
      <c r="F716" s="41" t="s">
        <v>33</v>
      </c>
      <c r="G716" s="37">
        <v>22</v>
      </c>
      <c r="H716" s="41" t="e">
        <f>_xlfn._xlws.FILTER('[1]2025年已发货'!$E:$E,'[1]2025年已发货'!$F:$F&amp;'[1]2025年已发货'!$C:$C&amp;'[1]2025年已发货'!$G:$G&amp;'[1]2025年已发货'!$H:$H=C716&amp;F716&amp;I716&amp;J716,"未发货")</f>
        <v>#N/A</v>
      </c>
      <c r="I716" s="41" t="e">
        <f>VLOOKUP(B716,辅助信息!E:I,3,FALSE)</f>
        <v>#N/A</v>
      </c>
      <c r="J716" s="41" t="e">
        <f>VLOOKUP(B716,辅助信息!E:I,4,FALSE)</f>
        <v>#N/A</v>
      </c>
      <c r="K716" s="41" t="e">
        <f>VLOOKUP(J716,辅助信息!H:I,2,FALSE)</f>
        <v>#N/A</v>
      </c>
      <c r="M716" s="58"/>
      <c r="N716" s="58"/>
      <c r="O716" s="58"/>
      <c r="P716" s="58"/>
      <c r="Q716" s="27"/>
      <c r="R716" s="27"/>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7"/>
      <c r="R717" s="27"/>
    </row>
    <row r="718" hidden="1" spans="2:18">
      <c r="B718" s="41" t="s">
        <v>75</v>
      </c>
      <c r="C718" s="71">
        <v>45714</v>
      </c>
      <c r="D718" s="41" t="e">
        <f>VLOOKUP(B718,辅助信息!E:K,7,FALSE)</f>
        <v>#N/A</v>
      </c>
      <c r="E718" s="41" t="str">
        <f>VLOOKUP(F718,辅助信息!A:B,2,FALSE)</f>
        <v>螺纹钢</v>
      </c>
      <c r="F718" s="41" t="s">
        <v>52</v>
      </c>
      <c r="G718" s="37">
        <v>35</v>
      </c>
      <c r="H718" s="37" t="e">
        <f>_xlfn._xlws.FILTER('[1]2025年已发货'!$E:$E,'[1]2025年已发货'!$F:$F&amp;'[1]2025年已发货'!$C:$C&amp;'[1]2025年已发货'!$G:$G&amp;'[1]2025年已发货'!$H:$H=C718&amp;F718&amp;I718&amp;J718,"未发货")</f>
        <v>#N/A</v>
      </c>
      <c r="I718" s="41" t="e">
        <f>VLOOKUP(B718,辅助信息!E:I,3,FALSE)</f>
        <v>#N/A</v>
      </c>
      <c r="J718" s="41" t="e">
        <f>VLOOKUP(B718,辅助信息!E:I,4,FALSE)</f>
        <v>#N/A</v>
      </c>
      <c r="K718" s="41" t="e">
        <f>VLOOKUP(J718,辅助信息!H:I,2,FALSE)</f>
        <v>#N/A</v>
      </c>
      <c r="L718" s="78"/>
      <c r="M718" s="101">
        <v>45716</v>
      </c>
      <c r="N718" s="58"/>
      <c r="O718" s="58">
        <f ca="1" t="shared" ref="O718:O781" si="20">IF(OR(M718="",N718&lt;&gt;""),"",MAX(M718-TODAY(),0))</f>
        <v>0</v>
      </c>
      <c r="P718" s="58">
        <f ca="1" t="shared" ref="P718:P781" si="21">IF(M718="","",IF(N718&lt;&gt;"",MAX(N718-M718,0),IF(TODAY()&gt;M718,TODAY()-M718,0)))</f>
        <v>243</v>
      </c>
      <c r="Q718" s="27" t="e">
        <f>VLOOKUP(B718,辅助信息!E:M,9,FALSE)</f>
        <v>#N/A</v>
      </c>
      <c r="R718" s="27"/>
    </row>
    <row r="719" hidden="1" spans="2:18">
      <c r="B719" s="41" t="s">
        <v>106</v>
      </c>
      <c r="C719" s="71">
        <v>45714</v>
      </c>
      <c r="D719" s="41" t="str">
        <f>VLOOKUP(B719,辅助信息!E:K,7,FALSE)</f>
        <v>JWDDCD2024101600133</v>
      </c>
      <c r="E719" s="41" t="str">
        <f>VLOOKUP(F719,辅助信息!A:B,2,FALSE)</f>
        <v>螺纹钢</v>
      </c>
      <c r="F719" s="41" t="s">
        <v>27</v>
      </c>
      <c r="G719" s="37">
        <v>3</v>
      </c>
      <c r="H719" s="37">
        <f>_xlfn._xlws.FILTER('[1]2025年已发货'!$E:$E,'[1]2025年已发货'!$F:$F&amp;'[1]2025年已发货'!$C:$C&amp;'[1]2025年已发货'!$G:$G&amp;'[1]2025年已发货'!$H:$H=C719&amp;F719&amp;I719&amp;J719,"未发货")</f>
        <v>3</v>
      </c>
      <c r="I719" s="41" t="str">
        <f>VLOOKUP(B719,辅助信息!E:I,3,FALSE)</f>
        <v>（五冶钢构宜宾高县月江镇建设项目）  四川省宜宾市高县月江镇刚记超市斜对面(还阳组团沪碳二期项目)</v>
      </c>
      <c r="J719" s="41" t="str">
        <f>VLOOKUP(B719,辅助信息!E:I,4,FALSE)</f>
        <v>张朝亮</v>
      </c>
      <c r="K719" s="41">
        <f>VLOOKUP(J719,辅助信息!H:I,2,FALSE)</f>
        <v>15228205853</v>
      </c>
      <c r="L719" s="78" t="str">
        <f>VLOOKUP(B719,辅助信息!E:J,6,FALSE)</f>
        <v>提前联系到场规格</v>
      </c>
      <c r="M719" s="101">
        <v>45716</v>
      </c>
      <c r="N719" s="58"/>
      <c r="O719" s="58">
        <f ca="1" t="shared" si="20"/>
        <v>0</v>
      </c>
      <c r="P719" s="58">
        <f ca="1" t="shared" si="21"/>
        <v>243</v>
      </c>
      <c r="Q719" s="27" t="str">
        <f>VLOOKUP(B719,辅助信息!E:M,9,FALSE)</f>
        <v>ZTWM-CDGS-XS-2024-0169-中冶西部钢构-宜宾市南溪区幸福路东路,高县月江镇建设项目</v>
      </c>
      <c r="R719" s="27"/>
    </row>
    <row r="720" hidden="1" spans="2:18">
      <c r="B720" s="41" t="s">
        <v>106</v>
      </c>
      <c r="C720" s="71">
        <v>45714</v>
      </c>
      <c r="D720" s="41" t="str">
        <f>VLOOKUP(B720,辅助信息!E:K,7,FALSE)</f>
        <v>JWDDCD2024101600133</v>
      </c>
      <c r="E720" s="41" t="str">
        <f>VLOOKUP(F720,辅助信息!A:B,2,FALSE)</f>
        <v>螺纹钢</v>
      </c>
      <c r="F720" s="41" t="s">
        <v>19</v>
      </c>
      <c r="G720" s="37">
        <v>3</v>
      </c>
      <c r="H720" s="37">
        <f>_xlfn._xlws.FILTER('[1]2025年已发货'!$E:$E,'[1]2025年已发货'!$F:$F&amp;'[1]2025年已发货'!$C:$C&amp;'[1]2025年已发货'!$G:$G&amp;'[1]2025年已发货'!$H:$H=C720&amp;F720&amp;I720&amp;J720,"未发货")</f>
        <v>3</v>
      </c>
      <c r="I720" s="41" t="str">
        <f>VLOOKUP(B720,辅助信息!E:I,3,FALSE)</f>
        <v>（五冶钢构宜宾高县月江镇建设项目）  四川省宜宾市高县月江镇刚记超市斜对面(还阳组团沪碳二期项目)</v>
      </c>
      <c r="J720" s="41" t="str">
        <f>VLOOKUP(B720,辅助信息!E:I,4,FALSE)</f>
        <v>张朝亮</v>
      </c>
      <c r="K720" s="41">
        <f>VLOOKUP(J720,辅助信息!H:I,2,FALSE)</f>
        <v>15228205853</v>
      </c>
      <c r="L720" s="79"/>
      <c r="M720" s="101">
        <v>45716</v>
      </c>
      <c r="N720" s="58"/>
      <c r="O720" s="58">
        <f ca="1" t="shared" si="20"/>
        <v>0</v>
      </c>
      <c r="P720" s="58">
        <f ca="1" t="shared" si="21"/>
        <v>243</v>
      </c>
      <c r="Q720" s="27" t="str">
        <f>VLOOKUP(B720,辅助信息!E:M,9,FALSE)</f>
        <v>ZTWM-CDGS-XS-2024-0169-中冶西部钢构-宜宾市南溪区幸福路东路,高县月江镇建设项目</v>
      </c>
      <c r="R720" s="27"/>
    </row>
    <row r="721" hidden="1" spans="2:18">
      <c r="B721" s="41" t="s">
        <v>106</v>
      </c>
      <c r="C721" s="71">
        <v>45714</v>
      </c>
      <c r="D721" s="41" t="str">
        <f>VLOOKUP(B721,辅助信息!E:K,7,FALSE)</f>
        <v>JWDDCD2024101600133</v>
      </c>
      <c r="E721" s="41" t="str">
        <f>VLOOKUP(F721,辅助信息!A:B,2,FALSE)</f>
        <v>螺纹钢</v>
      </c>
      <c r="F721" s="41" t="s">
        <v>32</v>
      </c>
      <c r="G721" s="37">
        <v>3</v>
      </c>
      <c r="H721" s="37">
        <f>_xlfn._xlws.FILTER('[1]2025年已发货'!$E:$E,'[1]2025年已发货'!$F:$F&amp;'[1]2025年已发货'!$C:$C&amp;'[1]2025年已发货'!$G:$G&amp;'[1]2025年已发货'!$H:$H=C721&amp;F721&amp;I721&amp;J721,"未发货")</f>
        <v>3</v>
      </c>
      <c r="I721" s="41" t="str">
        <f>VLOOKUP(B721,辅助信息!E:I,3,FALSE)</f>
        <v>（五冶钢构宜宾高县月江镇建设项目）  四川省宜宾市高县月江镇刚记超市斜对面(还阳组团沪碳二期项目)</v>
      </c>
      <c r="J721" s="41" t="str">
        <f>VLOOKUP(B721,辅助信息!E:I,4,FALSE)</f>
        <v>张朝亮</v>
      </c>
      <c r="K721" s="41">
        <f>VLOOKUP(J721,辅助信息!H:I,2,FALSE)</f>
        <v>15228205853</v>
      </c>
      <c r="L721" s="79"/>
      <c r="M721" s="101">
        <v>45716</v>
      </c>
      <c r="N721" s="58"/>
      <c r="O721" s="58">
        <f ca="1" t="shared" si="20"/>
        <v>0</v>
      </c>
      <c r="P721" s="58">
        <f ca="1" t="shared" si="21"/>
        <v>243</v>
      </c>
      <c r="Q721" s="27" t="str">
        <f>VLOOKUP(B721,辅助信息!E:M,9,FALSE)</f>
        <v>ZTWM-CDGS-XS-2024-0169-中冶西部钢构-宜宾市南溪区幸福路东路,高县月江镇建设项目</v>
      </c>
      <c r="R721" s="27"/>
    </row>
    <row r="722" hidden="1" spans="2:18">
      <c r="B722" s="41" t="s">
        <v>106</v>
      </c>
      <c r="C722" s="71">
        <v>45714</v>
      </c>
      <c r="D722" s="41" t="str">
        <f>VLOOKUP(B722,辅助信息!E:K,7,FALSE)</f>
        <v>JWDDCD2024101600133</v>
      </c>
      <c r="E722" s="41" t="str">
        <f>VLOOKUP(F722,辅助信息!A:B,2,FALSE)</f>
        <v>螺纹钢</v>
      </c>
      <c r="F722" s="41" t="s">
        <v>30</v>
      </c>
      <c r="G722" s="37">
        <v>3</v>
      </c>
      <c r="H722" s="37">
        <f>_xlfn._xlws.FILTER('[1]2025年已发货'!$E:$E,'[1]2025年已发货'!$F:$F&amp;'[1]2025年已发货'!$C:$C&amp;'[1]2025年已发货'!$G:$G&amp;'[1]2025年已发货'!$H:$H=C722&amp;F722&amp;I722&amp;J722,"未发货")</f>
        <v>3</v>
      </c>
      <c r="I722" s="41" t="str">
        <f>VLOOKUP(B722,辅助信息!E:I,3,FALSE)</f>
        <v>（五冶钢构宜宾高县月江镇建设项目）  四川省宜宾市高县月江镇刚记超市斜对面(还阳组团沪碳二期项目)</v>
      </c>
      <c r="J722" s="41" t="str">
        <f>VLOOKUP(B722,辅助信息!E:I,4,FALSE)</f>
        <v>张朝亮</v>
      </c>
      <c r="K722" s="41">
        <f>VLOOKUP(J722,辅助信息!H:I,2,FALSE)</f>
        <v>15228205853</v>
      </c>
      <c r="L722" s="79"/>
      <c r="M722" s="101">
        <v>45716</v>
      </c>
      <c r="N722" s="58"/>
      <c r="O722" s="58">
        <f ca="1" t="shared" si="20"/>
        <v>0</v>
      </c>
      <c r="P722" s="58">
        <f ca="1" t="shared" si="21"/>
        <v>243</v>
      </c>
      <c r="Q722" s="27" t="str">
        <f>VLOOKUP(B722,辅助信息!E:M,9,FALSE)</f>
        <v>ZTWM-CDGS-XS-2024-0169-中冶西部钢构-宜宾市南溪区幸福路东路,高县月江镇建设项目</v>
      </c>
      <c r="R722" s="27"/>
    </row>
    <row r="723" hidden="1" spans="2:18">
      <c r="B723" s="41" t="s">
        <v>106</v>
      </c>
      <c r="C723" s="71">
        <v>45714</v>
      </c>
      <c r="D723" s="41" t="str">
        <f>VLOOKUP(B723,辅助信息!E:K,7,FALSE)</f>
        <v>JWDDCD2024101600133</v>
      </c>
      <c r="E723" s="41" t="str">
        <f>VLOOKUP(F723,辅助信息!A:B,2,FALSE)</f>
        <v>螺纹钢</v>
      </c>
      <c r="F723" s="41" t="s">
        <v>33</v>
      </c>
      <c r="G723" s="37">
        <v>12</v>
      </c>
      <c r="H723" s="37">
        <f>_xlfn._xlws.FILTER('[1]2025年已发货'!$E:$E,'[1]2025年已发货'!$F:$F&amp;'[1]2025年已发货'!$C:$C&amp;'[1]2025年已发货'!$G:$G&amp;'[1]2025年已发货'!$H:$H=C723&amp;F723&amp;I723&amp;J723,"未发货")</f>
        <v>12</v>
      </c>
      <c r="I723" s="41" t="str">
        <f>VLOOKUP(B723,辅助信息!E:I,3,FALSE)</f>
        <v>（五冶钢构宜宾高县月江镇建设项目）  四川省宜宾市高县月江镇刚记超市斜对面(还阳组团沪碳二期项目)</v>
      </c>
      <c r="J723" s="41" t="str">
        <f>VLOOKUP(B723,辅助信息!E:I,4,FALSE)</f>
        <v>张朝亮</v>
      </c>
      <c r="K723" s="41">
        <f>VLOOKUP(J723,辅助信息!H:I,2,FALSE)</f>
        <v>15228205853</v>
      </c>
      <c r="L723" s="79"/>
      <c r="M723" s="101">
        <v>45716</v>
      </c>
      <c r="N723" s="58"/>
      <c r="O723" s="58">
        <f ca="1" t="shared" si="20"/>
        <v>0</v>
      </c>
      <c r="P723" s="58">
        <f ca="1" t="shared" si="21"/>
        <v>243</v>
      </c>
      <c r="Q723" s="27" t="str">
        <f>VLOOKUP(B723,辅助信息!E:M,9,FALSE)</f>
        <v>ZTWM-CDGS-XS-2024-0169-中冶西部钢构-宜宾市南溪区幸福路东路,高县月江镇建设项目</v>
      </c>
      <c r="R723" s="27"/>
    </row>
    <row r="724" hidden="1" spans="2:18">
      <c r="B724" s="41" t="s">
        <v>106</v>
      </c>
      <c r="C724" s="71">
        <v>45714</v>
      </c>
      <c r="D724" s="41" t="str">
        <f>VLOOKUP(B724,辅助信息!E:K,7,FALSE)</f>
        <v>JWDDCD2024101600133</v>
      </c>
      <c r="E724" s="41" t="str">
        <f>VLOOKUP(F724,辅助信息!A:B,2,FALSE)</f>
        <v>螺纹钢</v>
      </c>
      <c r="F724" s="41" t="s">
        <v>28</v>
      </c>
      <c r="G724" s="37">
        <v>6</v>
      </c>
      <c r="H724" s="37">
        <f>_xlfn._xlws.FILTER('[1]2025年已发货'!$E:$E,'[1]2025年已发货'!$F:$F&amp;'[1]2025年已发货'!$C:$C&amp;'[1]2025年已发货'!$G:$G&amp;'[1]2025年已发货'!$H:$H=C724&amp;F724&amp;I724&amp;J724,"未发货")</f>
        <v>6</v>
      </c>
      <c r="I724" s="41" t="str">
        <f>VLOOKUP(B724,辅助信息!E:I,3,FALSE)</f>
        <v>（五冶钢构宜宾高县月江镇建设项目）  四川省宜宾市高县月江镇刚记超市斜对面(还阳组团沪碳二期项目)</v>
      </c>
      <c r="J724" s="41" t="str">
        <f>VLOOKUP(B724,辅助信息!E:I,4,FALSE)</f>
        <v>张朝亮</v>
      </c>
      <c r="K724" s="41">
        <f>VLOOKUP(J724,辅助信息!H:I,2,FALSE)</f>
        <v>15228205853</v>
      </c>
      <c r="L724" s="79"/>
      <c r="M724" s="101">
        <v>45716</v>
      </c>
      <c r="N724" s="58"/>
      <c r="O724" s="58">
        <f ca="1" t="shared" si="20"/>
        <v>0</v>
      </c>
      <c r="P724" s="58">
        <f ca="1" t="shared" si="21"/>
        <v>243</v>
      </c>
      <c r="Q724" s="27" t="str">
        <f>VLOOKUP(B724,辅助信息!E:M,9,FALSE)</f>
        <v>ZTWM-CDGS-XS-2024-0169-中冶西部钢构-宜宾市南溪区幸福路东路,高县月江镇建设项目</v>
      </c>
      <c r="R724" s="27"/>
    </row>
    <row r="725" hidden="1" spans="2:18">
      <c r="B725" s="41" t="s">
        <v>106</v>
      </c>
      <c r="C725" s="71">
        <v>45714</v>
      </c>
      <c r="D725" s="41" t="str">
        <f>VLOOKUP(B725,辅助信息!E:K,7,FALSE)</f>
        <v>JWDDCD2024101600133</v>
      </c>
      <c r="E725" s="41" t="str">
        <f>VLOOKUP(F725,辅助信息!A:B,2,FALSE)</f>
        <v>螺纹钢</v>
      </c>
      <c r="F725" s="41" t="s">
        <v>18</v>
      </c>
      <c r="G725" s="37">
        <v>6</v>
      </c>
      <c r="H725" s="37">
        <f>_xlfn._xlws.FILTER('[1]2025年已发货'!$E:$E,'[1]2025年已发货'!$F:$F&amp;'[1]2025年已发货'!$C:$C&amp;'[1]2025年已发货'!$G:$G&amp;'[1]2025年已发货'!$H:$H=C725&amp;F725&amp;I725&amp;J725,"未发货")</f>
        <v>6</v>
      </c>
      <c r="I725" s="41" t="str">
        <f>VLOOKUP(B725,辅助信息!E:I,3,FALSE)</f>
        <v>（五冶钢构宜宾高县月江镇建设项目）  四川省宜宾市高县月江镇刚记超市斜对面(还阳组团沪碳二期项目)</v>
      </c>
      <c r="J725" s="41" t="str">
        <f>VLOOKUP(B725,辅助信息!E:I,4,FALSE)</f>
        <v>张朝亮</v>
      </c>
      <c r="K725" s="41">
        <f>VLOOKUP(J725,辅助信息!H:I,2,FALSE)</f>
        <v>15228205853</v>
      </c>
      <c r="L725" s="77"/>
      <c r="M725" s="101">
        <v>45716</v>
      </c>
      <c r="N725" s="58"/>
      <c r="O725" s="58">
        <f ca="1" t="shared" si="20"/>
        <v>0</v>
      </c>
      <c r="P725" s="58">
        <f ca="1" t="shared" si="21"/>
        <v>243</v>
      </c>
      <c r="Q725" s="27" t="str">
        <f>VLOOKUP(B725,辅助信息!E:M,9,FALSE)</f>
        <v>ZTWM-CDGS-XS-2024-0169-中冶西部钢构-宜宾市南溪区幸福路东路,高县月江镇建设项目</v>
      </c>
      <c r="R725" s="27"/>
    </row>
    <row r="726" hidden="1" spans="2:18">
      <c r="B726" s="41" t="s">
        <v>107</v>
      </c>
      <c r="C726" s="71">
        <v>45714</v>
      </c>
      <c r="D726" s="41" t="str">
        <f>VLOOKUP(B726,辅助信息!E:K,7,FALSE)</f>
        <v>JWDDCD2024101600133</v>
      </c>
      <c r="E726" s="41" t="str">
        <f>VLOOKUP(F726,辅助信息!A:B,2,FALSE)</f>
        <v>螺纹钢</v>
      </c>
      <c r="F726" s="41" t="s">
        <v>27</v>
      </c>
      <c r="G726" s="37">
        <v>6</v>
      </c>
      <c r="H726" s="37">
        <f>_xlfn._xlws.FILTER('[1]2025年已发货'!$E:$E,'[1]2025年已发货'!$F:$F&amp;'[1]2025年已发货'!$C:$C&amp;'[1]2025年已发货'!$G:$G&amp;'[1]2025年已发货'!$H:$H=C726&amp;F726&amp;I726&amp;J726,"未发货")</f>
        <v>6</v>
      </c>
      <c r="I726" s="41" t="str">
        <f>VLOOKUP(B726,辅助信息!E:I,3,FALSE)</f>
        <v>(五冶钢构宜宾高县月江镇建设项目-2)四川省宜宾市高县月江镇高县宜宾保润汽车维修服务有限公司西南(S436西)(污水管网项目)</v>
      </c>
      <c r="J726" s="41" t="str">
        <f>VLOOKUP(B726,辅助信息!E:I,4,FALSE)</f>
        <v>张朝亮</v>
      </c>
      <c r="K726" s="41">
        <f>VLOOKUP(J726,辅助信息!H:I,2,FALSE)</f>
        <v>15228205853</v>
      </c>
      <c r="L726" s="78" t="str">
        <f>VLOOKUP(B726,辅助信息!E:J,6,FALSE)</f>
        <v>提前联系到场规格</v>
      </c>
      <c r="M726" s="101">
        <v>45716</v>
      </c>
      <c r="N726" s="58"/>
      <c r="O726" s="58">
        <f ca="1" t="shared" si="20"/>
        <v>0</v>
      </c>
      <c r="P726" s="58">
        <f ca="1" t="shared" si="21"/>
        <v>243</v>
      </c>
      <c r="Q726" s="27" t="str">
        <f>VLOOKUP(B726,辅助信息!E:M,9,FALSE)</f>
        <v>ZTWM-CDGS-XS-2024-0169-中冶西部钢构-宜宾市南溪区幸福路东路,高县月江镇建设项目</v>
      </c>
      <c r="R726" s="27"/>
    </row>
    <row r="727" hidden="1" spans="2:18">
      <c r="B727" s="41" t="s">
        <v>107</v>
      </c>
      <c r="C727" s="71">
        <v>45714</v>
      </c>
      <c r="D727" s="41" t="str">
        <f>VLOOKUP(B727,辅助信息!E:K,7,FALSE)</f>
        <v>JWDDCD2024101600133</v>
      </c>
      <c r="E727" s="41" t="str">
        <f>VLOOKUP(F727,辅助信息!A:B,2,FALSE)</f>
        <v>螺纹钢</v>
      </c>
      <c r="F727" s="41" t="s">
        <v>19</v>
      </c>
      <c r="G727" s="37">
        <v>6</v>
      </c>
      <c r="H727" s="37">
        <f>_xlfn._xlws.FILTER('[1]2025年已发货'!$E:$E,'[1]2025年已发货'!$F:$F&amp;'[1]2025年已发货'!$C:$C&amp;'[1]2025年已发货'!$G:$G&amp;'[1]2025年已发货'!$H:$H=C727&amp;F727&amp;I727&amp;J727,"未发货")</f>
        <v>6</v>
      </c>
      <c r="I727" s="41" t="str">
        <f>VLOOKUP(B727,辅助信息!E:I,3,FALSE)</f>
        <v>(五冶钢构宜宾高县月江镇建设项目-2)四川省宜宾市高县月江镇高县宜宾保润汽车维修服务有限公司西南(S436西)(污水管网项目)</v>
      </c>
      <c r="J727" s="41" t="str">
        <f>VLOOKUP(B727,辅助信息!E:I,4,FALSE)</f>
        <v>张朝亮</v>
      </c>
      <c r="K727" s="41">
        <f>VLOOKUP(J727,辅助信息!H:I,2,FALSE)</f>
        <v>15228205853</v>
      </c>
      <c r="L727" s="79"/>
      <c r="M727" s="101">
        <v>45716</v>
      </c>
      <c r="N727" s="58"/>
      <c r="O727" s="58">
        <f ca="1" t="shared" si="20"/>
        <v>0</v>
      </c>
      <c r="P727" s="58">
        <f ca="1" t="shared" si="21"/>
        <v>243</v>
      </c>
      <c r="Q727" s="27" t="str">
        <f>VLOOKUP(B727,辅助信息!E:M,9,FALSE)</f>
        <v>ZTWM-CDGS-XS-2024-0169-中冶西部钢构-宜宾市南溪区幸福路东路,高县月江镇建设项目</v>
      </c>
      <c r="R727" s="27"/>
    </row>
    <row r="728" hidden="1" spans="2:18">
      <c r="B728" s="41" t="s">
        <v>107</v>
      </c>
      <c r="C728" s="71">
        <v>45714</v>
      </c>
      <c r="D728" s="41" t="str">
        <f>VLOOKUP(B728,辅助信息!E:K,7,FALSE)</f>
        <v>JWDDCD2024101600133</v>
      </c>
      <c r="E728" s="41" t="str">
        <f>VLOOKUP(F728,辅助信息!A:B,2,FALSE)</f>
        <v>螺纹钢</v>
      </c>
      <c r="F728" s="41" t="s">
        <v>32</v>
      </c>
      <c r="G728" s="37">
        <v>6</v>
      </c>
      <c r="H728" s="37">
        <f>_xlfn._xlws.FILTER('[1]2025年已发货'!$E:$E,'[1]2025年已发货'!$F:$F&amp;'[1]2025年已发货'!$C:$C&amp;'[1]2025年已发货'!$G:$G&amp;'[1]2025年已发货'!$H:$H=C728&amp;F728&amp;I728&amp;J728,"未发货")</f>
        <v>6</v>
      </c>
      <c r="I728" s="41" t="str">
        <f>VLOOKUP(B728,辅助信息!E:I,3,FALSE)</f>
        <v>(五冶钢构宜宾高县月江镇建设项目-2)四川省宜宾市高县月江镇高县宜宾保润汽车维修服务有限公司西南(S436西)(污水管网项目)</v>
      </c>
      <c r="J728" s="41" t="str">
        <f>VLOOKUP(B728,辅助信息!E:I,4,FALSE)</f>
        <v>张朝亮</v>
      </c>
      <c r="K728" s="41">
        <f>VLOOKUP(J728,辅助信息!H:I,2,FALSE)</f>
        <v>15228205853</v>
      </c>
      <c r="L728" s="79"/>
      <c r="M728" s="101">
        <v>45716</v>
      </c>
      <c r="N728" s="58"/>
      <c r="O728" s="58">
        <f ca="1" t="shared" si="20"/>
        <v>0</v>
      </c>
      <c r="P728" s="58">
        <f ca="1" t="shared" si="21"/>
        <v>243</v>
      </c>
      <c r="Q728" s="27" t="str">
        <f>VLOOKUP(B728,辅助信息!E:M,9,FALSE)</f>
        <v>ZTWM-CDGS-XS-2024-0169-中冶西部钢构-宜宾市南溪区幸福路东路,高县月江镇建设项目</v>
      </c>
      <c r="R728" s="27"/>
    </row>
    <row r="729" hidden="1" spans="2:18">
      <c r="B729" s="41" t="s">
        <v>107</v>
      </c>
      <c r="C729" s="71">
        <v>45714</v>
      </c>
      <c r="D729" s="41" t="str">
        <f>VLOOKUP(B729,辅助信息!E:K,7,FALSE)</f>
        <v>JWDDCD2024101600133</v>
      </c>
      <c r="E729" s="41" t="str">
        <f>VLOOKUP(F729,辅助信息!A:B,2,FALSE)</f>
        <v>螺纹钢</v>
      </c>
      <c r="F729" s="41" t="s">
        <v>30</v>
      </c>
      <c r="G729" s="37">
        <v>9</v>
      </c>
      <c r="H729" s="37">
        <f>_xlfn._xlws.FILTER('[1]2025年已发货'!$E:$E,'[1]2025年已发货'!$F:$F&amp;'[1]2025年已发货'!$C:$C&amp;'[1]2025年已发货'!$G:$G&amp;'[1]2025年已发货'!$H:$H=C729&amp;F729&amp;I729&amp;J729,"未发货")</f>
        <v>9</v>
      </c>
      <c r="I729" s="41" t="str">
        <f>VLOOKUP(B729,辅助信息!E:I,3,FALSE)</f>
        <v>(五冶钢构宜宾高县月江镇建设项目-2)四川省宜宾市高县月江镇高县宜宾保润汽车维修服务有限公司西南(S436西)(污水管网项目)</v>
      </c>
      <c r="J729" s="41" t="str">
        <f>VLOOKUP(B729,辅助信息!E:I,4,FALSE)</f>
        <v>张朝亮</v>
      </c>
      <c r="K729" s="41">
        <f>VLOOKUP(J729,辅助信息!H:I,2,FALSE)</f>
        <v>15228205853</v>
      </c>
      <c r="L729" s="79"/>
      <c r="M729" s="101">
        <v>45716</v>
      </c>
      <c r="N729" s="58"/>
      <c r="O729" s="58">
        <f ca="1" t="shared" si="20"/>
        <v>0</v>
      </c>
      <c r="P729" s="58">
        <f ca="1" t="shared" si="21"/>
        <v>243</v>
      </c>
      <c r="Q729" s="27" t="str">
        <f>VLOOKUP(B729,辅助信息!E:M,9,FALSE)</f>
        <v>ZTWM-CDGS-XS-2024-0169-中冶西部钢构-宜宾市南溪区幸福路东路,高县月江镇建设项目</v>
      </c>
      <c r="R729" s="27"/>
    </row>
    <row r="730" hidden="1" spans="2:18">
      <c r="B730" s="41" t="s">
        <v>107</v>
      </c>
      <c r="C730" s="71">
        <v>45714</v>
      </c>
      <c r="D730" s="41" t="str">
        <f>VLOOKUP(B730,辅助信息!E:K,7,FALSE)</f>
        <v>JWDDCD2024101600133</v>
      </c>
      <c r="E730" s="41" t="str">
        <f>VLOOKUP(F730,辅助信息!A:B,2,FALSE)</f>
        <v>螺纹钢</v>
      </c>
      <c r="F730" s="41" t="s">
        <v>33</v>
      </c>
      <c r="G730" s="37">
        <v>12</v>
      </c>
      <c r="H730" s="37">
        <f>_xlfn._xlws.FILTER('[1]2025年已发货'!$E:$E,'[1]2025年已发货'!$F:$F&amp;'[1]2025年已发货'!$C:$C&amp;'[1]2025年已发货'!$G:$G&amp;'[1]2025年已发货'!$H:$H=C730&amp;F730&amp;I730&amp;J730,"未发货")</f>
        <v>12</v>
      </c>
      <c r="I730" s="41" t="str">
        <f>VLOOKUP(B730,辅助信息!E:I,3,FALSE)</f>
        <v>(五冶钢构宜宾高县月江镇建设项目-2)四川省宜宾市高县月江镇高县宜宾保润汽车维修服务有限公司西南(S436西)(污水管网项目)</v>
      </c>
      <c r="J730" s="41" t="str">
        <f>VLOOKUP(B730,辅助信息!E:I,4,FALSE)</f>
        <v>张朝亮</v>
      </c>
      <c r="K730" s="41">
        <f>VLOOKUP(J730,辅助信息!H:I,2,FALSE)</f>
        <v>15228205853</v>
      </c>
      <c r="L730" s="79"/>
      <c r="M730" s="101">
        <v>45716</v>
      </c>
      <c r="N730" s="58"/>
      <c r="O730" s="58">
        <f ca="1" t="shared" si="20"/>
        <v>0</v>
      </c>
      <c r="P730" s="58">
        <f ca="1" t="shared" si="21"/>
        <v>243</v>
      </c>
      <c r="Q730" s="27" t="str">
        <f>VLOOKUP(B730,辅助信息!E:M,9,FALSE)</f>
        <v>ZTWM-CDGS-XS-2024-0169-中冶西部钢构-宜宾市南溪区幸福路东路,高县月江镇建设项目</v>
      </c>
      <c r="R730" s="27"/>
    </row>
    <row r="731" hidden="1" spans="2:18">
      <c r="B731" s="41" t="s">
        <v>107</v>
      </c>
      <c r="C731" s="71">
        <v>45714</v>
      </c>
      <c r="D731" s="41" t="str">
        <f>VLOOKUP(B731,辅助信息!E:K,7,FALSE)</f>
        <v>JWDDCD2024101600133</v>
      </c>
      <c r="E731" s="41" t="str">
        <f>VLOOKUP(F731,辅助信息!A:B,2,FALSE)</f>
        <v>螺纹钢</v>
      </c>
      <c r="F731" s="41" t="s">
        <v>28</v>
      </c>
      <c r="G731" s="37">
        <v>12</v>
      </c>
      <c r="H731" s="37">
        <f>_xlfn._xlws.FILTER('[1]2025年已发货'!$E:$E,'[1]2025年已发货'!$F:$F&amp;'[1]2025年已发货'!$C:$C&amp;'[1]2025年已发货'!$G:$G&amp;'[1]2025年已发货'!$H:$H=C731&amp;F731&amp;I731&amp;J731,"未发货")</f>
        <v>12</v>
      </c>
      <c r="I731" s="41" t="str">
        <f>VLOOKUP(B731,辅助信息!E:I,3,FALSE)</f>
        <v>(五冶钢构宜宾高县月江镇建设项目-2)四川省宜宾市高县月江镇高县宜宾保润汽车维修服务有限公司西南(S436西)(污水管网项目)</v>
      </c>
      <c r="J731" s="41" t="str">
        <f>VLOOKUP(B731,辅助信息!E:I,4,FALSE)</f>
        <v>张朝亮</v>
      </c>
      <c r="K731" s="41">
        <f>VLOOKUP(J731,辅助信息!H:I,2,FALSE)</f>
        <v>15228205853</v>
      </c>
      <c r="L731" s="79"/>
      <c r="M731" s="101">
        <v>45716</v>
      </c>
      <c r="N731" s="58"/>
      <c r="O731" s="58">
        <f ca="1" t="shared" si="20"/>
        <v>0</v>
      </c>
      <c r="P731" s="58">
        <f ca="1" t="shared" si="21"/>
        <v>243</v>
      </c>
      <c r="Q731" s="27" t="str">
        <f>VLOOKUP(B731,辅助信息!E:M,9,FALSE)</f>
        <v>ZTWM-CDGS-XS-2024-0169-中冶西部钢构-宜宾市南溪区幸福路东路,高县月江镇建设项目</v>
      </c>
      <c r="R731" s="27"/>
    </row>
    <row r="732" hidden="1" spans="2:18">
      <c r="B732" s="41" t="s">
        <v>107</v>
      </c>
      <c r="C732" s="71">
        <v>45714</v>
      </c>
      <c r="D732" s="41" t="str">
        <f>VLOOKUP(B732,辅助信息!E:K,7,FALSE)</f>
        <v>JWDDCD2024101600133</v>
      </c>
      <c r="E732" s="41" t="str">
        <f>VLOOKUP(F732,辅助信息!A:B,2,FALSE)</f>
        <v>螺纹钢</v>
      </c>
      <c r="F732" s="41" t="s">
        <v>18</v>
      </c>
      <c r="G732" s="37">
        <v>18</v>
      </c>
      <c r="H732" s="37">
        <f>_xlfn._xlws.FILTER('[1]2025年已发货'!$E:$E,'[1]2025年已发货'!$F:$F&amp;'[1]2025年已发货'!$C:$C&amp;'[1]2025年已发货'!$G:$G&amp;'[1]2025年已发货'!$H:$H=C732&amp;F732&amp;I732&amp;J732,"未发货")</f>
        <v>18</v>
      </c>
      <c r="I732" s="41" t="str">
        <f>VLOOKUP(B732,辅助信息!E:I,3,FALSE)</f>
        <v>(五冶钢构宜宾高县月江镇建设项目-2)四川省宜宾市高县月江镇高县宜宾保润汽车维修服务有限公司西南(S436西)(污水管网项目)</v>
      </c>
      <c r="J732" s="41" t="str">
        <f>VLOOKUP(B732,辅助信息!E:I,4,FALSE)</f>
        <v>张朝亮</v>
      </c>
      <c r="K732" s="41">
        <f>VLOOKUP(J732,辅助信息!H:I,2,FALSE)</f>
        <v>15228205853</v>
      </c>
      <c r="L732" s="77"/>
      <c r="M732" s="101">
        <v>45716</v>
      </c>
      <c r="N732" s="58"/>
      <c r="O732" s="58">
        <f ca="1" t="shared" si="20"/>
        <v>0</v>
      </c>
      <c r="P732" s="58">
        <f ca="1" t="shared" si="21"/>
        <v>243</v>
      </c>
      <c r="Q732" s="27" t="str">
        <f>VLOOKUP(B732,辅助信息!E:M,9,FALSE)</f>
        <v>ZTWM-CDGS-XS-2024-0169-中冶西部钢构-宜宾市南溪区幸福路东路,高县月江镇建设项目</v>
      </c>
      <c r="R732" s="27"/>
    </row>
    <row r="733" hidden="1" spans="2:18">
      <c r="B733" s="41" t="s">
        <v>108</v>
      </c>
      <c r="C733" s="71">
        <v>45714</v>
      </c>
      <c r="D733" s="41" t="e">
        <f>VLOOKUP(B733,辅助信息!E:K,7,FALSE)</f>
        <v>#N/A</v>
      </c>
      <c r="E733" s="41" t="str">
        <f>VLOOKUP(F733,辅助信息!A:B,2,FALSE)</f>
        <v>高线</v>
      </c>
      <c r="F733" s="41" t="s">
        <v>53</v>
      </c>
      <c r="G733" s="37">
        <v>8</v>
      </c>
      <c r="H733" s="37" t="e">
        <f>_xlfn._xlws.FILTER('[1]2025年已发货'!$E:$E,'[1]2025年已发货'!$F:$F&amp;'[1]2025年已发货'!$C:$C&amp;'[1]2025年已发货'!$G:$G&amp;'[1]2025年已发货'!$H:$H=C733&amp;F733&amp;I733&amp;J733,"未发货")</f>
        <v>#N/A</v>
      </c>
      <c r="I733" s="41" t="e">
        <f>VLOOKUP(B733,辅助信息!E:I,3,FALSE)</f>
        <v>#N/A</v>
      </c>
      <c r="J733" s="41" t="e">
        <f>VLOOKUP(B733,辅助信息!E:I,4,FALSE)</f>
        <v>#N/A</v>
      </c>
      <c r="K733" s="41" t="e">
        <f>VLOOKUP(J733,辅助信息!H:I,2,FALSE)</f>
        <v>#N/A</v>
      </c>
      <c r="L733" s="78" t="e">
        <f>VLOOKUP(B733,辅助信息!E:J,6,FALSE)</f>
        <v>#N/A</v>
      </c>
      <c r="M733" s="101">
        <v>45717</v>
      </c>
      <c r="N733" s="58"/>
      <c r="O733" s="58">
        <f ca="1" t="shared" si="20"/>
        <v>0</v>
      </c>
      <c r="P733" s="58">
        <f ca="1" t="shared" si="21"/>
        <v>242</v>
      </c>
      <c r="Q733" s="27" t="e">
        <f>VLOOKUP(B733,辅助信息!E:M,9,FALSE)</f>
        <v>#N/A</v>
      </c>
      <c r="R733" s="27"/>
    </row>
    <row r="734" hidden="1" spans="2:18">
      <c r="B734" s="41" t="s">
        <v>108</v>
      </c>
      <c r="C734" s="71">
        <v>45714</v>
      </c>
      <c r="D734" s="41" t="e">
        <f>VLOOKUP(B734,辅助信息!E:K,7,FALSE)</f>
        <v>#N/A</v>
      </c>
      <c r="E734" s="41" t="str">
        <f>VLOOKUP(F734,辅助信息!A:B,2,FALSE)</f>
        <v>螺纹钢</v>
      </c>
      <c r="F734" s="41" t="s">
        <v>27</v>
      </c>
      <c r="G734" s="37">
        <v>36</v>
      </c>
      <c r="H734" s="37" t="e">
        <f>_xlfn._xlws.FILTER('[1]2025年已发货'!$E:$E,'[1]2025年已发货'!$F:$F&amp;'[1]2025年已发货'!$C:$C&amp;'[1]2025年已发货'!$G:$G&amp;'[1]2025年已发货'!$H:$H=C734&amp;F734&amp;I734&amp;J734,"未发货")</f>
        <v>#N/A</v>
      </c>
      <c r="I734" s="41" t="e">
        <f>VLOOKUP(B734,辅助信息!E:I,3,FALSE)</f>
        <v>#N/A</v>
      </c>
      <c r="J734" s="41" t="e">
        <f>VLOOKUP(B734,辅助信息!E:I,4,FALSE)</f>
        <v>#N/A</v>
      </c>
      <c r="K734" s="41" t="e">
        <f>VLOOKUP(J734,辅助信息!H:I,2,FALSE)</f>
        <v>#N/A</v>
      </c>
      <c r="L734" s="79"/>
      <c r="M734" s="101">
        <v>45717</v>
      </c>
      <c r="N734" s="58"/>
      <c r="O734" s="58">
        <f ca="1" t="shared" si="20"/>
        <v>0</v>
      </c>
      <c r="P734" s="58">
        <f ca="1" t="shared" si="21"/>
        <v>242</v>
      </c>
      <c r="Q734" s="27" t="e">
        <f>VLOOKUP(B734,辅助信息!E:M,9,FALSE)</f>
        <v>#N/A</v>
      </c>
      <c r="R734" s="27"/>
    </row>
    <row r="735" hidden="1" spans="2:18">
      <c r="B735" s="41" t="s">
        <v>108</v>
      </c>
      <c r="C735" s="71">
        <v>45714</v>
      </c>
      <c r="D735" s="41" t="e">
        <f>VLOOKUP(B735,辅助信息!E:K,7,FALSE)</f>
        <v>#N/A</v>
      </c>
      <c r="E735" s="41" t="str">
        <f>VLOOKUP(F735,辅助信息!A:B,2,FALSE)</f>
        <v>螺纹钢</v>
      </c>
      <c r="F735" s="41" t="s">
        <v>32</v>
      </c>
      <c r="G735" s="37">
        <v>27</v>
      </c>
      <c r="H735" s="37" t="e">
        <f>_xlfn._xlws.FILTER('[1]2025年已发货'!$E:$E,'[1]2025年已发货'!$F:$F&amp;'[1]2025年已发货'!$C:$C&amp;'[1]2025年已发货'!$G:$G&amp;'[1]2025年已发货'!$H:$H=C735&amp;F735&amp;I735&amp;J735,"未发货")</f>
        <v>#N/A</v>
      </c>
      <c r="I735" s="41" t="e">
        <f>VLOOKUP(B735,辅助信息!E:I,3,FALSE)</f>
        <v>#N/A</v>
      </c>
      <c r="J735" s="41" t="e">
        <f>VLOOKUP(B735,辅助信息!E:I,4,FALSE)</f>
        <v>#N/A</v>
      </c>
      <c r="K735" s="41" t="e">
        <f>VLOOKUP(J735,辅助信息!H:I,2,FALSE)</f>
        <v>#N/A</v>
      </c>
      <c r="L735" s="79"/>
      <c r="M735" s="101">
        <v>45717</v>
      </c>
      <c r="N735" s="58"/>
      <c r="O735" s="58">
        <f ca="1" t="shared" si="20"/>
        <v>0</v>
      </c>
      <c r="P735" s="58">
        <f ca="1" t="shared" si="21"/>
        <v>242</v>
      </c>
      <c r="Q735" s="27" t="e">
        <f>VLOOKUP(B735,辅助信息!E:M,9,FALSE)</f>
        <v>#N/A</v>
      </c>
      <c r="R735" s="27"/>
    </row>
    <row r="736" hidden="1" spans="2:18">
      <c r="B736" s="41" t="s">
        <v>108</v>
      </c>
      <c r="C736" s="71">
        <v>45714</v>
      </c>
      <c r="D736" s="41" t="e">
        <f>VLOOKUP(B736,辅助信息!E:K,7,FALSE)</f>
        <v>#N/A</v>
      </c>
      <c r="E736" s="41" t="str">
        <f>VLOOKUP(F736,辅助信息!A:B,2,FALSE)</f>
        <v>螺纹钢</v>
      </c>
      <c r="F736" s="41" t="s">
        <v>30</v>
      </c>
      <c r="G736" s="37">
        <v>60</v>
      </c>
      <c r="H736" s="37" t="e">
        <f>_xlfn._xlws.FILTER('[1]2025年已发货'!$E:$E,'[1]2025年已发货'!$F:$F&amp;'[1]2025年已发货'!$C:$C&amp;'[1]2025年已发货'!$G:$G&amp;'[1]2025年已发货'!$H:$H=C736&amp;F736&amp;I736&amp;J736,"未发货")</f>
        <v>#N/A</v>
      </c>
      <c r="I736" s="41" t="e">
        <f>VLOOKUP(B736,辅助信息!E:I,3,FALSE)</f>
        <v>#N/A</v>
      </c>
      <c r="J736" s="41" t="e">
        <f>VLOOKUP(B736,辅助信息!E:I,4,FALSE)</f>
        <v>#N/A</v>
      </c>
      <c r="K736" s="41" t="e">
        <f>VLOOKUP(J736,辅助信息!H:I,2,FALSE)</f>
        <v>#N/A</v>
      </c>
      <c r="L736" s="79"/>
      <c r="M736" s="101">
        <v>45717</v>
      </c>
      <c r="N736" s="58"/>
      <c r="O736" s="58">
        <f ca="1" t="shared" si="20"/>
        <v>0</v>
      </c>
      <c r="P736" s="58">
        <f ca="1" t="shared" si="21"/>
        <v>242</v>
      </c>
      <c r="Q736" s="27" t="e">
        <f>VLOOKUP(B736,辅助信息!E:M,9,FALSE)</f>
        <v>#N/A</v>
      </c>
      <c r="R736" s="27"/>
    </row>
    <row r="737" hidden="1" spans="2:18">
      <c r="B737" s="41" t="s">
        <v>108</v>
      </c>
      <c r="C737" s="71">
        <v>45714</v>
      </c>
      <c r="D737" s="41" t="e">
        <f>VLOOKUP(B737,辅助信息!E:K,7,FALSE)</f>
        <v>#N/A</v>
      </c>
      <c r="E737" s="41" t="str">
        <f>VLOOKUP(F737,辅助信息!A:B,2,FALSE)</f>
        <v>螺纹钢</v>
      </c>
      <c r="F737" s="41" t="s">
        <v>52</v>
      </c>
      <c r="G737" s="37">
        <v>10</v>
      </c>
      <c r="H737" s="37" t="e">
        <f>_xlfn._xlws.FILTER('[1]2025年已发货'!$E:$E,'[1]2025年已发货'!$F:$F&amp;'[1]2025年已发货'!$C:$C&amp;'[1]2025年已发货'!$G:$G&amp;'[1]2025年已发货'!$H:$H=C737&amp;F737&amp;I737&amp;J737,"未发货")</f>
        <v>#N/A</v>
      </c>
      <c r="I737" s="41" t="e">
        <f>VLOOKUP(B737,辅助信息!E:I,3,FALSE)</f>
        <v>#N/A</v>
      </c>
      <c r="J737" s="41" t="e">
        <f>VLOOKUP(B737,辅助信息!E:I,4,FALSE)</f>
        <v>#N/A</v>
      </c>
      <c r="K737" s="41" t="e">
        <f>VLOOKUP(J737,辅助信息!H:I,2,FALSE)</f>
        <v>#N/A</v>
      </c>
      <c r="L737" s="77"/>
      <c r="M737" s="101">
        <v>45717</v>
      </c>
      <c r="N737" s="58"/>
      <c r="O737" s="58">
        <f ca="1" t="shared" si="20"/>
        <v>0</v>
      </c>
      <c r="P737" s="58">
        <f ca="1" t="shared" si="21"/>
        <v>242</v>
      </c>
      <c r="Q737" s="27" t="e">
        <f>VLOOKUP(B737,辅助信息!E:M,9,FALSE)</f>
        <v>#N/A</v>
      </c>
      <c r="R737" s="27"/>
    </row>
    <row r="738" hidden="1" spans="2:18">
      <c r="B738" s="41" t="s">
        <v>69</v>
      </c>
      <c r="C738" s="71">
        <v>45714</v>
      </c>
      <c r="D738" s="41" t="str">
        <f>VLOOKUP(B738,辅助信息!E:K,7,FALSE)</f>
        <v>JWDDCD2025052800131</v>
      </c>
      <c r="E738" s="41" t="str">
        <f>VLOOKUP(F738,辅助信息!A:B,2,FALSE)</f>
        <v>盘螺</v>
      </c>
      <c r="F738" s="41" t="s">
        <v>40</v>
      </c>
      <c r="G738" s="37">
        <f>20*2.5</f>
        <v>50</v>
      </c>
      <c r="H738" s="37">
        <f>_xlfn._xlws.FILTER('[1]2025年已发货'!$E:$E,'[1]2025年已发货'!$F:$F&amp;'[1]2025年已发货'!$C:$C&amp;'[1]2025年已发货'!$G:$G&amp;'[1]2025年已发货'!$H:$H=C738&amp;F738&amp;I738&amp;J738,"未发货")</f>
        <v>35</v>
      </c>
      <c r="I738" s="41" t="str">
        <f>VLOOKUP(B738,辅助信息!E:I,3,FALSE)</f>
        <v>（商投建工达州中医药科技园-4工区-2号楼）达州市通川区达州中医药职业学院犀牛大道北段</v>
      </c>
      <c r="J738" s="41" t="str">
        <f>VLOOKUP(B738,辅助信息!E:I,4,FALSE)</f>
        <v>张扬</v>
      </c>
      <c r="K738" s="41">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243</v>
      </c>
      <c r="Q738" s="27" t="str">
        <f>VLOOKUP(B738,辅助信息!E:M,9,FALSE)</f>
        <v>ZTWM-CDGS-XS-2024-0134-商投建工达州中医药科技成果示范园项目</v>
      </c>
      <c r="R738" s="27"/>
    </row>
    <row r="739" hidden="1" spans="2:18">
      <c r="B739" s="41" t="s">
        <v>69</v>
      </c>
      <c r="C739" s="71">
        <v>45714</v>
      </c>
      <c r="D739" s="41" t="str">
        <f>VLOOKUP(B739,辅助信息!E:K,7,FALSE)</f>
        <v>JWDDCD2025052800131</v>
      </c>
      <c r="E739" s="41" t="str">
        <f>VLOOKUP(F739,辅助信息!A:B,2,FALSE)</f>
        <v>盘螺</v>
      </c>
      <c r="F739" s="41" t="s">
        <v>41</v>
      </c>
      <c r="G739" s="37">
        <f>10*2.5</f>
        <v>25</v>
      </c>
      <c r="H739" s="37" t="str">
        <f>_xlfn._xlws.FILTER('[1]2025年已发货'!$E:$E,'[1]2025年已发货'!$F:$F&amp;'[1]2025年已发货'!$C:$C&amp;'[1]2025年已发货'!$G:$G&amp;'[1]2025年已发货'!$H:$H=C739&amp;F739&amp;I739&amp;J739,"未发货")</f>
        <v>未发货</v>
      </c>
      <c r="I739" s="41" t="str">
        <f>VLOOKUP(B739,辅助信息!E:I,3,FALSE)</f>
        <v>（商投建工达州中医药科技园-4工区-2号楼）达州市通川区达州中医药职业学院犀牛大道北段</v>
      </c>
      <c r="J739" s="41" t="str">
        <f>VLOOKUP(B739,辅助信息!E:I,4,FALSE)</f>
        <v>张扬</v>
      </c>
      <c r="K739" s="41">
        <f>VLOOKUP(J739,辅助信息!H:I,2,FALSE)</f>
        <v>18381904567</v>
      </c>
      <c r="L739" s="77"/>
      <c r="M739" s="101">
        <v>45716</v>
      </c>
      <c r="N739" s="58"/>
      <c r="O739" s="58">
        <f ca="1" t="shared" si="20"/>
        <v>0</v>
      </c>
      <c r="P739" s="58">
        <f ca="1" t="shared" si="21"/>
        <v>243</v>
      </c>
      <c r="Q739" s="27" t="str">
        <f>VLOOKUP(B739,辅助信息!E:M,9,FALSE)</f>
        <v>ZTWM-CDGS-XS-2024-0134-商投建工达州中医药科技成果示范园项目</v>
      </c>
      <c r="R739" s="27"/>
    </row>
    <row r="740" hidden="1" spans="2:18">
      <c r="B740" s="41" t="s">
        <v>56</v>
      </c>
      <c r="C740" s="71">
        <v>45714</v>
      </c>
      <c r="D740" s="41" t="str">
        <f>VLOOKUP(B740,辅助信息!E:K,7,FALSE)</f>
        <v>JWDDCD2025052800131</v>
      </c>
      <c r="E740" s="41" t="str">
        <f>VLOOKUP(F740,辅助信息!A:B,2,FALSE)</f>
        <v>螺纹钢</v>
      </c>
      <c r="F740" s="41" t="s">
        <v>27</v>
      </c>
      <c r="G740" s="37">
        <v>12</v>
      </c>
      <c r="H740" s="37">
        <f>_xlfn._xlws.FILTER('[1]2025年已发货'!$E:$E,'[1]2025年已发货'!$F:$F&amp;'[1]2025年已发货'!$C:$C&amp;'[1]2025年已发货'!$G:$G&amp;'[1]2025年已发货'!$H:$H=C740&amp;F740&amp;I740&amp;J740,"未发货")</f>
        <v>12</v>
      </c>
      <c r="I740" s="41" t="str">
        <f>VLOOKUP(B740,辅助信息!E:I,3,FALSE)</f>
        <v>（商投建工达州中医药科技园-4工区-7号楼）达州市通川区达州中医药职业学院犀牛大道北段</v>
      </c>
      <c r="J740" s="41" t="str">
        <f>VLOOKUP(B740,辅助信息!E:I,4,FALSE)</f>
        <v>张扬</v>
      </c>
      <c r="K740" s="41">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243</v>
      </c>
      <c r="Q740" s="27" t="str">
        <f>VLOOKUP(B740,辅助信息!E:M,9,FALSE)</f>
        <v>ZTWM-CDGS-XS-2024-0134-商投建工达州中医药科技成果示范园项目</v>
      </c>
      <c r="R740" s="27"/>
    </row>
    <row r="741" hidden="1" spans="2:18">
      <c r="B741" s="41" t="s">
        <v>56</v>
      </c>
      <c r="C741" s="71">
        <v>45714</v>
      </c>
      <c r="D741" s="41" t="str">
        <f>VLOOKUP(B741,辅助信息!E:K,7,FALSE)</f>
        <v>JWDDCD2025052800131</v>
      </c>
      <c r="E741" s="41" t="str">
        <f>VLOOKUP(F741,辅助信息!A:B,2,FALSE)</f>
        <v>螺纹钢</v>
      </c>
      <c r="F741" s="41" t="s">
        <v>32</v>
      </c>
      <c r="G741" s="37">
        <v>12</v>
      </c>
      <c r="H741" s="37">
        <f>_xlfn._xlws.FILTER('[1]2025年已发货'!$E:$E,'[1]2025年已发货'!$F:$F&amp;'[1]2025年已发货'!$C:$C&amp;'[1]2025年已发货'!$G:$G&amp;'[1]2025年已发货'!$H:$H=C741&amp;F741&amp;I741&amp;J741,"未发货")</f>
        <v>12</v>
      </c>
      <c r="I741" s="41" t="str">
        <f>VLOOKUP(B741,辅助信息!E:I,3,FALSE)</f>
        <v>（商投建工达州中医药科技园-4工区-7号楼）达州市通川区达州中医药职业学院犀牛大道北段</v>
      </c>
      <c r="J741" s="41" t="str">
        <f>VLOOKUP(B741,辅助信息!E:I,4,FALSE)</f>
        <v>张扬</v>
      </c>
      <c r="K741" s="41">
        <f>VLOOKUP(J741,辅助信息!H:I,2,FALSE)</f>
        <v>18381904567</v>
      </c>
      <c r="L741" s="79"/>
      <c r="M741" s="101">
        <v>45716</v>
      </c>
      <c r="N741" s="58"/>
      <c r="O741" s="58">
        <f ca="1" t="shared" si="20"/>
        <v>0</v>
      </c>
      <c r="P741" s="58">
        <f ca="1" t="shared" si="21"/>
        <v>243</v>
      </c>
      <c r="Q741" s="27" t="str">
        <f>VLOOKUP(B741,辅助信息!E:M,9,FALSE)</f>
        <v>ZTWM-CDGS-XS-2024-0134-商投建工达州中医药科技成果示范园项目</v>
      </c>
      <c r="R741" s="27"/>
    </row>
    <row r="742" hidden="1" spans="2:18">
      <c r="B742" s="41" t="s">
        <v>56</v>
      </c>
      <c r="C742" s="71">
        <v>45714</v>
      </c>
      <c r="D742" s="41" t="str">
        <f>VLOOKUP(B742,辅助信息!E:K,7,FALSE)</f>
        <v>JWDDCD2025052800131</v>
      </c>
      <c r="E742" s="41" t="str">
        <f>VLOOKUP(F742,辅助信息!A:B,2,FALSE)</f>
        <v>螺纹钢</v>
      </c>
      <c r="F742" s="41" t="s">
        <v>30</v>
      </c>
      <c r="G742" s="37">
        <v>15</v>
      </c>
      <c r="H742" s="37" t="str">
        <f>_xlfn._xlws.FILTER('[1]2025年已发货'!$E:$E,'[1]2025年已发货'!$F:$F&amp;'[1]2025年已发货'!$C:$C&amp;'[1]2025年已发货'!$G:$G&amp;'[1]2025年已发货'!$H:$H=C742&amp;F742&amp;I742&amp;J742,"未发货")</f>
        <v>未发货</v>
      </c>
      <c r="I742" s="41" t="str">
        <f>VLOOKUP(B742,辅助信息!E:I,3,FALSE)</f>
        <v>（商投建工达州中医药科技园-4工区-7号楼）达州市通川区达州中医药职业学院犀牛大道北段</v>
      </c>
      <c r="J742" s="41" t="str">
        <f>VLOOKUP(B742,辅助信息!E:I,4,FALSE)</f>
        <v>张扬</v>
      </c>
      <c r="K742" s="41">
        <f>VLOOKUP(J742,辅助信息!H:I,2,FALSE)</f>
        <v>18381904567</v>
      </c>
      <c r="L742" s="79"/>
      <c r="M742" s="101">
        <v>45716</v>
      </c>
      <c r="N742" s="58"/>
      <c r="O742" s="58">
        <f ca="1" t="shared" si="20"/>
        <v>0</v>
      </c>
      <c r="P742" s="58">
        <f ca="1" t="shared" si="21"/>
        <v>243</v>
      </c>
      <c r="Q742" s="27" t="str">
        <f>VLOOKUP(B742,辅助信息!E:M,9,FALSE)</f>
        <v>ZTWM-CDGS-XS-2024-0134-商投建工达州中医药科技成果示范园项目</v>
      </c>
      <c r="R742" s="27"/>
    </row>
    <row r="743" hidden="1" spans="2:18">
      <c r="B743" s="41" t="s">
        <v>56</v>
      </c>
      <c r="C743" s="71">
        <v>45714</v>
      </c>
      <c r="D743" s="41" t="str">
        <f>VLOOKUP(B743,辅助信息!E:K,7,FALSE)</f>
        <v>JWDDCD2025052800131</v>
      </c>
      <c r="E743" s="41" t="str">
        <f>VLOOKUP(F743,辅助信息!A:B,2,FALSE)</f>
        <v>螺纹钢</v>
      </c>
      <c r="F743" s="41" t="s">
        <v>33</v>
      </c>
      <c r="G743" s="37">
        <v>12</v>
      </c>
      <c r="H743" s="37" t="str">
        <f>_xlfn._xlws.FILTER('[1]2025年已发货'!$E:$E,'[1]2025年已发货'!$F:$F&amp;'[1]2025年已发货'!$C:$C&amp;'[1]2025年已发货'!$G:$G&amp;'[1]2025年已发货'!$H:$H=C743&amp;F743&amp;I743&amp;J743,"未发货")</f>
        <v>未发货</v>
      </c>
      <c r="I743" s="41" t="str">
        <f>VLOOKUP(B743,辅助信息!E:I,3,FALSE)</f>
        <v>（商投建工达州中医药科技园-4工区-7号楼）达州市通川区达州中医药职业学院犀牛大道北段</v>
      </c>
      <c r="J743" s="41" t="str">
        <f>VLOOKUP(B743,辅助信息!E:I,4,FALSE)</f>
        <v>张扬</v>
      </c>
      <c r="K743" s="41">
        <f>VLOOKUP(J743,辅助信息!H:I,2,FALSE)</f>
        <v>18381904567</v>
      </c>
      <c r="L743" s="79"/>
      <c r="M743" s="101">
        <v>45716</v>
      </c>
      <c r="N743" s="58"/>
      <c r="O743" s="58">
        <f ca="1" t="shared" si="20"/>
        <v>0</v>
      </c>
      <c r="P743" s="58">
        <f ca="1" t="shared" si="21"/>
        <v>243</v>
      </c>
      <c r="Q743" s="27" t="str">
        <f>VLOOKUP(B743,辅助信息!E:M,9,FALSE)</f>
        <v>ZTWM-CDGS-XS-2024-0134-商投建工达州中医药科技成果示范园项目</v>
      </c>
      <c r="R743" s="27"/>
    </row>
    <row r="744" hidden="1" spans="2:18">
      <c r="B744" s="41" t="s">
        <v>56</v>
      </c>
      <c r="C744" s="71">
        <v>45714</v>
      </c>
      <c r="D744" s="41" t="str">
        <f>VLOOKUP(B744,辅助信息!E:K,7,FALSE)</f>
        <v>JWDDCD2025052800131</v>
      </c>
      <c r="E744" s="41" t="str">
        <f>VLOOKUP(F744,辅助信息!A:B,2,FALSE)</f>
        <v>螺纹钢</v>
      </c>
      <c r="F744" s="41" t="s">
        <v>28</v>
      </c>
      <c r="G744" s="37">
        <v>15</v>
      </c>
      <c r="H744" s="37">
        <f>_xlfn._xlws.FILTER('[1]2025年已发货'!$E:$E,'[1]2025年已发货'!$F:$F&amp;'[1]2025年已发货'!$C:$C&amp;'[1]2025年已发货'!$G:$G&amp;'[1]2025年已发货'!$H:$H=C744&amp;F744&amp;I744&amp;J744,"未发货")</f>
        <v>8</v>
      </c>
      <c r="I744" s="41" t="str">
        <f>VLOOKUP(B744,辅助信息!E:I,3,FALSE)</f>
        <v>（商投建工达州中医药科技园-4工区-7号楼）达州市通川区达州中医药职业学院犀牛大道北段</v>
      </c>
      <c r="J744" s="41" t="str">
        <f>VLOOKUP(B744,辅助信息!E:I,4,FALSE)</f>
        <v>张扬</v>
      </c>
      <c r="K744" s="41">
        <f>VLOOKUP(J744,辅助信息!H:I,2,FALSE)</f>
        <v>18381904567</v>
      </c>
      <c r="L744" s="79"/>
      <c r="M744" s="101">
        <v>45716</v>
      </c>
      <c r="N744" s="58"/>
      <c r="O744" s="58">
        <f ca="1" t="shared" si="20"/>
        <v>0</v>
      </c>
      <c r="P744" s="58">
        <f ca="1" t="shared" si="21"/>
        <v>243</v>
      </c>
      <c r="Q744" s="27" t="str">
        <f>VLOOKUP(B744,辅助信息!E:M,9,FALSE)</f>
        <v>ZTWM-CDGS-XS-2024-0134-商投建工达州中医药科技成果示范园项目</v>
      </c>
      <c r="R744" s="27"/>
    </row>
    <row r="745" hidden="1" spans="2:18">
      <c r="B745" s="41" t="s">
        <v>56</v>
      </c>
      <c r="C745" s="71">
        <v>45714</v>
      </c>
      <c r="D745" s="41" t="str">
        <f>VLOOKUP(B745,辅助信息!E:K,7,FALSE)</f>
        <v>JWDDCD2025052800131</v>
      </c>
      <c r="E745" s="41" t="str">
        <f>VLOOKUP(F745,辅助信息!A:B,2,FALSE)</f>
        <v>螺纹钢</v>
      </c>
      <c r="F745" s="41" t="s">
        <v>18</v>
      </c>
      <c r="G745" s="37">
        <v>12</v>
      </c>
      <c r="H745" s="37">
        <f>_xlfn._xlws.FILTER('[1]2025年已发货'!$E:$E,'[1]2025年已发货'!$F:$F&amp;'[1]2025年已发货'!$C:$C&amp;'[1]2025年已发货'!$G:$G&amp;'[1]2025年已发货'!$H:$H=C745&amp;F745&amp;I745&amp;J745,"未发货")</f>
        <v>5</v>
      </c>
      <c r="I745" s="41" t="str">
        <f>VLOOKUP(B745,辅助信息!E:I,3,FALSE)</f>
        <v>（商投建工达州中医药科技园-4工区-7号楼）达州市通川区达州中医药职业学院犀牛大道北段</v>
      </c>
      <c r="J745" s="41" t="str">
        <f>VLOOKUP(B745,辅助信息!E:I,4,FALSE)</f>
        <v>张扬</v>
      </c>
      <c r="K745" s="41">
        <f>VLOOKUP(J745,辅助信息!H:I,2,FALSE)</f>
        <v>18381904567</v>
      </c>
      <c r="L745" s="77"/>
      <c r="M745" s="101">
        <v>45716</v>
      </c>
      <c r="N745" s="58"/>
      <c r="O745" s="58">
        <f ca="1" t="shared" si="20"/>
        <v>0</v>
      </c>
      <c r="P745" s="58">
        <f ca="1" t="shared" si="21"/>
        <v>243</v>
      </c>
      <c r="Q745" s="27" t="str">
        <f>VLOOKUP(B745,辅助信息!E:M,9,FALSE)</f>
        <v>ZTWM-CDGS-XS-2024-0134-商投建工达州中医药科技成果示范园项目</v>
      </c>
      <c r="R745" s="27"/>
    </row>
    <row r="746" hidden="1" spans="2:18">
      <c r="B746" s="41" t="s">
        <v>20</v>
      </c>
      <c r="C746" s="71">
        <v>45714</v>
      </c>
      <c r="D746" s="41" t="str">
        <f>VLOOKUP(B746,辅助信息!E:K,7,FALSE)</f>
        <v>JWDDCD2025051000019</v>
      </c>
      <c r="E746" s="41" t="str">
        <f>VLOOKUP(F746,辅助信息!A:B,2,FALSE)</f>
        <v>盘螺</v>
      </c>
      <c r="F746" s="41" t="s">
        <v>49</v>
      </c>
      <c r="G746" s="37">
        <v>11</v>
      </c>
      <c r="H746" s="37">
        <f>_xlfn._xlws.FILTER('[1]2025年已发货'!$E:$E,'[1]2025年已发货'!$F:$F&amp;'[1]2025年已发货'!$C:$C&amp;'[1]2025年已发货'!$G:$G&amp;'[1]2025年已发货'!$H:$H=C746&amp;F746&amp;I746&amp;J746,"未发货")</f>
        <v>11</v>
      </c>
      <c r="I746" s="41" t="str">
        <f>VLOOKUP(B746,辅助信息!E:I,3,FALSE)</f>
        <v>(五冶钢构医学科学产业园建设项目房建三部-一标（7-2）)四川省南充市顺庆区搬罾街道学府大道二段</v>
      </c>
      <c r="J746" s="41" t="str">
        <f>VLOOKUP(B746,辅助信息!E:I,4,FALSE)</f>
        <v>郑林</v>
      </c>
      <c r="K746" s="41">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243</v>
      </c>
      <c r="Q746" s="27" t="str">
        <f>VLOOKUP(B746,辅助信息!E:M,9,FALSE)</f>
        <v>ZTWM-CDGS-XS-2024-0248-五冶钢构-南充市医学院项目</v>
      </c>
      <c r="R746" s="27"/>
    </row>
    <row r="747" hidden="1" spans="2:18">
      <c r="B747" s="41" t="s">
        <v>20</v>
      </c>
      <c r="C747" s="71">
        <v>45714</v>
      </c>
      <c r="D747" s="41" t="str">
        <f>VLOOKUP(B747,辅助信息!E:K,7,FALSE)</f>
        <v>JWDDCD2025051000019</v>
      </c>
      <c r="E747" s="41" t="str">
        <f>VLOOKUP(F747,辅助信息!A:B,2,FALSE)</f>
        <v>盘螺</v>
      </c>
      <c r="F747" s="41" t="s">
        <v>40</v>
      </c>
      <c r="G747" s="37">
        <v>18</v>
      </c>
      <c r="H747" s="37">
        <f>_xlfn._xlws.FILTER('[1]2025年已发货'!$E:$E,'[1]2025年已发货'!$F:$F&amp;'[1]2025年已发货'!$C:$C&amp;'[1]2025年已发货'!$G:$G&amp;'[1]2025年已发货'!$H:$H=C747&amp;F747&amp;I747&amp;J747,"未发货")</f>
        <v>18</v>
      </c>
      <c r="I747" s="41" t="str">
        <f>VLOOKUP(B747,辅助信息!E:I,3,FALSE)</f>
        <v>(五冶钢构医学科学产业园建设项目房建三部-一标（7-2）)四川省南充市顺庆区搬罾街道学府大道二段</v>
      </c>
      <c r="J747" s="41" t="str">
        <f>VLOOKUP(B747,辅助信息!E:I,4,FALSE)</f>
        <v>郑林</v>
      </c>
      <c r="K747" s="41">
        <f>VLOOKUP(J747,辅助信息!H:I,2,FALSE)</f>
        <v>18349955455</v>
      </c>
      <c r="L747" s="79"/>
      <c r="M747" s="101">
        <v>45716</v>
      </c>
      <c r="N747" s="58"/>
      <c r="O747" s="58">
        <f ca="1" t="shared" si="20"/>
        <v>0</v>
      </c>
      <c r="P747" s="58">
        <f ca="1" t="shared" si="21"/>
        <v>243</v>
      </c>
      <c r="Q747" s="27" t="str">
        <f>VLOOKUP(B747,辅助信息!E:M,9,FALSE)</f>
        <v>ZTWM-CDGS-XS-2024-0248-五冶钢构-南充市医学院项目</v>
      </c>
      <c r="R747" s="27"/>
    </row>
    <row r="748" hidden="1" spans="2:18">
      <c r="B748" s="41" t="s">
        <v>20</v>
      </c>
      <c r="C748" s="71">
        <v>45714</v>
      </c>
      <c r="D748" s="41" t="str">
        <f>VLOOKUP(B748,辅助信息!E:K,7,FALSE)</f>
        <v>JWDDCD2025051000019</v>
      </c>
      <c r="E748" s="41" t="str">
        <f>VLOOKUP(F748,辅助信息!A:B,2,FALSE)</f>
        <v>盘螺</v>
      </c>
      <c r="F748" s="41" t="s">
        <v>41</v>
      </c>
      <c r="G748" s="37">
        <v>9</v>
      </c>
      <c r="H748" s="37">
        <f>_xlfn._xlws.FILTER('[1]2025年已发货'!$E:$E,'[1]2025年已发货'!$F:$F&amp;'[1]2025年已发货'!$C:$C&amp;'[1]2025年已发货'!$G:$G&amp;'[1]2025年已发货'!$H:$H=C748&amp;F748&amp;I748&amp;J748,"未发货")</f>
        <v>9</v>
      </c>
      <c r="I748" s="41" t="str">
        <f>VLOOKUP(B748,辅助信息!E:I,3,FALSE)</f>
        <v>(五冶钢构医学科学产业园建设项目房建三部-一标（7-2）)四川省南充市顺庆区搬罾街道学府大道二段</v>
      </c>
      <c r="J748" s="41" t="str">
        <f>VLOOKUP(B748,辅助信息!E:I,4,FALSE)</f>
        <v>郑林</v>
      </c>
      <c r="K748" s="41">
        <f>VLOOKUP(J748,辅助信息!H:I,2,FALSE)</f>
        <v>18349955455</v>
      </c>
      <c r="L748" s="79"/>
      <c r="M748" s="101">
        <v>45716</v>
      </c>
      <c r="N748" s="58"/>
      <c r="O748" s="58">
        <f ca="1" t="shared" si="20"/>
        <v>0</v>
      </c>
      <c r="P748" s="58">
        <f ca="1" t="shared" si="21"/>
        <v>243</v>
      </c>
      <c r="Q748" s="27" t="str">
        <f>VLOOKUP(B748,辅助信息!E:M,9,FALSE)</f>
        <v>ZTWM-CDGS-XS-2024-0248-五冶钢构-南充市医学院项目</v>
      </c>
      <c r="R748" s="27"/>
    </row>
    <row r="749" hidden="1" spans="2:18">
      <c r="B749" s="41" t="s">
        <v>20</v>
      </c>
      <c r="C749" s="71">
        <v>45714</v>
      </c>
      <c r="D749" s="41" t="str">
        <f>VLOOKUP(B749,辅助信息!E:K,7,FALSE)</f>
        <v>JWDDCD2025051000019</v>
      </c>
      <c r="E749" s="41" t="str">
        <f>VLOOKUP(F749,辅助信息!A:B,2,FALSE)</f>
        <v>螺纹钢</v>
      </c>
      <c r="F749" s="41" t="s">
        <v>27</v>
      </c>
      <c r="G749" s="37">
        <v>10</v>
      </c>
      <c r="H749" s="37">
        <f>_xlfn._xlws.FILTER('[1]2025年已发货'!$E:$E,'[1]2025年已发货'!$F:$F&amp;'[1]2025年已发货'!$C:$C&amp;'[1]2025年已发货'!$G:$G&amp;'[1]2025年已发货'!$H:$H=C749&amp;F749&amp;I749&amp;J749,"未发货")</f>
        <v>10</v>
      </c>
      <c r="I749" s="41" t="str">
        <f>VLOOKUP(B749,辅助信息!E:I,3,FALSE)</f>
        <v>(五冶钢构医学科学产业园建设项目房建三部-一标（7-2）)四川省南充市顺庆区搬罾街道学府大道二段</v>
      </c>
      <c r="J749" s="41" t="str">
        <f>VLOOKUP(B749,辅助信息!E:I,4,FALSE)</f>
        <v>郑林</v>
      </c>
      <c r="K749" s="41">
        <f>VLOOKUP(J749,辅助信息!H:I,2,FALSE)</f>
        <v>18349955455</v>
      </c>
      <c r="L749" s="79"/>
      <c r="M749" s="101">
        <v>45716</v>
      </c>
      <c r="N749" s="58"/>
      <c r="O749" s="58">
        <f ca="1" t="shared" si="20"/>
        <v>0</v>
      </c>
      <c r="P749" s="58">
        <f ca="1" t="shared" si="21"/>
        <v>243</v>
      </c>
      <c r="Q749" s="27" t="str">
        <f>VLOOKUP(B749,辅助信息!E:M,9,FALSE)</f>
        <v>ZTWM-CDGS-XS-2024-0248-五冶钢构-南充市医学院项目</v>
      </c>
      <c r="R749" s="27"/>
    </row>
    <row r="750" hidden="1" spans="2:18">
      <c r="B750" s="41" t="s">
        <v>20</v>
      </c>
      <c r="C750" s="71">
        <v>45714</v>
      </c>
      <c r="D750" s="41" t="str">
        <f>VLOOKUP(B750,辅助信息!E:K,7,FALSE)</f>
        <v>JWDDCD2025051000019</v>
      </c>
      <c r="E750" s="41" t="str">
        <f>VLOOKUP(F750,辅助信息!A:B,2,FALSE)</f>
        <v>螺纹钢</v>
      </c>
      <c r="F750" s="41" t="s">
        <v>19</v>
      </c>
      <c r="G750" s="37">
        <v>24</v>
      </c>
      <c r="H750" s="37">
        <f>_xlfn._xlws.FILTER('[1]2025年已发货'!$E:$E,'[1]2025年已发货'!$F:$F&amp;'[1]2025年已发货'!$C:$C&amp;'[1]2025年已发货'!$G:$G&amp;'[1]2025年已发货'!$H:$H=C750&amp;F750&amp;I750&amp;J750,"未发货")</f>
        <v>24</v>
      </c>
      <c r="I750" s="41" t="str">
        <f>VLOOKUP(B750,辅助信息!E:I,3,FALSE)</f>
        <v>(五冶钢构医学科学产业园建设项目房建三部-一标（7-2）)四川省南充市顺庆区搬罾街道学府大道二段</v>
      </c>
      <c r="J750" s="41" t="str">
        <f>VLOOKUP(B750,辅助信息!E:I,4,FALSE)</f>
        <v>郑林</v>
      </c>
      <c r="K750" s="41">
        <f>VLOOKUP(J750,辅助信息!H:I,2,FALSE)</f>
        <v>18349955455</v>
      </c>
      <c r="L750" s="79"/>
      <c r="M750" s="101">
        <v>45716</v>
      </c>
      <c r="N750" s="58"/>
      <c r="O750" s="58">
        <f ca="1" t="shared" si="20"/>
        <v>0</v>
      </c>
      <c r="P750" s="58">
        <f ca="1" t="shared" si="21"/>
        <v>243</v>
      </c>
      <c r="Q750" s="27" t="str">
        <f>VLOOKUP(B750,辅助信息!E:M,9,FALSE)</f>
        <v>ZTWM-CDGS-XS-2024-0248-五冶钢构-南充市医学院项目</v>
      </c>
      <c r="R750" s="27"/>
    </row>
    <row r="751" hidden="1" spans="2:18">
      <c r="B751" s="41" t="s">
        <v>20</v>
      </c>
      <c r="C751" s="71">
        <v>45714</v>
      </c>
      <c r="D751" s="41" t="str">
        <f>VLOOKUP(B751,辅助信息!E:K,7,FALSE)</f>
        <v>JWDDCD2025051000019</v>
      </c>
      <c r="E751" s="41" t="str">
        <f>VLOOKUP(F751,辅助信息!A:B,2,FALSE)</f>
        <v>螺纹钢</v>
      </c>
      <c r="F751" s="41" t="s">
        <v>30</v>
      </c>
      <c r="G751" s="37">
        <v>30</v>
      </c>
      <c r="H751" s="37">
        <f>_xlfn._xlws.FILTER('[1]2025年已发货'!$E:$E,'[1]2025年已发货'!$F:$F&amp;'[1]2025年已发货'!$C:$C&amp;'[1]2025年已发货'!$G:$G&amp;'[1]2025年已发货'!$H:$H=C751&amp;F751&amp;I751&amp;J751,"未发货")</f>
        <v>30</v>
      </c>
      <c r="I751" s="41" t="str">
        <f>VLOOKUP(B751,辅助信息!E:I,3,FALSE)</f>
        <v>(五冶钢构医学科学产业园建设项目房建三部-一标（7-2）)四川省南充市顺庆区搬罾街道学府大道二段</v>
      </c>
      <c r="J751" s="41" t="str">
        <f>VLOOKUP(B751,辅助信息!E:I,4,FALSE)</f>
        <v>郑林</v>
      </c>
      <c r="K751" s="41">
        <f>VLOOKUP(J751,辅助信息!H:I,2,FALSE)</f>
        <v>18349955455</v>
      </c>
      <c r="L751" s="77"/>
      <c r="M751" s="101">
        <v>45716</v>
      </c>
      <c r="N751" s="58"/>
      <c r="O751" s="58">
        <f ca="1" t="shared" si="20"/>
        <v>0</v>
      </c>
      <c r="P751" s="63">
        <f ca="1" t="shared" si="21"/>
        <v>243</v>
      </c>
      <c r="Q751" s="27" t="str">
        <f>VLOOKUP(B751,辅助信息!E:M,9,FALSE)</f>
        <v>ZTWM-CDGS-XS-2024-0248-五冶钢构-南充市医学院项目</v>
      </c>
      <c r="R751" s="27"/>
    </row>
    <row r="752" hidden="1" spans="2:18">
      <c r="B752" s="41" t="s">
        <v>98</v>
      </c>
      <c r="C752" s="71">
        <v>45714</v>
      </c>
      <c r="D752" s="41" t="e">
        <f>VLOOKUP(B752,辅助信息!E:K,7,FALSE)</f>
        <v>#N/A</v>
      </c>
      <c r="E752" s="41" t="str">
        <f>VLOOKUP(F752,辅助信息!A:B,2,FALSE)</f>
        <v>盘螺</v>
      </c>
      <c r="F752" s="41" t="s">
        <v>41</v>
      </c>
      <c r="G752" s="37">
        <v>8</v>
      </c>
      <c r="H752" s="37" t="e">
        <f>_xlfn._xlws.FILTER('[1]2025年已发货'!$E:$E,'[1]2025年已发货'!$F:$F&amp;'[1]2025年已发货'!$C:$C&amp;'[1]2025年已发货'!$G:$G&amp;'[1]2025年已发货'!$H:$H=C752&amp;F752&amp;I752&amp;J752,"未发货")</f>
        <v>#N/A</v>
      </c>
      <c r="I752" s="41" t="e">
        <f>VLOOKUP(B752,辅助信息!E:I,3,FALSE)</f>
        <v>#N/A</v>
      </c>
      <c r="J752" s="41" t="e">
        <f>VLOOKUP(B752,辅助信息!E:I,4,FALSE)</f>
        <v>#N/A</v>
      </c>
      <c r="K752" s="41" t="e">
        <f>VLOOKUP(J752,辅助信息!H:I,2,FALSE)</f>
        <v>#N/A</v>
      </c>
      <c r="L752" s="78" t="e">
        <f>VLOOKUP(B752,辅助信息!E:J,6,FALSE)</f>
        <v>#N/A</v>
      </c>
      <c r="M752" s="101">
        <v>45716</v>
      </c>
      <c r="N752" s="58"/>
      <c r="O752" s="58">
        <f ca="1" t="shared" si="20"/>
        <v>0</v>
      </c>
      <c r="P752" s="63">
        <f ca="1" t="shared" si="21"/>
        <v>243</v>
      </c>
      <c r="Q752" s="27" t="e">
        <f>VLOOKUP(B752,辅助信息!E:M,9,FALSE)</f>
        <v>#N/A</v>
      </c>
      <c r="R752" s="27"/>
    </row>
    <row r="753" hidden="1" spans="2:18">
      <c r="B753" s="41" t="s">
        <v>98</v>
      </c>
      <c r="C753" s="71">
        <v>45714</v>
      </c>
      <c r="D753" s="41" t="e">
        <f>VLOOKUP(B753,辅助信息!E:K,7,FALSE)</f>
        <v>#N/A</v>
      </c>
      <c r="E753" s="41" t="str">
        <f>VLOOKUP(F753,辅助信息!A:B,2,FALSE)</f>
        <v>螺纹钢</v>
      </c>
      <c r="F753" s="41" t="s">
        <v>27</v>
      </c>
      <c r="G753" s="37">
        <v>8</v>
      </c>
      <c r="H753" s="37" t="e">
        <f>_xlfn._xlws.FILTER('[1]2025年已发货'!$E:$E,'[1]2025年已发货'!$F:$F&amp;'[1]2025年已发货'!$C:$C&amp;'[1]2025年已发货'!$G:$G&amp;'[1]2025年已发货'!$H:$H=C753&amp;F753&amp;I753&amp;J753,"未发货")</f>
        <v>#N/A</v>
      </c>
      <c r="I753" s="41" t="e">
        <f>VLOOKUP(B753,辅助信息!E:I,3,FALSE)</f>
        <v>#N/A</v>
      </c>
      <c r="J753" s="41" t="e">
        <f>VLOOKUP(B753,辅助信息!E:I,4,FALSE)</f>
        <v>#N/A</v>
      </c>
      <c r="K753" s="41" t="e">
        <f>VLOOKUP(J753,辅助信息!H:I,2,FALSE)</f>
        <v>#N/A</v>
      </c>
      <c r="L753" s="79"/>
      <c r="M753" s="101">
        <v>45716</v>
      </c>
      <c r="N753" s="58"/>
      <c r="O753" s="58">
        <f ca="1" t="shared" si="20"/>
        <v>0</v>
      </c>
      <c r="P753" s="63">
        <f ca="1" t="shared" si="21"/>
        <v>243</v>
      </c>
      <c r="Q753" s="27" t="e">
        <f>VLOOKUP(B753,辅助信息!E:M,9,FALSE)</f>
        <v>#N/A</v>
      </c>
      <c r="R753" s="27"/>
    </row>
    <row r="754" hidden="1" spans="2:18">
      <c r="B754" s="41" t="s">
        <v>98</v>
      </c>
      <c r="C754" s="71">
        <v>45714</v>
      </c>
      <c r="D754" s="41" t="e">
        <f>VLOOKUP(B754,辅助信息!E:K,7,FALSE)</f>
        <v>#N/A</v>
      </c>
      <c r="E754" s="41" t="str">
        <f>VLOOKUP(F754,辅助信息!A:B,2,FALSE)</f>
        <v>螺纹钢</v>
      </c>
      <c r="F754" s="41" t="s">
        <v>19</v>
      </c>
      <c r="G754" s="37">
        <v>20</v>
      </c>
      <c r="H754" s="37" t="e">
        <f>_xlfn._xlws.FILTER('[1]2025年已发货'!$E:$E,'[1]2025年已发货'!$F:$F&amp;'[1]2025年已发货'!$C:$C&amp;'[1]2025年已发货'!$G:$G&amp;'[1]2025年已发货'!$H:$H=C754&amp;F754&amp;I754&amp;J754,"未发货")</f>
        <v>#N/A</v>
      </c>
      <c r="I754" s="41" t="e">
        <f>VLOOKUP(B754,辅助信息!E:I,3,FALSE)</f>
        <v>#N/A</v>
      </c>
      <c r="J754" s="41" t="e">
        <f>VLOOKUP(B754,辅助信息!E:I,4,FALSE)</f>
        <v>#N/A</v>
      </c>
      <c r="K754" s="41" t="e">
        <f>VLOOKUP(J754,辅助信息!H:I,2,FALSE)</f>
        <v>#N/A</v>
      </c>
      <c r="L754" s="77"/>
      <c r="M754" s="101">
        <v>45716</v>
      </c>
      <c r="N754" s="58"/>
      <c r="O754" s="58">
        <f ca="1" t="shared" si="20"/>
        <v>0</v>
      </c>
      <c r="P754" s="63">
        <f ca="1" t="shared" si="21"/>
        <v>243</v>
      </c>
      <c r="Q754" s="27" t="e">
        <f>VLOOKUP(B754,辅助信息!E:M,9,FALSE)</f>
        <v>#N/A</v>
      </c>
      <c r="R754" s="27"/>
    </row>
    <row r="755" hidden="1" spans="2:18">
      <c r="B755" s="41" t="s">
        <v>31</v>
      </c>
      <c r="C755" s="71">
        <v>45715</v>
      </c>
      <c r="D755" s="41" t="str">
        <f>VLOOKUP(B755,辅助信息!E:K,7,FALSE)</f>
        <v>JWDDCD2024121000136</v>
      </c>
      <c r="E755" s="41" t="str">
        <f>VLOOKUP(F755,辅助信息!A:B,2,FALSE)</f>
        <v>盘螺</v>
      </c>
      <c r="F755" s="41" t="s">
        <v>40</v>
      </c>
      <c r="G755" s="37">
        <v>51</v>
      </c>
      <c r="H755" s="37">
        <f>_xlfn._xlws.FILTER('[1]2025年已发货'!$E:$E,'[1]2025年已发货'!$F:$F&amp;'[1]2025年已发货'!$C:$C&amp;'[1]2025年已发货'!$G:$G&amp;'[1]2025年已发货'!$H:$H=C755&amp;F755&amp;I755&amp;J755,"未发货")</f>
        <v>51</v>
      </c>
      <c r="I755" s="41" t="str">
        <f>VLOOKUP(B755,辅助信息!E:I,3,FALSE)</f>
        <v>（四川商建-射洪城乡一体化项目）遂宁市射洪市忠新幼儿园北侧约220米新溪小区</v>
      </c>
      <c r="J755" s="41" t="str">
        <f>VLOOKUP(B755,辅助信息!E:I,4,FALSE)</f>
        <v>柏子刚</v>
      </c>
      <c r="K755" s="41">
        <f>VLOOKUP(J755,辅助信息!H:I,2,FALSE)</f>
        <v>15692885305</v>
      </c>
      <c r="L755" s="81" t="str">
        <f>VLOOKUP(B755,辅助信息!E:J,6,FALSE)</f>
        <v>提前联系到场规格及数量</v>
      </c>
      <c r="M755" s="101">
        <v>45716</v>
      </c>
      <c r="N755" s="58"/>
      <c r="O755" s="58">
        <f ca="1" t="shared" si="20"/>
        <v>0</v>
      </c>
      <c r="P755" s="63">
        <f ca="1" t="shared" si="21"/>
        <v>243</v>
      </c>
      <c r="Q755" s="27" t="str">
        <f>VLOOKUP(B755,辅助信息!E:M,9,FALSE)</f>
        <v>ZTWM-CDGS-XS-2024-0179-四川商投-射洪城乡一体化建设项目</v>
      </c>
      <c r="R755" s="27"/>
    </row>
    <row r="756" hidden="1" spans="2:18">
      <c r="B756" s="41" t="s">
        <v>31</v>
      </c>
      <c r="C756" s="71">
        <v>45715</v>
      </c>
      <c r="D756" s="41" t="str">
        <f>VLOOKUP(B756,辅助信息!E:K,7,FALSE)</f>
        <v>JWDDCD2024121000136</v>
      </c>
      <c r="E756" s="41" t="str">
        <f>VLOOKUP(F756,辅助信息!A:B,2,FALSE)</f>
        <v>螺纹钢</v>
      </c>
      <c r="F756" s="41" t="s">
        <v>27</v>
      </c>
      <c r="G756" s="37">
        <v>27</v>
      </c>
      <c r="H756" s="37">
        <v>26</v>
      </c>
      <c r="I756" s="41" t="str">
        <f>VLOOKUP(B756,辅助信息!E:I,3,FALSE)</f>
        <v>（四川商建-射洪城乡一体化项目）遂宁市射洪市忠新幼儿园北侧约220米新溪小区</v>
      </c>
      <c r="J756" s="41" t="str">
        <f>VLOOKUP(B756,辅助信息!E:I,4,FALSE)</f>
        <v>柏子刚</v>
      </c>
      <c r="K756" s="41">
        <f>VLOOKUP(J756,辅助信息!H:I,2,FALSE)</f>
        <v>15692885305</v>
      </c>
      <c r="M756" s="101">
        <v>45716</v>
      </c>
      <c r="N756" s="58"/>
      <c r="O756" s="58">
        <f ca="1" t="shared" si="20"/>
        <v>0</v>
      </c>
      <c r="P756" s="63">
        <f ca="1" t="shared" si="21"/>
        <v>243</v>
      </c>
      <c r="Q756" s="27" t="str">
        <f>VLOOKUP(B756,辅助信息!E:M,9,FALSE)</f>
        <v>ZTWM-CDGS-XS-2024-0179-四川商投-射洪城乡一体化建设项目</v>
      </c>
      <c r="R756" s="27"/>
    </row>
    <row r="757" hidden="1" spans="2:18">
      <c r="B757" s="41" t="s">
        <v>31</v>
      </c>
      <c r="C757" s="71">
        <v>45715</v>
      </c>
      <c r="D757" s="41" t="str">
        <f>VLOOKUP(B757,辅助信息!E:K,7,FALSE)</f>
        <v>JWDDCD2024121000136</v>
      </c>
      <c r="E757" s="41" t="str">
        <f>VLOOKUP(F757,辅助信息!A:B,2,FALSE)</f>
        <v>螺纹钢</v>
      </c>
      <c r="F757" s="41" t="s">
        <v>30</v>
      </c>
      <c r="G757" s="37">
        <v>24</v>
      </c>
      <c r="H757" s="37">
        <f>_xlfn._xlws.FILTER('[1]2025年已发货'!$E:$E,'[1]2025年已发货'!$F:$F&amp;'[1]2025年已发货'!$C:$C&amp;'[1]2025年已发货'!$G:$G&amp;'[1]2025年已发货'!$H:$H=C757&amp;F757&amp;I757&amp;J757,"未发货")</f>
        <v>24</v>
      </c>
      <c r="I757" s="41" t="str">
        <f>VLOOKUP(B757,辅助信息!E:I,3,FALSE)</f>
        <v>（四川商建-射洪城乡一体化项目）遂宁市射洪市忠新幼儿园北侧约220米新溪小区</v>
      </c>
      <c r="J757" s="41" t="str">
        <f>VLOOKUP(B757,辅助信息!E:I,4,FALSE)</f>
        <v>柏子刚</v>
      </c>
      <c r="K757" s="41">
        <f>VLOOKUP(J757,辅助信息!H:I,2,FALSE)</f>
        <v>15692885305</v>
      </c>
      <c r="M757" s="101">
        <v>45716</v>
      </c>
      <c r="N757" s="58"/>
      <c r="O757" s="58">
        <f ca="1" t="shared" si="20"/>
        <v>0</v>
      </c>
      <c r="P757" s="63">
        <f ca="1" t="shared" si="21"/>
        <v>243</v>
      </c>
      <c r="Q757" s="27" t="str">
        <f>VLOOKUP(B757,辅助信息!E:M,9,FALSE)</f>
        <v>ZTWM-CDGS-XS-2024-0179-四川商投-射洪城乡一体化建设项目</v>
      </c>
      <c r="R757" s="27"/>
    </row>
    <row r="758" hidden="1" spans="2:18">
      <c r="B758" s="41" t="s">
        <v>31</v>
      </c>
      <c r="C758" s="71">
        <v>45715</v>
      </c>
      <c r="D758" s="41" t="str">
        <f>VLOOKUP(B758,辅助信息!E:K,7,FALSE)</f>
        <v>JWDDCD2024121000136</v>
      </c>
      <c r="E758" s="41" t="str">
        <f>VLOOKUP(F758,辅助信息!A:B,2,FALSE)</f>
        <v>螺纹钢</v>
      </c>
      <c r="F758" s="41" t="s">
        <v>18</v>
      </c>
      <c r="G758" s="37">
        <v>6</v>
      </c>
      <c r="H758" s="37">
        <f>_xlfn._xlws.FILTER('[1]2025年已发货'!$E:$E,'[1]2025年已发货'!$F:$F&amp;'[1]2025年已发货'!$C:$C&amp;'[1]2025年已发货'!$G:$G&amp;'[1]2025年已发货'!$H:$H=C758&amp;F758&amp;I758&amp;J758,"未发货")</f>
        <v>6</v>
      </c>
      <c r="I758" s="41" t="str">
        <f>VLOOKUP(B758,辅助信息!E:I,3,FALSE)</f>
        <v>（四川商建-射洪城乡一体化项目）遂宁市射洪市忠新幼儿园北侧约220米新溪小区</v>
      </c>
      <c r="J758" s="41" t="str">
        <f>VLOOKUP(B758,辅助信息!E:I,4,FALSE)</f>
        <v>柏子刚</v>
      </c>
      <c r="K758" s="41">
        <f>VLOOKUP(J758,辅助信息!H:I,2,FALSE)</f>
        <v>15692885305</v>
      </c>
      <c r="M758" s="101">
        <v>45716</v>
      </c>
      <c r="N758" s="58"/>
      <c r="O758" s="58">
        <f ca="1" t="shared" si="20"/>
        <v>0</v>
      </c>
      <c r="P758" s="63">
        <f ca="1" t="shared" si="21"/>
        <v>243</v>
      </c>
      <c r="Q758" s="27" t="str">
        <f>VLOOKUP(B758,辅助信息!E:M,9,FALSE)</f>
        <v>ZTWM-CDGS-XS-2024-0179-四川商投-射洪城乡一体化建设项目</v>
      </c>
      <c r="R758" s="27"/>
    </row>
    <row r="759" ht="45" hidden="1" customHeight="1" spans="2:18">
      <c r="B759" s="41" t="s">
        <v>75</v>
      </c>
      <c r="C759" s="71">
        <v>45715</v>
      </c>
      <c r="D759" s="41" t="e">
        <f>VLOOKUP(B759,辅助信息!E:K,7,FALSE)</f>
        <v>#N/A</v>
      </c>
      <c r="E759" s="41" t="str">
        <f>VLOOKUP(F759,辅助信息!A:B,2,FALSE)</f>
        <v>螺纹钢</v>
      </c>
      <c r="F759" s="41" t="s">
        <v>52</v>
      </c>
      <c r="G759" s="37">
        <v>35</v>
      </c>
      <c r="H759" s="37" t="e">
        <f>_xlfn._xlws.FILTER('[1]2025年已发货'!$E:$E,'[1]2025年已发货'!$F:$F&amp;'[1]2025年已发货'!$C:$C&amp;'[1]2025年已发货'!$G:$G&amp;'[1]2025年已发货'!$H:$H=C759&amp;F759&amp;I759&amp;J759,"未发货")</f>
        <v>#N/A</v>
      </c>
      <c r="I759" s="41" t="e">
        <f>VLOOKUP(B759,辅助信息!E:I,3,FALSE)</f>
        <v>#N/A</v>
      </c>
      <c r="J759" s="41" t="e">
        <f>VLOOKUP(B759,辅助信息!E:I,4,FALSE)</f>
        <v>#N/A</v>
      </c>
      <c r="K759" s="41" t="e">
        <f>VLOOKUP(J759,辅助信息!H:I,2,FALSE)</f>
        <v>#N/A</v>
      </c>
      <c r="L759" s="58" t="e">
        <f>VLOOKUP(B759,辅助信息!E:J,6,FALSE)</f>
        <v>#N/A</v>
      </c>
      <c r="M759" s="101">
        <v>45716</v>
      </c>
      <c r="N759" s="58"/>
      <c r="O759" s="58">
        <f ca="1" t="shared" si="20"/>
        <v>0</v>
      </c>
      <c r="P759" s="63">
        <f ca="1" t="shared" si="21"/>
        <v>243</v>
      </c>
      <c r="Q759" s="27" t="e">
        <f>VLOOKUP(B759,辅助信息!E:M,9,FALSE)</f>
        <v>#N/A</v>
      </c>
      <c r="R759" s="27"/>
    </row>
    <row r="760" hidden="1" spans="2:18">
      <c r="B760" s="41" t="s">
        <v>108</v>
      </c>
      <c r="C760" s="71">
        <v>45715</v>
      </c>
      <c r="D760" s="41" t="e">
        <f>VLOOKUP(B760,辅助信息!E:K,7,FALSE)</f>
        <v>#N/A</v>
      </c>
      <c r="E760" s="41" t="str">
        <f>VLOOKUP(F760,辅助信息!A:B,2,FALSE)</f>
        <v>高线</v>
      </c>
      <c r="F760" s="41" t="s">
        <v>53</v>
      </c>
      <c r="G760" s="37">
        <v>8</v>
      </c>
      <c r="H760" s="37" t="e">
        <f>_xlfn._xlws.FILTER('[1]2025年已发货'!$E:$E,'[1]2025年已发货'!$F:$F&amp;'[1]2025年已发货'!$C:$C&amp;'[1]2025年已发货'!$G:$G&amp;'[1]2025年已发货'!$H:$H=C760&amp;F760&amp;I760&amp;J760,"未发货")</f>
        <v>#N/A</v>
      </c>
      <c r="I760" s="41" t="e">
        <f>VLOOKUP(B760,辅助信息!E:I,3,FALSE)</f>
        <v>#N/A</v>
      </c>
      <c r="J760" s="41" t="e">
        <f>VLOOKUP(B760,辅助信息!E:I,4,FALSE)</f>
        <v>#N/A</v>
      </c>
      <c r="K760" s="41" t="e">
        <f>VLOOKUP(J760,辅助信息!H:I,2,FALSE)</f>
        <v>#N/A</v>
      </c>
      <c r="L760" s="58" t="e">
        <f>VLOOKUP(B760,辅助信息!E:J,6,FALSE)</f>
        <v>#N/A</v>
      </c>
      <c r="M760" s="101">
        <v>45717</v>
      </c>
      <c r="N760" s="58"/>
      <c r="O760" s="58">
        <f ca="1" t="shared" si="20"/>
        <v>0</v>
      </c>
      <c r="P760" s="63">
        <f ca="1" t="shared" si="21"/>
        <v>242</v>
      </c>
      <c r="Q760" s="27" t="e">
        <f>VLOOKUP(B760,辅助信息!E:M,9,FALSE)</f>
        <v>#N/A</v>
      </c>
      <c r="R760" s="27"/>
    </row>
    <row r="761" hidden="1" spans="2:18">
      <c r="B761" s="41" t="s">
        <v>108</v>
      </c>
      <c r="C761" s="71">
        <v>45715</v>
      </c>
      <c r="D761" s="41" t="e">
        <f>VLOOKUP(B761,辅助信息!E:K,7,FALSE)</f>
        <v>#N/A</v>
      </c>
      <c r="E761" s="41" t="str">
        <f>VLOOKUP(F761,辅助信息!A:B,2,FALSE)</f>
        <v>螺纹钢</v>
      </c>
      <c r="F761" s="41" t="s">
        <v>27</v>
      </c>
      <c r="G761" s="37">
        <v>36</v>
      </c>
      <c r="H761" s="37" t="e">
        <f>_xlfn._xlws.FILTER('[1]2025年已发货'!$E:$E,'[1]2025年已发货'!$F:$F&amp;'[1]2025年已发货'!$C:$C&amp;'[1]2025年已发货'!$G:$G&amp;'[1]2025年已发货'!$H:$H=C761&amp;F761&amp;I761&amp;J761,"未发货")</f>
        <v>#N/A</v>
      </c>
      <c r="I761" s="41" t="e">
        <f>VLOOKUP(B761,辅助信息!E:I,3,FALSE)</f>
        <v>#N/A</v>
      </c>
      <c r="J761" s="41" t="e">
        <f>VLOOKUP(B761,辅助信息!E:I,4,FALSE)</f>
        <v>#N/A</v>
      </c>
      <c r="K761" s="41" t="e">
        <f>VLOOKUP(J761,辅助信息!H:I,2,FALSE)</f>
        <v>#N/A</v>
      </c>
      <c r="M761" s="101">
        <v>45717</v>
      </c>
      <c r="N761" s="58"/>
      <c r="O761" s="58">
        <f ca="1" t="shared" si="20"/>
        <v>0</v>
      </c>
      <c r="P761" s="63">
        <f ca="1" t="shared" si="21"/>
        <v>242</v>
      </c>
      <c r="Q761" s="27" t="e">
        <f>VLOOKUP(B761,辅助信息!E:M,9,FALSE)</f>
        <v>#N/A</v>
      </c>
      <c r="R761" s="27"/>
    </row>
    <row r="762" hidden="1" spans="2:18">
      <c r="B762" s="41" t="s">
        <v>108</v>
      </c>
      <c r="C762" s="71">
        <v>45715</v>
      </c>
      <c r="D762" s="41" t="e">
        <f>VLOOKUP(B762,辅助信息!E:K,7,FALSE)</f>
        <v>#N/A</v>
      </c>
      <c r="E762" s="41" t="str">
        <f>VLOOKUP(F762,辅助信息!A:B,2,FALSE)</f>
        <v>螺纹钢</v>
      </c>
      <c r="F762" s="41" t="s">
        <v>32</v>
      </c>
      <c r="G762" s="37">
        <v>27</v>
      </c>
      <c r="H762" s="37" t="e">
        <f>_xlfn._xlws.FILTER('[1]2025年已发货'!$E:$E,'[1]2025年已发货'!$F:$F&amp;'[1]2025年已发货'!$C:$C&amp;'[1]2025年已发货'!$G:$G&amp;'[1]2025年已发货'!$H:$H=C762&amp;F762&amp;I762&amp;J762,"未发货")</f>
        <v>#N/A</v>
      </c>
      <c r="I762" s="41" t="e">
        <f>VLOOKUP(B762,辅助信息!E:I,3,FALSE)</f>
        <v>#N/A</v>
      </c>
      <c r="J762" s="41" t="e">
        <f>VLOOKUP(B762,辅助信息!E:I,4,FALSE)</f>
        <v>#N/A</v>
      </c>
      <c r="K762" s="41" t="e">
        <f>VLOOKUP(J762,辅助信息!H:I,2,FALSE)</f>
        <v>#N/A</v>
      </c>
      <c r="M762" s="101">
        <v>45717</v>
      </c>
      <c r="N762" s="58"/>
      <c r="O762" s="58">
        <f ca="1" t="shared" si="20"/>
        <v>0</v>
      </c>
      <c r="P762" s="63">
        <f ca="1" t="shared" si="21"/>
        <v>242</v>
      </c>
      <c r="Q762" s="27" t="e">
        <f>VLOOKUP(B762,辅助信息!E:M,9,FALSE)</f>
        <v>#N/A</v>
      </c>
      <c r="R762" s="27"/>
    </row>
    <row r="763" hidden="1" spans="2:18">
      <c r="B763" s="41" t="s">
        <v>108</v>
      </c>
      <c r="C763" s="71">
        <v>45715</v>
      </c>
      <c r="D763" s="41" t="e">
        <f>VLOOKUP(B763,辅助信息!E:K,7,FALSE)</f>
        <v>#N/A</v>
      </c>
      <c r="E763" s="41" t="str">
        <f>VLOOKUP(F763,辅助信息!A:B,2,FALSE)</f>
        <v>螺纹钢</v>
      </c>
      <c r="F763" s="41" t="s">
        <v>30</v>
      </c>
      <c r="G763" s="37">
        <v>60</v>
      </c>
      <c r="H763" s="37" t="e">
        <f>_xlfn._xlws.FILTER('[1]2025年已发货'!$E:$E,'[1]2025年已发货'!$F:$F&amp;'[1]2025年已发货'!$C:$C&amp;'[1]2025年已发货'!$G:$G&amp;'[1]2025年已发货'!$H:$H=C763&amp;F763&amp;I763&amp;J763,"未发货")</f>
        <v>#N/A</v>
      </c>
      <c r="I763" s="41" t="e">
        <f>VLOOKUP(B763,辅助信息!E:I,3,FALSE)</f>
        <v>#N/A</v>
      </c>
      <c r="J763" s="41" t="e">
        <f>VLOOKUP(B763,辅助信息!E:I,4,FALSE)</f>
        <v>#N/A</v>
      </c>
      <c r="K763" s="41" t="e">
        <f>VLOOKUP(J763,辅助信息!H:I,2,FALSE)</f>
        <v>#N/A</v>
      </c>
      <c r="M763" s="101">
        <v>45717</v>
      </c>
      <c r="N763" s="58"/>
      <c r="O763" s="58">
        <f ca="1" t="shared" si="20"/>
        <v>0</v>
      </c>
      <c r="P763" s="63">
        <f ca="1" t="shared" si="21"/>
        <v>242</v>
      </c>
      <c r="Q763" s="27" t="e">
        <f>VLOOKUP(B763,辅助信息!E:M,9,FALSE)</f>
        <v>#N/A</v>
      </c>
      <c r="R763" s="27"/>
    </row>
    <row r="764" hidden="1" spans="2:18">
      <c r="B764" s="41" t="s">
        <v>108</v>
      </c>
      <c r="C764" s="71">
        <v>45715</v>
      </c>
      <c r="D764" s="41" t="e">
        <f>VLOOKUP(B764,辅助信息!E:K,7,FALSE)</f>
        <v>#N/A</v>
      </c>
      <c r="E764" s="41" t="str">
        <f>VLOOKUP(F764,辅助信息!A:B,2,FALSE)</f>
        <v>螺纹钢</v>
      </c>
      <c r="F764" s="41" t="s">
        <v>52</v>
      </c>
      <c r="G764" s="37">
        <v>10</v>
      </c>
      <c r="H764" s="37" t="e">
        <f>_xlfn._xlws.FILTER('[1]2025年已发货'!$E:$E,'[1]2025年已发货'!$F:$F&amp;'[1]2025年已发货'!$C:$C&amp;'[1]2025年已发货'!$G:$G&amp;'[1]2025年已发货'!$H:$H=C764&amp;F764&amp;I764&amp;J764,"未发货")</f>
        <v>#N/A</v>
      </c>
      <c r="I764" s="41" t="e">
        <f>VLOOKUP(B764,辅助信息!E:I,3,FALSE)</f>
        <v>#N/A</v>
      </c>
      <c r="J764" s="41" t="e">
        <f>VLOOKUP(B764,辅助信息!E:I,4,FALSE)</f>
        <v>#N/A</v>
      </c>
      <c r="K764" s="41" t="e">
        <f>VLOOKUP(J764,辅助信息!H:I,2,FALSE)</f>
        <v>#N/A</v>
      </c>
      <c r="M764" s="101">
        <v>45717</v>
      </c>
      <c r="N764" s="58"/>
      <c r="O764" s="58">
        <f ca="1" t="shared" si="20"/>
        <v>0</v>
      </c>
      <c r="P764" s="63">
        <f ca="1" t="shared" si="21"/>
        <v>242</v>
      </c>
      <c r="Q764" s="27" t="e">
        <f>VLOOKUP(B764,辅助信息!E:M,9,FALSE)</f>
        <v>#N/A</v>
      </c>
      <c r="R764" s="27"/>
    </row>
    <row r="765" hidden="1" spans="2:18">
      <c r="B765" s="98" t="s">
        <v>69</v>
      </c>
      <c r="C765" s="71">
        <v>45715</v>
      </c>
      <c r="D765" s="41" t="str">
        <f>VLOOKUP(B765,辅助信息!E:K,7,FALSE)</f>
        <v>JWDDCD2025052800131</v>
      </c>
      <c r="E765" s="41" t="str">
        <f>VLOOKUP(F765,辅助信息!A:B,2,FALSE)</f>
        <v>盘螺</v>
      </c>
      <c r="F765" s="41" t="s">
        <v>40</v>
      </c>
      <c r="G765" s="37">
        <v>15</v>
      </c>
      <c r="H765" s="37">
        <f>_xlfn._xlws.FILTER('[1]2025年已发货'!$E:$E,'[1]2025年已发货'!$F:$F&amp;'[1]2025年已发货'!$C:$C&amp;'[1]2025年已发货'!$G:$G&amp;'[1]2025年已发货'!$H:$H=C765&amp;F765&amp;I765&amp;J765,"未发货")</f>
        <v>15</v>
      </c>
      <c r="I765" s="41" t="str">
        <f>VLOOKUP(B765,辅助信息!E:I,3,FALSE)</f>
        <v>（商投建工达州中医药科技园-4工区-2号楼）达州市通川区达州中医药职业学院犀牛大道北段</v>
      </c>
      <c r="J765" s="41" t="str">
        <f>VLOOKUP(B765,辅助信息!E:I,4,FALSE)</f>
        <v>张扬</v>
      </c>
      <c r="K765" s="41">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243</v>
      </c>
      <c r="Q765" s="27" t="str">
        <f>VLOOKUP(B765,辅助信息!E:M,9,FALSE)</f>
        <v>ZTWM-CDGS-XS-2024-0134-商投建工达州中医药科技成果示范园项目</v>
      </c>
      <c r="R765" s="27"/>
    </row>
    <row r="766" hidden="1" spans="2:18">
      <c r="B766" s="98" t="s">
        <v>69</v>
      </c>
      <c r="C766" s="71">
        <v>45715</v>
      </c>
      <c r="D766" s="41" t="str">
        <f>VLOOKUP(B766,辅助信息!E:K,7,FALSE)</f>
        <v>JWDDCD2025052800131</v>
      </c>
      <c r="E766" s="41" t="str">
        <f>VLOOKUP(F766,辅助信息!A:B,2,FALSE)</f>
        <v>盘螺</v>
      </c>
      <c r="F766" s="41" t="s">
        <v>41</v>
      </c>
      <c r="G766" s="37">
        <f>10*2.5</f>
        <v>25</v>
      </c>
      <c r="H766" s="37">
        <f>_xlfn._xlws.FILTER('[1]2025年已发货'!$E:$E,'[1]2025年已发货'!$F:$F&amp;'[1]2025年已发货'!$C:$C&amp;'[1]2025年已发货'!$G:$G&amp;'[1]2025年已发货'!$H:$H=C766&amp;F766&amp;I766&amp;J766,"未发货")</f>
        <v>25</v>
      </c>
      <c r="I766" s="41" t="str">
        <f>VLOOKUP(B766,辅助信息!E:I,3,FALSE)</f>
        <v>（商投建工达州中医药科技园-4工区-2号楼）达州市通川区达州中医药职业学院犀牛大道北段</v>
      </c>
      <c r="J766" s="41" t="str">
        <f>VLOOKUP(B766,辅助信息!E:I,4,FALSE)</f>
        <v>张扬</v>
      </c>
      <c r="K766" s="41">
        <f>VLOOKUP(J766,辅助信息!H:I,2,FALSE)</f>
        <v>18381904567</v>
      </c>
      <c r="M766" s="101">
        <v>45716</v>
      </c>
      <c r="N766" s="58"/>
      <c r="O766" s="58">
        <f ca="1" t="shared" si="20"/>
        <v>0</v>
      </c>
      <c r="P766" s="63">
        <f ca="1" t="shared" si="21"/>
        <v>243</v>
      </c>
      <c r="Q766" s="27" t="str">
        <f>VLOOKUP(B766,辅助信息!E:M,9,FALSE)</f>
        <v>ZTWM-CDGS-XS-2024-0134-商投建工达州中医药科技成果示范园项目</v>
      </c>
      <c r="R766" s="27"/>
    </row>
    <row r="767" hidden="1" spans="2:18">
      <c r="B767" s="41" t="s">
        <v>56</v>
      </c>
      <c r="C767" s="71">
        <v>45715</v>
      </c>
      <c r="D767" s="41" t="str">
        <f>VLOOKUP(B767,辅助信息!E:K,7,FALSE)</f>
        <v>JWDDCD2025052800131</v>
      </c>
      <c r="E767" s="41" t="str">
        <f>VLOOKUP(F767,辅助信息!A:B,2,FALSE)</f>
        <v>螺纹钢</v>
      </c>
      <c r="F767" s="41" t="s">
        <v>66</v>
      </c>
      <c r="G767" s="37">
        <v>12</v>
      </c>
      <c r="H767" s="37" t="str">
        <f>_xlfn._xlws.FILTER('[1]2025年已发货'!$E:$E,'[1]2025年已发货'!$F:$F&amp;'[1]2025年已发货'!$C:$C&amp;'[1]2025年已发货'!$G:$G&amp;'[1]2025年已发货'!$H:$H=C767&amp;F767&amp;I767&amp;J767,"未发货")</f>
        <v>未发货</v>
      </c>
      <c r="I767" s="41" t="str">
        <f>VLOOKUP(B767,辅助信息!E:I,3,FALSE)</f>
        <v>（商投建工达州中医药科技园-4工区-7号楼）达州市通川区达州中医药职业学院犀牛大道北段</v>
      </c>
      <c r="J767" s="41" t="str">
        <f>VLOOKUP(B767,辅助信息!E:I,4,FALSE)</f>
        <v>张扬</v>
      </c>
      <c r="K767" s="41">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243</v>
      </c>
      <c r="Q767" s="27" t="str">
        <f>VLOOKUP(B767,辅助信息!E:M,9,FALSE)</f>
        <v>ZTWM-CDGS-XS-2024-0134-商投建工达州中医药科技成果示范园项目</v>
      </c>
      <c r="R767" s="27"/>
    </row>
    <row r="768" hidden="1" spans="2:18">
      <c r="B768" s="41" t="s">
        <v>56</v>
      </c>
      <c r="C768" s="71">
        <v>45715</v>
      </c>
      <c r="D768" s="41" t="str">
        <f>VLOOKUP(B768,辅助信息!E:K,7,FALSE)</f>
        <v>JWDDCD2025052800131</v>
      </c>
      <c r="E768" s="41" t="str">
        <f>VLOOKUP(F768,辅助信息!A:B,2,FALSE)</f>
        <v>螺纹钢</v>
      </c>
      <c r="F768" s="41" t="s">
        <v>45</v>
      </c>
      <c r="G768" s="37">
        <v>12</v>
      </c>
      <c r="H768" s="37" t="str">
        <f>_xlfn._xlws.FILTER('[1]2025年已发货'!$E:$E,'[1]2025年已发货'!$F:$F&amp;'[1]2025年已发货'!$C:$C&amp;'[1]2025年已发货'!$G:$G&amp;'[1]2025年已发货'!$H:$H=C768&amp;F768&amp;I768&amp;J768,"未发货")</f>
        <v>未发货</v>
      </c>
      <c r="I768" s="41" t="str">
        <f>VLOOKUP(B768,辅助信息!E:I,3,FALSE)</f>
        <v>（商投建工达州中医药科技园-4工区-7号楼）达州市通川区达州中医药职业学院犀牛大道北段</v>
      </c>
      <c r="J768" s="41" t="str">
        <f>VLOOKUP(B768,辅助信息!E:I,4,FALSE)</f>
        <v>张扬</v>
      </c>
      <c r="K768" s="41">
        <f>VLOOKUP(J768,辅助信息!H:I,2,FALSE)</f>
        <v>18381904567</v>
      </c>
      <c r="M768" s="101">
        <v>45716</v>
      </c>
      <c r="N768" s="58"/>
      <c r="O768" s="58">
        <f ca="1" t="shared" si="20"/>
        <v>0</v>
      </c>
      <c r="P768" s="63">
        <f ca="1" t="shared" si="21"/>
        <v>243</v>
      </c>
      <c r="Q768" s="27" t="str">
        <f>VLOOKUP(B768,辅助信息!E:M,9,FALSE)</f>
        <v>ZTWM-CDGS-XS-2024-0134-商投建工达州中医药科技成果示范园项目</v>
      </c>
      <c r="R768" s="27"/>
    </row>
    <row r="769" hidden="1" spans="2:18">
      <c r="B769" s="41" t="s">
        <v>56</v>
      </c>
      <c r="C769" s="71">
        <v>45715</v>
      </c>
      <c r="D769" s="41" t="str">
        <f>VLOOKUP(B769,辅助信息!E:K,7,FALSE)</f>
        <v>JWDDCD2025052800131</v>
      </c>
      <c r="E769" s="41" t="str">
        <f>VLOOKUP(F769,辅助信息!A:B,2,FALSE)</f>
        <v>螺纹钢</v>
      </c>
      <c r="F769" s="41" t="s">
        <v>21</v>
      </c>
      <c r="G769" s="37">
        <v>15</v>
      </c>
      <c r="H769" s="37" t="str">
        <f>_xlfn._xlws.FILTER('[1]2025年已发货'!$E:$E,'[1]2025年已发货'!$F:$F&amp;'[1]2025年已发货'!$C:$C&amp;'[1]2025年已发货'!$G:$G&amp;'[1]2025年已发货'!$H:$H=C769&amp;F769&amp;I769&amp;J769,"未发货")</f>
        <v>未发货</v>
      </c>
      <c r="I769" s="41" t="str">
        <f>VLOOKUP(B769,辅助信息!E:I,3,FALSE)</f>
        <v>（商投建工达州中医药科技园-4工区-7号楼）达州市通川区达州中医药职业学院犀牛大道北段</v>
      </c>
      <c r="J769" s="41" t="str">
        <f>VLOOKUP(B769,辅助信息!E:I,4,FALSE)</f>
        <v>张扬</v>
      </c>
      <c r="K769" s="41">
        <f>VLOOKUP(J769,辅助信息!H:I,2,FALSE)</f>
        <v>18381904567</v>
      </c>
      <c r="M769" s="101">
        <v>45716</v>
      </c>
      <c r="N769" s="58"/>
      <c r="O769" s="58">
        <f ca="1" t="shared" si="20"/>
        <v>0</v>
      </c>
      <c r="P769" s="63">
        <f ca="1" t="shared" si="21"/>
        <v>243</v>
      </c>
      <c r="Q769" s="27" t="str">
        <f>VLOOKUP(B769,辅助信息!E:M,9,FALSE)</f>
        <v>ZTWM-CDGS-XS-2024-0134-商投建工达州中医药科技成果示范园项目</v>
      </c>
      <c r="R769" s="27"/>
    </row>
    <row r="770" hidden="1" spans="2:18">
      <c r="B770" s="41" t="s">
        <v>56</v>
      </c>
      <c r="C770" s="71">
        <v>45715</v>
      </c>
      <c r="D770" s="41" t="str">
        <f>VLOOKUP(B770,辅助信息!E:K,7,FALSE)</f>
        <v>JWDDCD2025052800131</v>
      </c>
      <c r="E770" s="41" t="str">
        <f>VLOOKUP(F770,辅助信息!A:B,2,FALSE)</f>
        <v>螺纹钢</v>
      </c>
      <c r="F770" s="41" t="s">
        <v>58</v>
      </c>
      <c r="G770" s="37">
        <v>12</v>
      </c>
      <c r="H770" s="37" t="str">
        <f>_xlfn._xlws.FILTER('[1]2025年已发货'!$E:$E,'[1]2025年已发货'!$F:$F&amp;'[1]2025年已发货'!$C:$C&amp;'[1]2025年已发货'!$G:$G&amp;'[1]2025年已发货'!$H:$H=C770&amp;F770&amp;I770&amp;J770,"未发货")</f>
        <v>未发货</v>
      </c>
      <c r="I770" s="41" t="str">
        <f>VLOOKUP(B770,辅助信息!E:I,3,FALSE)</f>
        <v>（商投建工达州中医药科技园-4工区-7号楼）达州市通川区达州中医药职业学院犀牛大道北段</v>
      </c>
      <c r="J770" s="41" t="str">
        <f>VLOOKUP(B770,辅助信息!E:I,4,FALSE)</f>
        <v>张扬</v>
      </c>
      <c r="K770" s="41">
        <f>VLOOKUP(J770,辅助信息!H:I,2,FALSE)</f>
        <v>18381904567</v>
      </c>
      <c r="M770" s="101">
        <v>45716</v>
      </c>
      <c r="N770" s="58"/>
      <c r="O770" s="58">
        <f ca="1" t="shared" si="20"/>
        <v>0</v>
      </c>
      <c r="P770" s="63">
        <f ca="1" t="shared" si="21"/>
        <v>243</v>
      </c>
      <c r="Q770" s="27" t="str">
        <f>VLOOKUP(B770,辅助信息!E:M,9,FALSE)</f>
        <v>ZTWM-CDGS-XS-2024-0134-商投建工达州中医药科技成果示范园项目</v>
      </c>
      <c r="R770" s="27"/>
    </row>
    <row r="771" hidden="1" spans="2:18">
      <c r="B771" s="41" t="s">
        <v>56</v>
      </c>
      <c r="C771" s="71">
        <v>45715</v>
      </c>
      <c r="D771" s="41" t="str">
        <f>VLOOKUP(B771,辅助信息!E:K,7,FALSE)</f>
        <v>JWDDCD2025052800131</v>
      </c>
      <c r="E771" s="41" t="str">
        <f>VLOOKUP(F771,辅助信息!A:B,2,FALSE)</f>
        <v>螺纹钢</v>
      </c>
      <c r="F771" s="41" t="s">
        <v>46</v>
      </c>
      <c r="G771" s="37">
        <v>15</v>
      </c>
      <c r="H771" s="37" t="str">
        <f>_xlfn._xlws.FILTER('[1]2025年已发货'!$E:$E,'[1]2025年已发货'!$F:$F&amp;'[1]2025年已发货'!$C:$C&amp;'[1]2025年已发货'!$G:$G&amp;'[1]2025年已发货'!$H:$H=C771&amp;F771&amp;I771&amp;J771,"未发货")</f>
        <v>未发货</v>
      </c>
      <c r="I771" s="41" t="str">
        <f>VLOOKUP(B771,辅助信息!E:I,3,FALSE)</f>
        <v>（商投建工达州中医药科技园-4工区-7号楼）达州市通川区达州中医药职业学院犀牛大道北段</v>
      </c>
      <c r="J771" s="41" t="str">
        <f>VLOOKUP(B771,辅助信息!E:I,4,FALSE)</f>
        <v>张扬</v>
      </c>
      <c r="K771" s="41">
        <f>VLOOKUP(J771,辅助信息!H:I,2,FALSE)</f>
        <v>18381904567</v>
      </c>
      <c r="M771" s="101">
        <v>45716</v>
      </c>
      <c r="N771" s="58"/>
      <c r="O771" s="58">
        <f ca="1" t="shared" si="20"/>
        <v>0</v>
      </c>
      <c r="P771" s="63">
        <f ca="1" t="shared" si="21"/>
        <v>243</v>
      </c>
      <c r="Q771" s="27" t="str">
        <f>VLOOKUP(B771,辅助信息!E:M,9,FALSE)</f>
        <v>ZTWM-CDGS-XS-2024-0134-商投建工达州中医药科技成果示范园项目</v>
      </c>
      <c r="R771" s="27"/>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243</v>
      </c>
      <c r="Q772" s="27" t="str">
        <f>VLOOKUP(B772,辅助信息!E:M,9,FALSE)</f>
        <v>ZTWM-CDGS-XS-2024-0134-商投建工达州中医药科技成果示范园项目</v>
      </c>
      <c r="R772" s="27"/>
    </row>
    <row r="773" ht="45" hidden="1" customHeight="1" spans="2:18">
      <c r="B773" s="41" t="s">
        <v>75</v>
      </c>
      <c r="C773" s="71">
        <v>45716</v>
      </c>
      <c r="D773" s="41" t="e">
        <f>VLOOKUP(B773,辅助信息!E:K,7,FALSE)</f>
        <v>#N/A</v>
      </c>
      <c r="E773" s="41" t="str">
        <f>VLOOKUP(F773,辅助信息!A:B,2,FALSE)</f>
        <v>螺纹钢</v>
      </c>
      <c r="F773" s="41" t="s">
        <v>52</v>
      </c>
      <c r="G773" s="37">
        <v>35</v>
      </c>
      <c r="H773" s="37" t="e">
        <f>_xlfn._xlws.FILTER('[1]2025年已发货'!$E:$E,'[1]2025年已发货'!$F:$F&amp;'[1]2025年已发货'!$C:$C&amp;'[1]2025年已发货'!$G:$G&amp;'[1]2025年已发货'!$H:$H=C773&amp;F773&amp;I773&amp;J773,"未发货")</f>
        <v>#N/A</v>
      </c>
      <c r="I773" s="41" t="e">
        <f>VLOOKUP(B773,辅助信息!E:I,3,FALSE)</f>
        <v>#N/A</v>
      </c>
      <c r="J773" s="41" t="e">
        <f>VLOOKUP(B773,辅助信息!E:I,4,FALSE)</f>
        <v>#N/A</v>
      </c>
      <c r="K773" s="41" t="e">
        <f>VLOOKUP(J773,辅助信息!H:I,2,FALSE)</f>
        <v>#N/A</v>
      </c>
      <c r="L773" s="78" t="e">
        <f>VLOOKUP(B773,辅助信息!E:J,6,FALSE)</f>
        <v>#N/A</v>
      </c>
      <c r="M773" s="101">
        <v>45716</v>
      </c>
      <c r="N773" s="58"/>
      <c r="O773" s="58">
        <f ca="1" t="shared" si="20"/>
        <v>0</v>
      </c>
      <c r="P773" s="63">
        <f ca="1" t="shared" si="21"/>
        <v>243</v>
      </c>
      <c r="Q773" s="27" t="e">
        <f>VLOOKUP(B773,辅助信息!E:M,9,FALSE)</f>
        <v>#N/A</v>
      </c>
      <c r="R773" s="27"/>
    </row>
    <row r="774" hidden="1" spans="2:18">
      <c r="B774" s="41" t="s">
        <v>108</v>
      </c>
      <c r="C774" s="71">
        <v>45719</v>
      </c>
      <c r="D774" s="41" t="e">
        <f>VLOOKUP(B774,辅助信息!E:K,7,FALSE)</f>
        <v>#N/A</v>
      </c>
      <c r="E774" s="41" t="str">
        <f>VLOOKUP(F774,辅助信息!A:B,2,FALSE)</f>
        <v>高线</v>
      </c>
      <c r="F774" s="41" t="s">
        <v>53</v>
      </c>
      <c r="G774" s="37">
        <v>8</v>
      </c>
      <c r="H774" s="37" t="e">
        <f>_xlfn._xlws.FILTER('[1]2025年已发货'!$E:$E,'[1]2025年已发货'!$F:$F&amp;'[1]2025年已发货'!$C:$C&amp;'[1]2025年已发货'!$G:$G&amp;'[1]2025年已发货'!$H:$H=C774&amp;F774&amp;I774&amp;J774,"未发货")</f>
        <v>#N/A</v>
      </c>
      <c r="I774" s="41" t="e">
        <f>VLOOKUP(B774,辅助信息!E:I,3,FALSE)</f>
        <v>#N/A</v>
      </c>
      <c r="J774" s="41" t="e">
        <f>VLOOKUP(B774,辅助信息!E:I,4,FALSE)</f>
        <v>#N/A</v>
      </c>
      <c r="K774" s="41" t="e">
        <f>VLOOKUP(J774,辅助信息!H:I,2,FALSE)</f>
        <v>#N/A</v>
      </c>
      <c r="L774" s="78" t="e">
        <f>VLOOKUP(B774,辅助信息!E:J,6,FALSE)</f>
        <v>#N/A</v>
      </c>
      <c r="M774" s="92">
        <v>45717</v>
      </c>
      <c r="O774" s="63">
        <f ca="1" t="shared" si="20"/>
        <v>0</v>
      </c>
      <c r="P774" s="63">
        <f ca="1" t="shared" si="21"/>
        <v>242</v>
      </c>
      <c r="Q774" s="27" t="e">
        <f>VLOOKUP(B774,辅助信息!E:M,9,FALSE)</f>
        <v>#N/A</v>
      </c>
      <c r="R774" s="27"/>
    </row>
    <row r="775" hidden="1" spans="2:18">
      <c r="B775" s="41" t="s">
        <v>108</v>
      </c>
      <c r="C775" s="71">
        <v>45719</v>
      </c>
      <c r="D775" s="41" t="e">
        <f>VLOOKUP(B775,辅助信息!E:K,7,FALSE)</f>
        <v>#N/A</v>
      </c>
      <c r="E775" s="41" t="str">
        <f>VLOOKUP(F775,辅助信息!A:B,2,FALSE)</f>
        <v>螺纹钢</v>
      </c>
      <c r="F775" s="41" t="s">
        <v>27</v>
      </c>
      <c r="G775" s="37">
        <v>36</v>
      </c>
      <c r="H775" s="37" t="e">
        <f>_xlfn._xlws.FILTER('[1]2025年已发货'!$E:$E,'[1]2025年已发货'!$F:$F&amp;'[1]2025年已发货'!$C:$C&amp;'[1]2025年已发货'!$G:$G&amp;'[1]2025年已发货'!$H:$H=C775&amp;F775&amp;I775&amp;J775,"未发货")</f>
        <v>#N/A</v>
      </c>
      <c r="I775" s="41" t="e">
        <f>VLOOKUP(B775,辅助信息!E:I,3,FALSE)</f>
        <v>#N/A</v>
      </c>
      <c r="J775" s="41" t="e">
        <f>VLOOKUP(B775,辅助信息!E:I,4,FALSE)</f>
        <v>#N/A</v>
      </c>
      <c r="K775" s="41" t="e">
        <f>VLOOKUP(J775,辅助信息!H:I,2,FALSE)</f>
        <v>#N/A</v>
      </c>
      <c r="L775" s="79"/>
      <c r="M775" s="92">
        <v>45717</v>
      </c>
      <c r="O775" s="63">
        <f ca="1" t="shared" si="20"/>
        <v>0</v>
      </c>
      <c r="P775" s="63">
        <f ca="1" t="shared" si="21"/>
        <v>242</v>
      </c>
      <c r="Q775" s="27" t="e">
        <f>VLOOKUP(B775,辅助信息!E:M,9,FALSE)</f>
        <v>#N/A</v>
      </c>
      <c r="R775" s="27"/>
    </row>
    <row r="776" hidden="1" spans="2:18">
      <c r="B776" s="41" t="s">
        <v>108</v>
      </c>
      <c r="C776" s="71">
        <v>45719</v>
      </c>
      <c r="D776" s="41" t="e">
        <f>VLOOKUP(B776,辅助信息!E:K,7,FALSE)</f>
        <v>#N/A</v>
      </c>
      <c r="E776" s="41" t="str">
        <f>VLOOKUP(F776,辅助信息!A:B,2,FALSE)</f>
        <v>螺纹钢</v>
      </c>
      <c r="F776" s="41" t="s">
        <v>32</v>
      </c>
      <c r="G776" s="37">
        <v>27</v>
      </c>
      <c r="H776" s="37" t="e">
        <f>_xlfn._xlws.FILTER('[1]2025年已发货'!$E:$E,'[1]2025年已发货'!$F:$F&amp;'[1]2025年已发货'!$C:$C&amp;'[1]2025年已发货'!$G:$G&amp;'[1]2025年已发货'!$H:$H=C776&amp;F776&amp;I776&amp;J776,"未发货")</f>
        <v>#N/A</v>
      </c>
      <c r="I776" s="41" t="e">
        <f>VLOOKUP(B776,辅助信息!E:I,3,FALSE)</f>
        <v>#N/A</v>
      </c>
      <c r="J776" s="41" t="e">
        <f>VLOOKUP(B776,辅助信息!E:I,4,FALSE)</f>
        <v>#N/A</v>
      </c>
      <c r="K776" s="41" t="e">
        <f>VLOOKUP(J776,辅助信息!H:I,2,FALSE)</f>
        <v>#N/A</v>
      </c>
      <c r="L776" s="79"/>
      <c r="M776" s="92">
        <v>45717</v>
      </c>
      <c r="O776" s="63">
        <f ca="1" t="shared" si="20"/>
        <v>0</v>
      </c>
      <c r="P776" s="63">
        <f ca="1" t="shared" si="21"/>
        <v>242</v>
      </c>
      <c r="Q776" s="27" t="e">
        <f>VLOOKUP(B776,辅助信息!E:M,9,FALSE)</f>
        <v>#N/A</v>
      </c>
      <c r="R776" s="27"/>
    </row>
    <row r="777" hidden="1" spans="2:18">
      <c r="B777" s="41" t="s">
        <v>108</v>
      </c>
      <c r="C777" s="71">
        <v>45719</v>
      </c>
      <c r="D777" s="41" t="e">
        <f>VLOOKUP(B777,辅助信息!E:K,7,FALSE)</f>
        <v>#N/A</v>
      </c>
      <c r="E777" s="41" t="str">
        <f>VLOOKUP(F777,辅助信息!A:B,2,FALSE)</f>
        <v>螺纹钢</v>
      </c>
      <c r="F777" s="41" t="s">
        <v>30</v>
      </c>
      <c r="G777" s="37">
        <v>60</v>
      </c>
      <c r="H777" s="37" t="e">
        <f>_xlfn._xlws.FILTER('[1]2025年已发货'!$E:$E,'[1]2025年已发货'!$F:$F&amp;'[1]2025年已发货'!$C:$C&amp;'[1]2025年已发货'!$G:$G&amp;'[1]2025年已发货'!$H:$H=C777&amp;F777&amp;I777&amp;J777,"未发货")</f>
        <v>#N/A</v>
      </c>
      <c r="I777" s="41" t="e">
        <f>VLOOKUP(B777,辅助信息!E:I,3,FALSE)</f>
        <v>#N/A</v>
      </c>
      <c r="J777" s="41" t="e">
        <f>VLOOKUP(B777,辅助信息!E:I,4,FALSE)</f>
        <v>#N/A</v>
      </c>
      <c r="K777" s="41" t="e">
        <f>VLOOKUP(J777,辅助信息!H:I,2,FALSE)</f>
        <v>#N/A</v>
      </c>
      <c r="L777" s="79"/>
      <c r="M777" s="92">
        <v>45717</v>
      </c>
      <c r="O777" s="63">
        <f ca="1" t="shared" si="20"/>
        <v>0</v>
      </c>
      <c r="P777" s="63">
        <f ca="1" t="shared" si="21"/>
        <v>242</v>
      </c>
      <c r="Q777" s="27" t="e">
        <f>VLOOKUP(B777,辅助信息!E:M,9,FALSE)</f>
        <v>#N/A</v>
      </c>
      <c r="R777" s="27"/>
    </row>
    <row r="778" hidden="1" spans="2:18">
      <c r="B778" s="41" t="s">
        <v>108</v>
      </c>
      <c r="C778" s="71">
        <v>45719</v>
      </c>
      <c r="D778" s="41" t="e">
        <f>VLOOKUP(B778,辅助信息!E:K,7,FALSE)</f>
        <v>#N/A</v>
      </c>
      <c r="E778" s="41" t="str">
        <f>VLOOKUP(F778,辅助信息!A:B,2,FALSE)</f>
        <v>螺纹钢</v>
      </c>
      <c r="F778" s="41" t="s">
        <v>52</v>
      </c>
      <c r="G778" s="37">
        <v>10</v>
      </c>
      <c r="H778" s="37" t="e">
        <f>_xlfn._xlws.FILTER('[1]2025年已发货'!$E:$E,'[1]2025年已发货'!$F:$F&amp;'[1]2025年已发货'!$C:$C&amp;'[1]2025年已发货'!$G:$G&amp;'[1]2025年已发货'!$H:$H=C778&amp;F778&amp;I778&amp;J778,"未发货")</f>
        <v>#N/A</v>
      </c>
      <c r="I778" s="41" t="e">
        <f>VLOOKUP(B778,辅助信息!E:I,3,FALSE)</f>
        <v>#N/A</v>
      </c>
      <c r="J778" s="41" t="e">
        <f>VLOOKUP(B778,辅助信息!E:I,4,FALSE)</f>
        <v>#N/A</v>
      </c>
      <c r="K778" s="41" t="e">
        <f>VLOOKUP(J778,辅助信息!H:I,2,FALSE)</f>
        <v>#N/A</v>
      </c>
      <c r="L778" s="77"/>
      <c r="M778" s="92">
        <v>45717</v>
      </c>
      <c r="O778" s="63">
        <f ca="1" t="shared" si="20"/>
        <v>0</v>
      </c>
      <c r="P778" s="63">
        <f ca="1" t="shared" si="21"/>
        <v>242</v>
      </c>
      <c r="Q778" s="27" t="e">
        <f>VLOOKUP(B778,辅助信息!E:M,9,FALSE)</f>
        <v>#N/A</v>
      </c>
      <c r="R778" s="27"/>
    </row>
    <row r="779" hidden="1" spans="2:18">
      <c r="B779" s="41" t="s">
        <v>56</v>
      </c>
      <c r="C779" s="71">
        <v>45719</v>
      </c>
      <c r="D779" s="41" t="str">
        <f>VLOOKUP(B779,辅助信息!E:K,7,FALSE)</f>
        <v>JWDDCD2025052800131</v>
      </c>
      <c r="E779" s="41" t="str">
        <f>VLOOKUP(F779,辅助信息!A:B,2,FALSE)</f>
        <v>螺纹钢</v>
      </c>
      <c r="F779" s="41" t="s">
        <v>66</v>
      </c>
      <c r="G779" s="37">
        <v>12</v>
      </c>
      <c r="H779" s="37">
        <f>_xlfn._xlws.FILTER('[1]2025年已发货'!$E:$E,'[1]2025年已发货'!$F:$F&amp;'[1]2025年已发货'!$C:$C&amp;'[1]2025年已发货'!$G:$G&amp;'[1]2025年已发货'!$H:$H=C779&amp;F779&amp;I779&amp;J779,"未发货")</f>
        <v>12</v>
      </c>
      <c r="I779" s="41" t="str">
        <f>VLOOKUP(B779,辅助信息!E:I,3,FALSE)</f>
        <v>（商投建工达州中医药科技园-4工区-7号楼）达州市通川区达州中医药职业学院犀牛大道北段</v>
      </c>
      <c r="J779" s="41" t="str">
        <f>VLOOKUP(B779,辅助信息!E:I,4,FALSE)</f>
        <v>张扬</v>
      </c>
      <c r="K779" s="41">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243</v>
      </c>
      <c r="Q779" s="27" t="str">
        <f>VLOOKUP(B779,辅助信息!E:M,9,FALSE)</f>
        <v>ZTWM-CDGS-XS-2024-0134-商投建工达州中医药科技成果示范园项目</v>
      </c>
      <c r="R779" s="27"/>
    </row>
    <row r="780" hidden="1" spans="2:18">
      <c r="B780" s="41" t="s">
        <v>56</v>
      </c>
      <c r="C780" s="71">
        <v>45719</v>
      </c>
      <c r="D780" s="41" t="str">
        <f>VLOOKUP(B780,辅助信息!E:K,7,FALSE)</f>
        <v>JWDDCD2025052800131</v>
      </c>
      <c r="E780" s="41" t="str">
        <f>VLOOKUP(F780,辅助信息!A:B,2,FALSE)</f>
        <v>螺纹钢</v>
      </c>
      <c r="F780" s="41" t="s">
        <v>45</v>
      </c>
      <c r="G780" s="37">
        <v>12</v>
      </c>
      <c r="H780" s="37" t="str">
        <f>_xlfn._xlws.FILTER('[1]2025年已发货'!$E:$E,'[1]2025年已发货'!$F:$F&amp;'[1]2025年已发货'!$C:$C&amp;'[1]2025年已发货'!$G:$G&amp;'[1]2025年已发货'!$H:$H=C780&amp;F780&amp;I780&amp;J780,"未发货")</f>
        <v>未发货</v>
      </c>
      <c r="I780" s="41" t="str">
        <f>VLOOKUP(B780,辅助信息!E:I,3,FALSE)</f>
        <v>（商投建工达州中医药科技园-4工区-7号楼）达州市通川区达州中医药职业学院犀牛大道北段</v>
      </c>
      <c r="J780" s="41" t="str">
        <f>VLOOKUP(B780,辅助信息!E:I,4,FALSE)</f>
        <v>张扬</v>
      </c>
      <c r="K780" s="41">
        <f>VLOOKUP(J780,辅助信息!H:I,2,FALSE)</f>
        <v>18381904567</v>
      </c>
      <c r="L780" s="79"/>
      <c r="M780" s="92">
        <v>45716</v>
      </c>
      <c r="O780" s="63">
        <f ca="1" t="shared" si="20"/>
        <v>0</v>
      </c>
      <c r="P780" s="63">
        <f ca="1" t="shared" si="21"/>
        <v>243</v>
      </c>
      <c r="Q780" s="27" t="str">
        <f>VLOOKUP(B780,辅助信息!E:M,9,FALSE)</f>
        <v>ZTWM-CDGS-XS-2024-0134-商投建工达州中医药科技成果示范园项目</v>
      </c>
      <c r="R780" s="27"/>
    </row>
    <row r="781" hidden="1" spans="2:18">
      <c r="B781" s="41" t="s">
        <v>56</v>
      </c>
      <c r="C781" s="71">
        <v>45719</v>
      </c>
      <c r="D781" s="41" t="str">
        <f>VLOOKUP(B781,辅助信息!E:K,7,FALSE)</f>
        <v>JWDDCD2025052800131</v>
      </c>
      <c r="E781" s="41" t="str">
        <f>VLOOKUP(F781,辅助信息!A:B,2,FALSE)</f>
        <v>螺纹钢</v>
      </c>
      <c r="F781" s="41" t="s">
        <v>21</v>
      </c>
      <c r="G781" s="37">
        <v>15</v>
      </c>
      <c r="H781" s="37" t="str">
        <f>_xlfn._xlws.FILTER('[1]2025年已发货'!$E:$E,'[1]2025年已发货'!$F:$F&amp;'[1]2025年已发货'!$C:$C&amp;'[1]2025年已发货'!$G:$G&amp;'[1]2025年已发货'!$H:$H=C781&amp;F781&amp;I781&amp;J781,"未发货")</f>
        <v>未发货</v>
      </c>
      <c r="I781" s="41" t="str">
        <f>VLOOKUP(B781,辅助信息!E:I,3,FALSE)</f>
        <v>（商投建工达州中医药科技园-4工区-7号楼）达州市通川区达州中医药职业学院犀牛大道北段</v>
      </c>
      <c r="J781" s="41" t="str">
        <f>VLOOKUP(B781,辅助信息!E:I,4,FALSE)</f>
        <v>张扬</v>
      </c>
      <c r="K781" s="41">
        <f>VLOOKUP(J781,辅助信息!H:I,2,FALSE)</f>
        <v>18381904567</v>
      </c>
      <c r="L781" s="79"/>
      <c r="M781" s="92">
        <v>45716</v>
      </c>
      <c r="O781" s="63">
        <f ca="1" t="shared" si="20"/>
        <v>0</v>
      </c>
      <c r="P781" s="63">
        <f ca="1" t="shared" si="21"/>
        <v>243</v>
      </c>
      <c r="Q781" s="27" t="str">
        <f>VLOOKUP(B781,辅助信息!E:M,9,FALSE)</f>
        <v>ZTWM-CDGS-XS-2024-0134-商投建工达州中医药科技成果示范园项目</v>
      </c>
      <c r="R781" s="27"/>
    </row>
    <row r="782" hidden="1" spans="2:18">
      <c r="B782" s="41" t="s">
        <v>56</v>
      </c>
      <c r="C782" s="71">
        <v>45719</v>
      </c>
      <c r="D782" s="41" t="str">
        <f>VLOOKUP(B782,辅助信息!E:K,7,FALSE)</f>
        <v>JWDDCD2025052800131</v>
      </c>
      <c r="E782" s="41" t="str">
        <f>VLOOKUP(F782,辅助信息!A:B,2,FALSE)</f>
        <v>螺纹钢</v>
      </c>
      <c r="F782" s="41" t="s">
        <v>58</v>
      </c>
      <c r="G782" s="37">
        <v>12</v>
      </c>
      <c r="H782" s="37">
        <f>_xlfn._xlws.FILTER('[1]2025年已发货'!$E:$E,'[1]2025年已发货'!$F:$F&amp;'[1]2025年已发货'!$C:$C&amp;'[1]2025年已发货'!$G:$G&amp;'[1]2025年已发货'!$H:$H=C782&amp;F782&amp;I782&amp;J782,"未发货")</f>
        <v>12</v>
      </c>
      <c r="I782" s="41" t="str">
        <f>VLOOKUP(B782,辅助信息!E:I,3,FALSE)</f>
        <v>（商投建工达州中医药科技园-4工区-7号楼）达州市通川区达州中医药职业学院犀牛大道北段</v>
      </c>
      <c r="J782" s="41" t="str">
        <f>VLOOKUP(B782,辅助信息!E:I,4,FALSE)</f>
        <v>张扬</v>
      </c>
      <c r="K782" s="41">
        <f>VLOOKUP(J782,辅助信息!H:I,2,FALSE)</f>
        <v>18381904567</v>
      </c>
      <c r="L782" s="79"/>
      <c r="M782" s="92">
        <v>45716</v>
      </c>
      <c r="O782" s="63">
        <f ca="1" t="shared" ref="O782:O789" si="22">IF(OR(M782="",N782&lt;&gt;""),"",MAX(M782-TODAY(),0))</f>
        <v>0</v>
      </c>
      <c r="P782" s="63">
        <f ca="1" t="shared" ref="P782:P789" si="23">IF(M782="","",IF(N782&lt;&gt;"",MAX(N782-M782,0),IF(TODAY()&gt;M782,TODAY()-M782,0)))</f>
        <v>243</v>
      </c>
      <c r="Q782" s="27" t="str">
        <f>VLOOKUP(B782,辅助信息!E:M,9,FALSE)</f>
        <v>ZTWM-CDGS-XS-2024-0134-商投建工达州中医药科技成果示范园项目</v>
      </c>
      <c r="R782" s="27"/>
    </row>
    <row r="783" hidden="1" spans="2:18">
      <c r="B783" s="41" t="s">
        <v>56</v>
      </c>
      <c r="C783" s="71">
        <v>45719</v>
      </c>
      <c r="D783" s="41" t="str">
        <f>VLOOKUP(B783,辅助信息!E:K,7,FALSE)</f>
        <v>JWDDCD2025052800131</v>
      </c>
      <c r="E783" s="41" t="str">
        <f>VLOOKUP(F783,辅助信息!A:B,2,FALSE)</f>
        <v>螺纹钢</v>
      </c>
      <c r="F783" s="41" t="s">
        <v>46</v>
      </c>
      <c r="G783" s="37">
        <v>15</v>
      </c>
      <c r="H783" s="37">
        <f>_xlfn._xlws.FILTER('[1]2025年已发货'!$E:$E,'[1]2025年已发货'!$F:$F&amp;'[1]2025年已发货'!$C:$C&amp;'[1]2025年已发货'!$G:$G&amp;'[1]2025年已发货'!$H:$H=C783&amp;F783&amp;I783&amp;J783,"未发货")</f>
        <v>15</v>
      </c>
      <c r="I783" s="41" t="str">
        <f>VLOOKUP(B783,辅助信息!E:I,3,FALSE)</f>
        <v>（商投建工达州中医药科技园-4工区-7号楼）达州市通川区达州中医药职业学院犀牛大道北段</v>
      </c>
      <c r="J783" s="41" t="str">
        <f>VLOOKUP(B783,辅助信息!E:I,4,FALSE)</f>
        <v>张扬</v>
      </c>
      <c r="K783" s="41">
        <f>VLOOKUP(J783,辅助信息!H:I,2,FALSE)</f>
        <v>18381904567</v>
      </c>
      <c r="L783" s="79"/>
      <c r="M783" s="92">
        <v>45716</v>
      </c>
      <c r="O783" s="63">
        <f ca="1" t="shared" si="22"/>
        <v>0</v>
      </c>
      <c r="P783" s="63">
        <f ca="1" t="shared" si="23"/>
        <v>243</v>
      </c>
      <c r="Q783" s="27" t="str">
        <f>VLOOKUP(B783,辅助信息!E:M,9,FALSE)</f>
        <v>ZTWM-CDGS-XS-2024-0134-商投建工达州中医药科技成果示范园项目</v>
      </c>
      <c r="R783" s="27"/>
    </row>
    <row r="784" hidden="1" spans="2:18">
      <c r="B784" s="41" t="s">
        <v>56</v>
      </c>
      <c r="C784" s="71">
        <v>45719</v>
      </c>
      <c r="D784" s="41" t="str">
        <f>VLOOKUP(B784,辅助信息!E:K,7,FALSE)</f>
        <v>JWDDCD2025052800131</v>
      </c>
      <c r="E784" s="41" t="str">
        <f>VLOOKUP(F784,辅助信息!A:B,2,FALSE)</f>
        <v>螺纹钢</v>
      </c>
      <c r="F784" s="41" t="s">
        <v>22</v>
      </c>
      <c r="G784" s="37">
        <v>12</v>
      </c>
      <c r="H784" s="37">
        <f>_xlfn._xlws.FILTER('[1]2025年已发货'!$E:$E,'[1]2025年已发货'!$F:$F&amp;'[1]2025年已发货'!$C:$C&amp;'[1]2025年已发货'!$G:$G&amp;'[1]2025年已发货'!$H:$H=C784&amp;F784&amp;I784&amp;J784,"未发货")</f>
        <v>12</v>
      </c>
      <c r="I784" s="41" t="str">
        <f>VLOOKUP(B784,辅助信息!E:I,3,FALSE)</f>
        <v>（商投建工达州中医药科技园-4工区-7号楼）达州市通川区达州中医药职业学院犀牛大道北段</v>
      </c>
      <c r="J784" s="41" t="str">
        <f>VLOOKUP(B784,辅助信息!E:I,4,FALSE)</f>
        <v>张扬</v>
      </c>
      <c r="K784" s="41">
        <f>VLOOKUP(J784,辅助信息!H:I,2,FALSE)</f>
        <v>18381904567</v>
      </c>
      <c r="L784" s="77"/>
      <c r="M784" s="92">
        <v>45716</v>
      </c>
      <c r="O784" s="63">
        <f ca="1" t="shared" si="22"/>
        <v>0</v>
      </c>
      <c r="P784" s="63">
        <f ca="1" t="shared" si="23"/>
        <v>243</v>
      </c>
      <c r="Q784" s="27" t="str">
        <f>VLOOKUP(B784,辅助信息!E:M,9,FALSE)</f>
        <v>ZTWM-CDGS-XS-2024-0134-商投建工达州中医药科技成果示范园项目</v>
      </c>
      <c r="R784" s="27"/>
    </row>
    <row r="785" ht="45" hidden="1" customHeight="1" spans="2:18">
      <c r="B785" s="41" t="s">
        <v>63</v>
      </c>
      <c r="C785" s="71">
        <v>45719</v>
      </c>
      <c r="D785" s="41" t="e">
        <f>VLOOKUP(B785,辅助信息!E:K,7,FALSE)</f>
        <v>#N/A</v>
      </c>
      <c r="E785" s="41" t="str">
        <f>VLOOKUP(F785,辅助信息!A:B,2,FALSE)</f>
        <v>螺纹钢</v>
      </c>
      <c r="F785" s="41" t="s">
        <v>18</v>
      </c>
      <c r="G785" s="37">
        <v>30</v>
      </c>
      <c r="H785" s="37" t="e">
        <f>_xlfn._xlws.FILTER('[1]2025年已发货'!$E:$E,'[1]2025年已发货'!$F:$F&amp;'[1]2025年已发货'!$C:$C&amp;'[1]2025年已发货'!$G:$G&amp;'[1]2025年已发货'!$H:$H=C785&amp;F785&amp;I785&amp;J785,"未发货")</f>
        <v>#N/A</v>
      </c>
      <c r="I785" s="41" t="e">
        <f>VLOOKUP(B785,辅助信息!E:I,3,FALSE)</f>
        <v>#N/A</v>
      </c>
      <c r="J785" s="41" t="e">
        <f>VLOOKUP(B785,辅助信息!E:I,4,FALSE)</f>
        <v>#N/A</v>
      </c>
      <c r="K785" s="41" t="e">
        <f>VLOOKUP(J785,辅助信息!H:I,2,FALSE)</f>
        <v>#N/A</v>
      </c>
      <c r="L785" s="78" t="e">
        <f>VLOOKUP(B785,辅助信息!E:J,6,FALSE)</f>
        <v>#N/A</v>
      </c>
      <c r="M785" s="92">
        <v>45717</v>
      </c>
      <c r="O785" s="63">
        <f ca="1" t="shared" si="22"/>
        <v>0</v>
      </c>
      <c r="P785" s="63">
        <f ca="1" t="shared" si="23"/>
        <v>242</v>
      </c>
      <c r="Q785" s="27" t="e">
        <f>VLOOKUP(B785,辅助信息!E:M,9,FALSE)</f>
        <v>#N/A</v>
      </c>
      <c r="R785" s="27"/>
    </row>
    <row r="786" hidden="1" spans="2:18">
      <c r="B786" s="41" t="s">
        <v>20</v>
      </c>
      <c r="C786" s="71">
        <v>45719</v>
      </c>
      <c r="D786" s="41" t="str">
        <f>VLOOKUP(B786,辅助信息!E:K,7,FALSE)</f>
        <v>JWDDCD2025051000019</v>
      </c>
      <c r="E786" s="41" t="str">
        <f>VLOOKUP(F786,辅助信息!A:B,2,FALSE)</f>
        <v>盘螺</v>
      </c>
      <c r="F786" s="41" t="s">
        <v>49</v>
      </c>
      <c r="G786" s="37">
        <v>12</v>
      </c>
      <c r="H786" s="37" t="str">
        <f>_xlfn._xlws.FILTER('[1]2025年已发货'!$E:$E,'[1]2025年已发货'!$F:$F&amp;'[1]2025年已发货'!$C:$C&amp;'[1]2025年已发货'!$G:$G&amp;'[1]2025年已发货'!$H:$H=C786&amp;F786&amp;I786&amp;J786,"未发货")</f>
        <v>未发货</v>
      </c>
      <c r="I786" s="41" t="str">
        <f>VLOOKUP(B786,辅助信息!E:I,3,FALSE)</f>
        <v>(五冶钢构医学科学产业园建设项目房建三部-一标（7-2）)四川省南充市顺庆区搬罾街道学府大道二段</v>
      </c>
      <c r="J786" s="41" t="str">
        <f>VLOOKUP(B786,辅助信息!E:I,4,FALSE)</f>
        <v>郑林</v>
      </c>
      <c r="K786" s="41">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241</v>
      </c>
      <c r="Q786" s="27" t="str">
        <f>VLOOKUP(B786,辅助信息!E:M,9,FALSE)</f>
        <v>ZTWM-CDGS-XS-2024-0248-五冶钢构-南充市医学院项目</v>
      </c>
      <c r="R786" s="27"/>
    </row>
    <row r="787" hidden="1" spans="2:18">
      <c r="B787" s="41" t="s">
        <v>20</v>
      </c>
      <c r="C787" s="71">
        <v>45719</v>
      </c>
      <c r="D787" s="41" t="str">
        <f>VLOOKUP(B787,辅助信息!E:K,7,FALSE)</f>
        <v>JWDDCD2025051000019</v>
      </c>
      <c r="E787" s="41" t="str">
        <f>VLOOKUP(F787,辅助信息!A:B,2,FALSE)</f>
        <v>盘螺</v>
      </c>
      <c r="F787" s="41" t="s">
        <v>26</v>
      </c>
      <c r="G787" s="37">
        <v>5</v>
      </c>
      <c r="H787" s="37" t="str">
        <f>_xlfn._xlws.FILTER('[1]2025年已发货'!$E:$E,'[1]2025年已发货'!$F:$F&amp;'[1]2025年已发货'!$C:$C&amp;'[1]2025年已发货'!$G:$G&amp;'[1]2025年已发货'!$H:$H=C787&amp;F787&amp;I787&amp;J787,"未发货")</f>
        <v>未发货</v>
      </c>
      <c r="I787" s="41" t="str">
        <f>VLOOKUP(B787,辅助信息!E:I,3,FALSE)</f>
        <v>(五冶钢构医学科学产业园建设项目房建三部-一标（7-2）)四川省南充市顺庆区搬罾街道学府大道二段</v>
      </c>
      <c r="J787" s="41" t="str">
        <f>VLOOKUP(B787,辅助信息!E:I,4,FALSE)</f>
        <v>郑林</v>
      </c>
      <c r="K787" s="41">
        <f>VLOOKUP(J787,辅助信息!H:I,2,FALSE)</f>
        <v>18349955455</v>
      </c>
      <c r="L787" s="79"/>
      <c r="M787" s="92">
        <v>45718</v>
      </c>
      <c r="O787" s="63">
        <f ca="1" t="shared" si="22"/>
        <v>0</v>
      </c>
      <c r="P787" s="63">
        <f ca="1" t="shared" si="23"/>
        <v>241</v>
      </c>
      <c r="Q787" s="27" t="str">
        <f>VLOOKUP(B787,辅助信息!E:M,9,FALSE)</f>
        <v>ZTWM-CDGS-XS-2024-0248-五冶钢构-南充市医学院项目</v>
      </c>
      <c r="R787" s="27"/>
    </row>
    <row r="788" hidden="1" spans="2:18">
      <c r="B788" s="41" t="s">
        <v>20</v>
      </c>
      <c r="C788" s="71">
        <v>45719</v>
      </c>
      <c r="D788" s="41" t="str">
        <f>VLOOKUP(B788,辅助信息!E:K,7,FALSE)</f>
        <v>JWDDCD2025051000019</v>
      </c>
      <c r="E788" s="41" t="str">
        <f>VLOOKUP(F788,辅助信息!A:B,2,FALSE)</f>
        <v>螺纹钢</v>
      </c>
      <c r="F788" s="41" t="s">
        <v>46</v>
      </c>
      <c r="G788" s="37">
        <v>7</v>
      </c>
      <c r="H788" s="37">
        <f>_xlfn._xlws.FILTER('[1]2025年已发货'!$E:$E,'[1]2025年已发货'!$F:$F&amp;'[1]2025年已发货'!$C:$C&amp;'[1]2025年已发货'!$G:$G&amp;'[1]2025年已发货'!$H:$H=C788&amp;F788&amp;I788&amp;J788,"未发货")</f>
        <v>7</v>
      </c>
      <c r="I788" s="41" t="str">
        <f>VLOOKUP(B788,辅助信息!E:I,3,FALSE)</f>
        <v>(五冶钢构医学科学产业园建设项目房建三部-一标（7-2）)四川省南充市顺庆区搬罾街道学府大道二段</v>
      </c>
      <c r="J788" s="41" t="str">
        <f>VLOOKUP(B788,辅助信息!E:I,4,FALSE)</f>
        <v>郑林</v>
      </c>
      <c r="K788" s="41">
        <f>VLOOKUP(J788,辅助信息!H:I,2,FALSE)</f>
        <v>18349955455</v>
      </c>
      <c r="L788" s="79"/>
      <c r="M788" s="92">
        <v>45718</v>
      </c>
      <c r="O788" s="63">
        <f ca="1" t="shared" si="22"/>
        <v>0</v>
      </c>
      <c r="P788" s="63">
        <f ca="1" t="shared" si="23"/>
        <v>241</v>
      </c>
      <c r="Q788" s="27" t="str">
        <f>VLOOKUP(B788,辅助信息!E:M,9,FALSE)</f>
        <v>ZTWM-CDGS-XS-2024-0248-五冶钢构-南充市医学院项目</v>
      </c>
      <c r="R788" s="27"/>
    </row>
    <row r="789" hidden="1" spans="2:18">
      <c r="B789" s="41" t="s">
        <v>89</v>
      </c>
      <c r="C789" s="71">
        <v>45719</v>
      </c>
      <c r="D789" s="41" t="str">
        <f>VLOOKUP(B789,辅助信息!E:K,7,FALSE)</f>
        <v>JWDDCD2025051000019</v>
      </c>
      <c r="E789" s="41" t="str">
        <f>VLOOKUP(F789,辅助信息!A:B,2,FALSE)</f>
        <v>螺纹钢</v>
      </c>
      <c r="F789" s="41" t="s">
        <v>91</v>
      </c>
      <c r="G789" s="37">
        <v>16</v>
      </c>
      <c r="H789" s="37">
        <f>_xlfn._xlws.FILTER('[1]2025年已发货'!$E:$E,'[1]2025年已发货'!$F:$F&amp;'[1]2025年已发货'!$C:$C&amp;'[1]2025年已发货'!$G:$G&amp;'[1]2025年已发货'!$H:$H=C789&amp;F789&amp;I789&amp;J789,"未发货")</f>
        <v>9</v>
      </c>
      <c r="I789" s="41" t="str">
        <f>VLOOKUP(B789,辅助信息!E:I,3,FALSE)</f>
        <v>(五冶钢构医学科学产业园建设项目房建三部-排洪渠)四川省南充市顺庆区搬罾街道学府大道二段</v>
      </c>
      <c r="J789" s="41" t="str">
        <f>VLOOKUP(B789,辅助信息!E:I,4,FALSE)</f>
        <v>郑林</v>
      </c>
      <c r="K789" s="41">
        <f>VLOOKUP(J789,辅助信息!H:I,2,FALSE)</f>
        <v>18349955455</v>
      </c>
      <c r="L789" s="77"/>
      <c r="M789" s="92">
        <v>45718</v>
      </c>
      <c r="O789" s="63">
        <f ca="1" t="shared" si="22"/>
        <v>0</v>
      </c>
      <c r="P789" s="63">
        <f ca="1" t="shared" si="23"/>
        <v>241</v>
      </c>
      <c r="Q789" s="27" t="str">
        <f>VLOOKUP(B789,辅助信息!E:M,9,FALSE)</f>
        <v>ZTWM-CDGS-XS-2024-0248-五冶钢构-南充市医学院项目</v>
      </c>
      <c r="R789" s="27"/>
    </row>
    <row r="790" hidden="1" spans="2:18">
      <c r="B790" s="41" t="s">
        <v>20</v>
      </c>
      <c r="C790" s="71">
        <v>45719</v>
      </c>
      <c r="D790" s="41" t="str">
        <f>VLOOKUP(B790,辅助信息!E:K,7,FALSE)</f>
        <v>JWDDCD2025051000019</v>
      </c>
      <c r="E790" s="41" t="str">
        <f>VLOOKUP(F790,辅助信息!A:B,2,FALSE)</f>
        <v>螺纹钢</v>
      </c>
      <c r="F790" s="41" t="s">
        <v>30</v>
      </c>
      <c r="G790" s="37">
        <v>30</v>
      </c>
      <c r="H790" s="37">
        <f>_xlfn._xlws.FILTER('[1]2025年已发货'!$E:$E,'[1]2025年已发货'!$F:$F&amp;'[1]2025年已发货'!$C:$C&amp;'[1]2025年已发货'!$G:$G&amp;'[1]2025年已发货'!$H:$H=C790&amp;F790&amp;I790&amp;J790,"未发货")</f>
        <v>20</v>
      </c>
      <c r="I790" s="41" t="str">
        <f>VLOOKUP(B790,辅助信息!E:I,3,FALSE)</f>
        <v>(五冶钢构医学科学产业园建设项目房建三部-一标（7-2）)四川省南充市顺庆区搬罾街道学府大道二段</v>
      </c>
      <c r="J790" s="41" t="str">
        <f>VLOOKUP(B790,辅助信息!E:I,4,FALSE)</f>
        <v>郑林</v>
      </c>
      <c r="K790" s="41">
        <f>VLOOKUP(J790,辅助信息!H:I,2,FALSE)</f>
        <v>18349955455</v>
      </c>
      <c r="L790" s="78"/>
      <c r="M790" s="92"/>
      <c r="Q790" s="27"/>
      <c r="R790" s="27"/>
    </row>
    <row r="791" hidden="1" spans="1:18">
      <c r="A791" s="102" t="s">
        <v>109</v>
      </c>
      <c r="B791" s="41" t="s">
        <v>47</v>
      </c>
      <c r="C791" s="71">
        <v>45719</v>
      </c>
      <c r="D791" s="41" t="str">
        <f>VLOOKUP(B791,辅助信息!E:K,7,FALSE)</f>
        <v>JWDDCD2025052800131</v>
      </c>
      <c r="E791" s="41" t="str">
        <f>VLOOKUP(F791,辅助信息!A:B,2,FALSE)</f>
        <v>盘螺</v>
      </c>
      <c r="F791" s="41" t="s">
        <v>26</v>
      </c>
      <c r="G791" s="37">
        <v>14</v>
      </c>
      <c r="H791" s="37" t="str">
        <f>_xlfn._xlws.FILTER('[1]2025年已发货'!$E:$E,'[1]2025年已发货'!$F:$F&amp;'[1]2025年已发货'!$C:$C&amp;'[1]2025年已发货'!$G:$G&amp;'[1]2025年已发货'!$H:$H=C791&amp;F791&amp;I791&amp;J791,"未发货")</f>
        <v>未发货</v>
      </c>
      <c r="I791" s="41" t="str">
        <f>VLOOKUP(B791,辅助信息!E:I,3,FALSE)</f>
        <v>（商投建工达州中医药科技园-1工区）达州市通川区达州中医药职业学院犀牛大道北段</v>
      </c>
      <c r="J791" s="41" t="str">
        <f>VLOOKUP(B791,辅助信息!E:I,4,FALSE)</f>
        <v>程黄刚</v>
      </c>
      <c r="K791" s="41">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241</v>
      </c>
      <c r="Q791" s="27" t="str">
        <f>VLOOKUP(B791,辅助信息!E:M,9,FALSE)</f>
        <v>ZTWM-CDGS-XS-2024-0134-商投建工达州中医药科技成果示范园项目</v>
      </c>
      <c r="R791" s="27"/>
    </row>
    <row r="792" hidden="1" spans="2:18">
      <c r="B792" s="41" t="s">
        <v>47</v>
      </c>
      <c r="C792" s="71">
        <v>45719</v>
      </c>
      <c r="D792" s="41" t="str">
        <f>VLOOKUP(B792,辅助信息!E:K,7,FALSE)</f>
        <v>JWDDCD2025052800131</v>
      </c>
      <c r="E792" s="41" t="str">
        <f>VLOOKUP(F792,辅助信息!A:B,2,FALSE)</f>
        <v>螺纹钢</v>
      </c>
      <c r="F792" s="41" t="s">
        <v>18</v>
      </c>
      <c r="G792" s="37">
        <v>21</v>
      </c>
      <c r="H792" s="37" t="str">
        <f>_xlfn._xlws.FILTER('[1]2025年已发货'!$E:$E,'[1]2025年已发货'!$F:$F&amp;'[1]2025年已发货'!$C:$C&amp;'[1]2025年已发货'!$G:$G&amp;'[1]2025年已发货'!$H:$H=C792&amp;F792&amp;I792&amp;J792,"未发货")</f>
        <v>未发货</v>
      </c>
      <c r="I792" s="41" t="str">
        <f>VLOOKUP(B792,辅助信息!E:I,3,FALSE)</f>
        <v>（商投建工达州中医药科技园-1工区）达州市通川区达州中医药职业学院犀牛大道北段</v>
      </c>
      <c r="J792" s="41" t="str">
        <f>VLOOKUP(B792,辅助信息!E:I,4,FALSE)</f>
        <v>程黄刚</v>
      </c>
      <c r="K792" s="41">
        <f>VLOOKUP(J792,辅助信息!H:I,2,FALSE)</f>
        <v>15108211617</v>
      </c>
      <c r="L792" s="77"/>
      <c r="M792" s="92">
        <v>45718</v>
      </c>
      <c r="O792" s="63">
        <f ca="1" t="shared" si="24"/>
        <v>0</v>
      </c>
      <c r="P792" s="63">
        <f ca="1" t="shared" si="25"/>
        <v>241</v>
      </c>
      <c r="Q792" s="27" t="str">
        <f>VLOOKUP(B792,辅助信息!E:M,9,FALSE)</f>
        <v>ZTWM-CDGS-XS-2024-0134-商投建工达州中医药科技成果示范园项目</v>
      </c>
      <c r="R792" s="27"/>
    </row>
    <row r="793" hidden="1" spans="2:18">
      <c r="B793" s="41" t="s">
        <v>68</v>
      </c>
      <c r="C793" s="71">
        <v>45719</v>
      </c>
      <c r="D793" s="41" t="str">
        <f>VLOOKUP(B793,辅助信息!E:K,7,FALSE)</f>
        <v>JWDDCD2025052800131</v>
      </c>
      <c r="E793" s="41" t="str">
        <f>VLOOKUP(F793,辅助信息!A:B,2,FALSE)</f>
        <v>螺纹钢</v>
      </c>
      <c r="F793" s="41" t="s">
        <v>65</v>
      </c>
      <c r="G793" s="37">
        <v>57</v>
      </c>
      <c r="H793" s="37">
        <f>_xlfn._xlws.FILTER('[1]2025年已发货'!$E:$E,'[1]2025年已发货'!$F:$F&amp;'[1]2025年已发货'!$C:$C&amp;'[1]2025年已发货'!$G:$G&amp;'[1]2025年已发货'!$H:$H=C793&amp;F793&amp;I793&amp;J793,"未发货")</f>
        <v>57</v>
      </c>
      <c r="I793" s="41" t="str">
        <f>VLOOKUP(B793,辅助信息!E:I,3,FALSE)</f>
        <v>（商投建工达州中医药科技园-2工区-景观桥）达州市通川区达州中医药职业学院犀牛大道北段</v>
      </c>
      <c r="J793" s="41" t="str">
        <f>VLOOKUP(B793,辅助信息!E:I,4,FALSE)</f>
        <v>李波</v>
      </c>
      <c r="K793" s="41">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239</v>
      </c>
      <c r="Q793" s="27" t="str">
        <f>VLOOKUP(B793,辅助信息!E:M,9,FALSE)</f>
        <v>ZTWM-CDGS-XS-2024-0134-商投建工达州中医药科技成果示范园项目</v>
      </c>
      <c r="R793" s="27"/>
    </row>
    <row r="794" hidden="1" spans="2:18">
      <c r="B794" s="41" t="s">
        <v>68</v>
      </c>
      <c r="C794" s="71">
        <v>45719</v>
      </c>
      <c r="D794" s="41" t="str">
        <f>VLOOKUP(B794,辅助信息!E:K,7,FALSE)</f>
        <v>JWDDCD2025052800131</v>
      </c>
      <c r="E794" s="41" t="str">
        <f>VLOOKUP(F794,辅助信息!A:B,2,FALSE)</f>
        <v>螺纹钢</v>
      </c>
      <c r="F794" s="41" t="s">
        <v>52</v>
      </c>
      <c r="G794" s="37">
        <v>45</v>
      </c>
      <c r="H794" s="37">
        <f>_xlfn._xlws.FILTER('[1]2025年已发货'!$E:$E,'[1]2025年已发货'!$F:$F&amp;'[1]2025年已发货'!$C:$C&amp;'[1]2025年已发货'!$G:$G&amp;'[1]2025年已发货'!$H:$H=C794&amp;F794&amp;I794&amp;J794,"未发货")</f>
        <v>15</v>
      </c>
      <c r="I794" s="41" t="str">
        <f>VLOOKUP(B794,辅助信息!E:I,3,FALSE)</f>
        <v>（商投建工达州中医药科技园-2工区-景观桥）达州市通川区达州中医药职业学院犀牛大道北段</v>
      </c>
      <c r="J794" s="41" t="str">
        <f>VLOOKUP(B794,辅助信息!E:I,4,FALSE)</f>
        <v>李波</v>
      </c>
      <c r="K794" s="41">
        <f>VLOOKUP(J794,辅助信息!H:I,2,FALSE)</f>
        <v>18381899787</v>
      </c>
      <c r="L794" s="77"/>
      <c r="M794" s="92">
        <v>45720</v>
      </c>
      <c r="O794" s="63">
        <f ca="1" t="shared" si="24"/>
        <v>0</v>
      </c>
      <c r="P794" s="63">
        <f ca="1" t="shared" si="25"/>
        <v>239</v>
      </c>
      <c r="Q794" s="27" t="str">
        <f>VLOOKUP(B794,辅助信息!E:M,9,FALSE)</f>
        <v>ZTWM-CDGS-XS-2024-0134-商投建工达州中医药科技成果示范园项目</v>
      </c>
      <c r="R794" s="27"/>
    </row>
    <row r="795" hidden="1" spans="2:18">
      <c r="B795" s="41" t="s">
        <v>44</v>
      </c>
      <c r="C795" s="71">
        <v>45719</v>
      </c>
      <c r="D795" s="41" t="str">
        <f>VLOOKUP(B795,辅助信息!E:K,7,FALSE)</f>
        <v>JWDDCD2025060600053</v>
      </c>
      <c r="E795" s="41" t="str">
        <f>VLOOKUP(F795,辅助信息!A:B,2,FALSE)</f>
        <v>盘螺</v>
      </c>
      <c r="F795" s="41" t="s">
        <v>40</v>
      </c>
      <c r="G795" s="37">
        <v>5</v>
      </c>
      <c r="H795" s="37">
        <f>_xlfn._xlws.FILTER('[1]2025年已发货'!$E:$E,'[1]2025年已发货'!$F:$F&amp;'[1]2025年已发货'!$C:$C&amp;'[1]2025年已发货'!$G:$G&amp;'[1]2025年已发货'!$H:$H=C795&amp;F795&amp;I795&amp;J795,"未发货")</f>
        <v>5</v>
      </c>
      <c r="I795" s="41" t="str">
        <f>VLOOKUP(B795,辅助信息!E:I,3,FALSE)</f>
        <v>（华西酒城南）成都市武侯区火车南站西路8号酒城南项目</v>
      </c>
      <c r="J795" s="41" t="str">
        <f>VLOOKUP(B795,辅助信息!E:I,4,FALSE)</f>
        <v>龙耀宇</v>
      </c>
      <c r="K795" s="41">
        <f>VLOOKUP(J795,辅助信息!H:I,2,FALSE)</f>
        <v>18384145895</v>
      </c>
      <c r="L795" s="78" t="str">
        <f>VLOOKUP(B795,辅助信息!E:J,6,FALSE)</f>
        <v>对方卸车</v>
      </c>
      <c r="M795" s="92">
        <v>45718</v>
      </c>
      <c r="O795" s="63">
        <f ca="1" t="shared" si="24"/>
        <v>0</v>
      </c>
      <c r="P795" s="63">
        <f ca="1" t="shared" si="25"/>
        <v>241</v>
      </c>
      <c r="Q795" s="27" t="str">
        <f>VLOOKUP(B795,辅助信息!E:M,9,FALSE)</f>
        <v>ZTWM-CDGS-XS-2024-0189-华西集采-酒城南项目</v>
      </c>
      <c r="R795" s="27"/>
    </row>
    <row r="796" hidden="1" spans="2:18">
      <c r="B796" s="41" t="s">
        <v>44</v>
      </c>
      <c r="C796" s="71">
        <v>45719</v>
      </c>
      <c r="D796" s="41" t="str">
        <f>VLOOKUP(B796,辅助信息!E:K,7,FALSE)</f>
        <v>JWDDCD2025060600053</v>
      </c>
      <c r="E796" s="41" t="str">
        <f>VLOOKUP(F796,辅助信息!A:B,2,FALSE)</f>
        <v>盘螺</v>
      </c>
      <c r="F796" s="41" t="s">
        <v>41</v>
      </c>
      <c r="G796" s="37">
        <v>2.5</v>
      </c>
      <c r="H796" s="37">
        <f>_xlfn._xlws.FILTER('[1]2025年已发货'!$E:$E,'[1]2025年已发货'!$F:$F&amp;'[1]2025年已发货'!$C:$C&amp;'[1]2025年已发货'!$G:$G&amp;'[1]2025年已发货'!$H:$H=C796&amp;F796&amp;I796&amp;J796,"未发货")</f>
        <v>2.5</v>
      </c>
      <c r="I796" s="41" t="str">
        <f>VLOOKUP(B796,辅助信息!E:I,3,FALSE)</f>
        <v>（华西酒城南）成都市武侯区火车南站西路8号酒城南项目</v>
      </c>
      <c r="J796" s="41" t="str">
        <f>VLOOKUP(B796,辅助信息!E:I,4,FALSE)</f>
        <v>龙耀宇</v>
      </c>
      <c r="K796" s="41">
        <f>VLOOKUP(J796,辅助信息!H:I,2,FALSE)</f>
        <v>18384145895</v>
      </c>
      <c r="L796" s="79"/>
      <c r="M796" s="92">
        <v>45718</v>
      </c>
      <c r="O796" s="63">
        <f ca="1" t="shared" si="24"/>
        <v>0</v>
      </c>
      <c r="P796" s="63">
        <f ca="1" t="shared" si="25"/>
        <v>241</v>
      </c>
      <c r="Q796" s="27" t="str">
        <f>VLOOKUP(B796,辅助信息!E:M,9,FALSE)</f>
        <v>ZTWM-CDGS-XS-2024-0189-华西集采-酒城南项目</v>
      </c>
      <c r="R796" s="27"/>
    </row>
    <row r="797" hidden="1" spans="2:18">
      <c r="B797" s="41" t="s">
        <v>44</v>
      </c>
      <c r="C797" s="71">
        <v>45719</v>
      </c>
      <c r="D797" s="41" t="str">
        <f>VLOOKUP(B797,辅助信息!E:K,7,FALSE)</f>
        <v>JWDDCD2025060600053</v>
      </c>
      <c r="E797" s="41" t="str">
        <f>VLOOKUP(F797,辅助信息!A:B,2,FALSE)</f>
        <v>盘螺</v>
      </c>
      <c r="F797" s="41" t="s">
        <v>26</v>
      </c>
      <c r="G797" s="37">
        <v>27.5</v>
      </c>
      <c r="H797" s="37">
        <f>_xlfn._xlws.FILTER('[1]2025年已发货'!$E:$E,'[1]2025年已发货'!$F:$F&amp;'[1]2025年已发货'!$C:$C&amp;'[1]2025年已发货'!$G:$G&amp;'[1]2025年已发货'!$H:$H=C797&amp;F797&amp;I797&amp;J797,"未发货")</f>
        <v>12.5</v>
      </c>
      <c r="I797" s="41" t="str">
        <f>VLOOKUP(B797,辅助信息!E:I,3,FALSE)</f>
        <v>（华西酒城南）成都市武侯区火车南站西路8号酒城南项目</v>
      </c>
      <c r="J797" s="41" t="str">
        <f>VLOOKUP(B797,辅助信息!E:I,4,FALSE)</f>
        <v>龙耀宇</v>
      </c>
      <c r="K797" s="41">
        <f>VLOOKUP(J797,辅助信息!H:I,2,FALSE)</f>
        <v>18384145895</v>
      </c>
      <c r="L797" s="77"/>
      <c r="M797" s="92">
        <v>45718</v>
      </c>
      <c r="O797" s="63">
        <f ca="1" t="shared" si="24"/>
        <v>0</v>
      </c>
      <c r="P797" s="63">
        <f ca="1" t="shared" si="25"/>
        <v>241</v>
      </c>
      <c r="Q797" s="27" t="str">
        <f>VLOOKUP(B797,辅助信息!E:M,9,FALSE)</f>
        <v>ZTWM-CDGS-XS-2024-0189-华西集采-酒城南项目</v>
      </c>
      <c r="R797" s="27"/>
    </row>
    <row r="798" hidden="1" spans="2:18">
      <c r="B798" s="41" t="s">
        <v>44</v>
      </c>
      <c r="C798" s="71">
        <v>45719</v>
      </c>
      <c r="D798" s="41" t="str">
        <f>VLOOKUP(B798,辅助信息!E:K,7,FALSE)</f>
        <v>JWDDCD2025060600053</v>
      </c>
      <c r="E798" s="41" t="str">
        <f>VLOOKUP(F798,辅助信息!A:B,2,FALSE)</f>
        <v>螺纹钢</v>
      </c>
      <c r="F798" s="41" t="s">
        <v>27</v>
      </c>
      <c r="G798" s="37">
        <v>15</v>
      </c>
      <c r="H798" s="37">
        <f>_xlfn._xlws.FILTER('[1]2025年已发货'!$E:$E,'[1]2025年已发货'!$F:$F&amp;'[1]2025年已发货'!$C:$C&amp;'[1]2025年已发货'!$G:$G&amp;'[1]2025年已发货'!$H:$H=C798&amp;F798&amp;I798&amp;J798,"未发货")</f>
        <v>15</v>
      </c>
      <c r="I798" s="41" t="str">
        <f>VLOOKUP(B798,辅助信息!E:I,3,FALSE)</f>
        <v>（华西酒城南）成都市武侯区火车南站西路8号酒城南项目</v>
      </c>
      <c r="J798" s="41" t="str">
        <f>VLOOKUP(B798,辅助信息!E:I,4,FALSE)</f>
        <v>龙耀宇</v>
      </c>
      <c r="K798" s="41">
        <f>VLOOKUP(J798,辅助信息!H:I,2,FALSE)</f>
        <v>18384145895</v>
      </c>
      <c r="L798" s="78"/>
      <c r="M798" s="92"/>
      <c r="Q798" s="27"/>
      <c r="R798" s="27"/>
    </row>
    <row r="799" hidden="1" spans="2:18">
      <c r="B799" s="41" t="s">
        <v>87</v>
      </c>
      <c r="C799" s="71">
        <v>45719</v>
      </c>
      <c r="D799" s="41" t="e">
        <f>VLOOKUP(B799,辅助信息!E:K,7,FALSE)</f>
        <v>#N/A</v>
      </c>
      <c r="E799" s="41" t="str">
        <f>VLOOKUP(F799,辅助信息!A:B,2,FALSE)</f>
        <v>盘螺</v>
      </c>
      <c r="F799" s="41" t="s">
        <v>26</v>
      </c>
      <c r="G799" s="37">
        <v>10</v>
      </c>
      <c r="H799" s="37" t="e">
        <f>_xlfn._xlws.FILTER('[1]2025年已发货'!$E:$E,'[1]2025年已发货'!$F:$F&amp;'[1]2025年已发货'!$C:$C&amp;'[1]2025年已发货'!$G:$G&amp;'[1]2025年已发货'!$H:$H=C799&amp;F799&amp;I799&amp;J799,"未发货")</f>
        <v>#N/A</v>
      </c>
      <c r="I799" s="41" t="e">
        <f>VLOOKUP(B799,辅助信息!E:I,3,FALSE)</f>
        <v>#N/A</v>
      </c>
      <c r="J799" s="41" t="e">
        <f>VLOOKUP(B799,辅助信息!E:I,4,FALSE)</f>
        <v>#N/A</v>
      </c>
      <c r="K799" s="41"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240</v>
      </c>
      <c r="Q799" s="27" t="e">
        <f>VLOOKUP(B799,辅助信息!E:M,9,FALSE)</f>
        <v>#N/A</v>
      </c>
      <c r="R799" s="27"/>
    </row>
    <row r="800" hidden="1" spans="2:18">
      <c r="B800" s="41" t="s">
        <v>87</v>
      </c>
      <c r="C800" s="71">
        <v>45719</v>
      </c>
      <c r="D800" s="41" t="e">
        <f>VLOOKUP(B800,辅助信息!E:K,7,FALSE)</f>
        <v>#N/A</v>
      </c>
      <c r="E800" s="41" t="str">
        <f>VLOOKUP(F800,辅助信息!A:B,2,FALSE)</f>
        <v>螺纹钢</v>
      </c>
      <c r="F800" s="41" t="s">
        <v>65</v>
      </c>
      <c r="G800" s="37">
        <v>35</v>
      </c>
      <c r="H800" s="37" t="e">
        <f>_xlfn._xlws.FILTER('[1]2025年已发货'!$E:$E,'[1]2025年已发货'!$F:$F&amp;'[1]2025年已发货'!$C:$C&amp;'[1]2025年已发货'!$G:$G&amp;'[1]2025年已发货'!$H:$H=C800&amp;F800&amp;I800&amp;J800,"未发货")</f>
        <v>#N/A</v>
      </c>
      <c r="I800" s="41" t="e">
        <f>VLOOKUP(B800,辅助信息!E:I,3,FALSE)</f>
        <v>#N/A</v>
      </c>
      <c r="J800" s="41" t="e">
        <f>VLOOKUP(B800,辅助信息!E:I,4,FALSE)</f>
        <v>#N/A</v>
      </c>
      <c r="K800" s="41" t="e">
        <f>VLOOKUP(J800,辅助信息!H:I,2,FALSE)</f>
        <v>#N/A</v>
      </c>
      <c r="L800" s="77"/>
      <c r="M800" s="92">
        <v>45719</v>
      </c>
      <c r="O800" s="63">
        <f ca="1" t="shared" si="26"/>
        <v>0</v>
      </c>
      <c r="P800" s="63">
        <f ca="1" t="shared" si="27"/>
        <v>240</v>
      </c>
      <c r="Q800" s="27" t="e">
        <f>VLOOKUP(B800,辅助信息!E:M,9,FALSE)</f>
        <v>#N/A</v>
      </c>
      <c r="R800" s="27"/>
    </row>
    <row r="801" hidden="1" spans="2:18">
      <c r="B801" s="41" t="s">
        <v>74</v>
      </c>
      <c r="C801" s="71">
        <v>45719</v>
      </c>
      <c r="D801" s="41" t="e">
        <f>VLOOKUP(B801,辅助信息!E:K,7,FALSE)</f>
        <v>#N/A</v>
      </c>
      <c r="E801" s="41" t="str">
        <f>VLOOKUP(F801,辅助信息!A:B,2,FALSE)</f>
        <v>螺纹钢</v>
      </c>
      <c r="F801" s="41" t="s">
        <v>19</v>
      </c>
      <c r="G801" s="37">
        <v>15</v>
      </c>
      <c r="H801" s="37" t="e">
        <f>_xlfn._xlws.FILTER('[1]2025年已发货'!$E:$E,'[1]2025年已发货'!$F:$F&amp;'[1]2025年已发货'!$C:$C&amp;'[1]2025年已发货'!$G:$G&amp;'[1]2025年已发货'!$H:$H=C801&amp;F801&amp;I801&amp;J801,"未发货")</f>
        <v>#N/A</v>
      </c>
      <c r="I801" s="41" t="e">
        <f>VLOOKUP(B801,辅助信息!E:I,3,FALSE)</f>
        <v>#N/A</v>
      </c>
      <c r="J801" s="41" t="e">
        <f>VLOOKUP(B801,辅助信息!E:I,4,FALSE)</f>
        <v>#N/A</v>
      </c>
      <c r="K801" s="41" t="e">
        <f>VLOOKUP(J801,辅助信息!H:I,2,FALSE)</f>
        <v>#N/A</v>
      </c>
      <c r="L801" s="78" t="e">
        <f>VLOOKUP(B801,辅助信息!E:J,6,FALSE)</f>
        <v>#N/A</v>
      </c>
      <c r="M801" s="92">
        <v>45724</v>
      </c>
      <c r="O801" s="63">
        <f ca="1" t="shared" si="26"/>
        <v>0</v>
      </c>
      <c r="P801" s="63">
        <f ca="1" t="shared" si="27"/>
        <v>235</v>
      </c>
      <c r="Q801" s="27" t="e">
        <f>VLOOKUP(B801,辅助信息!E:M,9,FALSE)</f>
        <v>#N/A</v>
      </c>
      <c r="R801" s="27"/>
    </row>
    <row r="802" hidden="1" spans="2:18">
      <c r="B802" s="41" t="s">
        <v>74</v>
      </c>
      <c r="C802" s="71">
        <v>45719</v>
      </c>
      <c r="D802" s="41" t="e">
        <f>VLOOKUP(B802,辅助信息!E:K,7,FALSE)</f>
        <v>#N/A</v>
      </c>
      <c r="E802" s="41" t="str">
        <f>VLOOKUP(F802,辅助信息!A:B,2,FALSE)</f>
        <v>螺纹钢</v>
      </c>
      <c r="F802" s="41" t="s">
        <v>65</v>
      </c>
      <c r="G802" s="37">
        <v>30</v>
      </c>
      <c r="H802" s="37" t="e">
        <f>_xlfn._xlws.FILTER('[1]2025年已发货'!$E:$E,'[1]2025年已发货'!$F:$F&amp;'[1]2025年已发货'!$C:$C&amp;'[1]2025年已发货'!$G:$G&amp;'[1]2025年已发货'!$H:$H=C802&amp;F802&amp;I802&amp;J802,"未发货")</f>
        <v>#N/A</v>
      </c>
      <c r="I802" s="41" t="e">
        <f>VLOOKUP(B802,辅助信息!E:I,3,FALSE)</f>
        <v>#N/A</v>
      </c>
      <c r="J802" s="41" t="e">
        <f>VLOOKUP(B802,辅助信息!E:I,4,FALSE)</f>
        <v>#N/A</v>
      </c>
      <c r="K802" s="41" t="e">
        <f>VLOOKUP(J802,辅助信息!H:I,2,FALSE)</f>
        <v>#N/A</v>
      </c>
      <c r="L802" s="77"/>
      <c r="M802" s="92">
        <v>45724</v>
      </c>
      <c r="O802" s="63">
        <f ca="1" t="shared" si="26"/>
        <v>0</v>
      </c>
      <c r="P802" s="63">
        <f ca="1" t="shared" si="27"/>
        <v>235</v>
      </c>
      <c r="Q802" s="27" t="e">
        <f>VLOOKUP(B802,辅助信息!E:M,9,FALSE)</f>
        <v>#N/A</v>
      </c>
      <c r="R802" s="27"/>
    </row>
    <row r="803" hidden="1" spans="2:18">
      <c r="B803" s="41" t="s">
        <v>64</v>
      </c>
      <c r="C803" s="71">
        <v>45719</v>
      </c>
      <c r="D803" s="41" t="e">
        <f>VLOOKUP(B803,辅助信息!E:K,7,FALSE)</f>
        <v>#N/A</v>
      </c>
      <c r="E803" s="41" t="str">
        <f>VLOOKUP(F803,辅助信息!A:B,2,FALSE)</f>
        <v>螺纹钢</v>
      </c>
      <c r="F803" s="41" t="s">
        <v>65</v>
      </c>
      <c r="G803" s="37">
        <v>54</v>
      </c>
      <c r="H803" s="37" t="e">
        <f>_xlfn._xlws.FILTER('[1]2025年已发货'!$E:$E,'[1]2025年已发货'!$F:$F&amp;'[1]2025年已发货'!$C:$C&amp;'[1]2025年已发货'!$G:$G&amp;'[1]2025年已发货'!$H:$H=C803&amp;F803&amp;I803&amp;J803,"未发货")</f>
        <v>#N/A</v>
      </c>
      <c r="I803" s="41" t="e">
        <f>VLOOKUP(B803,辅助信息!E:I,3,FALSE)</f>
        <v>#N/A</v>
      </c>
      <c r="J803" s="41" t="e">
        <f>VLOOKUP(B803,辅助信息!E:I,4,FALSE)</f>
        <v>#N/A</v>
      </c>
      <c r="K803" s="41" t="e">
        <f>VLOOKUP(J803,辅助信息!H:I,2,FALSE)</f>
        <v>#N/A</v>
      </c>
      <c r="L803" s="78" t="e">
        <f>VLOOKUP(B803,辅助信息!E:J,6,FALSE)</f>
        <v>#N/A</v>
      </c>
      <c r="M803" s="92">
        <v>45718</v>
      </c>
      <c r="O803" s="63">
        <f ca="1" t="shared" si="26"/>
        <v>0</v>
      </c>
      <c r="P803" s="63">
        <f ca="1" t="shared" si="27"/>
        <v>241</v>
      </c>
      <c r="Q803" s="27" t="e">
        <f>VLOOKUP(B803,辅助信息!E:M,9,FALSE)</f>
        <v>#N/A</v>
      </c>
      <c r="R803" s="27"/>
    </row>
    <row r="804" hidden="1" spans="2:18">
      <c r="B804" s="41" t="s">
        <v>64</v>
      </c>
      <c r="C804" s="71">
        <v>45719</v>
      </c>
      <c r="D804" s="41" t="e">
        <f>VLOOKUP(B804,辅助信息!E:K,7,FALSE)</f>
        <v>#N/A</v>
      </c>
      <c r="E804" s="41" t="str">
        <f>VLOOKUP(F804,辅助信息!A:B,2,FALSE)</f>
        <v>螺纹钢</v>
      </c>
      <c r="F804" s="41" t="s">
        <v>52</v>
      </c>
      <c r="G804" s="37">
        <v>51</v>
      </c>
      <c r="H804" s="37" t="e">
        <f>_xlfn._xlws.FILTER('[1]2025年已发货'!$E:$E,'[1]2025年已发货'!$F:$F&amp;'[1]2025年已发货'!$C:$C&amp;'[1]2025年已发货'!$G:$G&amp;'[1]2025年已发货'!$H:$H=C804&amp;F804&amp;I804&amp;J804,"未发货")</f>
        <v>#N/A</v>
      </c>
      <c r="I804" s="41" t="e">
        <f>VLOOKUP(B804,辅助信息!E:I,3,FALSE)</f>
        <v>#N/A</v>
      </c>
      <c r="J804" s="41" t="e">
        <f>VLOOKUP(B804,辅助信息!E:I,4,FALSE)</f>
        <v>#N/A</v>
      </c>
      <c r="K804" s="41" t="e">
        <f>VLOOKUP(J804,辅助信息!H:I,2,FALSE)</f>
        <v>#N/A</v>
      </c>
      <c r="L804" s="77"/>
      <c r="M804" s="92">
        <v>45718</v>
      </c>
      <c r="O804" s="63">
        <f ca="1" t="shared" si="26"/>
        <v>0</v>
      </c>
      <c r="P804" s="63">
        <f ca="1" t="shared" si="27"/>
        <v>241</v>
      </c>
      <c r="Q804" s="27" t="e">
        <f>VLOOKUP(B804,辅助信息!E:M,9,FALSE)</f>
        <v>#N/A</v>
      </c>
      <c r="R804" s="27"/>
    </row>
    <row r="805" hidden="1" spans="2:18">
      <c r="B805" s="41" t="s">
        <v>106</v>
      </c>
      <c r="C805" s="71">
        <v>45719</v>
      </c>
      <c r="D805" s="41" t="str">
        <f>VLOOKUP(B805,辅助信息!E:K,7,FALSE)</f>
        <v>JWDDCD2024101600133</v>
      </c>
      <c r="E805" s="41" t="str">
        <f>VLOOKUP(F805,辅助信息!A:B,2,FALSE)</f>
        <v>盘螺</v>
      </c>
      <c r="F805" s="41" t="s">
        <v>40</v>
      </c>
      <c r="G805" s="37">
        <v>25</v>
      </c>
      <c r="H805" s="37">
        <f>_xlfn._xlws.FILTER('[1]2025年已发货'!$E:$E,'[1]2025年已发货'!$F:$F&amp;'[1]2025年已发货'!$C:$C&amp;'[1]2025年已发货'!$G:$G&amp;'[1]2025年已发货'!$H:$H=C805&amp;F805&amp;I805&amp;J805,"未发货")</f>
        <v>25</v>
      </c>
      <c r="I805" s="41" t="str">
        <f>VLOOKUP(B805,辅助信息!E:I,3,FALSE)</f>
        <v>（五冶钢构宜宾高县月江镇建设项目）  四川省宜宾市高县月江镇刚记超市斜对面(还阳组团沪碳二期项目)</v>
      </c>
      <c r="J805" s="41"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240</v>
      </c>
      <c r="Q805" s="27" t="str">
        <f>VLOOKUP(B805,辅助信息!E:M,9,FALSE)</f>
        <v>ZTWM-CDGS-XS-2024-0169-中冶西部钢构-宜宾市南溪区幸福路东路,高县月江镇建设项目</v>
      </c>
      <c r="R805" s="27"/>
    </row>
    <row r="806" hidden="1" spans="2:18">
      <c r="B806" s="41" t="s">
        <v>106</v>
      </c>
      <c r="C806" s="71">
        <v>45719</v>
      </c>
      <c r="D806" s="41" t="str">
        <f>VLOOKUP(B806,辅助信息!E:K,7,FALSE)</f>
        <v>JWDDCD2024101600133</v>
      </c>
      <c r="E806" s="41" t="str">
        <f>VLOOKUP(F806,辅助信息!A:B,2,FALSE)</f>
        <v>螺纹钢</v>
      </c>
      <c r="F806" s="41" t="s">
        <v>19</v>
      </c>
      <c r="G806" s="37">
        <v>6</v>
      </c>
      <c r="H806" s="37">
        <f>_xlfn._xlws.FILTER('[1]2025年已发货'!$E:$E,'[1]2025年已发货'!$F:$F&amp;'[1]2025年已发货'!$C:$C&amp;'[1]2025年已发货'!$G:$G&amp;'[1]2025年已发货'!$H:$H=C806&amp;F806&amp;I806&amp;J806,"未发货")</f>
        <v>6</v>
      </c>
      <c r="I806" s="41" t="str">
        <f>VLOOKUP(B806,辅助信息!E:I,3,FALSE)</f>
        <v>（五冶钢构宜宾高县月江镇建设项目）  四川省宜宾市高县月江镇刚记超市斜对面(还阳组团沪碳二期项目)</v>
      </c>
      <c r="J806" s="41" t="str">
        <f>VLOOKUP(B806,辅助信息!E:I,4,FALSE)</f>
        <v>张朝亮</v>
      </c>
      <c r="K806" s="80">
        <f>VLOOKUP(J806,辅助信息!H:I,2,FALSE)</f>
        <v>15228205853</v>
      </c>
      <c r="M806" s="92">
        <v>45719</v>
      </c>
      <c r="O806" s="63">
        <f ca="1" t="shared" si="26"/>
        <v>0</v>
      </c>
      <c r="P806" s="63">
        <f ca="1" t="shared" si="27"/>
        <v>240</v>
      </c>
      <c r="Q806" s="27" t="str">
        <f>VLOOKUP(B806,辅助信息!E:M,9,FALSE)</f>
        <v>ZTWM-CDGS-XS-2024-0169-中冶西部钢构-宜宾市南溪区幸福路东路,高县月江镇建设项目</v>
      </c>
      <c r="R806" s="27"/>
    </row>
    <row r="807" hidden="1" spans="2:18">
      <c r="B807" s="41" t="s">
        <v>106</v>
      </c>
      <c r="C807" s="71">
        <v>45719</v>
      </c>
      <c r="D807" s="41" t="str">
        <f>VLOOKUP(B807,辅助信息!E:K,7,FALSE)</f>
        <v>JWDDCD2024101600133</v>
      </c>
      <c r="E807" s="41" t="str">
        <f>VLOOKUP(F807,辅助信息!A:B,2,FALSE)</f>
        <v>螺纹钢</v>
      </c>
      <c r="F807" s="41" t="s">
        <v>32</v>
      </c>
      <c r="G807" s="37">
        <v>60</v>
      </c>
      <c r="H807" s="37">
        <f>_xlfn._xlws.FILTER('[1]2025年已发货'!$E:$E,'[1]2025年已发货'!$F:$F&amp;'[1]2025年已发货'!$C:$C&amp;'[1]2025年已发货'!$G:$G&amp;'[1]2025年已发货'!$H:$H=C807&amp;F807&amp;I807&amp;J807,"未发货")</f>
        <v>60</v>
      </c>
      <c r="I807" s="41" t="str">
        <f>VLOOKUP(B807,辅助信息!E:I,3,FALSE)</f>
        <v>（五冶钢构宜宾高县月江镇建设项目）  四川省宜宾市高县月江镇刚记超市斜对面(还阳组团沪碳二期项目)</v>
      </c>
      <c r="J807" s="41" t="str">
        <f>VLOOKUP(B807,辅助信息!E:I,4,FALSE)</f>
        <v>张朝亮</v>
      </c>
      <c r="K807" s="80">
        <f>VLOOKUP(J807,辅助信息!H:I,2,FALSE)</f>
        <v>15228205853</v>
      </c>
      <c r="M807" s="92">
        <v>45719</v>
      </c>
      <c r="O807" s="63">
        <f ca="1" t="shared" si="26"/>
        <v>0</v>
      </c>
      <c r="P807" s="63">
        <f ca="1" t="shared" si="27"/>
        <v>240</v>
      </c>
      <c r="Q807" s="27" t="str">
        <f>VLOOKUP(B807,辅助信息!E:M,9,FALSE)</f>
        <v>ZTWM-CDGS-XS-2024-0169-中冶西部钢构-宜宾市南溪区幸福路东路,高县月江镇建设项目</v>
      </c>
      <c r="R807" s="27"/>
    </row>
    <row r="808" hidden="1" spans="2:18">
      <c r="B808" s="41" t="s">
        <v>106</v>
      </c>
      <c r="C808" s="71">
        <v>45719</v>
      </c>
      <c r="D808" s="41" t="str">
        <f>VLOOKUP(B808,辅助信息!E:K,7,FALSE)</f>
        <v>JWDDCD2024101600133</v>
      </c>
      <c r="E808" s="41" t="str">
        <f>VLOOKUP(F808,辅助信息!A:B,2,FALSE)</f>
        <v>螺纹钢</v>
      </c>
      <c r="F808" s="41" t="s">
        <v>28</v>
      </c>
      <c r="G808" s="37">
        <v>15</v>
      </c>
      <c r="H808" s="37">
        <v>15</v>
      </c>
      <c r="I808" s="41" t="str">
        <f>VLOOKUP(B808,辅助信息!E:I,3,FALSE)</f>
        <v>（五冶钢构宜宾高县月江镇建设项目）  四川省宜宾市高县月江镇刚记超市斜对面(还阳组团沪碳二期项目)</v>
      </c>
      <c r="J808" s="41" t="str">
        <f>VLOOKUP(B808,辅助信息!E:I,4,FALSE)</f>
        <v>张朝亮</v>
      </c>
      <c r="K808" s="80">
        <f>VLOOKUP(J808,辅助信息!H:I,2,FALSE)</f>
        <v>15228205853</v>
      </c>
      <c r="M808" s="92">
        <v>45719</v>
      </c>
      <c r="O808" s="63">
        <f ca="1" t="shared" si="26"/>
        <v>0</v>
      </c>
      <c r="P808" s="63">
        <f ca="1" t="shared" si="27"/>
        <v>240</v>
      </c>
      <c r="Q808" s="27" t="str">
        <f>VLOOKUP(B808,辅助信息!E:M,9,FALSE)</f>
        <v>ZTWM-CDGS-XS-2024-0169-中冶西部钢构-宜宾市南溪区幸福路东路,高县月江镇建设项目</v>
      </c>
      <c r="R808" s="27"/>
    </row>
    <row r="809" hidden="1" spans="2:18">
      <c r="B809" s="41" t="s">
        <v>25</v>
      </c>
      <c r="C809" s="71">
        <v>45719</v>
      </c>
      <c r="D809" s="41" t="e">
        <f>VLOOKUP(B809,辅助信息!E:K,7,FALSE)</f>
        <v>#N/A</v>
      </c>
      <c r="E809" s="41" t="str">
        <f>VLOOKUP(F809,辅助信息!A:B,2,FALSE)</f>
        <v>螺纹钢</v>
      </c>
      <c r="F809" s="41" t="s">
        <v>19</v>
      </c>
      <c r="G809" s="37">
        <v>6</v>
      </c>
      <c r="H809" s="37" t="e">
        <f>_xlfn._xlws.FILTER('[1]2025年已发货'!$E:$E,'[1]2025年已发货'!$F:$F&amp;'[1]2025年已发货'!$C:$C&amp;'[1]2025年已发货'!$G:$G&amp;'[1]2025年已发货'!$H:$H=C809&amp;F809&amp;I809&amp;J809,"未发货")</f>
        <v>#N/A</v>
      </c>
      <c r="I809" s="41" t="e">
        <f>VLOOKUP(B809,辅助信息!E:I,3,FALSE)</f>
        <v>#N/A</v>
      </c>
      <c r="J809" s="41" t="e">
        <f>VLOOKUP(B809,辅助信息!E:I,4,FALSE)</f>
        <v>#N/A</v>
      </c>
      <c r="K809" s="80" t="e">
        <f>VLOOKUP(J809,辅助信息!H:I,2,FALSE)</f>
        <v>#N/A</v>
      </c>
      <c r="L809" s="81" t="e">
        <f>VLOOKUP(B809,辅助信息!E:J,6,FALSE)</f>
        <v>#N/A</v>
      </c>
      <c r="M809" s="92">
        <v>45719</v>
      </c>
      <c r="O809" s="63">
        <f ca="1" t="shared" si="26"/>
        <v>0</v>
      </c>
      <c r="P809" s="63">
        <f ca="1" t="shared" si="27"/>
        <v>240</v>
      </c>
      <c r="Q809" s="27" t="e">
        <f>VLOOKUP(B809,辅助信息!E:M,9,FALSE)</f>
        <v>#N/A</v>
      </c>
      <c r="R809" s="27"/>
    </row>
    <row r="810" hidden="1" spans="2:18">
      <c r="B810" s="41" t="s">
        <v>25</v>
      </c>
      <c r="C810" s="71">
        <v>45719</v>
      </c>
      <c r="D810" s="41" t="e">
        <f>VLOOKUP(B810,辅助信息!E:K,7,FALSE)</f>
        <v>#N/A</v>
      </c>
      <c r="E810" s="41" t="str">
        <f>VLOOKUP(F810,辅助信息!A:B,2,FALSE)</f>
        <v>螺纹钢</v>
      </c>
      <c r="F810" s="41" t="s">
        <v>32</v>
      </c>
      <c r="G810" s="37">
        <v>4</v>
      </c>
      <c r="H810" s="37" t="e">
        <f>_xlfn._xlws.FILTER('[1]2025年已发货'!$E:$E,'[1]2025年已发货'!$F:$F&amp;'[1]2025年已发货'!$C:$C&amp;'[1]2025年已发货'!$G:$G&amp;'[1]2025年已发货'!$H:$H=C810&amp;F810&amp;I810&amp;J810,"未发货")</f>
        <v>#N/A</v>
      </c>
      <c r="I810" s="41" t="e">
        <f>VLOOKUP(B810,辅助信息!E:I,3,FALSE)</f>
        <v>#N/A</v>
      </c>
      <c r="J810" s="41" t="e">
        <f>VLOOKUP(B810,辅助信息!E:I,4,FALSE)</f>
        <v>#N/A</v>
      </c>
      <c r="K810" s="80" t="e">
        <f>VLOOKUP(J810,辅助信息!H:I,2,FALSE)</f>
        <v>#N/A</v>
      </c>
      <c r="M810" s="92">
        <v>45719</v>
      </c>
      <c r="O810" s="63">
        <f ca="1" t="shared" si="26"/>
        <v>0</v>
      </c>
      <c r="P810" s="63">
        <f ca="1" t="shared" si="27"/>
        <v>240</v>
      </c>
      <c r="Q810" s="27" t="e">
        <f>VLOOKUP(B810,辅助信息!E:M,9,FALSE)</f>
        <v>#N/A</v>
      </c>
      <c r="R810" s="27"/>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240</v>
      </c>
      <c r="Q811" s="27" t="e">
        <f>VLOOKUP(B811,辅助信息!E:M,9,FALSE)</f>
        <v>#N/A</v>
      </c>
      <c r="R811" s="27"/>
    </row>
    <row r="812" hidden="1" spans="2:18">
      <c r="B812" s="41" t="s">
        <v>108</v>
      </c>
      <c r="C812" s="71">
        <v>45721</v>
      </c>
      <c r="D812" s="41" t="e">
        <f>VLOOKUP(B812,辅助信息!E:K,7,FALSE)</f>
        <v>#N/A</v>
      </c>
      <c r="E812" s="41" t="str">
        <f>VLOOKUP(F812,辅助信息!A:B,2,FALSE)</f>
        <v>螺纹钢</v>
      </c>
      <c r="F812" s="41" t="s">
        <v>32</v>
      </c>
      <c r="G812" s="37">
        <v>27</v>
      </c>
      <c r="H812" s="37" t="e">
        <f>_xlfn._xlws.FILTER('[1]2025年已发货'!$E:$E,'[1]2025年已发货'!$F:$F&amp;'[1]2025年已发货'!$C:$C&amp;'[1]2025年已发货'!$G:$G&amp;'[1]2025年已发货'!$H:$H=C812&amp;F812&amp;I812&amp;J812,"未发货")</f>
        <v>#N/A</v>
      </c>
      <c r="I812" s="41" t="e">
        <f>VLOOKUP(B812,辅助信息!E:I,3,FALSE)</f>
        <v>#N/A</v>
      </c>
      <c r="J812" s="41" t="e">
        <f>VLOOKUP(B812,辅助信息!E:I,4,FALSE)</f>
        <v>#N/A</v>
      </c>
      <c r="K812" s="41" t="e">
        <f>VLOOKUP(J812,辅助信息!H:I,2,FALSE)</f>
        <v>#N/A</v>
      </c>
      <c r="L812" s="78" t="e">
        <f>VLOOKUP(B812,辅助信息!E:J,6,FALSE)</f>
        <v>#N/A</v>
      </c>
      <c r="M812" s="92">
        <v>45717</v>
      </c>
      <c r="O812" s="63">
        <f ca="1" t="shared" si="26"/>
        <v>0</v>
      </c>
      <c r="P812" s="63">
        <f ca="1" t="shared" si="27"/>
        <v>242</v>
      </c>
      <c r="Q812" s="27" t="e">
        <f>VLOOKUP(B812,辅助信息!E:M,9,FALSE)</f>
        <v>#N/A</v>
      </c>
      <c r="R812" s="27"/>
    </row>
    <row r="813" hidden="1" spans="2:18">
      <c r="B813" s="41" t="s">
        <v>108</v>
      </c>
      <c r="C813" s="71">
        <v>45721</v>
      </c>
      <c r="D813" s="41" t="e">
        <f>VLOOKUP(B813,辅助信息!E:K,7,FALSE)</f>
        <v>#N/A</v>
      </c>
      <c r="E813" s="41" t="str">
        <f>VLOOKUP(F813,辅助信息!A:B,2,FALSE)</f>
        <v>螺纹钢</v>
      </c>
      <c r="F813" s="41" t="s">
        <v>30</v>
      </c>
      <c r="G813" s="37">
        <v>60</v>
      </c>
      <c r="H813" s="37" t="e">
        <f>_xlfn._xlws.FILTER('[1]2025年已发货'!$E:$E,'[1]2025年已发货'!$F:$F&amp;'[1]2025年已发货'!$C:$C&amp;'[1]2025年已发货'!$G:$G&amp;'[1]2025年已发货'!$H:$H=C813&amp;F813&amp;I813&amp;J813,"未发货")</f>
        <v>#N/A</v>
      </c>
      <c r="I813" s="41" t="e">
        <f>VLOOKUP(B813,辅助信息!E:I,3,FALSE)</f>
        <v>#N/A</v>
      </c>
      <c r="J813" s="41" t="e">
        <f>VLOOKUP(B813,辅助信息!E:I,4,FALSE)</f>
        <v>#N/A</v>
      </c>
      <c r="K813" s="41" t="e">
        <f>VLOOKUP(J813,辅助信息!H:I,2,FALSE)</f>
        <v>#N/A</v>
      </c>
      <c r="L813" s="79"/>
      <c r="M813" s="92">
        <v>45717</v>
      </c>
      <c r="O813" s="63">
        <f ca="1" t="shared" si="26"/>
        <v>0</v>
      </c>
      <c r="P813" s="63">
        <f ca="1" t="shared" si="27"/>
        <v>242</v>
      </c>
      <c r="Q813" s="27" t="e">
        <f>VLOOKUP(B813,辅助信息!E:M,9,FALSE)</f>
        <v>#N/A</v>
      </c>
      <c r="R813" s="27"/>
    </row>
    <row r="814" hidden="1" spans="2:18">
      <c r="B814" s="41" t="s">
        <v>108</v>
      </c>
      <c r="C814" s="71">
        <v>45721</v>
      </c>
      <c r="D814" s="41" t="e">
        <f>VLOOKUP(B814,辅助信息!E:K,7,FALSE)</f>
        <v>#N/A</v>
      </c>
      <c r="E814" s="41" t="str">
        <f>VLOOKUP(F814,辅助信息!A:B,2,FALSE)</f>
        <v>螺纹钢</v>
      </c>
      <c r="F814" s="41" t="s">
        <v>52</v>
      </c>
      <c r="G814" s="37">
        <v>10</v>
      </c>
      <c r="H814" s="37" t="e">
        <f>_xlfn._xlws.FILTER('[1]2025年已发货'!$E:$E,'[1]2025年已发货'!$F:$F&amp;'[1]2025年已发货'!$C:$C&amp;'[1]2025年已发货'!$G:$G&amp;'[1]2025年已发货'!$H:$H=C814&amp;F814&amp;I814&amp;J814,"未发货")</f>
        <v>#N/A</v>
      </c>
      <c r="I814" s="41" t="e">
        <f>VLOOKUP(B814,辅助信息!E:I,3,FALSE)</f>
        <v>#N/A</v>
      </c>
      <c r="J814" s="41" t="e">
        <f>VLOOKUP(B814,辅助信息!E:I,4,FALSE)</f>
        <v>#N/A</v>
      </c>
      <c r="K814" s="41" t="e">
        <f>VLOOKUP(J814,辅助信息!H:I,2,FALSE)</f>
        <v>#N/A</v>
      </c>
      <c r="L814" s="77"/>
      <c r="M814" s="92">
        <v>45717</v>
      </c>
      <c r="O814" s="63">
        <f ca="1" t="shared" si="26"/>
        <v>0</v>
      </c>
      <c r="P814" s="63">
        <f ca="1" t="shared" si="27"/>
        <v>242</v>
      </c>
      <c r="Q814" s="27" t="e">
        <f>VLOOKUP(B814,辅助信息!E:M,9,FALSE)</f>
        <v>#N/A</v>
      </c>
      <c r="R814" s="27"/>
    </row>
    <row r="815" hidden="1" spans="2:18">
      <c r="B815" s="41" t="s">
        <v>56</v>
      </c>
      <c r="C815" s="71">
        <v>45721</v>
      </c>
      <c r="D815" s="41" t="str">
        <f>VLOOKUP(B815,辅助信息!E:K,7,FALSE)</f>
        <v>JWDDCD2025052800131</v>
      </c>
      <c r="E815" s="41" t="str">
        <f>VLOOKUP(F815,辅助信息!A:B,2,FALSE)</f>
        <v>螺纹钢</v>
      </c>
      <c r="F815" s="41" t="s">
        <v>45</v>
      </c>
      <c r="G815" s="37">
        <v>12</v>
      </c>
      <c r="H815" s="37" t="str">
        <f>_xlfn._xlws.FILTER('[1]2025年已发货'!$E:$E,'[1]2025年已发货'!$F:$F&amp;'[1]2025年已发货'!$C:$C&amp;'[1]2025年已发货'!$G:$G&amp;'[1]2025年已发货'!$H:$H=C815&amp;F815&amp;I815&amp;J815,"未发货")</f>
        <v>未发货</v>
      </c>
      <c r="I815" s="41" t="str">
        <f>VLOOKUP(B815,辅助信息!E:I,3,FALSE)</f>
        <v>（商投建工达州中医药科技园-4工区-7号楼）达州市通川区达州中医药职业学院犀牛大道北段</v>
      </c>
      <c r="J815" s="41" t="str">
        <f>VLOOKUP(B815,辅助信息!E:I,4,FALSE)</f>
        <v>张扬</v>
      </c>
      <c r="K815" s="41">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243</v>
      </c>
      <c r="Q815" s="27" t="str">
        <f>VLOOKUP(B815,辅助信息!E:M,9,FALSE)</f>
        <v>ZTWM-CDGS-XS-2024-0134-商投建工达州中医药科技成果示范园项目</v>
      </c>
      <c r="R815" s="27"/>
    </row>
    <row r="816" hidden="1" spans="2:18">
      <c r="B816" s="41" t="s">
        <v>56</v>
      </c>
      <c r="C816" s="71">
        <v>45721</v>
      </c>
      <c r="D816" s="41" t="str">
        <f>VLOOKUP(B816,辅助信息!E:K,7,FALSE)</f>
        <v>JWDDCD2025052800131</v>
      </c>
      <c r="E816" s="41" t="str">
        <f>VLOOKUP(F816,辅助信息!A:B,2,FALSE)</f>
        <v>螺纹钢</v>
      </c>
      <c r="F816" s="41" t="s">
        <v>21</v>
      </c>
      <c r="G816" s="37">
        <v>15</v>
      </c>
      <c r="H816" s="37" t="str">
        <f>_xlfn._xlws.FILTER('[1]2025年已发货'!$E:$E,'[1]2025年已发货'!$F:$F&amp;'[1]2025年已发货'!$C:$C&amp;'[1]2025年已发货'!$G:$G&amp;'[1]2025年已发货'!$H:$H=C816&amp;F816&amp;I816&amp;J816,"未发货")</f>
        <v>未发货</v>
      </c>
      <c r="I816" s="41" t="str">
        <f>VLOOKUP(B816,辅助信息!E:I,3,FALSE)</f>
        <v>（商投建工达州中医药科技园-4工区-7号楼）达州市通川区达州中医药职业学院犀牛大道北段</v>
      </c>
      <c r="J816" s="41" t="str">
        <f>VLOOKUP(B816,辅助信息!E:I,4,FALSE)</f>
        <v>张扬</v>
      </c>
      <c r="K816" s="41">
        <f>VLOOKUP(J816,辅助信息!H:I,2,FALSE)</f>
        <v>18381904567</v>
      </c>
      <c r="L816" s="77"/>
      <c r="M816" s="92">
        <v>45716</v>
      </c>
      <c r="O816" s="63">
        <f ca="1" t="shared" si="26"/>
        <v>0</v>
      </c>
      <c r="P816" s="63">
        <f ca="1" t="shared" si="27"/>
        <v>243</v>
      </c>
      <c r="Q816" s="27" t="str">
        <f>VLOOKUP(B816,辅助信息!E:M,9,FALSE)</f>
        <v>ZTWM-CDGS-XS-2024-0134-商投建工达州中医药科技成果示范园项目</v>
      </c>
      <c r="R816" s="27"/>
    </row>
    <row r="817" ht="33.75" hidden="1" customHeight="1" spans="2:18">
      <c r="B817" s="41" t="s">
        <v>68</v>
      </c>
      <c r="C817" s="71">
        <v>45721</v>
      </c>
      <c r="D817" s="41" t="str">
        <f>VLOOKUP(B817,辅助信息!E:K,7,FALSE)</f>
        <v>JWDDCD2025052800131</v>
      </c>
      <c r="E817" s="41" t="str">
        <f>VLOOKUP(F817,辅助信息!A:B,2,FALSE)</f>
        <v>螺纹钢</v>
      </c>
      <c r="F817" s="41" t="s">
        <v>52</v>
      </c>
      <c r="G817" s="37">
        <v>30</v>
      </c>
      <c r="H817" s="37" t="str">
        <f>_xlfn._xlws.FILTER('[1]2025年已发货'!$E:$E,'[1]2025年已发货'!$F:$F&amp;'[1]2025年已发货'!$C:$C&amp;'[1]2025年已发货'!$G:$G&amp;'[1]2025年已发货'!$H:$H=C817&amp;F817&amp;I817&amp;J817,"未发货")</f>
        <v>未发货</v>
      </c>
      <c r="I817" s="41" t="str">
        <f>VLOOKUP(B817,辅助信息!E:I,3,FALSE)</f>
        <v>（商投建工达州中医药科技园-2工区-景观桥）达州市通川区达州中医药职业学院犀牛大道北段</v>
      </c>
      <c r="J817" s="41" t="str">
        <f>VLOOKUP(B817,辅助信息!E:I,4,FALSE)</f>
        <v>李波</v>
      </c>
      <c r="K817" s="41">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239</v>
      </c>
      <c r="Q817" s="27" t="str">
        <f>VLOOKUP(B817,辅助信息!E:M,9,FALSE)</f>
        <v>ZTWM-CDGS-XS-2024-0134-商投建工达州中医药科技成果示范园项目</v>
      </c>
      <c r="R817" s="27"/>
    </row>
    <row r="818" hidden="1" spans="2:18">
      <c r="B818" s="41" t="s">
        <v>64</v>
      </c>
      <c r="C818" s="71">
        <v>45721</v>
      </c>
      <c r="D818" s="41" t="e">
        <f>VLOOKUP(B818,辅助信息!E:K,7,FALSE)</f>
        <v>#N/A</v>
      </c>
      <c r="E818" s="41" t="str">
        <f>VLOOKUP(F818,辅助信息!A:B,2,FALSE)</f>
        <v>螺纹钢</v>
      </c>
      <c r="F818" s="41" t="s">
        <v>65</v>
      </c>
      <c r="G818" s="37">
        <v>12</v>
      </c>
      <c r="H818" s="37" t="e">
        <f>_xlfn._xlws.FILTER('[1]2025年已发货'!$E:$E,'[1]2025年已发货'!$F:$F&amp;'[1]2025年已发货'!$C:$C&amp;'[1]2025年已发货'!$G:$G&amp;'[1]2025年已发货'!$H:$H=C818&amp;F818&amp;I818&amp;J818,"未发货")</f>
        <v>#N/A</v>
      </c>
      <c r="I818" s="41" t="e">
        <f>VLOOKUP(B818,辅助信息!E:I,3,FALSE)</f>
        <v>#N/A</v>
      </c>
      <c r="J818" s="41" t="e">
        <f>VLOOKUP(B818,辅助信息!E:I,4,FALSE)</f>
        <v>#N/A</v>
      </c>
      <c r="K818" s="41" t="e">
        <f>VLOOKUP(J818,辅助信息!H:I,2,FALSE)</f>
        <v>#N/A</v>
      </c>
      <c r="L818" s="78" t="e">
        <f>VLOOKUP(B818,辅助信息!E:J,6,FALSE)</f>
        <v>#N/A</v>
      </c>
      <c r="M818" s="92">
        <v>45718</v>
      </c>
      <c r="O818" s="63">
        <f ca="1" t="shared" si="26"/>
        <v>0</v>
      </c>
      <c r="P818" s="63">
        <f ca="1" t="shared" si="27"/>
        <v>241</v>
      </c>
      <c r="Q818" s="27" t="e">
        <f>VLOOKUP(B818,辅助信息!E:M,9,FALSE)</f>
        <v>#N/A</v>
      </c>
      <c r="R818" s="27"/>
    </row>
    <row r="819" hidden="1" spans="2:18">
      <c r="B819" s="41" t="s">
        <v>64</v>
      </c>
      <c r="C819" s="71">
        <v>45721</v>
      </c>
      <c r="D819" s="41" t="e">
        <f>VLOOKUP(B819,辅助信息!E:K,7,FALSE)</f>
        <v>#N/A</v>
      </c>
      <c r="E819" s="41" t="str">
        <f>VLOOKUP(F819,辅助信息!A:B,2,FALSE)</f>
        <v>螺纹钢</v>
      </c>
      <c r="F819" s="41" t="s">
        <v>52</v>
      </c>
      <c r="G819" s="37">
        <v>51</v>
      </c>
      <c r="H819" s="37" t="e">
        <f>_xlfn._xlws.FILTER('[1]2025年已发货'!$E:$E,'[1]2025年已发货'!$F:$F&amp;'[1]2025年已发货'!$C:$C&amp;'[1]2025年已发货'!$G:$G&amp;'[1]2025年已发货'!$H:$H=C819&amp;F819&amp;I819&amp;J819,"未发货")</f>
        <v>#N/A</v>
      </c>
      <c r="I819" s="41" t="e">
        <f>VLOOKUP(B819,辅助信息!E:I,3,FALSE)</f>
        <v>#N/A</v>
      </c>
      <c r="J819" s="41" t="e">
        <f>VLOOKUP(B819,辅助信息!E:I,4,FALSE)</f>
        <v>#N/A</v>
      </c>
      <c r="K819" s="41" t="e">
        <f>VLOOKUP(J819,辅助信息!H:I,2,FALSE)</f>
        <v>#N/A</v>
      </c>
      <c r="L819" s="77"/>
      <c r="M819" s="92">
        <v>45718</v>
      </c>
      <c r="O819" s="63">
        <f ca="1" t="shared" si="26"/>
        <v>0</v>
      </c>
      <c r="P819" s="63">
        <f ca="1" t="shared" si="27"/>
        <v>241</v>
      </c>
      <c r="Q819" s="27" t="e">
        <f>VLOOKUP(B819,辅助信息!E:M,9,FALSE)</f>
        <v>#N/A</v>
      </c>
      <c r="R819" s="27"/>
    </row>
    <row r="820" hidden="1" spans="1:18">
      <c r="A820" s="72" t="s">
        <v>110</v>
      </c>
      <c r="B820" s="41" t="s">
        <v>84</v>
      </c>
      <c r="C820" s="71">
        <v>45721</v>
      </c>
      <c r="D820" s="41" t="e">
        <f>VLOOKUP(B820,辅助信息!E:K,7,FALSE)</f>
        <v>#N/A</v>
      </c>
      <c r="E820" s="41" t="str">
        <f>VLOOKUP(F820,辅助信息!A:B,2,FALSE)</f>
        <v>高线</v>
      </c>
      <c r="F820" s="41" t="s">
        <v>51</v>
      </c>
      <c r="G820" s="37">
        <v>5</v>
      </c>
      <c r="H820" s="37" t="e">
        <f>_xlfn._xlws.FILTER('[1]2025年已发货'!$E:$E,'[1]2025年已发货'!$F:$F&amp;'[1]2025年已发货'!$C:$C&amp;'[1]2025年已发货'!$G:$G&amp;'[1]2025年已发货'!$H:$H=C820&amp;F820&amp;I820&amp;J820,"未发货")</f>
        <v>#N/A</v>
      </c>
      <c r="I820" s="41" t="e">
        <f>VLOOKUP(B820,辅助信息!E:I,3,FALSE)</f>
        <v>#N/A</v>
      </c>
      <c r="J820" s="41" t="e">
        <f>VLOOKUP(B820,辅助信息!E:I,4,FALSE)</f>
        <v>#N/A</v>
      </c>
      <c r="K820" s="41" t="e">
        <f>VLOOKUP(J820,辅助信息!H:I,2,FALSE)</f>
        <v>#N/A</v>
      </c>
      <c r="L820" s="78" t="e">
        <f>VLOOKUP(B820,辅助信息!E:J,6,FALSE)</f>
        <v>#N/A</v>
      </c>
      <c r="M820" s="92">
        <v>45722</v>
      </c>
      <c r="O820" s="63">
        <f ca="1" t="shared" si="26"/>
        <v>0</v>
      </c>
      <c r="P820" s="63">
        <f ca="1" t="shared" si="27"/>
        <v>237</v>
      </c>
      <c r="Q820" s="27" t="e">
        <f>VLOOKUP(B820,辅助信息!E:M,9,FALSE)</f>
        <v>#N/A</v>
      </c>
      <c r="R820" s="27"/>
    </row>
    <row r="821" hidden="1" spans="2:18">
      <c r="B821" s="41" t="s">
        <v>84</v>
      </c>
      <c r="C821" s="71">
        <v>45721</v>
      </c>
      <c r="D821" s="41" t="e">
        <f>VLOOKUP(B821,辅助信息!E:K,7,FALSE)</f>
        <v>#N/A</v>
      </c>
      <c r="E821" s="41" t="str">
        <f>VLOOKUP(F821,辅助信息!A:B,2,FALSE)</f>
        <v>螺纹钢</v>
      </c>
      <c r="F821" s="41" t="s">
        <v>32</v>
      </c>
      <c r="G821" s="37">
        <v>3</v>
      </c>
      <c r="H821" s="37" t="e">
        <f>_xlfn._xlws.FILTER('[1]2025年已发货'!$E:$E,'[1]2025年已发货'!$F:$F&amp;'[1]2025年已发货'!$C:$C&amp;'[1]2025年已发货'!$G:$G&amp;'[1]2025年已发货'!$H:$H=C821&amp;F821&amp;I821&amp;J821,"未发货")</f>
        <v>#N/A</v>
      </c>
      <c r="I821" s="41" t="e">
        <f>VLOOKUP(B821,辅助信息!E:I,3,FALSE)</f>
        <v>#N/A</v>
      </c>
      <c r="J821" s="41" t="e">
        <f>VLOOKUP(B821,辅助信息!E:I,4,FALSE)</f>
        <v>#N/A</v>
      </c>
      <c r="K821" s="41" t="e">
        <f>VLOOKUP(J821,辅助信息!H:I,2,FALSE)</f>
        <v>#N/A</v>
      </c>
      <c r="L821" s="79"/>
      <c r="M821" s="92">
        <v>45722</v>
      </c>
      <c r="O821" s="63">
        <f ca="1" t="shared" si="26"/>
        <v>0</v>
      </c>
      <c r="P821" s="63">
        <f ca="1" t="shared" si="27"/>
        <v>237</v>
      </c>
      <c r="Q821" s="27" t="e">
        <f>VLOOKUP(B821,辅助信息!E:M,9,FALSE)</f>
        <v>#N/A</v>
      </c>
      <c r="R821" s="27"/>
    </row>
    <row r="822" hidden="1" spans="2:18">
      <c r="B822" s="41" t="s">
        <v>84</v>
      </c>
      <c r="C822" s="71">
        <v>45721</v>
      </c>
      <c r="D822" s="41" t="e">
        <f>VLOOKUP(B822,辅助信息!E:K,7,FALSE)</f>
        <v>#N/A</v>
      </c>
      <c r="E822" s="41" t="str">
        <f>VLOOKUP(F822,辅助信息!A:B,2,FALSE)</f>
        <v>螺纹钢</v>
      </c>
      <c r="F822" s="41" t="s">
        <v>33</v>
      </c>
      <c r="G822" s="37">
        <v>8</v>
      </c>
      <c r="H822" s="37" t="e">
        <f>_xlfn._xlws.FILTER('[1]2025年已发货'!$E:$E,'[1]2025年已发货'!$F:$F&amp;'[1]2025年已发货'!$C:$C&amp;'[1]2025年已发货'!$G:$G&amp;'[1]2025年已发货'!$H:$H=C822&amp;F822&amp;I822&amp;J822,"未发货")</f>
        <v>#N/A</v>
      </c>
      <c r="I822" s="41" t="e">
        <f>VLOOKUP(B822,辅助信息!E:I,3,FALSE)</f>
        <v>#N/A</v>
      </c>
      <c r="J822" s="41" t="e">
        <f>VLOOKUP(B822,辅助信息!E:I,4,FALSE)</f>
        <v>#N/A</v>
      </c>
      <c r="K822" s="41" t="e">
        <f>VLOOKUP(J822,辅助信息!H:I,2,FALSE)</f>
        <v>#N/A</v>
      </c>
      <c r="L822" s="79"/>
      <c r="M822" s="92">
        <v>45722</v>
      </c>
      <c r="O822" s="63">
        <f ca="1" t="shared" si="26"/>
        <v>0</v>
      </c>
      <c r="P822" s="63">
        <f ca="1" t="shared" si="27"/>
        <v>237</v>
      </c>
      <c r="Q822" s="27" t="e">
        <f>VLOOKUP(B822,辅助信息!E:M,9,FALSE)</f>
        <v>#N/A</v>
      </c>
      <c r="R822" s="27"/>
    </row>
    <row r="823" hidden="1" spans="2:18">
      <c r="B823" s="41" t="s">
        <v>84</v>
      </c>
      <c r="C823" s="71">
        <v>45721</v>
      </c>
      <c r="D823" s="41" t="e">
        <f>VLOOKUP(B823,辅助信息!E:K,7,FALSE)</f>
        <v>#N/A</v>
      </c>
      <c r="E823" s="41" t="str">
        <f>VLOOKUP(F823,辅助信息!A:B,2,FALSE)</f>
        <v>螺纹钢</v>
      </c>
      <c r="F823" s="41" t="s">
        <v>28</v>
      </c>
      <c r="G823" s="37">
        <v>9</v>
      </c>
      <c r="H823" s="37" t="e">
        <f>_xlfn._xlws.FILTER('[1]2025年已发货'!$E:$E,'[1]2025年已发货'!$F:$F&amp;'[1]2025年已发货'!$C:$C&amp;'[1]2025年已发货'!$G:$G&amp;'[1]2025年已发货'!$H:$H=C823&amp;F823&amp;I823&amp;J823,"未发货")</f>
        <v>#N/A</v>
      </c>
      <c r="I823" s="41" t="e">
        <f>VLOOKUP(B823,辅助信息!E:I,3,FALSE)</f>
        <v>#N/A</v>
      </c>
      <c r="J823" s="41" t="e">
        <f>VLOOKUP(B823,辅助信息!E:I,4,FALSE)</f>
        <v>#N/A</v>
      </c>
      <c r="K823" s="41" t="e">
        <f>VLOOKUP(J823,辅助信息!H:I,2,FALSE)</f>
        <v>#N/A</v>
      </c>
      <c r="L823" s="79"/>
      <c r="M823" s="92">
        <v>45722</v>
      </c>
      <c r="O823" s="63">
        <f ca="1" t="shared" si="26"/>
        <v>0</v>
      </c>
      <c r="P823" s="63">
        <f ca="1" t="shared" si="27"/>
        <v>237</v>
      </c>
      <c r="Q823" s="27" t="e">
        <f>VLOOKUP(B823,辅助信息!E:M,9,FALSE)</f>
        <v>#N/A</v>
      </c>
      <c r="R823" s="27"/>
    </row>
    <row r="824" hidden="1" spans="2:18">
      <c r="B824" s="41" t="s">
        <v>84</v>
      </c>
      <c r="C824" s="71">
        <v>45721</v>
      </c>
      <c r="D824" s="41" t="e">
        <f>VLOOKUP(B824,辅助信息!E:K,7,FALSE)</f>
        <v>#N/A</v>
      </c>
      <c r="E824" s="41" t="str">
        <f>VLOOKUP(F824,辅助信息!A:B,2,FALSE)</f>
        <v>螺纹钢</v>
      </c>
      <c r="F824" s="41" t="s">
        <v>111</v>
      </c>
      <c r="G824" s="37">
        <v>7</v>
      </c>
      <c r="H824" s="37" t="e">
        <f>_xlfn._xlws.FILTER('[1]2025年已发货'!$E:$E,'[1]2025年已发货'!$F:$F&amp;'[1]2025年已发货'!$C:$C&amp;'[1]2025年已发货'!$G:$G&amp;'[1]2025年已发货'!$H:$H=C824&amp;F824&amp;I824&amp;J824,"未发货")</f>
        <v>#N/A</v>
      </c>
      <c r="I824" s="41" t="e">
        <f>VLOOKUP(B824,辅助信息!E:I,3,FALSE)</f>
        <v>#N/A</v>
      </c>
      <c r="J824" s="41" t="e">
        <f>VLOOKUP(B824,辅助信息!E:I,4,FALSE)</f>
        <v>#N/A</v>
      </c>
      <c r="K824" s="41" t="e">
        <f>VLOOKUP(J824,辅助信息!H:I,2,FALSE)</f>
        <v>#N/A</v>
      </c>
      <c r="L824" s="77"/>
      <c r="M824" s="92">
        <v>45722</v>
      </c>
      <c r="O824" s="63">
        <f ca="1" t="shared" si="26"/>
        <v>0</v>
      </c>
      <c r="P824" s="63">
        <f ca="1" t="shared" si="27"/>
        <v>237</v>
      </c>
      <c r="Q824" s="27" t="e">
        <f>VLOOKUP(B824,辅助信息!E:M,9,FALSE)</f>
        <v>#N/A</v>
      </c>
      <c r="R824" s="27"/>
    </row>
    <row r="825" hidden="1" spans="2:18">
      <c r="B825" s="41" t="s">
        <v>112</v>
      </c>
      <c r="C825" s="71">
        <v>45721</v>
      </c>
      <c r="D825" s="41" t="str">
        <f>VLOOKUP(B825,辅助信息!E:K,7,FALSE)</f>
        <v>JWDDCD2025052800131</v>
      </c>
      <c r="E825" s="41" t="str">
        <f>VLOOKUP(F825,辅助信息!A:B,2,FALSE)</f>
        <v>盘螺</v>
      </c>
      <c r="F825" s="41" t="s">
        <v>40</v>
      </c>
      <c r="G825" s="37">
        <v>30</v>
      </c>
      <c r="H825" s="37">
        <f>_xlfn._xlws.FILTER('[1]2025年已发货'!$E:$E,'[1]2025年已发货'!$F:$F&amp;'[1]2025年已发货'!$C:$C&amp;'[1]2025年已发货'!$G:$G&amp;'[1]2025年已发货'!$H:$H=C825&amp;F825&amp;I825&amp;J825,"未发货")</f>
        <v>30</v>
      </c>
      <c r="I825" s="41" t="str">
        <f>VLOOKUP(B825,辅助信息!E:I,3,FALSE)</f>
        <v>（商投建工达州中医药科技园-4工区-10号楼）达州市通川区达州中医药职业学院犀牛大道北段</v>
      </c>
      <c r="J825" s="41" t="str">
        <f>VLOOKUP(B825,辅助信息!E:I,4,FALSE)</f>
        <v>张扬</v>
      </c>
      <c r="K825" s="41">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236</v>
      </c>
      <c r="Q825" s="27" t="str">
        <f>VLOOKUP(B825,辅助信息!E:M,9,FALSE)</f>
        <v>ZTWM-CDGS-XS-2024-0134-商投建工达州中医药科技成果示范园项目</v>
      </c>
      <c r="R825" s="27"/>
    </row>
    <row r="826" hidden="1" spans="2:18">
      <c r="B826" s="41" t="s">
        <v>112</v>
      </c>
      <c r="C826" s="71">
        <v>45721</v>
      </c>
      <c r="D826" s="41" t="str">
        <f>VLOOKUP(B826,辅助信息!E:K,7,FALSE)</f>
        <v>JWDDCD2025052800131</v>
      </c>
      <c r="E826" s="41" t="str">
        <f>VLOOKUP(F826,辅助信息!A:B,2,FALSE)</f>
        <v>螺纹钢</v>
      </c>
      <c r="F826" s="41" t="s">
        <v>19</v>
      </c>
      <c r="G826" s="37">
        <v>66</v>
      </c>
      <c r="H826" s="37">
        <f>_xlfn._xlws.FILTER('[1]2025年已发货'!$E:$E,'[1]2025年已发货'!$F:$F&amp;'[1]2025年已发货'!$C:$C&amp;'[1]2025年已发货'!$G:$G&amp;'[1]2025年已发货'!$H:$H=C826&amp;F826&amp;I826&amp;J826,"未发货")</f>
        <v>66</v>
      </c>
      <c r="I826" s="41" t="str">
        <f>VLOOKUP(B826,辅助信息!E:I,3,FALSE)</f>
        <v>（商投建工达州中医药科技园-4工区-10号楼）达州市通川区达州中医药职业学院犀牛大道北段</v>
      </c>
      <c r="J826" s="41" t="str">
        <f>VLOOKUP(B826,辅助信息!E:I,4,FALSE)</f>
        <v>张扬</v>
      </c>
      <c r="K826" s="41">
        <f>VLOOKUP(J826,辅助信息!H:I,2,FALSE)</f>
        <v>18381904567</v>
      </c>
      <c r="L826" s="77"/>
      <c r="M826" s="92">
        <v>45723</v>
      </c>
      <c r="O826" s="63">
        <f ca="1" t="shared" si="26"/>
        <v>0</v>
      </c>
      <c r="P826" s="63">
        <f ca="1" t="shared" si="27"/>
        <v>236</v>
      </c>
      <c r="Q826" s="27" t="str">
        <f>VLOOKUP(B826,辅助信息!E:M,9,FALSE)</f>
        <v>ZTWM-CDGS-XS-2024-0134-商投建工达州中医药科技成果示范园项目</v>
      </c>
      <c r="R826" s="27"/>
    </row>
    <row r="827" hidden="1" spans="2:18">
      <c r="B827" s="41" t="s">
        <v>113</v>
      </c>
      <c r="C827" s="71">
        <v>45721</v>
      </c>
      <c r="D827" s="41" t="str">
        <f>VLOOKUP(B827,辅助信息!E:K,7,FALSE)</f>
        <v>JWDDCD2025051000019</v>
      </c>
      <c r="E827" s="41" t="str">
        <f>VLOOKUP(F827,辅助信息!A:B,2,FALSE)</f>
        <v>盘螺</v>
      </c>
      <c r="F827" s="41" t="s">
        <v>40</v>
      </c>
      <c r="G827" s="37">
        <v>5</v>
      </c>
      <c r="H827" s="37" t="str">
        <f>_xlfn._xlws.FILTER('[1]2025年已发货'!$E:$E,'[1]2025年已发货'!$F:$F&amp;'[1]2025年已发货'!$C:$C&amp;'[1]2025年已发货'!$G:$G&amp;'[1]2025年已发货'!$H:$H=C827&amp;F827&amp;I827&amp;J827,"未发货")</f>
        <v>未发货</v>
      </c>
      <c r="I827" s="41" t="str">
        <f>VLOOKUP(B827,辅助信息!E:I,3,FALSE)</f>
        <v>(五冶钢构医学科学产业园建设项目房建二部-排洪渠（五标）)四川省南充市顺庆区搬罾街道学府大道二段</v>
      </c>
      <c r="J827" s="41" t="str">
        <f>VLOOKUP(B827,辅助信息!E:I,4,FALSE)</f>
        <v>安南</v>
      </c>
      <c r="K827" s="41">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237</v>
      </c>
      <c r="Q827" s="27" t="str">
        <f>VLOOKUP(B827,辅助信息!E:M,9,FALSE)</f>
        <v>ZTWM-CDGS-XS-2024-0248-五冶钢构-南充市医学院项目</v>
      </c>
      <c r="R827" s="27"/>
    </row>
    <row r="828" hidden="1" spans="2:18">
      <c r="B828" s="41" t="s">
        <v>113</v>
      </c>
      <c r="C828" s="71">
        <v>45721</v>
      </c>
      <c r="D828" s="41" t="str">
        <f>VLOOKUP(B828,辅助信息!E:K,7,FALSE)</f>
        <v>JWDDCD2025051000019</v>
      </c>
      <c r="E828" s="41" t="str">
        <f>VLOOKUP(F828,辅助信息!A:B,2,FALSE)</f>
        <v>螺纹钢</v>
      </c>
      <c r="F828" s="41" t="s">
        <v>27</v>
      </c>
      <c r="G828" s="37">
        <v>12</v>
      </c>
      <c r="H828" s="37" t="str">
        <f>_xlfn._xlws.FILTER('[1]2025年已发货'!$E:$E,'[1]2025年已发货'!$F:$F&amp;'[1]2025年已发货'!$C:$C&amp;'[1]2025年已发货'!$G:$G&amp;'[1]2025年已发货'!$H:$H=C828&amp;F828&amp;I828&amp;J828,"未发货")</f>
        <v>未发货</v>
      </c>
      <c r="I828" s="41" t="str">
        <f>VLOOKUP(B828,辅助信息!E:I,3,FALSE)</f>
        <v>(五冶钢构医学科学产业园建设项目房建二部-排洪渠（五标）)四川省南充市顺庆区搬罾街道学府大道二段</v>
      </c>
      <c r="J828" s="41" t="str">
        <f>VLOOKUP(B828,辅助信息!E:I,4,FALSE)</f>
        <v>安南</v>
      </c>
      <c r="K828" s="41">
        <f>VLOOKUP(J828,辅助信息!H:I,2,FALSE)</f>
        <v>19950525030</v>
      </c>
      <c r="L828" s="79"/>
      <c r="M828" s="92">
        <v>45722</v>
      </c>
      <c r="O828" s="63">
        <f ca="1" t="shared" si="26"/>
        <v>0</v>
      </c>
      <c r="P828" s="63">
        <f ca="1" t="shared" si="27"/>
        <v>237</v>
      </c>
      <c r="Q828" s="27" t="str">
        <f>VLOOKUP(B828,辅助信息!E:M,9,FALSE)</f>
        <v>ZTWM-CDGS-XS-2024-0248-五冶钢构-南充市医学院项目</v>
      </c>
      <c r="R828" s="27"/>
    </row>
    <row r="829" hidden="1" spans="2:18">
      <c r="B829" s="41" t="s">
        <v>113</v>
      </c>
      <c r="C829" s="71">
        <v>45721</v>
      </c>
      <c r="D829" s="41" t="str">
        <f>VLOOKUP(B829,辅助信息!E:K,7,FALSE)</f>
        <v>JWDDCD2025051000019</v>
      </c>
      <c r="E829" s="41" t="str">
        <f>VLOOKUP(F829,辅助信息!A:B,2,FALSE)</f>
        <v>螺纹钢</v>
      </c>
      <c r="F829" s="41" t="s">
        <v>18</v>
      </c>
      <c r="G829" s="37">
        <v>18</v>
      </c>
      <c r="H829" s="37" t="str">
        <f>_xlfn._xlws.FILTER('[1]2025年已发货'!$E:$E,'[1]2025年已发货'!$F:$F&amp;'[1]2025年已发货'!$C:$C&amp;'[1]2025年已发货'!$G:$G&amp;'[1]2025年已发货'!$H:$H=C829&amp;F829&amp;I829&amp;J829,"未发货")</f>
        <v>未发货</v>
      </c>
      <c r="I829" s="41" t="str">
        <f>VLOOKUP(B829,辅助信息!E:I,3,FALSE)</f>
        <v>(五冶钢构医学科学产业园建设项目房建二部-排洪渠（五标）)四川省南充市顺庆区搬罾街道学府大道二段</v>
      </c>
      <c r="J829" s="41" t="str">
        <f>VLOOKUP(B829,辅助信息!E:I,4,FALSE)</f>
        <v>安南</v>
      </c>
      <c r="K829" s="41">
        <f>VLOOKUP(J829,辅助信息!H:I,2,FALSE)</f>
        <v>19950525030</v>
      </c>
      <c r="L829" s="79"/>
      <c r="M829" s="92">
        <v>45722</v>
      </c>
      <c r="O829" s="63">
        <f ca="1" t="shared" si="26"/>
        <v>0</v>
      </c>
      <c r="P829" s="63">
        <f ca="1" t="shared" si="27"/>
        <v>237</v>
      </c>
      <c r="Q829" s="27" t="str">
        <f>VLOOKUP(B829,辅助信息!E:M,9,FALSE)</f>
        <v>ZTWM-CDGS-XS-2024-0248-五冶钢构-南充市医学院项目</v>
      </c>
      <c r="R829" s="27"/>
    </row>
    <row r="830" hidden="1" spans="2:18">
      <c r="B830" s="41" t="s">
        <v>60</v>
      </c>
      <c r="C830" s="71">
        <v>45721</v>
      </c>
      <c r="D830" s="41" t="str">
        <f>VLOOKUP(B830,辅助信息!E:K,7,FALSE)</f>
        <v>JWDDCD2025051000019</v>
      </c>
      <c r="E830" s="41" t="str">
        <f>VLOOKUP(F830,辅助信息!A:B,2,FALSE)</f>
        <v>螺纹钢</v>
      </c>
      <c r="F830" s="41" t="s">
        <v>27</v>
      </c>
      <c r="G830" s="37">
        <v>9</v>
      </c>
      <c r="H830" s="37">
        <f>_xlfn._xlws.FILTER('[1]2025年已发货'!$E:$E,'[1]2025年已发货'!$F:$F&amp;'[1]2025年已发货'!$C:$C&amp;'[1]2025年已发货'!$G:$G&amp;'[1]2025年已发货'!$H:$H=C830&amp;F830&amp;I830&amp;J830,"未发货")</f>
        <v>9</v>
      </c>
      <c r="I830" s="41" t="str">
        <f>VLOOKUP(B830,辅助信息!E:I,3,FALSE)</f>
        <v>(五冶钢构医学科学产业园建设项目房建二部-六标)四川省南充市顺庆区搬罾街道学府大道二段</v>
      </c>
      <c r="J830" s="41" t="str">
        <f>VLOOKUP(B830,辅助信息!E:I,4,FALSE)</f>
        <v>安南</v>
      </c>
      <c r="K830" s="41">
        <f>VLOOKUP(J830,辅助信息!H:I,2,FALSE)</f>
        <v>19950525030</v>
      </c>
      <c r="L830" s="79"/>
      <c r="M830" s="92">
        <v>45722</v>
      </c>
      <c r="O830" s="63">
        <f ca="1" t="shared" si="26"/>
        <v>0</v>
      </c>
      <c r="P830" s="63">
        <f ca="1" t="shared" si="27"/>
        <v>237</v>
      </c>
      <c r="Q830" s="27" t="str">
        <f>VLOOKUP(B830,辅助信息!E:M,9,FALSE)</f>
        <v>ZTWM-CDGS-XS-2024-0248-五冶钢构-南充市医学院项目</v>
      </c>
      <c r="R830" s="27"/>
    </row>
    <row r="831" hidden="1" spans="2:18">
      <c r="B831" s="41" t="s">
        <v>60</v>
      </c>
      <c r="C831" s="71">
        <v>45721</v>
      </c>
      <c r="D831" s="41" t="str">
        <f>VLOOKUP(B831,辅助信息!E:K,7,FALSE)</f>
        <v>JWDDCD2025051000019</v>
      </c>
      <c r="E831" s="41" t="str">
        <f>VLOOKUP(F831,辅助信息!A:B,2,FALSE)</f>
        <v>螺纹钢</v>
      </c>
      <c r="F831" s="41" t="s">
        <v>32</v>
      </c>
      <c r="G831" s="37">
        <v>9</v>
      </c>
      <c r="H831" s="37">
        <f>_xlfn._xlws.FILTER('[1]2025年已发货'!$E:$E,'[1]2025年已发货'!$F:$F&amp;'[1]2025年已发货'!$C:$C&amp;'[1]2025年已发货'!$G:$G&amp;'[1]2025年已发货'!$H:$H=C831&amp;F831&amp;I831&amp;J831,"未发货")</f>
        <v>9</v>
      </c>
      <c r="I831" s="41" t="str">
        <f>VLOOKUP(B831,辅助信息!E:I,3,FALSE)</f>
        <v>(五冶钢构医学科学产业园建设项目房建二部-六标)四川省南充市顺庆区搬罾街道学府大道二段</v>
      </c>
      <c r="J831" s="41" t="str">
        <f>VLOOKUP(B831,辅助信息!E:I,4,FALSE)</f>
        <v>安南</v>
      </c>
      <c r="K831" s="41">
        <f>VLOOKUP(J831,辅助信息!H:I,2,FALSE)</f>
        <v>19950525030</v>
      </c>
      <c r="L831" s="79"/>
      <c r="M831" s="92">
        <v>45722</v>
      </c>
      <c r="O831" s="63">
        <f ca="1" t="shared" si="26"/>
        <v>0</v>
      </c>
      <c r="P831" s="63">
        <f ca="1" t="shared" si="27"/>
        <v>237</v>
      </c>
      <c r="Q831" s="27" t="str">
        <f>VLOOKUP(B831,辅助信息!E:M,9,FALSE)</f>
        <v>ZTWM-CDGS-XS-2024-0248-五冶钢构-南充市医学院项目</v>
      </c>
      <c r="R831" s="27"/>
    </row>
    <row r="832" hidden="1" spans="2:18">
      <c r="B832" s="41" t="s">
        <v>60</v>
      </c>
      <c r="C832" s="71">
        <v>45721</v>
      </c>
      <c r="D832" s="41" t="str">
        <f>VLOOKUP(B832,辅助信息!E:K,7,FALSE)</f>
        <v>JWDDCD2025051000019</v>
      </c>
      <c r="E832" s="41" t="str">
        <f>VLOOKUP(F832,辅助信息!A:B,2,FALSE)</f>
        <v>螺纹钢</v>
      </c>
      <c r="F832" s="41" t="s">
        <v>18</v>
      </c>
      <c r="G832" s="37">
        <v>10</v>
      </c>
      <c r="H832" s="37">
        <f>_xlfn._xlws.FILTER('[1]2025年已发货'!$E:$E,'[1]2025年已发货'!$F:$F&amp;'[1]2025年已发货'!$C:$C&amp;'[1]2025年已发货'!$G:$G&amp;'[1]2025年已发货'!$H:$H=C832&amp;F832&amp;I832&amp;J832,"未发货")</f>
        <v>10</v>
      </c>
      <c r="I832" s="41" t="str">
        <f>VLOOKUP(B832,辅助信息!E:I,3,FALSE)</f>
        <v>(五冶钢构医学科学产业园建设项目房建二部-六标)四川省南充市顺庆区搬罾街道学府大道二段</v>
      </c>
      <c r="J832" s="41" t="str">
        <f>VLOOKUP(B832,辅助信息!E:I,4,FALSE)</f>
        <v>安南</v>
      </c>
      <c r="K832" s="41">
        <f>VLOOKUP(J832,辅助信息!H:I,2,FALSE)</f>
        <v>19950525030</v>
      </c>
      <c r="L832" s="79"/>
      <c r="M832" s="92">
        <v>45722</v>
      </c>
      <c r="O832" s="63">
        <f ca="1" t="shared" si="26"/>
        <v>0</v>
      </c>
      <c r="P832" s="63">
        <f ca="1" t="shared" si="27"/>
        <v>237</v>
      </c>
      <c r="Q832" s="27" t="str">
        <f>VLOOKUP(B832,辅助信息!E:M,9,FALSE)</f>
        <v>ZTWM-CDGS-XS-2024-0248-五冶钢构-南充市医学院项目</v>
      </c>
      <c r="R832" s="27"/>
    </row>
    <row r="833" hidden="1" spans="2:18">
      <c r="B833" s="41" t="s">
        <v>60</v>
      </c>
      <c r="C833" s="71">
        <v>45721</v>
      </c>
      <c r="D833" s="41" t="str">
        <f>VLOOKUP(B833,辅助信息!E:K,7,FALSE)</f>
        <v>JWDDCD2025051000019</v>
      </c>
      <c r="E833" s="41" t="str">
        <f>VLOOKUP(F833,辅助信息!A:B,2,FALSE)</f>
        <v>螺纹钢</v>
      </c>
      <c r="F833" s="41" t="s">
        <v>65</v>
      </c>
      <c r="G833" s="37">
        <v>7</v>
      </c>
      <c r="H833" s="37">
        <f>_xlfn._xlws.FILTER('[1]2025年已发货'!$E:$E,'[1]2025年已发货'!$F:$F&amp;'[1]2025年已发货'!$C:$C&amp;'[1]2025年已发货'!$G:$G&amp;'[1]2025年已发货'!$H:$H=C833&amp;F833&amp;I833&amp;J833,"未发货")</f>
        <v>7</v>
      </c>
      <c r="I833" s="41" t="str">
        <f>VLOOKUP(B833,辅助信息!E:I,3,FALSE)</f>
        <v>(五冶钢构医学科学产业园建设项目房建二部-六标)四川省南充市顺庆区搬罾街道学府大道二段</v>
      </c>
      <c r="J833" s="41" t="str">
        <f>VLOOKUP(B833,辅助信息!E:I,4,FALSE)</f>
        <v>安南</v>
      </c>
      <c r="K833" s="41">
        <f>VLOOKUP(J833,辅助信息!H:I,2,FALSE)</f>
        <v>19950525030</v>
      </c>
      <c r="L833" s="77"/>
      <c r="M833" s="92">
        <v>45722</v>
      </c>
      <c r="O833" s="63">
        <f ca="1" t="shared" si="26"/>
        <v>0</v>
      </c>
      <c r="P833" s="63">
        <f ca="1" t="shared" si="27"/>
        <v>237</v>
      </c>
      <c r="Q833" s="27" t="str">
        <f>VLOOKUP(B833,辅助信息!E:M,9,FALSE)</f>
        <v>ZTWM-CDGS-XS-2024-0248-五冶钢构-南充市医学院项目</v>
      </c>
      <c r="R833" s="27"/>
    </row>
    <row r="834" hidden="1" spans="2:18">
      <c r="B834" s="41" t="s">
        <v>56</v>
      </c>
      <c r="C834" s="71">
        <v>45722</v>
      </c>
      <c r="D834" s="41" t="str">
        <f>VLOOKUP(B834,辅助信息!E:K,7,FALSE)</f>
        <v>JWDDCD2025052800131</v>
      </c>
      <c r="E834" s="41" t="str">
        <f>VLOOKUP(F834,辅助信息!A:B,2,FALSE)</f>
        <v>螺纹钢</v>
      </c>
      <c r="F834" s="41" t="s">
        <v>45</v>
      </c>
      <c r="G834" s="37">
        <v>12</v>
      </c>
      <c r="H834" s="37" t="str">
        <f>_xlfn._xlws.FILTER('[1]2025年已发货'!$E:$E,'[1]2025年已发货'!$F:$F&amp;'[1]2025年已发货'!$C:$C&amp;'[1]2025年已发货'!$G:$G&amp;'[1]2025年已发货'!$H:$H=C834&amp;F834&amp;I834&amp;J834,"未发货")</f>
        <v>未发货</v>
      </c>
      <c r="I834" s="41" t="str">
        <f>VLOOKUP(B834,辅助信息!E:I,3,FALSE)</f>
        <v>（商投建工达州中医药科技园-4工区-7号楼）达州市通川区达州中医药职业学院犀牛大道北段</v>
      </c>
      <c r="J834" s="41" t="str">
        <f>VLOOKUP(B834,辅助信息!E:I,4,FALSE)</f>
        <v>张扬</v>
      </c>
      <c r="K834" s="41">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243</v>
      </c>
      <c r="Q834" s="27" t="str">
        <f>VLOOKUP(B834,辅助信息!E:M,9,FALSE)</f>
        <v>ZTWM-CDGS-XS-2024-0134-商投建工达州中医药科技成果示范园项目</v>
      </c>
      <c r="R834" s="27"/>
    </row>
    <row r="835" hidden="1" spans="2:18">
      <c r="B835" s="41" t="s">
        <v>56</v>
      </c>
      <c r="C835" s="71">
        <v>45722</v>
      </c>
      <c r="D835" s="41" t="str">
        <f>VLOOKUP(B835,辅助信息!E:K,7,FALSE)</f>
        <v>JWDDCD2025052800131</v>
      </c>
      <c r="E835" s="41" t="str">
        <f>VLOOKUP(F835,辅助信息!A:B,2,FALSE)</f>
        <v>螺纹钢</v>
      </c>
      <c r="F835" s="41" t="s">
        <v>21</v>
      </c>
      <c r="G835" s="37">
        <v>15</v>
      </c>
      <c r="H835" s="37" t="str">
        <f>_xlfn._xlws.FILTER('[1]2025年已发货'!$E:$E,'[1]2025年已发货'!$F:$F&amp;'[1]2025年已发货'!$C:$C&amp;'[1]2025年已发货'!$G:$G&amp;'[1]2025年已发货'!$H:$H=C835&amp;F835&amp;I835&amp;J835,"未发货")</f>
        <v>未发货</v>
      </c>
      <c r="I835" s="41" t="str">
        <f>VLOOKUP(B835,辅助信息!E:I,3,FALSE)</f>
        <v>（商投建工达州中医药科技园-4工区-7号楼）达州市通川区达州中医药职业学院犀牛大道北段</v>
      </c>
      <c r="J835" s="41" t="str">
        <f>VLOOKUP(B835,辅助信息!E:I,4,FALSE)</f>
        <v>张扬</v>
      </c>
      <c r="K835" s="41">
        <f>VLOOKUP(J835,辅助信息!H:I,2,FALSE)</f>
        <v>18381904567</v>
      </c>
      <c r="L835" s="77"/>
      <c r="M835" s="92">
        <v>45716</v>
      </c>
      <c r="O835" s="63">
        <f ca="1" t="shared" si="26"/>
        <v>0</v>
      </c>
      <c r="P835" s="63">
        <f ca="1" t="shared" si="27"/>
        <v>243</v>
      </c>
      <c r="Q835" s="27" t="str">
        <f>VLOOKUP(B835,辅助信息!E:M,9,FALSE)</f>
        <v>ZTWM-CDGS-XS-2024-0134-商投建工达州中医药科技成果示范园项目</v>
      </c>
      <c r="R835" s="27"/>
    </row>
    <row r="836" ht="33.75" hidden="1" customHeight="1" spans="2:18">
      <c r="B836" s="41" t="s">
        <v>68</v>
      </c>
      <c r="C836" s="71">
        <v>45722</v>
      </c>
      <c r="D836" s="41" t="str">
        <f>VLOOKUP(B836,辅助信息!E:K,7,FALSE)</f>
        <v>JWDDCD2025052800131</v>
      </c>
      <c r="E836" s="41" t="str">
        <f>VLOOKUP(F836,辅助信息!A:B,2,FALSE)</f>
        <v>螺纹钢</v>
      </c>
      <c r="F836" s="41" t="s">
        <v>52</v>
      </c>
      <c r="G836" s="37">
        <v>30</v>
      </c>
      <c r="H836" s="37" t="str">
        <f>_xlfn._xlws.FILTER('[1]2025年已发货'!$E:$E,'[1]2025年已发货'!$F:$F&amp;'[1]2025年已发货'!$C:$C&amp;'[1]2025年已发货'!$G:$G&amp;'[1]2025年已发货'!$H:$H=C836&amp;F836&amp;I836&amp;J836,"未发货")</f>
        <v>未发货</v>
      </c>
      <c r="I836" s="41" t="str">
        <f>VLOOKUP(B836,辅助信息!E:I,3,FALSE)</f>
        <v>（商投建工达州中医药科技园-2工区-景观桥）达州市通川区达州中医药职业学院犀牛大道北段</v>
      </c>
      <c r="J836" s="41" t="str">
        <f>VLOOKUP(B836,辅助信息!E:I,4,FALSE)</f>
        <v>李波</v>
      </c>
      <c r="K836" s="41">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239</v>
      </c>
      <c r="Q836" s="27" t="str">
        <f>VLOOKUP(B836,辅助信息!E:M,9,FALSE)</f>
        <v>ZTWM-CDGS-XS-2024-0134-商投建工达州中医药科技成果示范园项目</v>
      </c>
      <c r="R836" s="27"/>
    </row>
    <row r="837" hidden="1" spans="2:18">
      <c r="B837" s="41" t="s">
        <v>64</v>
      </c>
      <c r="C837" s="71">
        <v>45722</v>
      </c>
      <c r="D837" s="41" t="e">
        <f>VLOOKUP(B837,辅助信息!E:K,7,FALSE)</f>
        <v>#N/A</v>
      </c>
      <c r="E837" s="41" t="str">
        <f>VLOOKUP(F837,辅助信息!A:B,2,FALSE)</f>
        <v>螺纹钢</v>
      </c>
      <c r="F837" s="41" t="s">
        <v>65</v>
      </c>
      <c r="G837" s="37">
        <v>12</v>
      </c>
      <c r="H837" s="37" t="e">
        <f>_xlfn._xlws.FILTER('[1]2025年已发货'!$E:$E,'[1]2025年已发货'!$F:$F&amp;'[1]2025年已发货'!$C:$C&amp;'[1]2025年已发货'!$G:$G&amp;'[1]2025年已发货'!$H:$H=C837&amp;F837&amp;I837&amp;J837,"未发货")</f>
        <v>#N/A</v>
      </c>
      <c r="I837" s="41" t="e">
        <f>VLOOKUP(B837,辅助信息!E:I,3,FALSE)</f>
        <v>#N/A</v>
      </c>
      <c r="J837" s="41" t="e">
        <f>VLOOKUP(B837,辅助信息!E:I,4,FALSE)</f>
        <v>#N/A</v>
      </c>
      <c r="K837" s="41" t="e">
        <f>VLOOKUP(J837,辅助信息!H:I,2,FALSE)</f>
        <v>#N/A</v>
      </c>
      <c r="L837" s="78" t="e">
        <f>VLOOKUP(B837,辅助信息!E:J,6,FALSE)</f>
        <v>#N/A</v>
      </c>
      <c r="M837" s="92">
        <v>45718</v>
      </c>
      <c r="O837" s="63">
        <f ca="1" t="shared" si="26"/>
        <v>0</v>
      </c>
      <c r="P837" s="63">
        <f ca="1" t="shared" si="27"/>
        <v>241</v>
      </c>
      <c r="Q837" s="27" t="e">
        <f>VLOOKUP(B837,辅助信息!E:M,9,FALSE)</f>
        <v>#N/A</v>
      </c>
      <c r="R837" s="27"/>
    </row>
    <row r="838" hidden="1" spans="2:18">
      <c r="B838" s="41" t="s">
        <v>64</v>
      </c>
      <c r="C838" s="71">
        <v>45722</v>
      </c>
      <c r="D838" s="41" t="e">
        <f>VLOOKUP(B838,辅助信息!E:K,7,FALSE)</f>
        <v>#N/A</v>
      </c>
      <c r="E838" s="41" t="str">
        <f>VLOOKUP(F838,辅助信息!A:B,2,FALSE)</f>
        <v>螺纹钢</v>
      </c>
      <c r="F838" s="41" t="s">
        <v>52</v>
      </c>
      <c r="G838" s="37">
        <v>51</v>
      </c>
      <c r="H838" s="37" t="e">
        <f>_xlfn._xlws.FILTER('[1]2025年已发货'!$E:$E,'[1]2025年已发货'!$F:$F&amp;'[1]2025年已发货'!$C:$C&amp;'[1]2025年已发货'!$G:$G&amp;'[1]2025年已发货'!$H:$H=C838&amp;F838&amp;I838&amp;J838,"未发货")</f>
        <v>#N/A</v>
      </c>
      <c r="I838" s="41" t="e">
        <f>VLOOKUP(B838,辅助信息!E:I,3,FALSE)</f>
        <v>#N/A</v>
      </c>
      <c r="J838" s="41" t="e">
        <f>VLOOKUP(B838,辅助信息!E:I,4,FALSE)</f>
        <v>#N/A</v>
      </c>
      <c r="K838" s="41" t="e">
        <f>VLOOKUP(J838,辅助信息!H:I,2,FALSE)</f>
        <v>#N/A</v>
      </c>
      <c r="L838" s="77"/>
      <c r="M838" s="92">
        <v>45718</v>
      </c>
      <c r="O838" s="63">
        <f ca="1" t="shared" si="26"/>
        <v>0</v>
      </c>
      <c r="P838" s="63">
        <f ca="1" t="shared" si="27"/>
        <v>241</v>
      </c>
      <c r="Q838" s="27" t="e">
        <f>VLOOKUP(B838,辅助信息!E:M,9,FALSE)</f>
        <v>#N/A</v>
      </c>
      <c r="R838" s="27"/>
    </row>
    <row r="839" hidden="1" spans="1:18">
      <c r="A839" s="58" t="s">
        <v>110</v>
      </c>
      <c r="B839" s="41" t="s">
        <v>84</v>
      </c>
      <c r="C839" s="71">
        <v>45722</v>
      </c>
      <c r="D839" s="41" t="e">
        <f>VLOOKUP(B839,辅助信息!E:K,7,FALSE)</f>
        <v>#N/A</v>
      </c>
      <c r="E839" s="41" t="str">
        <f>VLOOKUP(F839,辅助信息!A:B,2,FALSE)</f>
        <v>高线</v>
      </c>
      <c r="F839" s="41" t="s">
        <v>51</v>
      </c>
      <c r="G839" s="37">
        <v>5</v>
      </c>
      <c r="H839" s="37" t="e">
        <f>_xlfn._xlws.FILTER('[1]2025年已发货'!$E:$E,'[1]2025年已发货'!$F:$F&amp;'[1]2025年已发货'!$C:$C&amp;'[1]2025年已发货'!$G:$G&amp;'[1]2025年已发货'!$H:$H=C839&amp;F839&amp;I839&amp;J839,"未发货")</f>
        <v>#N/A</v>
      </c>
      <c r="I839" s="41" t="e">
        <f>VLOOKUP(B839,辅助信息!E:I,3,FALSE)</f>
        <v>#N/A</v>
      </c>
      <c r="J839" s="41" t="e">
        <f>VLOOKUP(B839,辅助信息!E:I,4,FALSE)</f>
        <v>#N/A</v>
      </c>
      <c r="K839" s="41" t="e">
        <f>VLOOKUP(J839,辅助信息!H:I,2,FALSE)</f>
        <v>#N/A</v>
      </c>
      <c r="L839" s="78" t="e">
        <f>VLOOKUP(B839,辅助信息!E:J,6,FALSE)</f>
        <v>#N/A</v>
      </c>
      <c r="M839" s="92">
        <v>45722</v>
      </c>
      <c r="O839" s="63">
        <f ca="1" t="shared" si="26"/>
        <v>0</v>
      </c>
      <c r="P839" s="63">
        <f ca="1" t="shared" si="27"/>
        <v>237</v>
      </c>
      <c r="Q839" s="27" t="e">
        <f>VLOOKUP(B839,辅助信息!E:M,9,FALSE)</f>
        <v>#N/A</v>
      </c>
      <c r="R839" s="27"/>
    </row>
    <row r="840" hidden="1" spans="2:18">
      <c r="B840" s="41" t="s">
        <v>84</v>
      </c>
      <c r="C840" s="71">
        <v>45722</v>
      </c>
      <c r="D840" s="41" t="e">
        <f>VLOOKUP(B840,辅助信息!E:K,7,FALSE)</f>
        <v>#N/A</v>
      </c>
      <c r="E840" s="41" t="str">
        <f>VLOOKUP(F840,辅助信息!A:B,2,FALSE)</f>
        <v>螺纹钢</v>
      </c>
      <c r="F840" s="41" t="s">
        <v>32</v>
      </c>
      <c r="G840" s="37">
        <v>3</v>
      </c>
      <c r="H840" s="37" t="e">
        <f>_xlfn._xlws.FILTER('[1]2025年已发货'!$E:$E,'[1]2025年已发货'!$F:$F&amp;'[1]2025年已发货'!$C:$C&amp;'[1]2025年已发货'!$G:$G&amp;'[1]2025年已发货'!$H:$H=C840&amp;F840&amp;I840&amp;J840,"未发货")</f>
        <v>#N/A</v>
      </c>
      <c r="I840" s="41" t="e">
        <f>VLOOKUP(B840,辅助信息!E:I,3,FALSE)</f>
        <v>#N/A</v>
      </c>
      <c r="J840" s="41" t="e">
        <f>VLOOKUP(B840,辅助信息!E:I,4,FALSE)</f>
        <v>#N/A</v>
      </c>
      <c r="K840" s="41" t="e">
        <f>VLOOKUP(J840,辅助信息!H:I,2,FALSE)</f>
        <v>#N/A</v>
      </c>
      <c r="L840" s="79"/>
      <c r="M840" s="92">
        <v>45722</v>
      </c>
      <c r="O840" s="63">
        <f ca="1" t="shared" si="26"/>
        <v>0</v>
      </c>
      <c r="P840" s="63">
        <f ca="1" t="shared" si="27"/>
        <v>237</v>
      </c>
      <c r="Q840" s="27" t="e">
        <f>VLOOKUP(B840,辅助信息!E:M,9,FALSE)</f>
        <v>#N/A</v>
      </c>
      <c r="R840" s="27"/>
    </row>
    <row r="841" hidden="1" spans="2:18">
      <c r="B841" s="41" t="s">
        <v>84</v>
      </c>
      <c r="C841" s="71">
        <v>45722</v>
      </c>
      <c r="D841" s="41" t="e">
        <f>VLOOKUP(B841,辅助信息!E:K,7,FALSE)</f>
        <v>#N/A</v>
      </c>
      <c r="E841" s="41" t="str">
        <f>VLOOKUP(F841,辅助信息!A:B,2,FALSE)</f>
        <v>螺纹钢</v>
      </c>
      <c r="F841" s="41" t="s">
        <v>33</v>
      </c>
      <c r="G841" s="37">
        <v>8</v>
      </c>
      <c r="H841" s="37" t="e">
        <f>_xlfn._xlws.FILTER('[1]2025年已发货'!$E:$E,'[1]2025年已发货'!$F:$F&amp;'[1]2025年已发货'!$C:$C&amp;'[1]2025年已发货'!$G:$G&amp;'[1]2025年已发货'!$H:$H=C841&amp;F841&amp;I841&amp;J841,"未发货")</f>
        <v>#N/A</v>
      </c>
      <c r="I841" s="41" t="e">
        <f>VLOOKUP(B841,辅助信息!E:I,3,FALSE)</f>
        <v>#N/A</v>
      </c>
      <c r="J841" s="41" t="e">
        <f>VLOOKUP(B841,辅助信息!E:I,4,FALSE)</f>
        <v>#N/A</v>
      </c>
      <c r="K841" s="41" t="e">
        <f>VLOOKUP(J841,辅助信息!H:I,2,FALSE)</f>
        <v>#N/A</v>
      </c>
      <c r="L841" s="79"/>
      <c r="M841" s="92">
        <v>45722</v>
      </c>
      <c r="O841" s="63">
        <f ca="1" t="shared" si="26"/>
        <v>0</v>
      </c>
      <c r="P841" s="63">
        <f ca="1" t="shared" si="27"/>
        <v>237</v>
      </c>
      <c r="Q841" s="27" t="e">
        <f>VLOOKUP(B841,辅助信息!E:M,9,FALSE)</f>
        <v>#N/A</v>
      </c>
      <c r="R841" s="27"/>
    </row>
    <row r="842" hidden="1" spans="2:18">
      <c r="B842" s="41" t="s">
        <v>84</v>
      </c>
      <c r="C842" s="71">
        <v>45722</v>
      </c>
      <c r="D842" s="41" t="e">
        <f>VLOOKUP(B842,辅助信息!E:K,7,FALSE)</f>
        <v>#N/A</v>
      </c>
      <c r="E842" s="41" t="str">
        <f>VLOOKUP(F842,辅助信息!A:B,2,FALSE)</f>
        <v>螺纹钢</v>
      </c>
      <c r="F842" s="41" t="s">
        <v>28</v>
      </c>
      <c r="G842" s="37">
        <v>9</v>
      </c>
      <c r="H842" s="37" t="e">
        <f>_xlfn._xlws.FILTER('[1]2025年已发货'!$E:$E,'[1]2025年已发货'!$F:$F&amp;'[1]2025年已发货'!$C:$C&amp;'[1]2025年已发货'!$G:$G&amp;'[1]2025年已发货'!$H:$H=C842&amp;F842&amp;I842&amp;J842,"未发货")</f>
        <v>#N/A</v>
      </c>
      <c r="I842" s="41" t="e">
        <f>VLOOKUP(B842,辅助信息!E:I,3,FALSE)</f>
        <v>#N/A</v>
      </c>
      <c r="J842" s="41" t="e">
        <f>VLOOKUP(B842,辅助信息!E:I,4,FALSE)</f>
        <v>#N/A</v>
      </c>
      <c r="K842" s="41" t="e">
        <f>VLOOKUP(J842,辅助信息!H:I,2,FALSE)</f>
        <v>#N/A</v>
      </c>
      <c r="L842" s="79"/>
      <c r="M842" s="92">
        <v>45722</v>
      </c>
      <c r="O842" s="63">
        <f ca="1" t="shared" si="26"/>
        <v>0</v>
      </c>
      <c r="P842" s="63">
        <f ca="1" t="shared" si="27"/>
        <v>237</v>
      </c>
      <c r="Q842" s="27" t="e">
        <f>VLOOKUP(B842,辅助信息!E:M,9,FALSE)</f>
        <v>#N/A</v>
      </c>
      <c r="R842" s="27"/>
    </row>
    <row r="843" hidden="1" spans="2:18">
      <c r="B843" s="41" t="s">
        <v>84</v>
      </c>
      <c r="C843" s="71">
        <v>45722</v>
      </c>
      <c r="D843" s="41" t="e">
        <f>VLOOKUP(B843,辅助信息!E:K,7,FALSE)</f>
        <v>#N/A</v>
      </c>
      <c r="E843" s="41" t="str">
        <f>VLOOKUP(F843,辅助信息!A:B,2,FALSE)</f>
        <v>螺纹钢</v>
      </c>
      <c r="F843" s="41" t="s">
        <v>111</v>
      </c>
      <c r="G843" s="37">
        <v>7</v>
      </c>
      <c r="H843" s="37" t="e">
        <f>_xlfn._xlws.FILTER('[1]2025年已发货'!$E:$E,'[1]2025年已发货'!$F:$F&amp;'[1]2025年已发货'!$C:$C&amp;'[1]2025年已发货'!$G:$G&amp;'[1]2025年已发货'!$H:$H=C843&amp;F843&amp;I843&amp;J843,"未发货")</f>
        <v>#N/A</v>
      </c>
      <c r="I843" s="41" t="e">
        <f>VLOOKUP(B843,辅助信息!E:I,3,FALSE)</f>
        <v>#N/A</v>
      </c>
      <c r="J843" s="41" t="e">
        <f>VLOOKUP(B843,辅助信息!E:I,4,FALSE)</f>
        <v>#N/A</v>
      </c>
      <c r="K843" s="41" t="e">
        <f>VLOOKUP(J843,辅助信息!H:I,2,FALSE)</f>
        <v>#N/A</v>
      </c>
      <c r="L843" s="77"/>
      <c r="M843" s="92">
        <v>45722</v>
      </c>
      <c r="O843" s="63">
        <f ca="1" t="shared" si="26"/>
        <v>0</v>
      </c>
      <c r="P843" s="63">
        <f ca="1" t="shared" si="27"/>
        <v>237</v>
      </c>
      <c r="Q843" s="27" t="e">
        <f>VLOOKUP(B843,辅助信息!E:M,9,FALSE)</f>
        <v>#N/A</v>
      </c>
      <c r="R843" s="27"/>
    </row>
    <row r="844" hidden="1" spans="2:18">
      <c r="B844" s="41" t="s">
        <v>113</v>
      </c>
      <c r="C844" s="71">
        <v>45722</v>
      </c>
      <c r="D844" s="41" t="str">
        <f>VLOOKUP(B844,辅助信息!E:K,7,FALSE)</f>
        <v>JWDDCD2025051000019</v>
      </c>
      <c r="E844" s="41" t="str">
        <f>VLOOKUP(F844,辅助信息!A:B,2,FALSE)</f>
        <v>盘螺</v>
      </c>
      <c r="F844" s="41" t="s">
        <v>40</v>
      </c>
      <c r="G844" s="37">
        <v>5</v>
      </c>
      <c r="H844" s="37" t="str">
        <f>_xlfn._xlws.FILTER('[1]2025年已发货'!$E:$E,'[1]2025年已发货'!$F:$F&amp;'[1]2025年已发货'!$C:$C&amp;'[1]2025年已发货'!$G:$G&amp;'[1]2025年已发货'!$H:$H=C844&amp;F844&amp;I844&amp;J844,"未发货")</f>
        <v>未发货</v>
      </c>
      <c r="I844" s="41" t="str">
        <f>VLOOKUP(B844,辅助信息!E:I,3,FALSE)</f>
        <v>(五冶钢构医学科学产业园建设项目房建二部-排洪渠（五标）)四川省南充市顺庆区搬罾街道学府大道二段</v>
      </c>
      <c r="J844" s="41" t="str">
        <f>VLOOKUP(B844,辅助信息!E:I,4,FALSE)</f>
        <v>安南</v>
      </c>
      <c r="K844" s="41">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237</v>
      </c>
      <c r="Q844" s="27" t="str">
        <f>VLOOKUP(B844,辅助信息!E:M,9,FALSE)</f>
        <v>ZTWM-CDGS-XS-2024-0248-五冶钢构-南充市医学院项目</v>
      </c>
      <c r="R844" s="27"/>
    </row>
    <row r="845" hidden="1" spans="2:18">
      <c r="B845" s="41" t="s">
        <v>113</v>
      </c>
      <c r="C845" s="71">
        <v>45722</v>
      </c>
      <c r="D845" s="41" t="str">
        <f>VLOOKUP(B845,辅助信息!E:K,7,FALSE)</f>
        <v>JWDDCD2025051000019</v>
      </c>
      <c r="E845" s="41" t="str">
        <f>VLOOKUP(F845,辅助信息!A:B,2,FALSE)</f>
        <v>螺纹钢</v>
      </c>
      <c r="F845" s="41" t="s">
        <v>27</v>
      </c>
      <c r="G845" s="37">
        <v>12</v>
      </c>
      <c r="H845" s="37" t="str">
        <f>_xlfn._xlws.FILTER('[1]2025年已发货'!$E:$E,'[1]2025年已发货'!$F:$F&amp;'[1]2025年已发货'!$C:$C&amp;'[1]2025年已发货'!$G:$G&amp;'[1]2025年已发货'!$H:$H=C845&amp;F845&amp;I845&amp;J845,"未发货")</f>
        <v>未发货</v>
      </c>
      <c r="I845" s="41" t="str">
        <f>VLOOKUP(B845,辅助信息!E:I,3,FALSE)</f>
        <v>(五冶钢构医学科学产业园建设项目房建二部-排洪渠（五标）)四川省南充市顺庆区搬罾街道学府大道二段</v>
      </c>
      <c r="J845" s="41" t="str">
        <f>VLOOKUP(B845,辅助信息!E:I,4,FALSE)</f>
        <v>安南</v>
      </c>
      <c r="K845" s="41">
        <f>VLOOKUP(J845,辅助信息!H:I,2,FALSE)</f>
        <v>19950525030</v>
      </c>
      <c r="L845" s="79"/>
      <c r="M845" s="92">
        <v>45722</v>
      </c>
      <c r="O845" s="63">
        <f ca="1" t="shared" si="26"/>
        <v>0</v>
      </c>
      <c r="P845" s="63">
        <f ca="1" t="shared" si="27"/>
        <v>237</v>
      </c>
      <c r="Q845" s="27" t="str">
        <f>VLOOKUP(B845,辅助信息!E:M,9,FALSE)</f>
        <v>ZTWM-CDGS-XS-2024-0248-五冶钢构-南充市医学院项目</v>
      </c>
      <c r="R845" s="27"/>
    </row>
    <row r="846" hidden="1" spans="2:18">
      <c r="B846" s="41" t="s">
        <v>113</v>
      </c>
      <c r="C846" s="71">
        <v>45722</v>
      </c>
      <c r="D846" s="41" t="str">
        <f>VLOOKUP(B846,辅助信息!E:K,7,FALSE)</f>
        <v>JWDDCD2025051000019</v>
      </c>
      <c r="E846" s="41" t="str">
        <f>VLOOKUP(F846,辅助信息!A:B,2,FALSE)</f>
        <v>螺纹钢</v>
      </c>
      <c r="F846" s="41" t="s">
        <v>18</v>
      </c>
      <c r="G846" s="37">
        <v>18</v>
      </c>
      <c r="H846" s="37" t="str">
        <f>_xlfn._xlws.FILTER('[1]2025年已发货'!$E:$E,'[1]2025年已发货'!$F:$F&amp;'[1]2025年已发货'!$C:$C&amp;'[1]2025年已发货'!$G:$G&amp;'[1]2025年已发货'!$H:$H=C846&amp;F846&amp;I846&amp;J846,"未发货")</f>
        <v>未发货</v>
      </c>
      <c r="I846" s="41" t="str">
        <f>VLOOKUP(B846,辅助信息!E:I,3,FALSE)</f>
        <v>(五冶钢构医学科学产业园建设项目房建二部-排洪渠（五标）)四川省南充市顺庆区搬罾街道学府大道二段</v>
      </c>
      <c r="J846" s="41" t="str">
        <f>VLOOKUP(B846,辅助信息!E:I,4,FALSE)</f>
        <v>安南</v>
      </c>
      <c r="K846" s="41">
        <f>VLOOKUP(J846,辅助信息!H:I,2,FALSE)</f>
        <v>19950525030</v>
      </c>
      <c r="L846" s="77"/>
      <c r="M846" s="92">
        <v>45722</v>
      </c>
      <c r="O846" s="63">
        <f ca="1" t="shared" si="26"/>
        <v>0</v>
      </c>
      <c r="P846" s="63">
        <f ca="1" t="shared" si="27"/>
        <v>237</v>
      </c>
      <c r="Q846" s="27" t="str">
        <f>VLOOKUP(B846,辅助信息!E:M,9,FALSE)</f>
        <v>ZTWM-CDGS-XS-2024-0248-五冶钢构-南充市医学院项目</v>
      </c>
      <c r="R846" s="27"/>
    </row>
    <row r="847" hidden="1" spans="2:18">
      <c r="B847" s="41" t="s">
        <v>39</v>
      </c>
      <c r="C847" s="71">
        <v>45722</v>
      </c>
      <c r="D847" s="41" t="str">
        <f>VLOOKUP(B847,辅助信息!E:K,7,FALSE)</f>
        <v>JWDDCD2024101600090</v>
      </c>
      <c r="E847" s="41" t="str">
        <f>VLOOKUP(F847,辅助信息!A:B,2,FALSE)</f>
        <v>盘螺</v>
      </c>
      <c r="F847" s="41" t="s">
        <v>49</v>
      </c>
      <c r="G847" s="37">
        <v>3</v>
      </c>
      <c r="H847" s="37" t="str">
        <f>_xlfn._xlws.FILTER('[1]2025年已发货'!$E:$E,'[1]2025年已发货'!$F:$F&amp;'[1]2025年已发货'!$C:$C&amp;'[1]2025年已发货'!$G:$G&amp;'[1]2025年已发货'!$H:$H=C847&amp;F847&amp;I847&amp;J847,"未发货")</f>
        <v>未发货</v>
      </c>
      <c r="I847" s="41" t="str">
        <f>VLOOKUP(B847,辅助信息!E:I,3,FALSE)</f>
        <v>（达州市公共卫生临床医疗中心项目-一标-2号制作房）达州市通川区西外复兴镇公共卫生临床医疗中心项目</v>
      </c>
      <c r="J847" s="41" t="str">
        <f>VLOOKUP(B847,辅助信息!E:I,4,FALSE)</f>
        <v>潘建发</v>
      </c>
      <c r="K847" s="41">
        <f>VLOOKUP(J847,辅助信息!H:I,2,FALSE)</f>
        <v>13658059919</v>
      </c>
      <c r="L847" s="78" t="str">
        <f>VLOOKUP(B847,辅助信息!E:J,6,FALSE)</f>
        <v>提前联系到场规格,一天到场车辆不低于2车</v>
      </c>
      <c r="M847" s="92">
        <v>45724</v>
      </c>
      <c r="P847" s="63">
        <f ca="1" t="shared" si="27"/>
        <v>235</v>
      </c>
      <c r="Q847" s="27" t="str">
        <f>VLOOKUP(B847,辅助信息!E:M,9,FALSE)</f>
        <v>ZTWM-CDGS-XS-2024-0205-五冶钢构-达州市通川区西外复兴镇及临近片区建设项目</v>
      </c>
      <c r="R847" s="27"/>
    </row>
    <row r="848" hidden="1" spans="2:18">
      <c r="B848" s="41" t="s">
        <v>39</v>
      </c>
      <c r="C848" s="71">
        <v>45722</v>
      </c>
      <c r="D848" s="41" t="str">
        <f>VLOOKUP(B848,辅助信息!E:K,7,FALSE)</f>
        <v>JWDDCD2024101600090</v>
      </c>
      <c r="E848" s="41" t="str">
        <f>VLOOKUP(F848,辅助信息!A:B,2,FALSE)</f>
        <v>盘螺</v>
      </c>
      <c r="F848" s="41" t="s">
        <v>40</v>
      </c>
      <c r="G848" s="37">
        <v>6</v>
      </c>
      <c r="H848" s="37" t="str">
        <f>_xlfn._xlws.FILTER('[1]2025年已发货'!$E:$E,'[1]2025年已发货'!$F:$F&amp;'[1]2025年已发货'!$C:$C&amp;'[1]2025年已发货'!$G:$G&amp;'[1]2025年已发货'!$H:$H=C848&amp;F848&amp;I848&amp;J848,"未发货")</f>
        <v>未发货</v>
      </c>
      <c r="I848" s="41" t="str">
        <f>VLOOKUP(B848,辅助信息!E:I,3,FALSE)</f>
        <v>（达州市公共卫生临床医疗中心项目-一标-2号制作房）达州市通川区西外复兴镇公共卫生临床医疗中心项目</v>
      </c>
      <c r="J848" s="41" t="str">
        <f>VLOOKUP(B848,辅助信息!E:I,4,FALSE)</f>
        <v>潘建发</v>
      </c>
      <c r="K848" s="41">
        <f>VLOOKUP(J848,辅助信息!H:I,2,FALSE)</f>
        <v>13658059919</v>
      </c>
      <c r="L848" s="79"/>
      <c r="M848" s="92">
        <v>45724</v>
      </c>
      <c r="P848" s="63">
        <f ca="1" t="shared" si="27"/>
        <v>235</v>
      </c>
      <c r="Q848" s="27" t="str">
        <f>VLOOKUP(B848,辅助信息!E:M,9,FALSE)</f>
        <v>ZTWM-CDGS-XS-2024-0205-五冶钢构-达州市通川区西外复兴镇及临近片区建设项目</v>
      </c>
      <c r="R848" s="27"/>
    </row>
    <row r="849" hidden="1" spans="2:18">
      <c r="B849" s="41" t="s">
        <v>39</v>
      </c>
      <c r="C849" s="71">
        <v>45722</v>
      </c>
      <c r="D849" s="41" t="str">
        <f>VLOOKUP(B849,辅助信息!E:K,7,FALSE)</f>
        <v>JWDDCD2024101600090</v>
      </c>
      <c r="E849" s="41" t="str">
        <f>VLOOKUP(F849,辅助信息!A:B,2,FALSE)</f>
        <v>螺纹钢</v>
      </c>
      <c r="F849" s="41" t="s">
        <v>27</v>
      </c>
      <c r="G849" s="37">
        <v>25</v>
      </c>
      <c r="H849" s="37" t="str">
        <f>_xlfn._xlws.FILTER('[1]2025年已发货'!$E:$E,'[1]2025年已发货'!$F:$F&amp;'[1]2025年已发货'!$C:$C&amp;'[1]2025年已发货'!$G:$G&amp;'[1]2025年已发货'!$H:$H=C849&amp;F849&amp;I849&amp;J849,"未发货")</f>
        <v>未发货</v>
      </c>
      <c r="I849" s="41" t="str">
        <f>VLOOKUP(B849,辅助信息!E:I,3,FALSE)</f>
        <v>（达州市公共卫生临床医疗中心项目-一标-2号制作房）达州市通川区西外复兴镇公共卫生临床医疗中心项目</v>
      </c>
      <c r="J849" s="41" t="str">
        <f>VLOOKUP(B849,辅助信息!E:I,4,FALSE)</f>
        <v>潘建发</v>
      </c>
      <c r="K849" s="41">
        <f>VLOOKUP(J849,辅助信息!H:I,2,FALSE)</f>
        <v>13658059919</v>
      </c>
      <c r="L849" s="79"/>
      <c r="M849" s="92">
        <v>45724</v>
      </c>
      <c r="P849" s="63">
        <f ca="1" t="shared" si="27"/>
        <v>235</v>
      </c>
      <c r="Q849" s="27" t="str">
        <f>VLOOKUP(B849,辅助信息!E:M,9,FALSE)</f>
        <v>ZTWM-CDGS-XS-2024-0205-五冶钢构-达州市通川区西外复兴镇及临近片区建设项目</v>
      </c>
      <c r="R849" s="27"/>
    </row>
    <row r="850" hidden="1" spans="2:18">
      <c r="B850" s="41" t="s">
        <v>39</v>
      </c>
      <c r="C850" s="71">
        <v>45722</v>
      </c>
      <c r="D850" s="41" t="str">
        <f>VLOOKUP(B850,辅助信息!E:K,7,FALSE)</f>
        <v>JWDDCD2024101600090</v>
      </c>
      <c r="E850" s="41" t="str">
        <f>VLOOKUP(F850,辅助信息!A:B,2,FALSE)</f>
        <v>螺纹钢</v>
      </c>
      <c r="F850" s="41" t="s">
        <v>19</v>
      </c>
      <c r="G850" s="37">
        <v>7</v>
      </c>
      <c r="H850" s="37" t="str">
        <f>_xlfn._xlws.FILTER('[1]2025年已发货'!$E:$E,'[1]2025年已发货'!$F:$F&amp;'[1]2025年已发货'!$C:$C&amp;'[1]2025年已发货'!$G:$G&amp;'[1]2025年已发货'!$H:$H=C850&amp;F850&amp;I850&amp;J850,"未发货")</f>
        <v>未发货</v>
      </c>
      <c r="I850" s="41" t="str">
        <f>VLOOKUP(B850,辅助信息!E:I,3,FALSE)</f>
        <v>（达州市公共卫生临床医疗中心项目-一标-2号制作房）达州市通川区西外复兴镇公共卫生临床医疗中心项目</v>
      </c>
      <c r="J850" s="41" t="str">
        <f>VLOOKUP(B850,辅助信息!E:I,4,FALSE)</f>
        <v>潘建发</v>
      </c>
      <c r="K850" s="41">
        <f>VLOOKUP(J850,辅助信息!H:I,2,FALSE)</f>
        <v>13658059919</v>
      </c>
      <c r="L850" s="77"/>
      <c r="M850" s="92">
        <v>45724</v>
      </c>
      <c r="P850" s="63">
        <f ca="1" t="shared" si="27"/>
        <v>235</v>
      </c>
      <c r="Q850" s="27" t="str">
        <f>VLOOKUP(B850,辅助信息!E:M,9,FALSE)</f>
        <v>ZTWM-CDGS-XS-2024-0205-五冶钢构-达州市通川区西外复兴镇及临近片区建设项目</v>
      </c>
      <c r="R850" s="27"/>
    </row>
    <row r="851" hidden="1" spans="2:18">
      <c r="B851" s="41" t="s">
        <v>106</v>
      </c>
      <c r="C851" s="71">
        <v>45722</v>
      </c>
      <c r="D851" s="41" t="str">
        <f>VLOOKUP(B851,辅助信息!E:K,7,FALSE)</f>
        <v>JWDDCD2024101600133</v>
      </c>
      <c r="E851" s="41" t="str">
        <f>VLOOKUP(F851,辅助信息!A:B,2,FALSE)</f>
        <v>盘螺</v>
      </c>
      <c r="F851" s="41" t="s">
        <v>40</v>
      </c>
      <c r="G851" s="37">
        <v>15</v>
      </c>
      <c r="H851" s="37">
        <f>_xlfn._xlws.FILTER('[1]2025年已发货'!$E:$E,'[1]2025年已发货'!$F:$F&amp;'[1]2025年已发货'!$C:$C&amp;'[1]2025年已发货'!$G:$G&amp;'[1]2025年已发货'!$H:$H=C851&amp;F851&amp;I851&amp;J851,"未发货")</f>
        <v>15</v>
      </c>
      <c r="I851" s="41" t="str">
        <f>VLOOKUP(B851,辅助信息!E:I,3,FALSE)</f>
        <v>（五冶钢构宜宾高县月江镇建设项目）  四川省宜宾市高县月江镇刚记超市斜对面(还阳组团沪碳二期项目)</v>
      </c>
      <c r="J851" s="41" t="str">
        <f>VLOOKUP(B851,辅助信息!E:I,4,FALSE)</f>
        <v>张朝亮</v>
      </c>
      <c r="K851" s="41">
        <f>VLOOKUP(J851,辅助信息!H:I,2,FALSE)</f>
        <v>15228205853</v>
      </c>
      <c r="L851" s="78" t="str">
        <f>VLOOKUP(B851,辅助信息!E:J,6,FALSE)</f>
        <v>提前联系到场规格</v>
      </c>
      <c r="M851" s="92">
        <v>45723</v>
      </c>
      <c r="P851" s="63">
        <f ca="1" t="shared" si="27"/>
        <v>236</v>
      </c>
      <c r="Q851" s="27" t="str">
        <f>VLOOKUP(B851,辅助信息!E:M,9,FALSE)</f>
        <v>ZTWM-CDGS-XS-2024-0169-中冶西部钢构-宜宾市南溪区幸福路东路,高县月江镇建设项目</v>
      </c>
      <c r="R851" s="27"/>
    </row>
    <row r="852" hidden="1" spans="2:18">
      <c r="B852" s="41" t="s">
        <v>106</v>
      </c>
      <c r="C852" s="71">
        <v>45722</v>
      </c>
      <c r="D852" s="41" t="str">
        <f>VLOOKUP(B852,辅助信息!E:K,7,FALSE)</f>
        <v>JWDDCD2024101600133</v>
      </c>
      <c r="E852" s="41" t="str">
        <f>VLOOKUP(F852,辅助信息!A:B,2,FALSE)</f>
        <v>盘螺</v>
      </c>
      <c r="F852" s="41" t="s">
        <v>41</v>
      </c>
      <c r="G852" s="37">
        <v>6</v>
      </c>
      <c r="H852" s="37">
        <f>_xlfn._xlws.FILTER('[1]2025年已发货'!$E:$E,'[1]2025年已发货'!$F:$F&amp;'[1]2025年已发货'!$C:$C&amp;'[1]2025年已发货'!$G:$G&amp;'[1]2025年已发货'!$H:$H=C852&amp;F852&amp;I852&amp;J852,"未发货")</f>
        <v>6</v>
      </c>
      <c r="I852" s="41" t="str">
        <f>VLOOKUP(B852,辅助信息!E:I,3,FALSE)</f>
        <v>（五冶钢构宜宾高县月江镇建设项目）  四川省宜宾市高县月江镇刚记超市斜对面(还阳组团沪碳二期项目)</v>
      </c>
      <c r="J852" s="41" t="str">
        <f>VLOOKUP(B852,辅助信息!E:I,4,FALSE)</f>
        <v>张朝亮</v>
      </c>
      <c r="K852" s="41">
        <f>VLOOKUP(J852,辅助信息!H:I,2,FALSE)</f>
        <v>15228205853</v>
      </c>
      <c r="L852" s="79"/>
      <c r="M852" s="92">
        <v>45723</v>
      </c>
      <c r="P852" s="63">
        <f ca="1" t="shared" si="27"/>
        <v>236</v>
      </c>
      <c r="Q852" s="27" t="str">
        <f>VLOOKUP(B852,辅助信息!E:M,9,FALSE)</f>
        <v>ZTWM-CDGS-XS-2024-0169-中冶西部钢构-宜宾市南溪区幸福路东路,高县月江镇建设项目</v>
      </c>
      <c r="R852" s="27"/>
    </row>
    <row r="853" hidden="1" spans="2:18">
      <c r="B853" s="41" t="s">
        <v>106</v>
      </c>
      <c r="C853" s="71">
        <v>45722</v>
      </c>
      <c r="D853" s="41" t="str">
        <f>VLOOKUP(B853,辅助信息!E:K,7,FALSE)</f>
        <v>JWDDCD2024101600133</v>
      </c>
      <c r="E853" s="41" t="str">
        <f>VLOOKUP(F853,辅助信息!A:B,2,FALSE)</f>
        <v>螺纹钢</v>
      </c>
      <c r="F853" s="41" t="s">
        <v>27</v>
      </c>
      <c r="G853" s="37">
        <v>3</v>
      </c>
      <c r="H853" s="37">
        <f>_xlfn._xlws.FILTER('[1]2025年已发货'!$E:$E,'[1]2025年已发货'!$F:$F&amp;'[1]2025年已发货'!$C:$C&amp;'[1]2025年已发货'!$G:$G&amp;'[1]2025年已发货'!$H:$H=C853&amp;F853&amp;I853&amp;J853,"未发货")</f>
        <v>3</v>
      </c>
      <c r="I853" s="41" t="str">
        <f>VLOOKUP(B853,辅助信息!E:I,3,FALSE)</f>
        <v>（五冶钢构宜宾高县月江镇建设项目）  四川省宜宾市高县月江镇刚记超市斜对面(还阳组团沪碳二期项目)</v>
      </c>
      <c r="J853" s="41" t="str">
        <f>VLOOKUP(B853,辅助信息!E:I,4,FALSE)</f>
        <v>张朝亮</v>
      </c>
      <c r="K853" s="41">
        <f>VLOOKUP(J853,辅助信息!H:I,2,FALSE)</f>
        <v>15228205853</v>
      </c>
      <c r="L853" s="79"/>
      <c r="M853" s="92">
        <v>45723</v>
      </c>
      <c r="P853" s="63">
        <f ca="1" t="shared" si="27"/>
        <v>236</v>
      </c>
      <c r="Q853" s="27" t="str">
        <f>VLOOKUP(B853,辅助信息!E:M,9,FALSE)</f>
        <v>ZTWM-CDGS-XS-2024-0169-中冶西部钢构-宜宾市南溪区幸福路东路,高县月江镇建设项目</v>
      </c>
      <c r="R853" s="27"/>
    </row>
    <row r="854" hidden="1" spans="2:18">
      <c r="B854" s="41" t="s">
        <v>106</v>
      </c>
      <c r="C854" s="71">
        <v>45722</v>
      </c>
      <c r="D854" s="41" t="str">
        <f>VLOOKUP(B854,辅助信息!E:K,7,FALSE)</f>
        <v>JWDDCD2024101600133</v>
      </c>
      <c r="E854" s="41" t="str">
        <f>VLOOKUP(F854,辅助信息!A:B,2,FALSE)</f>
        <v>螺纹钢</v>
      </c>
      <c r="F854" s="41" t="s">
        <v>46</v>
      </c>
      <c r="G854" s="37">
        <v>3</v>
      </c>
      <c r="H854" s="37">
        <f>_xlfn._xlws.FILTER('[1]2025年已发货'!$E:$E,'[1]2025年已发货'!$F:$F&amp;'[1]2025年已发货'!$C:$C&amp;'[1]2025年已发货'!$G:$G&amp;'[1]2025年已发货'!$H:$H=C854&amp;F854&amp;I854&amp;J854,"未发货")</f>
        <v>3</v>
      </c>
      <c r="I854" s="41" t="str">
        <f>VLOOKUP(B854,辅助信息!E:I,3,FALSE)</f>
        <v>（五冶钢构宜宾高县月江镇建设项目）  四川省宜宾市高县月江镇刚记超市斜对面(还阳组团沪碳二期项目)</v>
      </c>
      <c r="J854" s="41" t="str">
        <f>VLOOKUP(B854,辅助信息!E:I,4,FALSE)</f>
        <v>张朝亮</v>
      </c>
      <c r="K854" s="41">
        <f>VLOOKUP(J854,辅助信息!H:I,2,FALSE)</f>
        <v>15228205853</v>
      </c>
      <c r="L854" s="79"/>
      <c r="M854" s="92">
        <v>45723</v>
      </c>
      <c r="P854" s="63">
        <f ca="1" t="shared" si="27"/>
        <v>236</v>
      </c>
      <c r="Q854" s="27" t="str">
        <f>VLOOKUP(B854,辅助信息!E:M,9,FALSE)</f>
        <v>ZTWM-CDGS-XS-2024-0169-中冶西部钢构-宜宾市南溪区幸福路东路,高县月江镇建设项目</v>
      </c>
      <c r="R854" s="27"/>
    </row>
    <row r="855" hidden="1" spans="2:18">
      <c r="B855" s="41" t="s">
        <v>106</v>
      </c>
      <c r="C855" s="71">
        <v>45722</v>
      </c>
      <c r="D855" s="41" t="str">
        <f>VLOOKUP(B855,辅助信息!E:K,7,FALSE)</f>
        <v>JWDDCD2024101600133</v>
      </c>
      <c r="E855" s="41" t="str">
        <f>VLOOKUP(F855,辅助信息!A:B,2,FALSE)</f>
        <v>螺纹钢</v>
      </c>
      <c r="F855" s="41" t="s">
        <v>22</v>
      </c>
      <c r="G855" s="37">
        <f>9+33</f>
        <v>42</v>
      </c>
      <c r="H855" s="37">
        <f>_xlfn._xlws.FILTER('[1]2025年已发货'!$E:$E,'[1]2025年已发货'!$F:$F&amp;'[1]2025年已发货'!$C:$C&amp;'[1]2025年已发货'!$G:$G&amp;'[1]2025年已发货'!$H:$H=C855&amp;F855&amp;I855&amp;J855,"未发货")</f>
        <v>42</v>
      </c>
      <c r="I855" s="41" t="str">
        <f>VLOOKUP(B855,辅助信息!E:I,3,FALSE)</f>
        <v>（五冶钢构宜宾高县月江镇建设项目）  四川省宜宾市高县月江镇刚记超市斜对面(还阳组团沪碳二期项目)</v>
      </c>
      <c r="J855" s="41" t="str">
        <f>VLOOKUP(B855,辅助信息!E:I,4,FALSE)</f>
        <v>张朝亮</v>
      </c>
      <c r="K855" s="41">
        <f>VLOOKUP(J855,辅助信息!H:I,2,FALSE)</f>
        <v>15228205853</v>
      </c>
      <c r="L855" s="77"/>
      <c r="M855" s="92">
        <v>45723</v>
      </c>
      <c r="P855" s="63">
        <f ca="1" t="shared" si="27"/>
        <v>236</v>
      </c>
      <c r="Q855" s="27" t="str">
        <f>VLOOKUP(B855,辅助信息!E:M,9,FALSE)</f>
        <v>ZTWM-CDGS-XS-2024-0169-中冶西部钢构-宜宾市南溪区幸福路东路,高县月江镇建设项目</v>
      </c>
      <c r="R855" s="27"/>
    </row>
    <row r="856" ht="22.5" hidden="1" customHeight="1" spans="2:18">
      <c r="B856" s="41" t="s">
        <v>81</v>
      </c>
      <c r="C856" s="71">
        <v>45722</v>
      </c>
      <c r="D856" s="41" t="str">
        <f>VLOOKUP(B856,辅助信息!E:K,7,FALSE)</f>
        <v>JWDDCD2025060900080</v>
      </c>
      <c r="E856" s="41" t="str">
        <f>VLOOKUP(F856,辅助信息!A:B,2,FALSE)</f>
        <v>螺纹钢</v>
      </c>
      <c r="F856" s="41" t="s">
        <v>28</v>
      </c>
      <c r="G856" s="37">
        <v>35</v>
      </c>
      <c r="H856" s="37">
        <f>_xlfn._xlws.FILTER('[1]2025年已发货'!$E:$E,'[1]2025年已发货'!$F:$F&amp;'[1]2025年已发货'!$C:$C&amp;'[1]2025年已发货'!$G:$G&amp;'[1]2025年已发货'!$H:$H=C856&amp;F856&amp;I856&amp;J856,"未发货")</f>
        <v>35</v>
      </c>
      <c r="I856" s="41" t="str">
        <f>VLOOKUP(B856,辅助信息!E:I,3,FALSE)</f>
        <v>（华西简阳西城嘉苑）四川省成都市简阳市简城街道高屋村</v>
      </c>
      <c r="J856" s="41" t="str">
        <f>VLOOKUP(B856,辅助信息!E:I,4,FALSE)</f>
        <v>张瀚镭</v>
      </c>
      <c r="K856" s="41">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236</v>
      </c>
      <c r="Q856" s="27" t="str">
        <f>VLOOKUP(B856,辅助信息!E:M,9,FALSE)</f>
        <v>ZTWM-CDGS-XS-2024-0030-华西集采-简州大道</v>
      </c>
      <c r="R856" s="27"/>
    </row>
    <row r="857" hidden="1" spans="1:18">
      <c r="A857" s="72" t="s">
        <v>114</v>
      </c>
      <c r="B857" s="41" t="s">
        <v>56</v>
      </c>
      <c r="C857" s="71">
        <v>45726</v>
      </c>
      <c r="D857" s="41" t="str">
        <f>VLOOKUP(B857,辅助信息!E:K,7,FALSE)</f>
        <v>JWDDCD2025052800131</v>
      </c>
      <c r="E857" s="41" t="str">
        <f>VLOOKUP(F857,辅助信息!A:B,2,FALSE)</f>
        <v>螺纹钢</v>
      </c>
      <c r="F857" s="41" t="s">
        <v>45</v>
      </c>
      <c r="G857" s="37">
        <v>12</v>
      </c>
      <c r="H857" s="37">
        <f>_xlfn._xlws.FILTER('[1]2025年已发货'!$E:$E,'[1]2025年已发货'!$F:$F&amp;'[1]2025年已发货'!$C:$C&amp;'[1]2025年已发货'!$G:$G&amp;'[1]2025年已发货'!$H:$H=C857&amp;F857&amp;I857&amp;J857,"未发货")</f>
        <v>12</v>
      </c>
      <c r="I857" s="41" t="str">
        <f>VLOOKUP(B857,辅助信息!E:I,3,FALSE)</f>
        <v>（商投建工达州中医药科技园-4工区-7号楼）达州市通川区达州中医药职业学院犀牛大道北段</v>
      </c>
      <c r="J857" s="41" t="str">
        <f>VLOOKUP(B857,辅助信息!E:I,4,FALSE)</f>
        <v>张扬</v>
      </c>
      <c r="K857" s="41">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243</v>
      </c>
      <c r="Q857" s="27" t="str">
        <f>VLOOKUP(B857,辅助信息!E:M,9,FALSE)</f>
        <v>ZTWM-CDGS-XS-2024-0134-商投建工达州中医药科技成果示范园项目</v>
      </c>
      <c r="R857" s="27"/>
    </row>
    <row r="858" hidden="1" spans="2:18">
      <c r="B858" s="41" t="s">
        <v>56</v>
      </c>
      <c r="C858" s="71">
        <v>45726</v>
      </c>
      <c r="D858" s="41" t="str">
        <f>VLOOKUP(B858,辅助信息!E:K,7,FALSE)</f>
        <v>JWDDCD2025052800131</v>
      </c>
      <c r="E858" s="41" t="str">
        <f>VLOOKUP(F858,辅助信息!A:B,2,FALSE)</f>
        <v>螺纹钢</v>
      </c>
      <c r="F858" s="41" t="s">
        <v>21</v>
      </c>
      <c r="G858" s="37">
        <v>15</v>
      </c>
      <c r="H858" s="37">
        <f>_xlfn._xlws.FILTER('[1]2025年已发货'!$E:$E,'[1]2025年已发货'!$F:$F&amp;'[1]2025年已发货'!$C:$C&amp;'[1]2025年已发货'!$G:$G&amp;'[1]2025年已发货'!$H:$H=C858&amp;F858&amp;I858&amp;J858,"未发货")</f>
        <v>15</v>
      </c>
      <c r="I858" s="41" t="str">
        <f>VLOOKUP(B858,辅助信息!E:I,3,FALSE)</f>
        <v>（商投建工达州中医药科技园-4工区-7号楼）达州市通川区达州中医药职业学院犀牛大道北段</v>
      </c>
      <c r="J858" s="41" t="str">
        <f>VLOOKUP(B858,辅助信息!E:I,4,FALSE)</f>
        <v>张扬</v>
      </c>
      <c r="K858" s="41">
        <f>VLOOKUP(J858,辅助信息!H:I,2,FALSE)</f>
        <v>18381904567</v>
      </c>
      <c r="L858" s="77"/>
      <c r="M858" s="92">
        <v>45716</v>
      </c>
      <c r="O858" s="63">
        <f ca="1">IF(OR(M858="",N858&lt;&gt;""),"",MAX(M858-TODAY(),0))</f>
        <v>0</v>
      </c>
      <c r="P858" s="63">
        <f ca="1" t="shared" si="27"/>
        <v>243</v>
      </c>
      <c r="Q858" s="27" t="str">
        <f>VLOOKUP(B858,辅助信息!E:M,9,FALSE)</f>
        <v>ZTWM-CDGS-XS-2024-0134-商投建工达州中医药科技成果示范园项目</v>
      </c>
      <c r="R858" s="27"/>
    </row>
    <row r="859" hidden="1" spans="2:18">
      <c r="B859" s="41" t="s">
        <v>56</v>
      </c>
      <c r="C859" s="71">
        <v>45726</v>
      </c>
      <c r="D859" s="41" t="str">
        <f>VLOOKUP(B859,辅助信息!E:K,7,FALSE)</f>
        <v>JWDDCD2025052800131</v>
      </c>
      <c r="E859" s="41" t="str">
        <f>VLOOKUP(F859,辅助信息!A:B,2,FALSE)</f>
        <v>螺纹钢</v>
      </c>
      <c r="F859" s="41" t="s">
        <v>58</v>
      </c>
      <c r="G859" s="37">
        <v>3</v>
      </c>
      <c r="H859" s="37">
        <f>_xlfn._xlws.FILTER('[1]2025年已发货'!$E:$E,'[1]2025年已发货'!$F:$F&amp;'[1]2025年已发货'!$C:$C&amp;'[1]2025年已发货'!$G:$G&amp;'[1]2025年已发货'!$H:$H=C859&amp;F859&amp;I859&amp;J859,"未发货")</f>
        <v>3</v>
      </c>
      <c r="I859" s="41" t="str">
        <f>VLOOKUP(B859,辅助信息!E:I,3,FALSE)</f>
        <v>（商投建工达州中医药科技园-4工区-7号楼）达州市通川区达州中医药职业学院犀牛大道北段</v>
      </c>
      <c r="J859" s="41" t="str">
        <f>VLOOKUP(B859,辅助信息!E:I,4,FALSE)</f>
        <v>张扬</v>
      </c>
      <c r="K859" s="41">
        <f>VLOOKUP(J859,辅助信息!H:I,2,FALSE)</f>
        <v>18381904567</v>
      </c>
      <c r="L859" s="90"/>
      <c r="M859" s="92"/>
      <c r="Q859" s="27"/>
      <c r="R859" s="27"/>
    </row>
    <row r="860" hidden="1" spans="2:18">
      <c r="B860" s="41" t="s">
        <v>56</v>
      </c>
      <c r="C860" s="71">
        <v>45726</v>
      </c>
      <c r="D860" s="41" t="str">
        <f>VLOOKUP(B860,辅助信息!E:K,7,FALSE)</f>
        <v>JWDDCD2025052800131</v>
      </c>
      <c r="E860" s="41" t="str">
        <f>VLOOKUP(F860,辅助信息!A:B,2,FALSE)</f>
        <v>螺纹钢</v>
      </c>
      <c r="F860" s="41" t="s">
        <v>46</v>
      </c>
      <c r="G860" s="37">
        <v>3</v>
      </c>
      <c r="H860" s="37">
        <f>_xlfn._xlws.FILTER('[1]2025年已发货'!$E:$E,'[1]2025年已发货'!$F:$F&amp;'[1]2025年已发货'!$C:$C&amp;'[1]2025年已发货'!$G:$G&amp;'[1]2025年已发货'!$H:$H=C860&amp;F860&amp;I860&amp;J860,"未发货")</f>
        <v>3</v>
      </c>
      <c r="I860" s="41" t="str">
        <f>VLOOKUP(B860,辅助信息!E:I,3,FALSE)</f>
        <v>（商投建工达州中医药科技园-4工区-7号楼）达州市通川区达州中医药职业学院犀牛大道北段</v>
      </c>
      <c r="J860" s="41" t="str">
        <f>VLOOKUP(B860,辅助信息!E:I,4,FALSE)</f>
        <v>张扬</v>
      </c>
      <c r="K860" s="41">
        <f>VLOOKUP(J860,辅助信息!H:I,2,FALSE)</f>
        <v>18381904567</v>
      </c>
      <c r="L860" s="90"/>
      <c r="M860" s="92"/>
      <c r="Q860" s="27"/>
      <c r="R860" s="27"/>
    </row>
    <row r="861" hidden="1" spans="2:18">
      <c r="B861" s="41" t="s">
        <v>68</v>
      </c>
      <c r="C861" s="71">
        <v>45726</v>
      </c>
      <c r="D861" s="41" t="s">
        <v>115</v>
      </c>
      <c r="E861" s="41" t="s">
        <v>116</v>
      </c>
      <c r="F861" s="41" t="s">
        <v>27</v>
      </c>
      <c r="G861" s="37">
        <v>11</v>
      </c>
      <c r="H861" s="37" t="str">
        <f>_xlfn._xlws.FILTER('[1]2025年已发货'!$E:$E,'[1]2025年已发货'!$F:$F&amp;'[1]2025年已发货'!$C:$C&amp;'[1]2025年已发货'!$G:$G&amp;'[1]2025年已发货'!$H:$H=C861&amp;F861&amp;I861&amp;J861,"未发货")</f>
        <v>未发货</v>
      </c>
      <c r="I861" s="41" t="str">
        <f>VLOOKUP(B861,辅助信息!E:I,3,FALSE)</f>
        <v>（商投建工达州中医药科技园-2工区-景观桥）达州市通川区达州中医药职业学院犀牛大道北段</v>
      </c>
      <c r="J861" s="41" t="str">
        <f>VLOOKUP(B861,辅助信息!E:I,4,FALSE)</f>
        <v>李波</v>
      </c>
      <c r="K861" s="41">
        <f>VLOOKUP(J861,辅助信息!H:I,2,FALSE)</f>
        <v>18381899787</v>
      </c>
      <c r="L861" s="90" t="str">
        <f>VLOOKUP(B864,辅助信息!E:J,6,FALSE)</f>
        <v>控制炉批号！多了现场不收！,优先安排达钢,提前联系到场规格及数量</v>
      </c>
      <c r="M861" s="92"/>
      <c r="Q861" s="27"/>
      <c r="R861" s="27"/>
    </row>
    <row r="862" hidden="1" spans="2:18">
      <c r="B862" s="41" t="s">
        <v>68</v>
      </c>
      <c r="C862" s="71">
        <v>45726</v>
      </c>
      <c r="D862" s="41" t="s">
        <v>115</v>
      </c>
      <c r="E862" s="41" t="s">
        <v>116</v>
      </c>
      <c r="F862" s="41" t="s">
        <v>32</v>
      </c>
      <c r="G862" s="37">
        <v>132</v>
      </c>
      <c r="H862" s="37" t="str">
        <f>_xlfn._xlws.FILTER('[1]2025年已发货'!$E:$E,'[1]2025年已发货'!$F:$F&amp;'[1]2025年已发货'!$C:$C&amp;'[1]2025年已发货'!$G:$G&amp;'[1]2025年已发货'!$H:$H=C862&amp;F862&amp;I862&amp;J862,"未发货")</f>
        <v>未发货</v>
      </c>
      <c r="I862" s="41" t="str">
        <f>VLOOKUP(B862,辅助信息!E:I,3,FALSE)</f>
        <v>（商投建工达州中医药科技园-2工区-景观桥）达州市通川区达州中医药职业学院犀牛大道北段</v>
      </c>
      <c r="J862" s="41" t="str">
        <f>VLOOKUP(B862,辅助信息!E:I,4,FALSE)</f>
        <v>李波</v>
      </c>
      <c r="K862" s="41">
        <f>VLOOKUP(J862,辅助信息!H:I,2,FALSE)</f>
        <v>18381899787</v>
      </c>
      <c r="L862" s="79"/>
      <c r="M862" s="92"/>
      <c r="Q862" s="27"/>
      <c r="R862" s="27"/>
    </row>
    <row r="863" hidden="1" spans="2:18">
      <c r="B863" s="41" t="s">
        <v>68</v>
      </c>
      <c r="C863" s="71">
        <v>45726</v>
      </c>
      <c r="D863" s="41" t="s">
        <v>115</v>
      </c>
      <c r="E863" s="41" t="s">
        <v>116</v>
      </c>
      <c r="F863" s="41" t="s">
        <v>33</v>
      </c>
      <c r="G863" s="37">
        <v>19</v>
      </c>
      <c r="H863" s="37" t="str">
        <f>_xlfn._xlws.FILTER('[1]2025年已发货'!$E:$E,'[1]2025年已发货'!$F:$F&amp;'[1]2025年已发货'!$C:$C&amp;'[1]2025年已发货'!$G:$G&amp;'[1]2025年已发货'!$H:$H=C863&amp;F863&amp;I863&amp;J863,"未发货")</f>
        <v>未发货</v>
      </c>
      <c r="I863" s="41" t="str">
        <f>VLOOKUP(B863,辅助信息!E:I,3,FALSE)</f>
        <v>（商投建工达州中医药科技园-2工区-景观桥）达州市通川区达州中医药职业学院犀牛大道北段</v>
      </c>
      <c r="J863" s="41" t="str">
        <f>VLOOKUP(B863,辅助信息!E:I,4,FALSE)</f>
        <v>李波</v>
      </c>
      <c r="K863" s="41">
        <f>VLOOKUP(J863,辅助信息!H:I,2,FALSE)</f>
        <v>18381899787</v>
      </c>
      <c r="L863" s="79"/>
      <c r="M863" s="92"/>
      <c r="Q863" s="27"/>
      <c r="R863" s="27"/>
    </row>
    <row r="864" hidden="1" spans="2:18">
      <c r="B864" s="41" t="s">
        <v>68</v>
      </c>
      <c r="C864" s="71">
        <v>45726</v>
      </c>
      <c r="D864" s="41" t="str">
        <f>VLOOKUP(B864,辅助信息!E:K,7,FALSE)</f>
        <v>JWDDCD2025052800131</v>
      </c>
      <c r="E864" s="41" t="str">
        <f>VLOOKUP(F864,辅助信息!A:B,2,FALSE)</f>
        <v>螺纹钢</v>
      </c>
      <c r="F864" s="41" t="s">
        <v>18</v>
      </c>
      <c r="G864" s="37">
        <v>14</v>
      </c>
      <c r="H864" s="37" t="str">
        <f>_xlfn._xlws.FILTER('[1]2025年已发货'!$E:$E,'[1]2025年已发货'!$F:$F&amp;'[1]2025年已发货'!$C:$C&amp;'[1]2025年已发货'!$G:$G&amp;'[1]2025年已发货'!$H:$H=C864&amp;F864&amp;I864&amp;J864,"未发货")</f>
        <v>未发货</v>
      </c>
      <c r="I864" s="41" t="str">
        <f>VLOOKUP(B864,辅助信息!E:I,3,FALSE)</f>
        <v>（商投建工达州中医药科技园-2工区-景观桥）达州市通川区达州中医药职业学院犀牛大道北段</v>
      </c>
      <c r="J864" s="41" t="str">
        <f>VLOOKUP(B864,辅助信息!E:I,4,FALSE)</f>
        <v>李波</v>
      </c>
      <c r="K864" s="41">
        <f>VLOOKUP(J864,辅助信息!H:I,2,FALSE)</f>
        <v>18381899787</v>
      </c>
      <c r="L864" s="79"/>
      <c r="M864" s="92">
        <v>45720</v>
      </c>
      <c r="O864" s="63">
        <f ca="1">IF(OR(M864="",N864&lt;&gt;""),"",MAX(M864-TODAY(),0))</f>
        <v>0</v>
      </c>
      <c r="P864" s="63">
        <f ca="1">IF(M864="","",IF(N864&lt;&gt;"",MAX(N864-M864,0),IF(TODAY()&gt;M864,TODAY()-M864,0)))</f>
        <v>239</v>
      </c>
      <c r="Q864" s="27" t="str">
        <f>VLOOKUP(B864,辅助信息!E:M,9,FALSE)</f>
        <v>ZTWM-CDGS-XS-2024-0134-商投建工达州中医药科技成果示范园项目</v>
      </c>
      <c r="R864" s="27"/>
    </row>
    <row r="865" hidden="1" spans="2:18">
      <c r="B865" s="41" t="s">
        <v>68</v>
      </c>
      <c r="C865" s="71">
        <v>45726</v>
      </c>
      <c r="D865" s="41" t="str">
        <f>VLOOKUP(B865,辅助信息!E:K,7,FALSE)</f>
        <v>JWDDCD2025052800131</v>
      </c>
      <c r="E865" s="41" t="str">
        <f>VLOOKUP(F865,辅助信息!A:B,2,FALSE)</f>
        <v>螺纹钢</v>
      </c>
      <c r="F865" s="41" t="s">
        <v>52</v>
      </c>
      <c r="G865" s="37">
        <v>35</v>
      </c>
      <c r="H865" s="37">
        <f>_xlfn._xlws.FILTER('[1]2025年已发货'!$E:$E,'[1]2025年已发货'!$F:$F&amp;'[1]2025年已发货'!$C:$C&amp;'[1]2025年已发货'!$G:$G&amp;'[1]2025年已发货'!$H:$H=C865&amp;F865&amp;I865&amp;J865,"未发货")</f>
        <v>35</v>
      </c>
      <c r="I865" s="41" t="str">
        <f>VLOOKUP(B865,辅助信息!E:I,3,FALSE)</f>
        <v>（商投建工达州中医药科技园-2工区-景观桥）达州市通川区达州中医药职业学院犀牛大道北段</v>
      </c>
      <c r="J865" s="41" t="str">
        <f>VLOOKUP(B865,辅助信息!E:I,4,FALSE)</f>
        <v>李波</v>
      </c>
      <c r="K865" s="41">
        <f>VLOOKUP(J865,辅助信息!H:I,2,FALSE)</f>
        <v>18381899787</v>
      </c>
      <c r="L865" s="79"/>
      <c r="M865" s="92"/>
      <c r="Q865" s="27"/>
      <c r="R865" s="27"/>
    </row>
    <row r="866" hidden="1" spans="2:18">
      <c r="B866" s="41" t="s">
        <v>64</v>
      </c>
      <c r="C866" s="71">
        <v>45726</v>
      </c>
      <c r="D866" s="41" t="e">
        <f>VLOOKUP(B866,辅助信息!E:K,7,FALSE)</f>
        <v>#N/A</v>
      </c>
      <c r="E866" s="41" t="str">
        <f>VLOOKUP(F866,辅助信息!A:B,2,FALSE)</f>
        <v>螺纹钢</v>
      </c>
      <c r="F866" s="41" t="s">
        <v>65</v>
      </c>
      <c r="G866" s="37">
        <v>12</v>
      </c>
      <c r="H866" s="37" t="e">
        <f>_xlfn._xlws.FILTER('[1]2025年已发货'!$E:$E,'[1]2025年已发货'!$F:$F&amp;'[1]2025年已发货'!$C:$C&amp;'[1]2025年已发货'!$G:$G&amp;'[1]2025年已发货'!$H:$H=C866&amp;F866&amp;I866&amp;J866,"未发货")</f>
        <v>#N/A</v>
      </c>
      <c r="I866" s="41" t="e">
        <f>VLOOKUP(B866,辅助信息!E:I,3,FALSE)</f>
        <v>#N/A</v>
      </c>
      <c r="J866" s="41" t="e">
        <f>VLOOKUP(B866,辅助信息!E:I,4,FALSE)</f>
        <v>#N/A</v>
      </c>
      <c r="K866" s="41"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233</v>
      </c>
      <c r="Q866" s="27" t="e">
        <f>VLOOKUP(B866,辅助信息!E:M,9,FALSE)</f>
        <v>#N/A</v>
      </c>
      <c r="R866" s="27"/>
    </row>
    <row r="867" hidden="1" spans="2:18">
      <c r="B867" s="41" t="s">
        <v>64</v>
      </c>
      <c r="C867" s="71">
        <v>45726</v>
      </c>
      <c r="D867" s="41" t="e">
        <f>VLOOKUP(B867,辅助信息!E:K,7,FALSE)</f>
        <v>#N/A</v>
      </c>
      <c r="E867" s="41" t="str">
        <f>VLOOKUP(F867,辅助信息!A:B,2,FALSE)</f>
        <v>螺纹钢</v>
      </c>
      <c r="F867" s="41" t="s">
        <v>52</v>
      </c>
      <c r="G867" s="37">
        <v>8</v>
      </c>
      <c r="H867" s="37" t="e">
        <f>_xlfn._xlws.FILTER('[1]2025年已发货'!$E:$E,'[1]2025年已发货'!$F:$F&amp;'[1]2025年已发货'!$C:$C&amp;'[1]2025年已发货'!$G:$G&amp;'[1]2025年已发货'!$H:$H=C867&amp;F867&amp;I867&amp;J867,"未发货")</f>
        <v>#N/A</v>
      </c>
      <c r="I867" s="41" t="e">
        <f>VLOOKUP(B867,辅助信息!E:I,3,FALSE)</f>
        <v>#N/A</v>
      </c>
      <c r="J867" s="41" t="e">
        <f>VLOOKUP(B867,辅助信息!E:I,4,FALSE)</f>
        <v>#N/A</v>
      </c>
      <c r="K867" s="41" t="e">
        <f>VLOOKUP(J867,辅助信息!H:I,2,FALSE)</f>
        <v>#N/A</v>
      </c>
      <c r="L867" s="77"/>
      <c r="M867" s="92">
        <v>45726</v>
      </c>
      <c r="O867" s="63">
        <f ca="1" t="shared" si="28"/>
        <v>0</v>
      </c>
      <c r="P867" s="63">
        <f ca="1" t="shared" si="29"/>
        <v>233</v>
      </c>
      <c r="Q867" s="27"/>
      <c r="R867" s="27"/>
    </row>
    <row r="868" hidden="1" spans="1:18">
      <c r="A868" s="83" t="s">
        <v>110</v>
      </c>
      <c r="B868" s="41" t="s">
        <v>84</v>
      </c>
      <c r="C868" s="71">
        <v>45726</v>
      </c>
      <c r="D868" s="41" t="e">
        <f>VLOOKUP(B868,辅助信息!E:K,7,FALSE)</f>
        <v>#N/A</v>
      </c>
      <c r="E868" s="41" t="str">
        <f>VLOOKUP(F868,辅助信息!A:B,2,FALSE)</f>
        <v>高线</v>
      </c>
      <c r="F868" s="41" t="s">
        <v>51</v>
      </c>
      <c r="G868" s="37">
        <v>5</v>
      </c>
      <c r="H868" s="37" t="e">
        <f>_xlfn._xlws.FILTER('[1]2025年已发货'!$E:$E,'[1]2025年已发货'!$F:$F&amp;'[1]2025年已发货'!$C:$C&amp;'[1]2025年已发货'!$G:$G&amp;'[1]2025年已发货'!$H:$H=C868&amp;F868&amp;I868&amp;J868,"未发货")</f>
        <v>#N/A</v>
      </c>
      <c r="I868" s="41" t="e">
        <f>VLOOKUP(B868,辅助信息!E:I,3,FALSE)</f>
        <v>#N/A</v>
      </c>
      <c r="J868" s="41" t="e">
        <f>VLOOKUP(B868,辅助信息!E:I,4,FALSE)</f>
        <v>#N/A</v>
      </c>
      <c r="K868" s="41" t="e">
        <f>VLOOKUP(J868,辅助信息!H:I,2,FALSE)</f>
        <v>#N/A</v>
      </c>
      <c r="L868" s="78" t="e">
        <f>VLOOKUP(B868,辅助信息!E:J,6,FALSE)</f>
        <v>#N/A</v>
      </c>
      <c r="M868" s="92">
        <v>45722</v>
      </c>
      <c r="O868" s="63">
        <f ca="1" t="shared" si="28"/>
        <v>0</v>
      </c>
      <c r="P868" s="63">
        <f ca="1" t="shared" si="29"/>
        <v>237</v>
      </c>
      <c r="Q868" s="27" t="e">
        <f>VLOOKUP(B868,辅助信息!E:M,9,FALSE)</f>
        <v>#N/A</v>
      </c>
      <c r="R868" s="27"/>
    </row>
    <row r="869" hidden="1" spans="1:18">
      <c r="A869" s="79"/>
      <c r="B869" s="41" t="s">
        <v>84</v>
      </c>
      <c r="C869" s="71">
        <v>45726</v>
      </c>
      <c r="D869" s="41" t="e">
        <f>VLOOKUP(B869,辅助信息!E:K,7,FALSE)</f>
        <v>#N/A</v>
      </c>
      <c r="E869" s="41" t="str">
        <f>VLOOKUP(F869,辅助信息!A:B,2,FALSE)</f>
        <v>螺纹钢</v>
      </c>
      <c r="F869" s="41" t="s">
        <v>32</v>
      </c>
      <c r="G869" s="37">
        <v>3</v>
      </c>
      <c r="H869" s="37" t="e">
        <f>_xlfn._xlws.FILTER('[1]2025年已发货'!$E:$E,'[1]2025年已发货'!$F:$F&amp;'[1]2025年已发货'!$C:$C&amp;'[1]2025年已发货'!$G:$G&amp;'[1]2025年已发货'!$H:$H=C869&amp;F869&amp;I869&amp;J869,"未发货")</f>
        <v>#N/A</v>
      </c>
      <c r="I869" s="41" t="e">
        <f>VLOOKUP(B869,辅助信息!E:I,3,FALSE)</f>
        <v>#N/A</v>
      </c>
      <c r="J869" s="41" t="e">
        <f>VLOOKUP(B869,辅助信息!E:I,4,FALSE)</f>
        <v>#N/A</v>
      </c>
      <c r="K869" s="41" t="e">
        <f>VLOOKUP(J869,辅助信息!H:I,2,FALSE)</f>
        <v>#N/A</v>
      </c>
      <c r="L869" s="79"/>
      <c r="M869" s="92">
        <v>45722</v>
      </c>
      <c r="O869" s="63">
        <f ca="1" t="shared" si="28"/>
        <v>0</v>
      </c>
      <c r="P869" s="63">
        <f ca="1" t="shared" si="29"/>
        <v>237</v>
      </c>
      <c r="Q869" s="27" t="e">
        <f>VLOOKUP(B869,辅助信息!E:M,9,FALSE)</f>
        <v>#N/A</v>
      </c>
      <c r="R869" s="27"/>
    </row>
    <row r="870" hidden="1" spans="1:18">
      <c r="A870" s="79"/>
      <c r="B870" s="41" t="s">
        <v>84</v>
      </c>
      <c r="C870" s="71">
        <v>45726</v>
      </c>
      <c r="D870" s="41" t="e">
        <f>VLOOKUP(B870,辅助信息!E:K,7,FALSE)</f>
        <v>#N/A</v>
      </c>
      <c r="E870" s="41" t="str">
        <f>VLOOKUP(F870,辅助信息!A:B,2,FALSE)</f>
        <v>螺纹钢</v>
      </c>
      <c r="F870" s="41" t="s">
        <v>33</v>
      </c>
      <c r="G870" s="37">
        <v>8</v>
      </c>
      <c r="H870" s="37" t="e">
        <f>_xlfn._xlws.FILTER('[1]2025年已发货'!$E:$E,'[1]2025年已发货'!$F:$F&amp;'[1]2025年已发货'!$C:$C&amp;'[1]2025年已发货'!$G:$G&amp;'[1]2025年已发货'!$H:$H=C870&amp;F870&amp;I870&amp;J870,"未发货")</f>
        <v>#N/A</v>
      </c>
      <c r="I870" s="41" t="e">
        <f>VLOOKUP(B870,辅助信息!E:I,3,FALSE)</f>
        <v>#N/A</v>
      </c>
      <c r="J870" s="41" t="e">
        <f>VLOOKUP(B870,辅助信息!E:I,4,FALSE)</f>
        <v>#N/A</v>
      </c>
      <c r="K870" s="41" t="e">
        <f>VLOOKUP(J870,辅助信息!H:I,2,FALSE)</f>
        <v>#N/A</v>
      </c>
      <c r="L870" s="79"/>
      <c r="M870" s="92">
        <v>45722</v>
      </c>
      <c r="O870" s="63">
        <f ca="1" t="shared" si="28"/>
        <v>0</v>
      </c>
      <c r="P870" s="63">
        <f ca="1" t="shared" si="29"/>
        <v>237</v>
      </c>
      <c r="Q870" s="27" t="e">
        <f>VLOOKUP(B870,辅助信息!E:M,9,FALSE)</f>
        <v>#N/A</v>
      </c>
      <c r="R870" s="27"/>
    </row>
    <row r="871" hidden="1" spans="1:18">
      <c r="A871" s="79"/>
      <c r="B871" s="41" t="s">
        <v>84</v>
      </c>
      <c r="C871" s="71">
        <v>45726</v>
      </c>
      <c r="D871" s="41" t="e">
        <f>VLOOKUP(B871,辅助信息!E:K,7,FALSE)</f>
        <v>#N/A</v>
      </c>
      <c r="E871" s="41" t="str">
        <f>VLOOKUP(F871,辅助信息!A:B,2,FALSE)</f>
        <v>螺纹钢</v>
      </c>
      <c r="F871" s="41" t="s">
        <v>28</v>
      </c>
      <c r="G871" s="37">
        <v>9</v>
      </c>
      <c r="H871" s="37" t="e">
        <f>_xlfn._xlws.FILTER('[1]2025年已发货'!$E:$E,'[1]2025年已发货'!$F:$F&amp;'[1]2025年已发货'!$C:$C&amp;'[1]2025年已发货'!$G:$G&amp;'[1]2025年已发货'!$H:$H=C871&amp;F871&amp;I871&amp;J871,"未发货")</f>
        <v>#N/A</v>
      </c>
      <c r="I871" s="41" t="e">
        <f>VLOOKUP(B871,辅助信息!E:I,3,FALSE)</f>
        <v>#N/A</v>
      </c>
      <c r="J871" s="41" t="e">
        <f>VLOOKUP(B871,辅助信息!E:I,4,FALSE)</f>
        <v>#N/A</v>
      </c>
      <c r="K871" s="41" t="e">
        <f>VLOOKUP(J871,辅助信息!H:I,2,FALSE)</f>
        <v>#N/A</v>
      </c>
      <c r="L871" s="79"/>
      <c r="M871" s="92">
        <v>45722</v>
      </c>
      <c r="O871" s="63">
        <f ca="1" t="shared" si="28"/>
        <v>0</v>
      </c>
      <c r="P871" s="63">
        <f ca="1" t="shared" si="29"/>
        <v>237</v>
      </c>
      <c r="Q871" s="27" t="e">
        <f>VLOOKUP(B871,辅助信息!E:M,9,FALSE)</f>
        <v>#N/A</v>
      </c>
      <c r="R871" s="27"/>
    </row>
    <row r="872" hidden="1" spans="1:18">
      <c r="A872" s="77"/>
      <c r="B872" s="41" t="s">
        <v>84</v>
      </c>
      <c r="C872" s="71">
        <v>45726</v>
      </c>
      <c r="D872" s="41" t="e">
        <f>VLOOKUP(B872,辅助信息!E:K,7,FALSE)</f>
        <v>#N/A</v>
      </c>
      <c r="E872" s="41" t="str">
        <f>VLOOKUP(F872,辅助信息!A:B,2,FALSE)</f>
        <v>螺纹钢</v>
      </c>
      <c r="F872" s="41" t="s">
        <v>111</v>
      </c>
      <c r="G872" s="37">
        <v>7</v>
      </c>
      <c r="H872" s="37" t="e">
        <f>_xlfn._xlws.FILTER('[1]2025年已发货'!$E:$E,'[1]2025年已发货'!$F:$F&amp;'[1]2025年已发货'!$C:$C&amp;'[1]2025年已发货'!$G:$G&amp;'[1]2025年已发货'!$H:$H=C872&amp;F872&amp;I872&amp;J872,"未发货")</f>
        <v>#N/A</v>
      </c>
      <c r="I872" s="41" t="e">
        <f>VLOOKUP(B872,辅助信息!E:I,3,FALSE)</f>
        <v>#N/A</v>
      </c>
      <c r="J872" s="41" t="e">
        <f>VLOOKUP(B872,辅助信息!E:I,4,FALSE)</f>
        <v>#N/A</v>
      </c>
      <c r="K872" s="41" t="e">
        <f>VLOOKUP(J872,辅助信息!H:I,2,FALSE)</f>
        <v>#N/A</v>
      </c>
      <c r="L872" s="77"/>
      <c r="M872" s="92">
        <v>45722</v>
      </c>
      <c r="O872" s="63">
        <f ca="1" t="shared" si="28"/>
        <v>0</v>
      </c>
      <c r="P872" s="63">
        <f ca="1" t="shared" si="29"/>
        <v>237</v>
      </c>
      <c r="Q872" s="27" t="e">
        <f>VLOOKUP(B872,辅助信息!E:M,9,FALSE)</f>
        <v>#N/A</v>
      </c>
      <c r="R872" s="27"/>
    </row>
    <row r="873" hidden="1" spans="2:18">
      <c r="B873" s="41" t="s">
        <v>113</v>
      </c>
      <c r="C873" s="71">
        <v>45726</v>
      </c>
      <c r="D873" s="41" t="str">
        <f>VLOOKUP(B873,辅助信息!E:K,7,FALSE)</f>
        <v>JWDDCD2025051000019</v>
      </c>
      <c r="E873" s="41" t="str">
        <f>VLOOKUP(F873,辅助信息!A:B,2,FALSE)</f>
        <v>盘螺</v>
      </c>
      <c r="F873" s="41" t="s">
        <v>40</v>
      </c>
      <c r="G873" s="37">
        <v>5</v>
      </c>
      <c r="H873" s="37">
        <f>_xlfn._xlws.FILTER('[1]2025年已发货'!$E:$E,'[1]2025年已发货'!$F:$F&amp;'[1]2025年已发货'!$C:$C&amp;'[1]2025年已发货'!$G:$G&amp;'[1]2025年已发货'!$H:$H=C873&amp;F873&amp;I873&amp;J873,"未发货")</f>
        <v>5</v>
      </c>
      <c r="I873" s="41" t="str">
        <f>VLOOKUP(B873,辅助信息!E:I,3,FALSE)</f>
        <v>(五冶钢构医学科学产业园建设项目房建二部-排洪渠（五标）)四川省南充市顺庆区搬罾街道学府大道二段</v>
      </c>
      <c r="J873" s="41" t="str">
        <f>VLOOKUP(B873,辅助信息!E:I,4,FALSE)</f>
        <v>安南</v>
      </c>
      <c r="K873" s="41">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237</v>
      </c>
      <c r="Q873" s="27" t="str">
        <f>VLOOKUP(B873,辅助信息!E:M,9,FALSE)</f>
        <v>ZTWM-CDGS-XS-2024-0248-五冶钢构-南充市医学院项目</v>
      </c>
      <c r="R873" s="27"/>
    </row>
    <row r="874" hidden="1" spans="2:18">
      <c r="B874" s="41" t="s">
        <v>113</v>
      </c>
      <c r="C874" s="71">
        <v>45726</v>
      </c>
      <c r="D874" s="41" t="str">
        <f>VLOOKUP(B874,辅助信息!E:K,7,FALSE)</f>
        <v>JWDDCD2025051000019</v>
      </c>
      <c r="E874" s="41" t="str">
        <f>VLOOKUP(F874,辅助信息!A:B,2,FALSE)</f>
        <v>螺纹钢</v>
      </c>
      <c r="F874" s="41" t="s">
        <v>27</v>
      </c>
      <c r="G874" s="37">
        <v>12</v>
      </c>
      <c r="H874" s="37">
        <f>_xlfn._xlws.FILTER('[1]2025年已发货'!$E:$E,'[1]2025年已发货'!$F:$F&amp;'[1]2025年已发货'!$C:$C&amp;'[1]2025年已发货'!$G:$G&amp;'[1]2025年已发货'!$H:$H=C874&amp;F874&amp;I874&amp;J874,"未发货")</f>
        <v>12</v>
      </c>
      <c r="I874" s="41" t="str">
        <f>VLOOKUP(B874,辅助信息!E:I,3,FALSE)</f>
        <v>(五冶钢构医学科学产业园建设项目房建二部-排洪渠（五标）)四川省南充市顺庆区搬罾街道学府大道二段</v>
      </c>
      <c r="J874" s="41" t="str">
        <f>VLOOKUP(B874,辅助信息!E:I,4,FALSE)</f>
        <v>安南</v>
      </c>
      <c r="K874" s="41">
        <f>VLOOKUP(J874,辅助信息!H:I,2,FALSE)</f>
        <v>19950525030</v>
      </c>
      <c r="L874" s="79"/>
      <c r="M874" s="92">
        <v>45722</v>
      </c>
      <c r="O874" s="63">
        <f ca="1" t="shared" si="28"/>
        <v>0</v>
      </c>
      <c r="P874" s="63">
        <f ca="1" t="shared" si="29"/>
        <v>237</v>
      </c>
      <c r="Q874" s="27" t="str">
        <f>VLOOKUP(B874,辅助信息!E:M,9,FALSE)</f>
        <v>ZTWM-CDGS-XS-2024-0248-五冶钢构-南充市医学院项目</v>
      </c>
      <c r="R874" s="27"/>
    </row>
    <row r="875" hidden="1" spans="2:18">
      <c r="B875" s="41" t="s">
        <v>113</v>
      </c>
      <c r="C875" s="71">
        <v>45726</v>
      </c>
      <c r="D875" s="41" t="str">
        <f>VLOOKUP(B875,辅助信息!E:K,7,FALSE)</f>
        <v>JWDDCD2025051000019</v>
      </c>
      <c r="E875" s="41" t="str">
        <f>VLOOKUP(F875,辅助信息!A:B,2,FALSE)</f>
        <v>螺纹钢</v>
      </c>
      <c r="F875" s="41" t="s">
        <v>18</v>
      </c>
      <c r="G875" s="37">
        <v>18</v>
      </c>
      <c r="H875" s="37">
        <f>_xlfn._xlws.FILTER('[1]2025年已发货'!$E:$E,'[1]2025年已发货'!$F:$F&amp;'[1]2025年已发货'!$C:$C&amp;'[1]2025年已发货'!$G:$G&amp;'[1]2025年已发货'!$H:$H=C875&amp;F875&amp;I875&amp;J875,"未发货")</f>
        <v>18</v>
      </c>
      <c r="I875" s="41" t="str">
        <f>VLOOKUP(B875,辅助信息!E:I,3,FALSE)</f>
        <v>(五冶钢构医学科学产业园建设项目房建二部-排洪渠（五标）)四川省南充市顺庆区搬罾街道学府大道二段</v>
      </c>
      <c r="J875" s="41" t="str">
        <f>VLOOKUP(B875,辅助信息!E:I,4,FALSE)</f>
        <v>安南</v>
      </c>
      <c r="K875" s="41">
        <f>VLOOKUP(J875,辅助信息!H:I,2,FALSE)</f>
        <v>19950525030</v>
      </c>
      <c r="L875" s="77"/>
      <c r="M875" s="92">
        <v>45722</v>
      </c>
      <c r="O875" s="63">
        <f ca="1" t="shared" si="28"/>
        <v>0</v>
      </c>
      <c r="P875" s="63">
        <f ca="1" t="shared" si="29"/>
        <v>237</v>
      </c>
      <c r="Q875" s="27" t="str">
        <f>VLOOKUP(B875,辅助信息!E:M,9,FALSE)</f>
        <v>ZTWM-CDGS-XS-2024-0248-五冶钢构-南充市医学院项目</v>
      </c>
      <c r="R875" s="27"/>
    </row>
    <row r="876" hidden="1" spans="2:18">
      <c r="B876" s="41" t="s">
        <v>39</v>
      </c>
      <c r="C876" s="71">
        <v>45726</v>
      </c>
      <c r="D876" s="41" t="str">
        <f>VLOOKUP(B876,辅助信息!E:K,7,FALSE)</f>
        <v>JWDDCD2024101600090</v>
      </c>
      <c r="E876" s="41" t="str">
        <f>VLOOKUP(F876,辅助信息!A:B,2,FALSE)</f>
        <v>盘螺</v>
      </c>
      <c r="F876" s="41" t="s">
        <v>49</v>
      </c>
      <c r="G876" s="37">
        <v>6</v>
      </c>
      <c r="H876" s="37">
        <f>_xlfn._xlws.FILTER('[1]2025年已发货'!$E:$E,'[1]2025年已发货'!$F:$F&amp;'[1]2025年已发货'!$C:$C&amp;'[1]2025年已发货'!$G:$G&amp;'[1]2025年已发货'!$H:$H=C876&amp;F876&amp;I876&amp;J876,"未发货")</f>
        <v>6</v>
      </c>
      <c r="I876" s="41" t="str">
        <f>VLOOKUP(B876,辅助信息!E:I,3,FALSE)</f>
        <v>（达州市公共卫生临床医疗中心项目-一标-2号制作房）达州市通川区西外复兴镇公共卫生临床医疗中心项目</v>
      </c>
      <c r="J876" s="41" t="str">
        <f>VLOOKUP(B876,辅助信息!E:I,4,FALSE)</f>
        <v>潘建发</v>
      </c>
      <c r="K876" s="41">
        <f>VLOOKUP(J876,辅助信息!H:I,2,FALSE)</f>
        <v>13658059919</v>
      </c>
      <c r="L876" s="78" t="str">
        <f>VLOOKUP(B876,辅助信息!E:J,6,FALSE)</f>
        <v>提前联系到场规格,一天到场车辆不低于2车</v>
      </c>
      <c r="M876" s="92">
        <v>45724</v>
      </c>
      <c r="O876" s="63">
        <f ca="1" t="shared" si="28"/>
        <v>0</v>
      </c>
      <c r="P876" s="63">
        <f ca="1" t="shared" si="29"/>
        <v>235</v>
      </c>
      <c r="Q876" s="27" t="str">
        <f>VLOOKUP(B876,辅助信息!E:M,9,FALSE)</f>
        <v>ZTWM-CDGS-XS-2024-0205-五冶钢构-达州市通川区西外复兴镇及临近片区建设项目</v>
      </c>
      <c r="R876" s="27"/>
    </row>
    <row r="877" hidden="1" spans="2:18">
      <c r="B877" s="41" t="s">
        <v>39</v>
      </c>
      <c r="C877" s="71">
        <v>45726</v>
      </c>
      <c r="D877" s="41" t="str">
        <f>VLOOKUP(B877,辅助信息!E:K,7,FALSE)</f>
        <v>JWDDCD2024101600090</v>
      </c>
      <c r="E877" s="41" t="str">
        <f>VLOOKUP(F877,辅助信息!A:B,2,FALSE)</f>
        <v>盘螺</v>
      </c>
      <c r="F877" s="41" t="s">
        <v>40</v>
      </c>
      <c r="G877" s="37">
        <v>6</v>
      </c>
      <c r="H877" s="37" t="str">
        <f>_xlfn._xlws.FILTER('[1]2025年已发货'!$E:$E,'[1]2025年已发货'!$F:$F&amp;'[1]2025年已发货'!$C:$C&amp;'[1]2025年已发货'!$G:$G&amp;'[1]2025年已发货'!$H:$H=C877&amp;F877&amp;I877&amp;J877,"未发货")</f>
        <v>未发货</v>
      </c>
      <c r="I877" s="41" t="str">
        <f>VLOOKUP(B877,辅助信息!E:I,3,FALSE)</f>
        <v>（达州市公共卫生临床医疗中心项目-一标-2号制作房）达州市通川区西外复兴镇公共卫生临床医疗中心项目</v>
      </c>
      <c r="J877" s="41" t="str">
        <f>VLOOKUP(B877,辅助信息!E:I,4,FALSE)</f>
        <v>潘建发</v>
      </c>
      <c r="K877" s="41">
        <f>VLOOKUP(J877,辅助信息!H:I,2,FALSE)</f>
        <v>13658059919</v>
      </c>
      <c r="L877" s="79"/>
      <c r="M877" s="92">
        <v>45724</v>
      </c>
      <c r="O877" s="63">
        <f ca="1" t="shared" si="28"/>
        <v>0</v>
      </c>
      <c r="P877" s="63">
        <f ca="1" t="shared" si="29"/>
        <v>235</v>
      </c>
      <c r="Q877" s="27" t="str">
        <f>VLOOKUP(B877,辅助信息!E:M,9,FALSE)</f>
        <v>ZTWM-CDGS-XS-2024-0205-五冶钢构-达州市通川区西外复兴镇及临近片区建设项目</v>
      </c>
      <c r="R877" s="27"/>
    </row>
    <row r="878" hidden="1" spans="2:18">
      <c r="B878" s="41" t="s">
        <v>39</v>
      </c>
      <c r="C878" s="71">
        <v>45726</v>
      </c>
      <c r="D878" s="41" t="str">
        <f>VLOOKUP(B878,辅助信息!E:K,7,FALSE)</f>
        <v>JWDDCD2024101600090</v>
      </c>
      <c r="E878" s="41" t="str">
        <f>VLOOKUP(F878,辅助信息!A:B,2,FALSE)</f>
        <v>螺纹钢</v>
      </c>
      <c r="F878" s="41" t="s">
        <v>27</v>
      </c>
      <c r="G878" s="37">
        <v>25</v>
      </c>
      <c r="H878" s="37">
        <f>_xlfn._xlws.FILTER('[1]2025年已发货'!$E:$E,'[1]2025年已发货'!$F:$F&amp;'[1]2025年已发货'!$C:$C&amp;'[1]2025年已发货'!$G:$G&amp;'[1]2025年已发货'!$H:$H=C878&amp;F878&amp;I878&amp;J878,"未发货")</f>
        <v>22</v>
      </c>
      <c r="I878" s="41" t="str">
        <f>VLOOKUP(B878,辅助信息!E:I,3,FALSE)</f>
        <v>（达州市公共卫生临床医疗中心项目-一标-2号制作房）达州市通川区西外复兴镇公共卫生临床医疗中心项目</v>
      </c>
      <c r="J878" s="41" t="str">
        <f>VLOOKUP(B878,辅助信息!E:I,4,FALSE)</f>
        <v>潘建发</v>
      </c>
      <c r="K878" s="41">
        <f>VLOOKUP(J878,辅助信息!H:I,2,FALSE)</f>
        <v>13658059919</v>
      </c>
      <c r="L878" s="79"/>
      <c r="M878" s="92">
        <v>45724</v>
      </c>
      <c r="O878" s="63">
        <f ca="1" t="shared" si="28"/>
        <v>0</v>
      </c>
      <c r="P878" s="63">
        <f ca="1" t="shared" si="29"/>
        <v>235</v>
      </c>
      <c r="Q878" s="27" t="str">
        <f>VLOOKUP(B878,辅助信息!E:M,9,FALSE)</f>
        <v>ZTWM-CDGS-XS-2024-0205-五冶钢构-达州市通川区西外复兴镇及临近片区建设项目</v>
      </c>
      <c r="R878" s="27"/>
    </row>
    <row r="879" hidden="1" spans="2:18">
      <c r="B879" s="41" t="s">
        <v>39</v>
      </c>
      <c r="C879" s="71">
        <v>45726</v>
      </c>
      <c r="D879" s="41" t="str">
        <f>VLOOKUP(B879,辅助信息!E:K,7,FALSE)</f>
        <v>JWDDCD2024101600090</v>
      </c>
      <c r="E879" s="41" t="str">
        <f>VLOOKUP(F879,辅助信息!A:B,2,FALSE)</f>
        <v>螺纹钢</v>
      </c>
      <c r="F879" s="41" t="s">
        <v>19</v>
      </c>
      <c r="G879" s="37">
        <v>7</v>
      </c>
      <c r="H879" s="37">
        <f>_xlfn._xlws.FILTER('[1]2025年已发货'!$E:$E,'[1]2025年已发货'!$F:$F&amp;'[1]2025年已发货'!$C:$C&amp;'[1]2025年已发货'!$G:$G&amp;'[1]2025年已发货'!$H:$H=C879&amp;F879&amp;I879&amp;J879,"未发货")</f>
        <v>7</v>
      </c>
      <c r="I879" s="41" t="str">
        <f>VLOOKUP(B879,辅助信息!E:I,3,FALSE)</f>
        <v>（达州市公共卫生临床医疗中心项目-一标-2号制作房）达州市通川区西外复兴镇公共卫生临床医疗中心项目</v>
      </c>
      <c r="J879" s="41" t="str">
        <f>VLOOKUP(B879,辅助信息!E:I,4,FALSE)</f>
        <v>潘建发</v>
      </c>
      <c r="K879" s="41">
        <f>VLOOKUP(J879,辅助信息!H:I,2,FALSE)</f>
        <v>13658059919</v>
      </c>
      <c r="L879" s="77"/>
      <c r="M879" s="92">
        <v>45724</v>
      </c>
      <c r="O879" s="63">
        <f ca="1" t="shared" si="28"/>
        <v>0</v>
      </c>
      <c r="P879" s="63">
        <f ca="1" t="shared" si="29"/>
        <v>235</v>
      </c>
      <c r="Q879" s="27" t="str">
        <f>VLOOKUP(B879,辅助信息!E:M,9,FALSE)</f>
        <v>ZTWM-CDGS-XS-2024-0205-五冶钢构-达州市通川区西外复兴镇及临近片区建设项目</v>
      </c>
      <c r="R879" s="27"/>
    </row>
    <row r="880" ht="56.25" hidden="1" customHeight="1" spans="2:18">
      <c r="B880" s="41" t="s">
        <v>29</v>
      </c>
      <c r="C880" s="71">
        <v>45726</v>
      </c>
      <c r="D880" s="41" t="e">
        <f>VLOOKUP(B880,辅助信息!E:K,7,FALSE)</f>
        <v>#N/A</v>
      </c>
      <c r="E880" s="41" t="str">
        <f>VLOOKUP(F880,辅助信息!A:B,2,FALSE)</f>
        <v>螺纹钢</v>
      </c>
      <c r="F880" s="41" t="s">
        <v>28</v>
      </c>
      <c r="G880" s="37">
        <v>70</v>
      </c>
      <c r="H880" s="37" t="e">
        <f>_xlfn._xlws.FILTER('[1]2025年已发货'!$E:$E,'[1]2025年已发货'!$F:$F&amp;'[1]2025年已发货'!$C:$C&amp;'[1]2025年已发货'!$G:$G&amp;'[1]2025年已发货'!$H:$H=C880&amp;F880&amp;I880&amp;J880,"未发货")</f>
        <v>#N/A</v>
      </c>
      <c r="I880" s="41" t="e">
        <f>VLOOKUP(B880,辅助信息!E:I,3,FALSE)</f>
        <v>#N/A</v>
      </c>
      <c r="J880" s="41" t="e">
        <f>VLOOKUP(B880,辅助信息!E:I,4,FALSE)</f>
        <v>#N/A</v>
      </c>
      <c r="K880" s="41" t="e">
        <f>VLOOKUP(J880,辅助信息!H:I,2,FALSE)</f>
        <v>#N/A</v>
      </c>
      <c r="L880" s="78" t="e">
        <f>VLOOKUP(B880,辅助信息!E:J,6,FALSE)</f>
        <v>#N/A</v>
      </c>
      <c r="M880" s="92">
        <v>45726</v>
      </c>
      <c r="O880" s="63">
        <f ca="1" t="shared" si="28"/>
        <v>0</v>
      </c>
      <c r="P880" s="63">
        <f ca="1" t="shared" si="29"/>
        <v>233</v>
      </c>
      <c r="Q880" s="27" t="e">
        <f>VLOOKUP(B880,辅助信息!E:M,9,FALSE)</f>
        <v>#N/A</v>
      </c>
      <c r="R880" s="27"/>
    </row>
    <row r="881" hidden="1" spans="2:18">
      <c r="B881" s="41" t="s">
        <v>54</v>
      </c>
      <c r="C881" s="71">
        <v>45726</v>
      </c>
      <c r="D881" s="41" t="e">
        <f>VLOOKUP(B881,辅助信息!E:K,7,FALSE)</f>
        <v>#N/A</v>
      </c>
      <c r="E881" s="41" t="str">
        <f>VLOOKUP(F881,辅助信息!A:B,2,FALSE)</f>
        <v>螺纹钢</v>
      </c>
      <c r="F881" s="41" t="s">
        <v>32</v>
      </c>
      <c r="G881" s="37">
        <f>46-27</f>
        <v>19</v>
      </c>
      <c r="H881" s="37" t="e">
        <f>_xlfn._xlws.FILTER('[1]2025年已发货'!$E:$E,'[1]2025年已发货'!$F:$F&amp;'[1]2025年已发货'!$C:$C&amp;'[1]2025年已发货'!$G:$G&amp;'[1]2025年已发货'!$H:$H=C881&amp;F881&amp;I881&amp;J881,"未发货")</f>
        <v>#N/A</v>
      </c>
      <c r="I881" s="41" t="e">
        <f>VLOOKUP(B881,辅助信息!E:I,3,FALSE)</f>
        <v>#N/A</v>
      </c>
      <c r="J881" s="41" t="e">
        <f>VLOOKUP(B881,辅助信息!E:I,4,FALSE)</f>
        <v>#N/A</v>
      </c>
      <c r="K881" s="41" t="e">
        <f>VLOOKUP(J881,辅助信息!H:I,2,FALSE)</f>
        <v>#N/A</v>
      </c>
      <c r="L881" s="78" t="e">
        <f>VLOOKUP(B881,辅助信息!E:J,6,FALSE)</f>
        <v>#N/A</v>
      </c>
      <c r="M881" s="92">
        <v>45728</v>
      </c>
      <c r="O881" s="63">
        <f ca="1" t="shared" si="28"/>
        <v>0</v>
      </c>
      <c r="P881" s="63">
        <f ca="1" t="shared" si="29"/>
        <v>231</v>
      </c>
      <c r="Q881" s="27" t="e">
        <f>VLOOKUP(B881,辅助信息!E:M,9,FALSE)</f>
        <v>#N/A</v>
      </c>
      <c r="R881" s="27"/>
    </row>
    <row r="882" hidden="1" spans="2:18">
      <c r="B882" s="41" t="s">
        <v>54</v>
      </c>
      <c r="C882" s="71">
        <v>45726</v>
      </c>
      <c r="D882" s="41" t="e">
        <f>VLOOKUP(B882,辅助信息!E:K,7,FALSE)</f>
        <v>#N/A</v>
      </c>
      <c r="E882" s="41" t="str">
        <f>VLOOKUP(F882,辅助信息!A:B,2,FALSE)</f>
        <v>螺纹钢</v>
      </c>
      <c r="F882" s="41" t="s">
        <v>52</v>
      </c>
      <c r="G882" s="37">
        <v>2</v>
      </c>
      <c r="H882" s="37" t="e">
        <f>_xlfn._xlws.FILTER('[1]2025年已发货'!$E:$E,'[1]2025年已发货'!$F:$F&amp;'[1]2025年已发货'!$C:$C&amp;'[1]2025年已发货'!$G:$G&amp;'[1]2025年已发货'!$H:$H=C882&amp;F882&amp;I882&amp;J882,"未发货")</f>
        <v>#N/A</v>
      </c>
      <c r="I882" s="41" t="e">
        <f>VLOOKUP(B882,辅助信息!E:I,3,FALSE)</f>
        <v>#N/A</v>
      </c>
      <c r="J882" s="41" t="e">
        <f>VLOOKUP(B882,辅助信息!E:I,4,FALSE)</f>
        <v>#N/A</v>
      </c>
      <c r="K882" s="41" t="e">
        <f>VLOOKUP(J882,辅助信息!H:I,2,FALSE)</f>
        <v>#N/A</v>
      </c>
      <c r="L882" s="77"/>
      <c r="M882" s="92">
        <v>45728</v>
      </c>
      <c r="O882" s="63">
        <f ca="1" t="shared" si="28"/>
        <v>0</v>
      </c>
      <c r="P882" s="63">
        <f ca="1" t="shared" si="29"/>
        <v>231</v>
      </c>
      <c r="Q882" s="27" t="e">
        <f>VLOOKUP(B882,辅助信息!E:M,9,FALSE)</f>
        <v>#N/A</v>
      </c>
      <c r="R882" s="27"/>
    </row>
    <row r="883" hidden="1" spans="2:18">
      <c r="B883" s="41" t="s">
        <v>47</v>
      </c>
      <c r="C883" s="71">
        <v>45726</v>
      </c>
      <c r="D883" s="41" t="str">
        <f>VLOOKUP(B883,辅助信息!E:K,7,FALSE)</f>
        <v>JWDDCD2025052800131</v>
      </c>
      <c r="E883" s="41" t="str">
        <f>VLOOKUP(F883,辅助信息!A:B,2,FALSE)</f>
        <v>盘螺</v>
      </c>
      <c r="F883" s="41" t="s">
        <v>40</v>
      </c>
      <c r="G883" s="37">
        <v>17</v>
      </c>
      <c r="H883" s="37">
        <f>_xlfn._xlws.FILTER('[1]2025年已发货'!$E:$E,'[1]2025年已发货'!$F:$F&amp;'[1]2025年已发货'!$C:$C&amp;'[1]2025年已发货'!$G:$G&amp;'[1]2025年已发货'!$H:$H=C883&amp;F883&amp;I883&amp;J883,"未发货")</f>
        <v>17</v>
      </c>
      <c r="I883" s="41" t="str">
        <f>VLOOKUP(B883,辅助信息!E:I,3,FALSE)</f>
        <v>（商投建工达州中医药科技园-1工区）达州市通川区达州中医药职业学院犀牛大道北段</v>
      </c>
      <c r="J883" s="41" t="str">
        <f>VLOOKUP(B883,辅助信息!E:I,4,FALSE)</f>
        <v>程黄刚</v>
      </c>
      <c r="K883" s="41">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233</v>
      </c>
      <c r="Q883" s="27" t="str">
        <f>VLOOKUP(B883,辅助信息!E:M,9,FALSE)</f>
        <v>ZTWM-CDGS-XS-2024-0134-商投建工达州中医药科技成果示范园项目</v>
      </c>
      <c r="R883" s="27"/>
    </row>
    <row r="884" hidden="1" spans="2:18">
      <c r="B884" s="41" t="s">
        <v>47</v>
      </c>
      <c r="C884" s="71">
        <v>45726</v>
      </c>
      <c r="D884" s="41" t="str">
        <f>VLOOKUP(B884,辅助信息!E:K,7,FALSE)</f>
        <v>JWDDCD2025052800131</v>
      </c>
      <c r="E884" s="41" t="str">
        <f>VLOOKUP(F884,辅助信息!A:B,2,FALSE)</f>
        <v>螺纹钢</v>
      </c>
      <c r="F884" s="41" t="s">
        <v>19</v>
      </c>
      <c r="G884" s="37">
        <v>6</v>
      </c>
      <c r="H884" s="37">
        <f>_xlfn._xlws.FILTER('[1]2025年已发货'!$E:$E,'[1]2025年已发货'!$F:$F&amp;'[1]2025年已发货'!$C:$C&amp;'[1]2025年已发货'!$G:$G&amp;'[1]2025年已发货'!$H:$H=C884&amp;F884&amp;I884&amp;J884,"未发货")</f>
        <v>6</v>
      </c>
      <c r="I884" s="41" t="str">
        <f>VLOOKUP(B884,辅助信息!E:I,3,FALSE)</f>
        <v>（商投建工达州中医药科技园-1工区）达州市通川区达州中医药职业学院犀牛大道北段</v>
      </c>
      <c r="J884" s="41" t="str">
        <f>VLOOKUP(B884,辅助信息!E:I,4,FALSE)</f>
        <v>程黄刚</v>
      </c>
      <c r="K884" s="41">
        <f>VLOOKUP(J884,辅助信息!H:I,2,FALSE)</f>
        <v>15108211617</v>
      </c>
      <c r="L884" s="79"/>
      <c r="M884" s="92">
        <v>45726</v>
      </c>
      <c r="O884" s="63">
        <f ca="1" t="shared" si="28"/>
        <v>0</v>
      </c>
      <c r="P884" s="63">
        <f ca="1" t="shared" si="29"/>
        <v>233</v>
      </c>
      <c r="Q884" s="27" t="str">
        <f>VLOOKUP(B884,辅助信息!E:M,9,FALSE)</f>
        <v>ZTWM-CDGS-XS-2024-0134-商投建工达州中医药科技成果示范园项目</v>
      </c>
      <c r="R884" s="27"/>
    </row>
    <row r="885" hidden="1" spans="2:18">
      <c r="B885" s="41" t="s">
        <v>47</v>
      </c>
      <c r="C885" s="71">
        <v>45726</v>
      </c>
      <c r="D885" s="41" t="str">
        <f>VLOOKUP(B885,辅助信息!E:K,7,FALSE)</f>
        <v>JWDDCD2025052800131</v>
      </c>
      <c r="E885" s="41" t="str">
        <f>VLOOKUP(F885,辅助信息!A:B,2,FALSE)</f>
        <v>螺纹钢</v>
      </c>
      <c r="F885" s="41" t="s">
        <v>33</v>
      </c>
      <c r="G885" s="37">
        <v>35</v>
      </c>
      <c r="H885" s="37">
        <f>_xlfn._xlws.FILTER('[1]2025年已发货'!$E:$E,'[1]2025年已发货'!$F:$F&amp;'[1]2025年已发货'!$C:$C&amp;'[1]2025年已发货'!$G:$G&amp;'[1]2025年已发货'!$H:$H=C885&amp;F885&amp;I885&amp;J885,"未发货")</f>
        <v>35</v>
      </c>
      <c r="I885" s="41" t="str">
        <f>VLOOKUP(B885,辅助信息!E:I,3,FALSE)</f>
        <v>（商投建工达州中医药科技园-1工区）达州市通川区达州中医药职业学院犀牛大道北段</v>
      </c>
      <c r="J885" s="41" t="str">
        <f>VLOOKUP(B885,辅助信息!E:I,4,FALSE)</f>
        <v>程黄刚</v>
      </c>
      <c r="K885" s="41">
        <f>VLOOKUP(J885,辅助信息!H:I,2,FALSE)</f>
        <v>15108211617</v>
      </c>
      <c r="L885" s="79"/>
      <c r="M885" s="92">
        <v>45726</v>
      </c>
      <c r="O885" s="63">
        <f ca="1" t="shared" si="28"/>
        <v>0</v>
      </c>
      <c r="P885" s="63">
        <f ca="1" t="shared" si="29"/>
        <v>233</v>
      </c>
      <c r="Q885" s="27" t="str">
        <f>VLOOKUP(B885,辅助信息!E:M,9,FALSE)</f>
        <v>ZTWM-CDGS-XS-2024-0134-商投建工达州中医药科技成果示范园项目</v>
      </c>
      <c r="R885" s="27"/>
    </row>
    <row r="886" hidden="1" spans="2:18">
      <c r="B886" s="41" t="s">
        <v>47</v>
      </c>
      <c r="C886" s="71">
        <v>45726</v>
      </c>
      <c r="D886" s="41" t="str">
        <f>VLOOKUP(B886,辅助信息!E:K,7,FALSE)</f>
        <v>JWDDCD2025052800131</v>
      </c>
      <c r="E886" s="41" t="str">
        <f>VLOOKUP(F886,辅助信息!A:B,2,FALSE)</f>
        <v>螺纹钢</v>
      </c>
      <c r="F886" s="41" t="s">
        <v>18</v>
      </c>
      <c r="G886" s="37">
        <v>77</v>
      </c>
      <c r="H886" s="37">
        <f>_xlfn._xlws.FILTER('[1]2025年已发货'!$E:$E,'[1]2025年已发货'!$F:$F&amp;'[1]2025年已发货'!$C:$C&amp;'[1]2025年已发货'!$G:$G&amp;'[1]2025年已发货'!$H:$H=C886&amp;F886&amp;I886&amp;J886,"未发货")</f>
        <v>82</v>
      </c>
      <c r="I886" s="41" t="str">
        <f>VLOOKUP(B886,辅助信息!E:I,3,FALSE)</f>
        <v>（商投建工达州中医药科技园-1工区）达州市通川区达州中医药职业学院犀牛大道北段</v>
      </c>
      <c r="J886" s="41" t="str">
        <f>VLOOKUP(B886,辅助信息!E:I,4,FALSE)</f>
        <v>程黄刚</v>
      </c>
      <c r="K886" s="41">
        <f>VLOOKUP(J886,辅助信息!H:I,2,FALSE)</f>
        <v>15108211617</v>
      </c>
      <c r="L886" s="77"/>
      <c r="M886" s="92">
        <v>45726</v>
      </c>
      <c r="O886" s="63">
        <f ca="1" t="shared" si="28"/>
        <v>0</v>
      </c>
      <c r="P886" s="63">
        <f ca="1" t="shared" si="29"/>
        <v>233</v>
      </c>
      <c r="Q886" s="27" t="str">
        <f>VLOOKUP(B886,辅助信息!E:M,9,FALSE)</f>
        <v>ZTWM-CDGS-XS-2024-0134-商投建工达州中医药科技成果示范园项目</v>
      </c>
      <c r="R886" s="27"/>
    </row>
    <row r="887" hidden="1" spans="2:18">
      <c r="B887" s="41" t="s">
        <v>20</v>
      </c>
      <c r="C887" s="71">
        <v>45726</v>
      </c>
      <c r="D887" s="41" t="str">
        <f>VLOOKUP(B887,辅助信息!E:K,7,FALSE)</f>
        <v>JWDDCD2025051000019</v>
      </c>
      <c r="E887" s="41" t="str">
        <f>VLOOKUP(F887,辅助信息!A:B,2,FALSE)</f>
        <v>盘螺</v>
      </c>
      <c r="F887" s="41" t="s">
        <v>49</v>
      </c>
      <c r="G887" s="37">
        <v>8</v>
      </c>
      <c r="H887" s="37" t="str">
        <f>_xlfn._xlws.FILTER('[1]2025年已发货'!$E:$E,'[1]2025年已发货'!$F:$F&amp;'[1]2025年已发货'!$C:$C&amp;'[1]2025年已发货'!$G:$G&amp;'[1]2025年已发货'!$H:$H=C887&amp;F887&amp;I887&amp;J887,"未发货")</f>
        <v>未发货</v>
      </c>
      <c r="I887" s="41" t="str">
        <f>VLOOKUP(B887,辅助信息!E:I,3,FALSE)</f>
        <v>(五冶钢构医学科学产业园建设项目房建三部-一标（7-2）)四川省南充市顺庆区搬罾街道学府大道二段</v>
      </c>
      <c r="J887" s="41" t="str">
        <f>VLOOKUP(B887,辅助信息!E:I,4,FALSE)</f>
        <v>郑林</v>
      </c>
      <c r="K887" s="41">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232</v>
      </c>
      <c r="Q887" s="27" t="str">
        <f>VLOOKUP(B887,辅助信息!E:M,9,FALSE)</f>
        <v>ZTWM-CDGS-XS-2024-0248-五冶钢构-南充市医学院项目</v>
      </c>
      <c r="R887" s="27"/>
    </row>
    <row r="888" hidden="1" spans="2:18">
      <c r="B888" s="41" t="s">
        <v>20</v>
      </c>
      <c r="C888" s="71">
        <v>45726</v>
      </c>
      <c r="D888" s="41" t="str">
        <f>VLOOKUP(B888,辅助信息!E:K,7,FALSE)</f>
        <v>JWDDCD2025051000019</v>
      </c>
      <c r="E888" s="41" t="str">
        <f>VLOOKUP(F888,辅助信息!A:B,2,FALSE)</f>
        <v>盘螺</v>
      </c>
      <c r="F888" s="41" t="s">
        <v>40</v>
      </c>
      <c r="G888" s="37">
        <v>4</v>
      </c>
      <c r="H888" s="37" t="str">
        <f>_xlfn._xlws.FILTER('[1]2025年已发货'!$E:$E,'[1]2025年已发货'!$F:$F&amp;'[1]2025年已发货'!$C:$C&amp;'[1]2025年已发货'!$G:$G&amp;'[1]2025年已发货'!$H:$H=C888&amp;F888&amp;I888&amp;J888,"未发货")</f>
        <v>未发货</v>
      </c>
      <c r="I888" s="41" t="str">
        <f>VLOOKUP(B888,辅助信息!E:I,3,FALSE)</f>
        <v>(五冶钢构医学科学产业园建设项目房建三部-一标（7-2）)四川省南充市顺庆区搬罾街道学府大道二段</v>
      </c>
      <c r="J888" s="41" t="str">
        <f>VLOOKUP(B888,辅助信息!E:I,4,FALSE)</f>
        <v>郑林</v>
      </c>
      <c r="K888" s="41">
        <f>VLOOKUP(J888,辅助信息!H:I,2,FALSE)</f>
        <v>18349955455</v>
      </c>
      <c r="L888" s="79"/>
      <c r="M888" s="92">
        <v>45727</v>
      </c>
      <c r="O888" s="63">
        <f ca="1" t="shared" si="28"/>
        <v>0</v>
      </c>
      <c r="P888" s="63">
        <f ca="1" t="shared" si="29"/>
        <v>232</v>
      </c>
      <c r="Q888" s="27" t="str">
        <f>VLOOKUP(B888,辅助信息!E:M,9,FALSE)</f>
        <v>ZTWM-CDGS-XS-2024-0248-五冶钢构-南充市医学院项目</v>
      </c>
      <c r="R888" s="27"/>
    </row>
    <row r="889" hidden="1" spans="2:18">
      <c r="B889" s="41" t="s">
        <v>20</v>
      </c>
      <c r="C889" s="71">
        <v>45726</v>
      </c>
      <c r="D889" s="41" t="str">
        <f>VLOOKUP(B889,辅助信息!E:K,7,FALSE)</f>
        <v>JWDDCD2025051000019</v>
      </c>
      <c r="E889" s="41" t="str">
        <f>VLOOKUP(F889,辅助信息!A:B,2,FALSE)</f>
        <v>盘螺</v>
      </c>
      <c r="F889" s="41" t="s">
        <v>41</v>
      </c>
      <c r="G889" s="37">
        <v>6</v>
      </c>
      <c r="H889" s="37" t="str">
        <f>_xlfn._xlws.FILTER('[1]2025年已发货'!$E:$E,'[1]2025年已发货'!$F:$F&amp;'[1]2025年已发货'!$C:$C&amp;'[1]2025年已发货'!$G:$G&amp;'[1]2025年已发货'!$H:$H=C889&amp;F889&amp;I889&amp;J889,"未发货")</f>
        <v>未发货</v>
      </c>
      <c r="I889" s="41" t="str">
        <f>VLOOKUP(B889,辅助信息!E:I,3,FALSE)</f>
        <v>(五冶钢构医学科学产业园建设项目房建三部-一标（7-2）)四川省南充市顺庆区搬罾街道学府大道二段</v>
      </c>
      <c r="J889" s="41" t="str">
        <f>VLOOKUP(B889,辅助信息!E:I,4,FALSE)</f>
        <v>郑林</v>
      </c>
      <c r="K889" s="41">
        <f>VLOOKUP(J889,辅助信息!H:I,2,FALSE)</f>
        <v>18349955455</v>
      </c>
      <c r="L889" s="79"/>
      <c r="M889" s="92">
        <v>45727</v>
      </c>
      <c r="O889" s="63">
        <f ca="1" t="shared" si="28"/>
        <v>0</v>
      </c>
      <c r="P889" s="63">
        <f ca="1" t="shared" si="29"/>
        <v>232</v>
      </c>
      <c r="Q889" s="27" t="str">
        <f>VLOOKUP(B889,辅助信息!E:M,9,FALSE)</f>
        <v>ZTWM-CDGS-XS-2024-0248-五冶钢构-南充市医学院项目</v>
      </c>
      <c r="R889" s="27"/>
    </row>
    <row r="890" hidden="1" spans="2:18">
      <c r="B890" s="41" t="s">
        <v>20</v>
      </c>
      <c r="C890" s="71">
        <v>45726</v>
      </c>
      <c r="D890" s="41" t="str">
        <f>VLOOKUP(B890,辅助信息!E:K,7,FALSE)</f>
        <v>JWDDCD2025051000019</v>
      </c>
      <c r="E890" s="41" t="str">
        <f>VLOOKUP(F890,辅助信息!A:B,2,FALSE)</f>
        <v>盘螺</v>
      </c>
      <c r="F890" s="41" t="s">
        <v>26</v>
      </c>
      <c r="G890" s="37">
        <v>9</v>
      </c>
      <c r="H890" s="37" t="str">
        <f>_xlfn._xlws.FILTER('[1]2025年已发货'!$E:$E,'[1]2025年已发货'!$F:$F&amp;'[1]2025年已发货'!$C:$C&amp;'[1]2025年已发货'!$G:$G&amp;'[1]2025年已发货'!$H:$H=C890&amp;F890&amp;I890&amp;J890,"未发货")</f>
        <v>未发货</v>
      </c>
      <c r="I890" s="41" t="str">
        <f>VLOOKUP(B890,辅助信息!E:I,3,FALSE)</f>
        <v>(五冶钢构医学科学产业园建设项目房建三部-一标（7-2）)四川省南充市顺庆区搬罾街道学府大道二段</v>
      </c>
      <c r="J890" s="41" t="str">
        <f>VLOOKUP(B890,辅助信息!E:I,4,FALSE)</f>
        <v>郑林</v>
      </c>
      <c r="K890" s="41">
        <f>VLOOKUP(J890,辅助信息!H:I,2,FALSE)</f>
        <v>18349955455</v>
      </c>
      <c r="L890" s="79"/>
      <c r="M890" s="92">
        <v>45727</v>
      </c>
      <c r="O890" s="63">
        <f ca="1" t="shared" si="28"/>
        <v>0</v>
      </c>
      <c r="P890" s="63">
        <f ca="1" t="shared" si="29"/>
        <v>232</v>
      </c>
      <c r="Q890" s="27" t="str">
        <f>VLOOKUP(B890,辅助信息!E:M,9,FALSE)</f>
        <v>ZTWM-CDGS-XS-2024-0248-五冶钢构-南充市医学院项目</v>
      </c>
      <c r="R890" s="27"/>
    </row>
    <row r="891" hidden="1" spans="2:18">
      <c r="B891" s="41" t="s">
        <v>20</v>
      </c>
      <c r="C891" s="71">
        <v>45726</v>
      </c>
      <c r="D891" s="41" t="str">
        <f>VLOOKUP(B891,辅助信息!E:K,7,FALSE)</f>
        <v>JWDDCD2025051000019</v>
      </c>
      <c r="E891" s="41" t="str">
        <f>VLOOKUP(F891,辅助信息!A:B,2,FALSE)</f>
        <v>螺纹钢</v>
      </c>
      <c r="F891" s="41" t="s">
        <v>46</v>
      </c>
      <c r="G891" s="37">
        <v>8</v>
      </c>
      <c r="H891" s="37" t="str">
        <f>_xlfn._xlws.FILTER('[1]2025年已发货'!$E:$E,'[1]2025年已发货'!$F:$F&amp;'[1]2025年已发货'!$C:$C&amp;'[1]2025年已发货'!$G:$G&amp;'[1]2025年已发货'!$H:$H=C891&amp;F891&amp;I891&amp;J891,"未发货")</f>
        <v>未发货</v>
      </c>
      <c r="I891" s="41" t="str">
        <f>VLOOKUP(B891,辅助信息!E:I,3,FALSE)</f>
        <v>(五冶钢构医学科学产业园建设项目房建三部-一标（7-2）)四川省南充市顺庆区搬罾街道学府大道二段</v>
      </c>
      <c r="J891" s="41" t="str">
        <f>VLOOKUP(B891,辅助信息!E:I,4,FALSE)</f>
        <v>郑林</v>
      </c>
      <c r="K891" s="41">
        <f>VLOOKUP(J891,辅助信息!H:I,2,FALSE)</f>
        <v>18349955455</v>
      </c>
      <c r="L891" s="79"/>
      <c r="M891" s="92">
        <v>45727</v>
      </c>
      <c r="O891" s="63">
        <f ca="1" t="shared" si="28"/>
        <v>0</v>
      </c>
      <c r="P891" s="63">
        <f ca="1" t="shared" si="29"/>
        <v>232</v>
      </c>
      <c r="Q891" s="27" t="str">
        <f>VLOOKUP(B891,辅助信息!E:M,9,FALSE)</f>
        <v>ZTWM-CDGS-XS-2024-0248-五冶钢构-南充市医学院项目</v>
      </c>
      <c r="R891" s="27"/>
    </row>
    <row r="892" hidden="1" spans="2:18">
      <c r="B892" s="41" t="s">
        <v>117</v>
      </c>
      <c r="C892" s="71">
        <v>45726</v>
      </c>
      <c r="D892" s="41" t="str">
        <f>VLOOKUP(B892,辅助信息!E:K,7,FALSE)</f>
        <v>JWDDCD2025051000019</v>
      </c>
      <c r="E892" s="41" t="str">
        <f>VLOOKUP(F892,辅助信息!A:B,2,FALSE)</f>
        <v>盘螺</v>
      </c>
      <c r="F892" s="41" t="s">
        <v>40</v>
      </c>
      <c r="G892" s="37">
        <v>8</v>
      </c>
      <c r="H892" s="37">
        <f>_xlfn._xlws.FILTER('[1]2025年已发货'!$E:$E,'[1]2025年已发货'!$F:$F&amp;'[1]2025年已发货'!$C:$C&amp;'[1]2025年已发货'!$G:$G&amp;'[1]2025年已发货'!$H:$H=C892&amp;F892&amp;I892&amp;J892,"未发货")</f>
        <v>8</v>
      </c>
      <c r="I892" s="41" t="str">
        <f>VLOOKUP(B892,辅助信息!E:I,3,FALSE)</f>
        <v>(五冶钢构医学科学产业园建设项目房建三部-配套用房及围墙)四川省南充市顺庆区搬罾街道学府大道二段</v>
      </c>
      <c r="J892" s="41" t="str">
        <f>VLOOKUP(B892,辅助信息!E:I,4,FALSE)</f>
        <v>郑林</v>
      </c>
      <c r="K892" s="41">
        <f>VLOOKUP(J892,辅助信息!H:I,2,FALSE)</f>
        <v>18349955455</v>
      </c>
      <c r="L892" s="79"/>
      <c r="M892" s="92">
        <v>45727</v>
      </c>
      <c r="O892" s="63">
        <f ca="1" t="shared" si="28"/>
        <v>0</v>
      </c>
      <c r="P892" s="63">
        <f ca="1" t="shared" si="29"/>
        <v>232</v>
      </c>
      <c r="Q892" s="27" t="str">
        <f>VLOOKUP(B892,辅助信息!E:M,9,FALSE)</f>
        <v>ZTWM-CDGS-XS-2024-0248-五冶钢构-南充市医学院项目</v>
      </c>
      <c r="R892" s="27"/>
    </row>
    <row r="893" hidden="1" spans="2:18">
      <c r="B893" s="41" t="s">
        <v>117</v>
      </c>
      <c r="C893" s="71">
        <v>45726</v>
      </c>
      <c r="D893" s="41" t="str">
        <f>VLOOKUP(B893,辅助信息!E:K,7,FALSE)</f>
        <v>JWDDCD2025051000019</v>
      </c>
      <c r="E893" s="41" t="str">
        <f>VLOOKUP(F893,辅助信息!A:B,2,FALSE)</f>
        <v>螺纹钢</v>
      </c>
      <c r="F893" s="41" t="s">
        <v>27</v>
      </c>
      <c r="G893" s="37">
        <v>26</v>
      </c>
      <c r="H893" s="37">
        <f>_xlfn._xlws.FILTER('[1]2025年已发货'!$E:$E,'[1]2025年已发货'!$F:$F&amp;'[1]2025年已发货'!$C:$C&amp;'[1]2025年已发货'!$G:$G&amp;'[1]2025年已发货'!$H:$H=C893&amp;F893&amp;I893&amp;J893,"未发货")</f>
        <v>26</v>
      </c>
      <c r="I893" s="41" t="str">
        <f>VLOOKUP(B893,辅助信息!E:I,3,FALSE)</f>
        <v>(五冶钢构医学科学产业园建设项目房建三部-配套用房及围墙)四川省南充市顺庆区搬罾街道学府大道二段</v>
      </c>
      <c r="J893" s="41" t="str">
        <f>VLOOKUP(B893,辅助信息!E:I,4,FALSE)</f>
        <v>郑林</v>
      </c>
      <c r="K893" s="41">
        <f>VLOOKUP(J893,辅助信息!H:I,2,FALSE)</f>
        <v>18349955455</v>
      </c>
      <c r="L893" s="77"/>
      <c r="M893" s="92">
        <v>45727</v>
      </c>
      <c r="O893" s="63">
        <f ca="1" t="shared" si="28"/>
        <v>0</v>
      </c>
      <c r="P893" s="63">
        <f ca="1" t="shared" si="29"/>
        <v>232</v>
      </c>
      <c r="Q893" s="27" t="str">
        <f>VLOOKUP(B893,辅助信息!E:M,9,FALSE)</f>
        <v>ZTWM-CDGS-XS-2024-0248-五冶钢构-南充市医学院项目</v>
      </c>
      <c r="R893" s="27"/>
    </row>
    <row r="894" hidden="1" spans="2:18">
      <c r="B894" s="41" t="s">
        <v>72</v>
      </c>
      <c r="C894" s="71">
        <v>45726</v>
      </c>
      <c r="D894" s="41" t="str">
        <f>VLOOKUP(B894,辅助信息!E:K,7,FALSE)</f>
        <v>JWDDCD2025051000019</v>
      </c>
      <c r="E894" s="41" t="str">
        <f>VLOOKUP(F894,辅助信息!A:B,2,FALSE)</f>
        <v>盘螺</v>
      </c>
      <c r="F894" s="41" t="s">
        <v>40</v>
      </c>
      <c r="G894" s="37">
        <v>20</v>
      </c>
      <c r="H894" s="37">
        <f>_xlfn._xlws.FILTER('[1]2025年已发货'!$E:$E,'[1]2025年已发货'!$F:$F&amp;'[1]2025年已发货'!$C:$C&amp;'[1]2025年已发货'!$G:$G&amp;'[1]2025年已发货'!$H:$H=C894&amp;F894&amp;I894&amp;J894,"未发货")</f>
        <v>20</v>
      </c>
      <c r="I894" s="41" t="str">
        <f>VLOOKUP(B894,辅助信息!E:I,3,FALSE)</f>
        <v>(五冶钢构医学科学产业园建设项目房建二部-网羽馆（6-5）)四川省南充市顺庆区搬罾街道学府大道二段</v>
      </c>
      <c r="J894" s="41" t="str">
        <f>VLOOKUP(B894,辅助信息!E:I,4,FALSE)</f>
        <v>安南</v>
      </c>
      <c r="K894" s="41">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232</v>
      </c>
      <c r="Q894" s="27" t="str">
        <f>VLOOKUP(B894,辅助信息!E:M,9,FALSE)</f>
        <v>ZTWM-CDGS-XS-2024-0248-五冶钢构-南充市医学院项目</v>
      </c>
      <c r="R894" s="27"/>
    </row>
    <row r="895" hidden="1" spans="2:18">
      <c r="B895" s="41" t="s">
        <v>72</v>
      </c>
      <c r="C895" s="71">
        <v>45726</v>
      </c>
      <c r="D895" s="41" t="str">
        <f>VLOOKUP(B895,辅助信息!E:K,7,FALSE)</f>
        <v>JWDDCD2025051000019</v>
      </c>
      <c r="E895" s="41" t="str">
        <f>VLOOKUP(F895,辅助信息!A:B,2,FALSE)</f>
        <v>螺纹钢</v>
      </c>
      <c r="F895" s="41" t="s">
        <v>27</v>
      </c>
      <c r="G895" s="37">
        <v>3</v>
      </c>
      <c r="H895" s="37">
        <f>_xlfn._xlws.FILTER('[1]2025年已发货'!$E:$E,'[1]2025年已发货'!$F:$F&amp;'[1]2025年已发货'!$C:$C&amp;'[1]2025年已发货'!$G:$G&amp;'[1]2025年已发货'!$H:$H=C895&amp;F895&amp;I895&amp;J895,"未发货")</f>
        <v>3</v>
      </c>
      <c r="I895" s="41" t="str">
        <f>VLOOKUP(B895,辅助信息!E:I,3,FALSE)</f>
        <v>(五冶钢构医学科学产业园建设项目房建二部-网羽馆（6-5）)四川省南充市顺庆区搬罾街道学府大道二段</v>
      </c>
      <c r="J895" s="41" t="str">
        <f>VLOOKUP(B895,辅助信息!E:I,4,FALSE)</f>
        <v>安南</v>
      </c>
      <c r="K895" s="41">
        <f>VLOOKUP(J895,辅助信息!H:I,2,FALSE)</f>
        <v>19950525030</v>
      </c>
      <c r="L895" s="79"/>
      <c r="M895" s="92">
        <v>45727</v>
      </c>
      <c r="O895" s="63">
        <f ca="1" t="shared" si="28"/>
        <v>0</v>
      </c>
      <c r="P895" s="63">
        <f ca="1" t="shared" si="29"/>
        <v>232</v>
      </c>
      <c r="Q895" s="27" t="str">
        <f>VLOOKUP(B895,辅助信息!E:M,9,FALSE)</f>
        <v>ZTWM-CDGS-XS-2024-0248-五冶钢构-南充市医学院项目</v>
      </c>
      <c r="R895" s="27"/>
    </row>
    <row r="896" hidden="1" spans="2:18">
      <c r="B896" s="41" t="s">
        <v>72</v>
      </c>
      <c r="C896" s="71">
        <v>45726</v>
      </c>
      <c r="D896" s="41" t="str">
        <f>VLOOKUP(B896,辅助信息!E:K,7,FALSE)</f>
        <v>JWDDCD2025051000019</v>
      </c>
      <c r="E896" s="41" t="str">
        <f>VLOOKUP(F896,辅助信息!A:B,2,FALSE)</f>
        <v>螺纹钢</v>
      </c>
      <c r="F896" s="41" t="s">
        <v>19</v>
      </c>
      <c r="G896" s="37">
        <v>6</v>
      </c>
      <c r="H896" s="37">
        <f>_xlfn._xlws.FILTER('[1]2025年已发货'!$E:$E,'[1]2025年已发货'!$F:$F&amp;'[1]2025年已发货'!$C:$C&amp;'[1]2025年已发货'!$G:$G&amp;'[1]2025年已发货'!$H:$H=C896&amp;F896&amp;I896&amp;J896,"未发货")</f>
        <v>6</v>
      </c>
      <c r="I896" s="41" t="str">
        <f>VLOOKUP(B896,辅助信息!E:I,3,FALSE)</f>
        <v>(五冶钢构医学科学产业园建设项目房建二部-网羽馆（6-5）)四川省南充市顺庆区搬罾街道学府大道二段</v>
      </c>
      <c r="J896" s="41" t="str">
        <f>VLOOKUP(B896,辅助信息!E:I,4,FALSE)</f>
        <v>安南</v>
      </c>
      <c r="K896" s="41">
        <f>VLOOKUP(J896,辅助信息!H:I,2,FALSE)</f>
        <v>19950525030</v>
      </c>
      <c r="L896" s="79"/>
      <c r="M896" s="92">
        <v>45727</v>
      </c>
      <c r="O896" s="63">
        <f ca="1" t="shared" si="28"/>
        <v>0</v>
      </c>
      <c r="P896" s="63">
        <f ca="1" t="shared" si="29"/>
        <v>232</v>
      </c>
      <c r="Q896" s="27" t="str">
        <f>VLOOKUP(B896,辅助信息!E:M,9,FALSE)</f>
        <v>ZTWM-CDGS-XS-2024-0248-五冶钢构-南充市医学院项目</v>
      </c>
      <c r="R896" s="27"/>
    </row>
    <row r="897" hidden="1" spans="2:18">
      <c r="B897" s="41" t="s">
        <v>72</v>
      </c>
      <c r="C897" s="71">
        <v>45726</v>
      </c>
      <c r="D897" s="41" t="str">
        <f>VLOOKUP(B897,辅助信息!E:K,7,FALSE)</f>
        <v>JWDDCD2025051000019</v>
      </c>
      <c r="E897" s="41" t="str">
        <f>VLOOKUP(F897,辅助信息!A:B,2,FALSE)</f>
        <v>螺纹钢</v>
      </c>
      <c r="F897" s="41" t="s">
        <v>32</v>
      </c>
      <c r="G897" s="37">
        <v>9</v>
      </c>
      <c r="H897" s="37">
        <f>_xlfn._xlws.FILTER('[1]2025年已发货'!$E:$E,'[1]2025年已发货'!$F:$F&amp;'[1]2025年已发货'!$C:$C&amp;'[1]2025年已发货'!$G:$G&amp;'[1]2025年已发货'!$H:$H=C897&amp;F897&amp;I897&amp;J897,"未发货")</f>
        <v>9</v>
      </c>
      <c r="I897" s="41" t="str">
        <f>VLOOKUP(B897,辅助信息!E:I,3,FALSE)</f>
        <v>(五冶钢构医学科学产业园建设项目房建二部-网羽馆（6-5）)四川省南充市顺庆区搬罾街道学府大道二段</v>
      </c>
      <c r="J897" s="41" t="str">
        <f>VLOOKUP(B897,辅助信息!E:I,4,FALSE)</f>
        <v>安南</v>
      </c>
      <c r="K897" s="41">
        <f>VLOOKUP(J897,辅助信息!H:I,2,FALSE)</f>
        <v>19950525030</v>
      </c>
      <c r="L897" s="79"/>
      <c r="M897" s="92">
        <v>45727</v>
      </c>
      <c r="O897" s="63">
        <f ca="1" t="shared" si="28"/>
        <v>0</v>
      </c>
      <c r="P897" s="63">
        <f ca="1" t="shared" si="29"/>
        <v>232</v>
      </c>
      <c r="Q897" s="27" t="str">
        <f>VLOOKUP(B897,辅助信息!E:M,9,FALSE)</f>
        <v>ZTWM-CDGS-XS-2024-0248-五冶钢构-南充市医学院项目</v>
      </c>
      <c r="R897" s="27"/>
    </row>
    <row r="898" hidden="1" spans="2:18">
      <c r="B898" s="41" t="s">
        <v>72</v>
      </c>
      <c r="C898" s="71">
        <v>45726</v>
      </c>
      <c r="D898" s="41" t="str">
        <f>VLOOKUP(B898,辅助信息!E:K,7,FALSE)</f>
        <v>JWDDCD2025051000019</v>
      </c>
      <c r="E898" s="41" t="str">
        <f>VLOOKUP(F898,辅助信息!A:B,2,FALSE)</f>
        <v>螺纹钢</v>
      </c>
      <c r="F898" s="41" t="s">
        <v>33</v>
      </c>
      <c r="G898" s="37">
        <v>9</v>
      </c>
      <c r="H898" s="37">
        <f>_xlfn._xlws.FILTER('[1]2025年已发货'!$E:$E,'[1]2025年已发货'!$F:$F&amp;'[1]2025年已发货'!$C:$C&amp;'[1]2025年已发货'!$G:$G&amp;'[1]2025年已发货'!$H:$H=C898&amp;F898&amp;I898&amp;J898,"未发货")</f>
        <v>9</v>
      </c>
      <c r="I898" s="41" t="str">
        <f>VLOOKUP(B898,辅助信息!E:I,3,FALSE)</f>
        <v>(五冶钢构医学科学产业园建设项目房建二部-网羽馆（6-5）)四川省南充市顺庆区搬罾街道学府大道二段</v>
      </c>
      <c r="J898" s="41" t="str">
        <f>VLOOKUP(B898,辅助信息!E:I,4,FALSE)</f>
        <v>安南</v>
      </c>
      <c r="K898" s="41">
        <f>VLOOKUP(J898,辅助信息!H:I,2,FALSE)</f>
        <v>19950525030</v>
      </c>
      <c r="L898" s="79"/>
      <c r="M898" s="92">
        <v>45727</v>
      </c>
      <c r="O898" s="63">
        <f ca="1" t="shared" si="28"/>
        <v>0</v>
      </c>
      <c r="P898" s="63">
        <f ca="1" t="shared" si="29"/>
        <v>232</v>
      </c>
      <c r="Q898" s="27" t="str">
        <f>VLOOKUP(B898,辅助信息!E:M,9,FALSE)</f>
        <v>ZTWM-CDGS-XS-2024-0248-五冶钢构-南充市医学院项目</v>
      </c>
      <c r="R898" s="27"/>
    </row>
    <row r="899" hidden="1" spans="2:18">
      <c r="B899" s="41" t="s">
        <v>72</v>
      </c>
      <c r="C899" s="71">
        <v>45726</v>
      </c>
      <c r="D899" s="41" t="str">
        <f>VLOOKUP(B899,辅助信息!E:K,7,FALSE)</f>
        <v>JWDDCD2025051000019</v>
      </c>
      <c r="E899" s="41" t="str">
        <f>VLOOKUP(F899,辅助信息!A:B,2,FALSE)</f>
        <v>螺纹钢</v>
      </c>
      <c r="F899" s="41" t="s">
        <v>28</v>
      </c>
      <c r="G899" s="37">
        <v>3</v>
      </c>
      <c r="H899" s="37">
        <f>_xlfn._xlws.FILTER('[1]2025年已发货'!$E:$E,'[1]2025年已发货'!$F:$F&amp;'[1]2025年已发货'!$C:$C&amp;'[1]2025年已发货'!$G:$G&amp;'[1]2025年已发货'!$H:$H=C899&amp;F899&amp;I899&amp;J899,"未发货")</f>
        <v>3</v>
      </c>
      <c r="I899" s="41" t="str">
        <f>VLOOKUP(B899,辅助信息!E:I,3,FALSE)</f>
        <v>(五冶钢构医学科学产业园建设项目房建二部-网羽馆（6-5）)四川省南充市顺庆区搬罾街道学府大道二段</v>
      </c>
      <c r="J899" s="41" t="str">
        <f>VLOOKUP(B899,辅助信息!E:I,4,FALSE)</f>
        <v>安南</v>
      </c>
      <c r="K899" s="41">
        <f>VLOOKUP(J899,辅助信息!H:I,2,FALSE)</f>
        <v>19950525030</v>
      </c>
      <c r="L899" s="79"/>
      <c r="M899" s="92">
        <v>45727</v>
      </c>
      <c r="O899" s="63">
        <f ca="1" t="shared" si="28"/>
        <v>0</v>
      </c>
      <c r="P899" s="63">
        <f ca="1" t="shared" si="29"/>
        <v>232</v>
      </c>
      <c r="Q899" s="27" t="str">
        <f>VLOOKUP(B899,辅助信息!E:M,9,FALSE)</f>
        <v>ZTWM-CDGS-XS-2024-0248-五冶钢构-南充市医学院项目</v>
      </c>
      <c r="R899" s="27"/>
    </row>
    <row r="900" hidden="1" spans="2:18">
      <c r="B900" s="41" t="s">
        <v>72</v>
      </c>
      <c r="C900" s="71">
        <v>45726</v>
      </c>
      <c r="D900" s="41" t="str">
        <f>VLOOKUP(B900,辅助信息!E:K,7,FALSE)</f>
        <v>JWDDCD2025051000019</v>
      </c>
      <c r="E900" s="41" t="str">
        <f>VLOOKUP(F900,辅助信息!A:B,2,FALSE)</f>
        <v>螺纹钢</v>
      </c>
      <c r="F900" s="41" t="s">
        <v>18</v>
      </c>
      <c r="G900" s="37">
        <v>21</v>
      </c>
      <c r="H900" s="37">
        <f>_xlfn._xlws.FILTER('[1]2025年已发货'!$E:$E,'[1]2025年已发货'!$F:$F&amp;'[1]2025年已发货'!$C:$C&amp;'[1]2025年已发货'!$G:$G&amp;'[1]2025年已发货'!$H:$H=C900&amp;F900&amp;I900&amp;J900,"未发货")</f>
        <v>21</v>
      </c>
      <c r="I900" s="41" t="str">
        <f>VLOOKUP(B900,辅助信息!E:I,3,FALSE)</f>
        <v>(五冶钢构医学科学产业园建设项目房建二部-网羽馆（6-5）)四川省南充市顺庆区搬罾街道学府大道二段</v>
      </c>
      <c r="J900" s="41" t="str">
        <f>VLOOKUP(B900,辅助信息!E:I,4,FALSE)</f>
        <v>安南</v>
      </c>
      <c r="K900" s="41">
        <f>VLOOKUP(J900,辅助信息!H:I,2,FALSE)</f>
        <v>19950525030</v>
      </c>
      <c r="L900" s="77"/>
      <c r="M900" s="92">
        <v>45727</v>
      </c>
      <c r="O900" s="63">
        <f ca="1" t="shared" si="28"/>
        <v>0</v>
      </c>
      <c r="P900" s="63">
        <f ca="1" t="shared" si="29"/>
        <v>232</v>
      </c>
      <c r="Q900" s="27" t="str">
        <f>VLOOKUP(B900,辅助信息!E:M,9,FALSE)</f>
        <v>ZTWM-CDGS-XS-2024-0248-五冶钢构-南充市医学院项目</v>
      </c>
      <c r="R900" s="27"/>
    </row>
    <row r="901" hidden="1" spans="2:18">
      <c r="B901" s="41" t="s">
        <v>56</v>
      </c>
      <c r="C901" s="71">
        <v>45726</v>
      </c>
      <c r="D901" s="41" t="str">
        <f>VLOOKUP(B901,辅助信息!E:K,7,FALSE)</f>
        <v>JWDDCD2025052800131</v>
      </c>
      <c r="E901" s="41" t="str">
        <f>VLOOKUP(F901,辅助信息!A:B,2,FALSE)</f>
        <v>盘螺</v>
      </c>
      <c r="F901" s="41" t="s">
        <v>40</v>
      </c>
      <c r="G901" s="37">
        <v>12</v>
      </c>
      <c r="H901" s="37">
        <f>_xlfn._xlws.FILTER('[1]2025年已发货'!$E:$E,'[1]2025年已发货'!$F:$F&amp;'[1]2025年已发货'!$C:$C&amp;'[1]2025年已发货'!$G:$G&amp;'[1]2025年已发货'!$H:$H=C901&amp;F901&amp;I901&amp;J901,"未发货")</f>
        <v>7</v>
      </c>
      <c r="I901" s="41" t="str">
        <f>VLOOKUP(B901,辅助信息!E:I,3,FALSE)</f>
        <v>（商投建工达州中医药科技园-4工区-7号楼）达州市通川区达州中医药职业学院犀牛大道北段</v>
      </c>
      <c r="J901" s="41" t="str">
        <f>VLOOKUP(B901,辅助信息!E:I,4,FALSE)</f>
        <v>张扬</v>
      </c>
      <c r="K901" s="41">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231</v>
      </c>
      <c r="Q901" s="27" t="str">
        <f>VLOOKUP(B901,辅助信息!E:M,9,FALSE)</f>
        <v>ZTWM-CDGS-XS-2024-0134-商投建工达州中医药科技成果示范园项目</v>
      </c>
      <c r="R901" s="27"/>
    </row>
    <row r="902" hidden="1" spans="2:18">
      <c r="B902" s="41" t="s">
        <v>56</v>
      </c>
      <c r="C902" s="71">
        <v>45726</v>
      </c>
      <c r="D902" s="41" t="str">
        <f>VLOOKUP(B902,辅助信息!E:K,7,FALSE)</f>
        <v>JWDDCD2025052800131</v>
      </c>
      <c r="E902" s="41" t="str">
        <f>VLOOKUP(F902,辅助信息!A:B,2,FALSE)</f>
        <v>盘螺</v>
      </c>
      <c r="F902" s="41" t="s">
        <v>41</v>
      </c>
      <c r="G902" s="37">
        <v>15</v>
      </c>
      <c r="H902" s="37">
        <f>_xlfn._xlws.FILTER('[1]2025年已发货'!$E:$E,'[1]2025年已发货'!$F:$F&amp;'[1]2025年已发货'!$C:$C&amp;'[1]2025年已发货'!$G:$G&amp;'[1]2025年已发货'!$H:$H=C902&amp;F902&amp;I902&amp;J902,"未发货")</f>
        <v>10</v>
      </c>
      <c r="I902" s="41" t="str">
        <f>VLOOKUP(B902,辅助信息!E:I,3,FALSE)</f>
        <v>（商投建工达州中医药科技园-4工区-7号楼）达州市通川区达州中医药职业学院犀牛大道北段</v>
      </c>
      <c r="J902" s="41" t="str">
        <f>VLOOKUP(B902,辅助信息!E:I,4,FALSE)</f>
        <v>张扬</v>
      </c>
      <c r="K902" s="41">
        <f>VLOOKUP(J902,辅助信息!H:I,2,FALSE)</f>
        <v>18381904567</v>
      </c>
      <c r="L902" s="79"/>
      <c r="M902" s="92">
        <v>45728</v>
      </c>
      <c r="O902" s="63">
        <f ca="1" t="shared" si="28"/>
        <v>0</v>
      </c>
      <c r="P902" s="63">
        <f ca="1" t="shared" si="29"/>
        <v>231</v>
      </c>
      <c r="Q902" s="27" t="str">
        <f>VLOOKUP(B902,辅助信息!E:M,9,FALSE)</f>
        <v>ZTWM-CDGS-XS-2024-0134-商投建工达州中医药科技成果示范园项目</v>
      </c>
      <c r="R902" s="27"/>
    </row>
    <row r="903" hidden="1" spans="2:18">
      <c r="B903" s="41" t="s">
        <v>56</v>
      </c>
      <c r="C903" s="71">
        <v>45726</v>
      </c>
      <c r="D903" s="41" t="str">
        <f>VLOOKUP(B903,辅助信息!E:K,7,FALSE)</f>
        <v>JWDDCD2025052800131</v>
      </c>
      <c r="E903" s="41" t="str">
        <f>VLOOKUP(F903,辅助信息!A:B,2,FALSE)</f>
        <v>螺纹钢</v>
      </c>
      <c r="F903" s="41" t="s">
        <v>30</v>
      </c>
      <c r="G903" s="37">
        <v>9</v>
      </c>
      <c r="H903" s="37">
        <f>_xlfn._xlws.FILTER('[1]2025年已发货'!$E:$E,'[1]2025年已发货'!$F:$F&amp;'[1]2025年已发货'!$C:$C&amp;'[1]2025年已发货'!$G:$G&amp;'[1]2025年已发货'!$H:$H=C903&amp;F903&amp;I903&amp;J903,"未发货")</f>
        <v>9</v>
      </c>
      <c r="I903" s="41" t="str">
        <f>VLOOKUP(B903,辅助信息!E:I,3,FALSE)</f>
        <v>（商投建工达州中医药科技园-4工区-7号楼）达州市通川区达州中医药职业学院犀牛大道北段</v>
      </c>
      <c r="J903" s="41" t="str">
        <f>VLOOKUP(B903,辅助信息!E:I,4,FALSE)</f>
        <v>张扬</v>
      </c>
      <c r="K903" s="41">
        <f>VLOOKUP(J903,辅助信息!H:I,2,FALSE)</f>
        <v>18381904567</v>
      </c>
      <c r="L903" s="79"/>
      <c r="M903" s="92">
        <v>45728</v>
      </c>
      <c r="O903" s="63">
        <f ca="1" t="shared" si="28"/>
        <v>0</v>
      </c>
      <c r="P903" s="63">
        <f ca="1" t="shared" si="29"/>
        <v>231</v>
      </c>
      <c r="Q903" s="27" t="str">
        <f>VLOOKUP(B903,辅助信息!E:M,9,FALSE)</f>
        <v>ZTWM-CDGS-XS-2024-0134-商投建工达州中医药科技成果示范园项目</v>
      </c>
      <c r="R903" s="27"/>
    </row>
    <row r="904" hidden="1" spans="2:18">
      <c r="B904" s="41" t="s">
        <v>56</v>
      </c>
      <c r="C904" s="71">
        <v>45726</v>
      </c>
      <c r="D904" s="41" t="str">
        <f>VLOOKUP(B904,辅助信息!E:K,7,FALSE)</f>
        <v>JWDDCD2025052800131</v>
      </c>
      <c r="E904" s="41" t="str">
        <f>VLOOKUP(F904,辅助信息!A:B,2,FALSE)</f>
        <v>螺纹钢</v>
      </c>
      <c r="F904" s="41" t="s">
        <v>33</v>
      </c>
      <c r="G904" s="37">
        <v>9</v>
      </c>
      <c r="H904" s="37">
        <f>_xlfn._xlws.FILTER('[1]2025年已发货'!$E:$E,'[1]2025年已发货'!$F:$F&amp;'[1]2025年已发货'!$C:$C&amp;'[1]2025年已发货'!$G:$G&amp;'[1]2025年已发货'!$H:$H=C904&amp;F904&amp;I904&amp;J904,"未发货")</f>
        <v>9</v>
      </c>
      <c r="I904" s="41" t="str">
        <f>VLOOKUP(B904,辅助信息!E:I,3,FALSE)</f>
        <v>（商投建工达州中医药科技园-4工区-7号楼）达州市通川区达州中医药职业学院犀牛大道北段</v>
      </c>
      <c r="J904" s="41" t="str">
        <f>VLOOKUP(B904,辅助信息!E:I,4,FALSE)</f>
        <v>张扬</v>
      </c>
      <c r="K904" s="41">
        <f>VLOOKUP(J904,辅助信息!H:I,2,FALSE)</f>
        <v>18381904567</v>
      </c>
      <c r="L904" s="77"/>
      <c r="M904" s="92">
        <v>45728</v>
      </c>
      <c r="O904" s="63">
        <f ca="1" t="shared" si="28"/>
        <v>0</v>
      </c>
      <c r="P904" s="63">
        <f ca="1" t="shared" si="29"/>
        <v>231</v>
      </c>
      <c r="Q904" s="27" t="str">
        <f>VLOOKUP(B904,辅助信息!E:M,9,FALSE)</f>
        <v>ZTWM-CDGS-XS-2024-0134-商投建工达州中医药科技成果示范园项目</v>
      </c>
      <c r="R904" s="27"/>
    </row>
    <row r="905" hidden="1" spans="2:18">
      <c r="B905" s="41" t="s">
        <v>75</v>
      </c>
      <c r="C905" s="71">
        <v>45726</v>
      </c>
      <c r="D905" s="41" t="e">
        <f>VLOOKUP(B905,辅助信息!E:K,7,FALSE)</f>
        <v>#N/A</v>
      </c>
      <c r="E905" s="41" t="str">
        <f>VLOOKUP(F905,辅助信息!A:B,2,FALSE)</f>
        <v>螺纹钢</v>
      </c>
      <c r="F905" s="41" t="s">
        <v>27</v>
      </c>
      <c r="G905" s="37">
        <v>6</v>
      </c>
      <c r="H905" s="37" t="e">
        <f>_xlfn._xlws.FILTER('[1]2025年已发货'!$E:$E,'[1]2025年已发货'!$F:$F&amp;'[1]2025年已发货'!$C:$C&amp;'[1]2025年已发货'!$G:$G&amp;'[1]2025年已发货'!$H:$H=C905&amp;F905&amp;I905&amp;J905,"未发货")</f>
        <v>#N/A</v>
      </c>
      <c r="I905" s="41" t="e">
        <f>VLOOKUP(B905,辅助信息!E:I,3,FALSE)</f>
        <v>#N/A</v>
      </c>
      <c r="J905" s="41" t="e">
        <f>VLOOKUP(B905,辅助信息!E:I,4,FALSE)</f>
        <v>#N/A</v>
      </c>
      <c r="K905" s="41" t="e">
        <f>VLOOKUP(J905,辅助信息!H:I,2,FALSE)</f>
        <v>#N/A</v>
      </c>
      <c r="L905" s="78" t="e">
        <f>VLOOKUP(B905,辅助信息!E:J,6,FALSE)</f>
        <v>#N/A</v>
      </c>
      <c r="M905" s="92">
        <v>45731</v>
      </c>
      <c r="O905" s="63">
        <f ca="1" t="shared" si="28"/>
        <v>0</v>
      </c>
      <c r="P905" s="63">
        <f ca="1" t="shared" si="29"/>
        <v>228</v>
      </c>
      <c r="Q905" s="27" t="e">
        <f>VLOOKUP(B905,辅助信息!E:M,9,FALSE)</f>
        <v>#N/A</v>
      </c>
      <c r="R905" s="27"/>
    </row>
    <row r="906" hidden="1" spans="2:18">
      <c r="B906" s="41" t="s">
        <v>75</v>
      </c>
      <c r="C906" s="71">
        <v>45728</v>
      </c>
      <c r="D906" s="41" t="e">
        <f>VLOOKUP(B906,辅助信息!E:K,7,FALSE)</f>
        <v>#N/A</v>
      </c>
      <c r="E906" s="41" t="str">
        <f>VLOOKUP(F906,辅助信息!A:B,2,FALSE)</f>
        <v>螺纹钢</v>
      </c>
      <c r="F906" s="41" t="s">
        <v>19</v>
      </c>
      <c r="G906" s="37">
        <v>15</v>
      </c>
      <c r="H906" s="88" t="e">
        <f>_xlfn._xlws.FILTER('[1]2025年已发货'!$E:$E,'[1]2025年已发货'!$F:$F&amp;'[1]2025年已发货'!$C:$C&amp;'[1]2025年已发货'!$G:$G&amp;'[1]2025年已发货'!$H:$H=C906&amp;F906&amp;I906&amp;J906,"未发货")</f>
        <v>#N/A</v>
      </c>
      <c r="I906" s="41" t="e">
        <f>VLOOKUP(B906,辅助信息!E:I,3,FALSE)</f>
        <v>#N/A</v>
      </c>
      <c r="J906" s="41" t="e">
        <f>VLOOKUP(B906,辅助信息!E:I,4,FALSE)</f>
        <v>#N/A</v>
      </c>
      <c r="K906" s="41" t="e">
        <f>VLOOKUP(J906,辅助信息!H:I,2,FALSE)</f>
        <v>#N/A</v>
      </c>
      <c r="L906" s="79"/>
      <c r="M906" s="92">
        <v>45731</v>
      </c>
      <c r="O906" s="63">
        <f ca="1" t="shared" si="28"/>
        <v>0</v>
      </c>
      <c r="P906" s="63">
        <f ca="1" t="shared" si="29"/>
        <v>228</v>
      </c>
      <c r="Q906" s="27" t="e">
        <f>VLOOKUP(B906,辅助信息!E:M,9,FALSE)</f>
        <v>#N/A</v>
      </c>
      <c r="R906" s="27"/>
    </row>
    <row r="907" hidden="1" spans="2:18">
      <c r="B907" s="41" t="s">
        <v>75</v>
      </c>
      <c r="C907" s="71">
        <v>45728</v>
      </c>
      <c r="D907" s="41" t="e">
        <f>VLOOKUP(B907,辅助信息!E:K,7,FALSE)</f>
        <v>#N/A</v>
      </c>
      <c r="E907" s="41" t="str">
        <f>VLOOKUP(F907,辅助信息!A:B,2,FALSE)</f>
        <v>螺纹钢</v>
      </c>
      <c r="F907" s="41" t="s">
        <v>65</v>
      </c>
      <c r="G907" s="37">
        <v>60</v>
      </c>
      <c r="H907" s="88" t="e">
        <f>_xlfn._xlws.FILTER('[1]2025年已发货'!$E:$E,'[1]2025年已发货'!$F:$F&amp;'[1]2025年已发货'!$C:$C&amp;'[1]2025年已发货'!$G:$G&amp;'[1]2025年已发货'!$H:$H=C907&amp;F907&amp;I907&amp;J907,"未发货")</f>
        <v>#N/A</v>
      </c>
      <c r="I907" s="41" t="e">
        <f>VLOOKUP(B907,辅助信息!E:I,3,FALSE)</f>
        <v>#N/A</v>
      </c>
      <c r="J907" s="41" t="e">
        <f>VLOOKUP(B907,辅助信息!E:I,4,FALSE)</f>
        <v>#N/A</v>
      </c>
      <c r="K907" s="41" t="e">
        <f>VLOOKUP(J907,辅助信息!H:I,2,FALSE)</f>
        <v>#N/A</v>
      </c>
      <c r="L907" s="77"/>
      <c r="M907" s="92">
        <v>45731</v>
      </c>
      <c r="O907" s="63">
        <f ca="1" t="shared" si="28"/>
        <v>0</v>
      </c>
      <c r="P907" s="63">
        <f ca="1" t="shared" si="29"/>
        <v>228</v>
      </c>
      <c r="Q907" s="27" t="e">
        <f>VLOOKUP(B907,辅助信息!E:M,9,FALSE)</f>
        <v>#N/A</v>
      </c>
      <c r="R907" s="27"/>
    </row>
    <row r="908" hidden="1" spans="2:18">
      <c r="B908" s="41" t="s">
        <v>87</v>
      </c>
      <c r="C908" s="71">
        <v>45727</v>
      </c>
      <c r="D908" s="41" t="e">
        <f>VLOOKUP(B908,辅助信息!E:K,7,FALSE)</f>
        <v>#N/A</v>
      </c>
      <c r="E908" s="41" t="str">
        <f>VLOOKUP(F908,辅助信息!A:B,2,FALSE)</f>
        <v>螺纹钢</v>
      </c>
      <c r="F908" s="41" t="s">
        <v>27</v>
      </c>
      <c r="G908" s="37">
        <v>8</v>
      </c>
      <c r="H908" s="88" t="e">
        <f>_xlfn._xlws.FILTER('[1]2025年已发货'!$E:$E,'[1]2025年已发货'!$F:$F&amp;'[1]2025年已发货'!$C:$C&amp;'[1]2025年已发货'!$G:$G&amp;'[1]2025年已发货'!$H:$H=C908&amp;F908&amp;I908&amp;J908,"未发货")</f>
        <v>#N/A</v>
      </c>
      <c r="I908" s="41" t="e">
        <f>VLOOKUP(B908,辅助信息!E:I,3,FALSE)</f>
        <v>#N/A</v>
      </c>
      <c r="J908" s="41" t="e">
        <f>VLOOKUP(B908,辅助信息!E:I,4,FALSE)</f>
        <v>#N/A</v>
      </c>
      <c r="K908" s="41" t="e">
        <f>VLOOKUP(J908,辅助信息!H:I,2,FALSE)</f>
        <v>#N/A</v>
      </c>
      <c r="L908" s="78" t="e">
        <f>VLOOKUP(B908,辅助信息!E:J,6,FALSE)</f>
        <v>#N/A</v>
      </c>
      <c r="M908" s="92">
        <v>45728</v>
      </c>
      <c r="O908" s="63">
        <f ca="1" t="shared" si="28"/>
        <v>0</v>
      </c>
      <c r="P908" s="63">
        <f ca="1" t="shared" si="29"/>
        <v>231</v>
      </c>
      <c r="Q908" s="27" t="e">
        <f>VLOOKUP(B908,辅助信息!E:M,9,FALSE)</f>
        <v>#N/A</v>
      </c>
      <c r="R908" s="27"/>
    </row>
    <row r="909" hidden="1" spans="2:18">
      <c r="B909" s="41" t="s">
        <v>87</v>
      </c>
      <c r="C909" s="71">
        <v>45727</v>
      </c>
      <c r="D909" s="41" t="e">
        <f>VLOOKUP(B909,辅助信息!E:K,7,FALSE)</f>
        <v>#N/A</v>
      </c>
      <c r="E909" s="41" t="str">
        <f>VLOOKUP(F909,辅助信息!A:B,2,FALSE)</f>
        <v>螺纹钢</v>
      </c>
      <c r="F909" s="41" t="s">
        <v>19</v>
      </c>
      <c r="G909" s="37">
        <v>8</v>
      </c>
      <c r="H909" s="88" t="e">
        <f>_xlfn._xlws.FILTER('[1]2025年已发货'!$E:$E,'[1]2025年已发货'!$F:$F&amp;'[1]2025年已发货'!$C:$C&amp;'[1]2025年已发货'!$G:$G&amp;'[1]2025年已发货'!$H:$H=C909&amp;F909&amp;I909&amp;J909,"未发货")</f>
        <v>#N/A</v>
      </c>
      <c r="I909" s="41" t="e">
        <f>VLOOKUP(B909,辅助信息!E:I,3,FALSE)</f>
        <v>#N/A</v>
      </c>
      <c r="J909" s="41" t="e">
        <f>VLOOKUP(B909,辅助信息!E:I,4,FALSE)</f>
        <v>#N/A</v>
      </c>
      <c r="K909" s="41" t="e">
        <f>VLOOKUP(J909,辅助信息!H:I,2,FALSE)</f>
        <v>#N/A</v>
      </c>
      <c r="L909" s="79"/>
      <c r="M909" s="92">
        <v>45728</v>
      </c>
      <c r="O909" s="63">
        <f ca="1" t="shared" si="28"/>
        <v>0</v>
      </c>
      <c r="P909" s="63">
        <f ca="1" t="shared" si="29"/>
        <v>231</v>
      </c>
      <c r="Q909" s="27" t="e">
        <f>VLOOKUP(B909,辅助信息!E:M,9,FALSE)</f>
        <v>#N/A</v>
      </c>
      <c r="R909" s="27"/>
    </row>
    <row r="910" hidden="1" spans="2:18">
      <c r="B910" s="41" t="s">
        <v>87</v>
      </c>
      <c r="C910" s="71">
        <v>45727</v>
      </c>
      <c r="D910" s="41" t="e">
        <f>VLOOKUP(B910,辅助信息!E:K,7,FALSE)</f>
        <v>#N/A</v>
      </c>
      <c r="E910" s="41" t="str">
        <f>VLOOKUP(F910,辅助信息!A:B,2,FALSE)</f>
        <v>螺纹钢</v>
      </c>
      <c r="F910" s="41" t="s">
        <v>65</v>
      </c>
      <c r="G910" s="37">
        <v>19</v>
      </c>
      <c r="H910" s="88" t="e">
        <f>_xlfn._xlws.FILTER('[1]2025年已发货'!$E:$E,'[1]2025年已发货'!$F:$F&amp;'[1]2025年已发货'!$C:$C&amp;'[1]2025年已发货'!$G:$G&amp;'[1]2025年已发货'!$H:$H=C910&amp;F910&amp;I910&amp;J910,"未发货")</f>
        <v>#N/A</v>
      </c>
      <c r="I910" s="41" t="e">
        <f>VLOOKUP(B910,辅助信息!E:I,3,FALSE)</f>
        <v>#N/A</v>
      </c>
      <c r="J910" s="41" t="e">
        <f>VLOOKUP(B910,辅助信息!E:I,4,FALSE)</f>
        <v>#N/A</v>
      </c>
      <c r="K910" s="41" t="e">
        <f>VLOOKUP(J910,辅助信息!H:I,2,FALSE)</f>
        <v>#N/A</v>
      </c>
      <c r="L910" s="77"/>
      <c r="M910" s="92">
        <v>45728</v>
      </c>
      <c r="O910" s="63">
        <f ca="1" t="shared" si="28"/>
        <v>0</v>
      </c>
      <c r="P910" s="63">
        <f ca="1" t="shared" si="29"/>
        <v>231</v>
      </c>
      <c r="Q910" s="27" t="e">
        <f>VLOOKUP(B910,辅助信息!E:M,9,FALSE)</f>
        <v>#N/A</v>
      </c>
      <c r="R910" s="27"/>
    </row>
    <row r="911" hidden="1" spans="2:18">
      <c r="B911" s="41" t="s">
        <v>74</v>
      </c>
      <c r="C911" s="71">
        <v>45727</v>
      </c>
      <c r="D911" s="41" t="e">
        <f>VLOOKUP(B911,辅助信息!E:K,7,FALSE)</f>
        <v>#N/A</v>
      </c>
      <c r="E911" s="41" t="str">
        <f>VLOOKUP(F911,辅助信息!A:B,2,FALSE)</f>
        <v>螺纹钢</v>
      </c>
      <c r="F911" s="41" t="s">
        <v>27</v>
      </c>
      <c r="G911" s="37">
        <v>3</v>
      </c>
      <c r="H911" s="37" t="e">
        <f>_xlfn._xlws.FILTER('[1]2025年已发货'!$E:$E,'[1]2025年已发货'!$F:$F&amp;'[1]2025年已发货'!$C:$C&amp;'[1]2025年已发货'!$G:$G&amp;'[1]2025年已发货'!$H:$H=C911&amp;F911&amp;I911&amp;J911,"未发货")</f>
        <v>#N/A</v>
      </c>
      <c r="I911" s="41" t="e">
        <f>VLOOKUP(B911,辅助信息!E:I,3,FALSE)</f>
        <v>#N/A</v>
      </c>
      <c r="J911" s="41" t="e">
        <f>VLOOKUP(B911,辅助信息!E:I,4,FALSE)</f>
        <v>#N/A</v>
      </c>
      <c r="K911" s="41" t="e">
        <f>VLOOKUP(J911,辅助信息!H:I,2,FALSE)</f>
        <v>#N/A</v>
      </c>
      <c r="L911" s="78" t="e">
        <f>VLOOKUP(B912,辅助信息!E:J,6,FALSE)</f>
        <v>#N/A</v>
      </c>
      <c r="M911" s="92">
        <v>45728</v>
      </c>
      <c r="O911" s="63">
        <f ca="1" t="shared" si="28"/>
        <v>0</v>
      </c>
      <c r="P911" s="63">
        <f ca="1" t="shared" si="29"/>
        <v>231</v>
      </c>
      <c r="Q911" s="27" t="e">
        <f>VLOOKUP(B911,辅助信息!E:M,9,FALSE)</f>
        <v>#N/A</v>
      </c>
      <c r="R911" s="27"/>
    </row>
    <row r="912" hidden="1" spans="2:18">
      <c r="B912" s="41" t="s">
        <v>74</v>
      </c>
      <c r="C912" s="71">
        <v>45727</v>
      </c>
      <c r="D912" s="41" t="e">
        <f>VLOOKUP(B912,辅助信息!E:K,7,FALSE)</f>
        <v>#N/A</v>
      </c>
      <c r="E912" s="41" t="str">
        <f>VLOOKUP(F912,辅助信息!A:B,2,FALSE)</f>
        <v>螺纹钢</v>
      </c>
      <c r="F912" s="41" t="s">
        <v>19</v>
      </c>
      <c r="G912" s="37">
        <v>3</v>
      </c>
      <c r="H912" s="37" t="e">
        <f>_xlfn._xlws.FILTER('[1]2025年已发货'!$E:$E,'[1]2025年已发货'!$F:$F&amp;'[1]2025年已发货'!$C:$C&amp;'[1]2025年已发货'!$G:$G&amp;'[1]2025年已发货'!$H:$H=C912&amp;F912&amp;I912&amp;J912,"未发货")</f>
        <v>#N/A</v>
      </c>
      <c r="I912" s="41" t="e">
        <f>VLOOKUP(B912,辅助信息!E:I,3,FALSE)</f>
        <v>#N/A</v>
      </c>
      <c r="J912" s="41" t="e">
        <f>VLOOKUP(B912,辅助信息!E:I,4,FALSE)</f>
        <v>#N/A</v>
      </c>
      <c r="K912" s="41" t="e">
        <f>VLOOKUP(J912,辅助信息!H:I,2,FALSE)</f>
        <v>#N/A</v>
      </c>
      <c r="L912" s="79"/>
      <c r="M912" s="92">
        <v>45728</v>
      </c>
      <c r="O912" s="63">
        <f ca="1" t="shared" si="28"/>
        <v>0</v>
      </c>
      <c r="P912" s="63">
        <f ca="1" t="shared" si="29"/>
        <v>231</v>
      </c>
      <c r="Q912" s="27" t="e">
        <f>VLOOKUP(B912,辅助信息!E:M,9,FALSE)</f>
        <v>#N/A</v>
      </c>
      <c r="R912" s="27"/>
    </row>
    <row r="913" hidden="1" spans="2:18">
      <c r="B913" s="41" t="s">
        <v>74</v>
      </c>
      <c r="C913" s="71">
        <v>45727</v>
      </c>
      <c r="D913" s="41" t="e">
        <f>VLOOKUP(B913,辅助信息!E:K,7,FALSE)</f>
        <v>#N/A</v>
      </c>
      <c r="E913" s="41" t="str">
        <f>VLOOKUP(F913,辅助信息!A:B,2,FALSE)</f>
        <v>螺纹钢</v>
      </c>
      <c r="F913" s="41" t="s">
        <v>32</v>
      </c>
      <c r="G913" s="37">
        <v>6</v>
      </c>
      <c r="H913" s="37" t="e">
        <f>_xlfn._xlws.FILTER('[1]2025年已发货'!$E:$E,'[1]2025年已发货'!$F:$F&amp;'[1]2025年已发货'!$C:$C&amp;'[1]2025年已发货'!$G:$G&amp;'[1]2025年已发货'!$H:$H=C913&amp;F913&amp;I913&amp;J913,"未发货")</f>
        <v>#N/A</v>
      </c>
      <c r="I913" s="41" t="e">
        <f>VLOOKUP(B913,辅助信息!E:I,3,FALSE)</f>
        <v>#N/A</v>
      </c>
      <c r="J913" s="41" t="e">
        <f>VLOOKUP(B913,辅助信息!E:I,4,FALSE)</f>
        <v>#N/A</v>
      </c>
      <c r="K913" s="41" t="e">
        <f>VLOOKUP(J913,辅助信息!H:I,2,FALSE)</f>
        <v>#N/A</v>
      </c>
      <c r="L913" s="79"/>
      <c r="M913" s="92">
        <v>45728</v>
      </c>
      <c r="O913" s="63">
        <f ca="1" t="shared" si="28"/>
        <v>0</v>
      </c>
      <c r="P913" s="63">
        <f ca="1" t="shared" si="29"/>
        <v>231</v>
      </c>
      <c r="Q913" s="27" t="e">
        <f>VLOOKUP(B913,辅助信息!E:M,9,FALSE)</f>
        <v>#N/A</v>
      </c>
      <c r="R913" s="27"/>
    </row>
    <row r="914" hidden="1" spans="2:18">
      <c r="B914" s="41" t="s">
        <v>74</v>
      </c>
      <c r="C914" s="71">
        <v>45727</v>
      </c>
      <c r="D914" s="41" t="e">
        <f>VLOOKUP(B914,辅助信息!E:K,7,FALSE)</f>
        <v>#N/A</v>
      </c>
      <c r="E914" s="41" t="str">
        <f>VLOOKUP(F914,辅助信息!A:B,2,FALSE)</f>
        <v>螺纹钢</v>
      </c>
      <c r="F914" s="41" t="s">
        <v>33</v>
      </c>
      <c r="G914" s="37">
        <v>9</v>
      </c>
      <c r="H914" s="37" t="e">
        <f>_xlfn._xlws.FILTER('[1]2025年已发货'!$E:$E,'[1]2025年已发货'!$F:$F&amp;'[1]2025年已发货'!$C:$C&amp;'[1]2025年已发货'!$G:$G&amp;'[1]2025年已发货'!$H:$H=C914&amp;F914&amp;I914&amp;J914,"未发货")</f>
        <v>#N/A</v>
      </c>
      <c r="I914" s="41" t="e">
        <f>VLOOKUP(B914,辅助信息!E:I,3,FALSE)</f>
        <v>#N/A</v>
      </c>
      <c r="J914" s="41" t="e">
        <f>VLOOKUP(B914,辅助信息!E:I,4,FALSE)</f>
        <v>#N/A</v>
      </c>
      <c r="K914" s="41" t="e">
        <f>VLOOKUP(J914,辅助信息!H:I,2,FALSE)</f>
        <v>#N/A</v>
      </c>
      <c r="L914" s="79"/>
      <c r="M914" s="92">
        <v>45728</v>
      </c>
      <c r="O914" s="63">
        <f ca="1" t="shared" si="28"/>
        <v>0</v>
      </c>
      <c r="P914" s="63">
        <f ca="1" t="shared" si="29"/>
        <v>231</v>
      </c>
      <c r="Q914" s="27" t="e">
        <f>VLOOKUP(B914,辅助信息!E:M,9,FALSE)</f>
        <v>#N/A</v>
      </c>
      <c r="R914" s="27"/>
    </row>
    <row r="915" hidden="1" spans="2:18">
      <c r="B915" s="41" t="s">
        <v>74</v>
      </c>
      <c r="C915" s="71">
        <v>45727</v>
      </c>
      <c r="D915" s="41" t="e">
        <f>VLOOKUP(B915,辅助信息!E:K,7,FALSE)</f>
        <v>#N/A</v>
      </c>
      <c r="E915" s="41" t="str">
        <f>VLOOKUP(F915,辅助信息!A:B,2,FALSE)</f>
        <v>螺纹钢</v>
      </c>
      <c r="F915" s="41" t="s">
        <v>18</v>
      </c>
      <c r="G915" s="37">
        <v>3</v>
      </c>
      <c r="H915" s="37" t="e">
        <f>_xlfn._xlws.FILTER('[1]2025年已发货'!$E:$E,'[1]2025年已发货'!$F:$F&amp;'[1]2025年已发货'!$C:$C&amp;'[1]2025年已发货'!$G:$G&amp;'[1]2025年已发货'!$H:$H=C915&amp;F915&amp;I915&amp;J915,"未发货")</f>
        <v>#N/A</v>
      </c>
      <c r="I915" s="41" t="e">
        <f>VLOOKUP(B915,辅助信息!E:I,3,FALSE)</f>
        <v>#N/A</v>
      </c>
      <c r="J915" s="41" t="e">
        <f>VLOOKUP(B915,辅助信息!E:I,4,FALSE)</f>
        <v>#N/A</v>
      </c>
      <c r="K915" s="41" t="e">
        <f>VLOOKUP(J915,辅助信息!H:I,2,FALSE)</f>
        <v>#N/A</v>
      </c>
      <c r="L915" s="79"/>
      <c r="M915" s="92">
        <v>45728</v>
      </c>
      <c r="O915" s="63">
        <f ca="1" t="shared" si="28"/>
        <v>0</v>
      </c>
      <c r="P915" s="63">
        <f ca="1" t="shared" si="29"/>
        <v>231</v>
      </c>
      <c r="Q915" s="27" t="e">
        <f>VLOOKUP(B915,辅助信息!E:M,9,FALSE)</f>
        <v>#N/A</v>
      </c>
      <c r="R915" s="27"/>
    </row>
    <row r="916" hidden="1" spans="2:18">
      <c r="B916" s="41" t="s">
        <v>74</v>
      </c>
      <c r="C916" s="71">
        <v>45727</v>
      </c>
      <c r="D916" s="41" t="e">
        <f>VLOOKUP(B916,辅助信息!E:K,7,FALSE)</f>
        <v>#N/A</v>
      </c>
      <c r="E916" s="41" t="str">
        <f>VLOOKUP(F916,辅助信息!A:B,2,FALSE)</f>
        <v>螺纹钢</v>
      </c>
      <c r="F916" s="41" t="s">
        <v>65</v>
      </c>
      <c r="G916" s="37">
        <v>21</v>
      </c>
      <c r="H916" s="37" t="e">
        <f>_xlfn._xlws.FILTER('[1]2025年已发货'!$E:$E,'[1]2025年已发货'!$F:$F&amp;'[1]2025年已发货'!$C:$C&amp;'[1]2025年已发货'!$G:$G&amp;'[1]2025年已发货'!$H:$H=C916&amp;F916&amp;I916&amp;J916,"未发货")</f>
        <v>#N/A</v>
      </c>
      <c r="I916" s="41" t="e">
        <f>VLOOKUP(B916,辅助信息!E:I,3,FALSE)</f>
        <v>#N/A</v>
      </c>
      <c r="J916" s="41" t="e">
        <f>VLOOKUP(B916,辅助信息!E:I,4,FALSE)</f>
        <v>#N/A</v>
      </c>
      <c r="K916" s="41" t="e">
        <f>VLOOKUP(J916,辅助信息!H:I,2,FALSE)</f>
        <v>#N/A</v>
      </c>
      <c r="L916" s="77"/>
      <c r="M916" s="92">
        <v>45728</v>
      </c>
      <c r="O916" s="63">
        <f ca="1" t="shared" si="28"/>
        <v>0</v>
      </c>
      <c r="P916" s="63">
        <f ca="1" t="shared" si="29"/>
        <v>231</v>
      </c>
      <c r="Q916" s="27" t="e">
        <f>VLOOKUP(B916,辅助信息!E:M,9,FALSE)</f>
        <v>#N/A</v>
      </c>
      <c r="R916" s="27"/>
    </row>
    <row r="917" ht="45" hidden="1" customHeight="1" spans="2:18">
      <c r="B917" s="41" t="s">
        <v>63</v>
      </c>
      <c r="C917" s="71">
        <v>45727</v>
      </c>
      <c r="D917" s="41" t="e">
        <f>VLOOKUP(B917,辅助信息!E:K,7,FALSE)</f>
        <v>#N/A</v>
      </c>
      <c r="E917" s="41" t="str">
        <f>VLOOKUP(F917,辅助信息!A:B,2,FALSE)</f>
        <v>螺纹钢</v>
      </c>
      <c r="F917" s="41" t="s">
        <v>18</v>
      </c>
      <c r="G917" s="37">
        <v>36</v>
      </c>
      <c r="H917" s="88" t="e">
        <f>_xlfn._xlws.FILTER('[1]2025年已发货'!$E:$E,'[1]2025年已发货'!$F:$F&amp;'[1]2025年已发货'!$C:$C&amp;'[1]2025年已发货'!$G:$G&amp;'[1]2025年已发货'!$H:$H=C917&amp;F917&amp;I917&amp;J917,"未发货")</f>
        <v>#N/A</v>
      </c>
      <c r="I917" s="41" t="e">
        <f>VLOOKUP(B917,辅助信息!E:I,3,FALSE)</f>
        <v>#N/A</v>
      </c>
      <c r="J917" s="41" t="e">
        <f>VLOOKUP(B917,辅助信息!E:I,4,FALSE)</f>
        <v>#N/A</v>
      </c>
      <c r="K917" s="41" t="e">
        <f>VLOOKUP(J917,辅助信息!H:I,2,FALSE)</f>
        <v>#N/A</v>
      </c>
      <c r="L917" s="78" t="e">
        <f>VLOOKUP(B917,辅助信息!E:J,6,FALSE)</f>
        <v>#N/A</v>
      </c>
      <c r="M917" s="92">
        <v>45728</v>
      </c>
      <c r="O917" s="63">
        <f ca="1" t="shared" si="28"/>
        <v>0</v>
      </c>
      <c r="P917" s="63">
        <f ca="1" t="shared" si="29"/>
        <v>231</v>
      </c>
      <c r="Q917" s="27" t="e">
        <f>VLOOKUP(B917,辅助信息!E:M,9,FALSE)</f>
        <v>#N/A</v>
      </c>
      <c r="R917" s="27"/>
    </row>
    <row r="918" hidden="1" spans="2:18">
      <c r="B918" s="41" t="s">
        <v>64</v>
      </c>
      <c r="C918" s="71">
        <v>45727</v>
      </c>
      <c r="D918" s="41" t="e">
        <f>VLOOKUP(B918,辅助信息!E:K,7,FALSE)</f>
        <v>#N/A</v>
      </c>
      <c r="E918" s="41" t="str">
        <f>VLOOKUP(F918,辅助信息!A:B,2,FALSE)</f>
        <v>螺纹钢</v>
      </c>
      <c r="F918" s="41" t="s">
        <v>32</v>
      </c>
      <c r="G918" s="37">
        <v>6</v>
      </c>
      <c r="H918" s="88" t="e">
        <f>_xlfn._xlws.FILTER('[1]2025年已发货'!$E:$E,'[1]2025年已发货'!$F:$F&amp;'[1]2025年已发货'!$C:$C&amp;'[1]2025年已发货'!$G:$G&amp;'[1]2025年已发货'!$H:$H=C918&amp;F918&amp;I918&amp;J918,"未发货")</f>
        <v>#N/A</v>
      </c>
      <c r="I918" s="41" t="e">
        <f>VLOOKUP(B918,辅助信息!E:I,3,FALSE)</f>
        <v>#N/A</v>
      </c>
      <c r="J918" s="41" t="e">
        <f>VLOOKUP(B918,辅助信息!E:I,4,FALSE)</f>
        <v>#N/A</v>
      </c>
      <c r="K918" s="41" t="e">
        <f>VLOOKUP(J918,辅助信息!H:I,2,FALSE)</f>
        <v>#N/A</v>
      </c>
      <c r="L918" s="78" t="e">
        <f>VLOOKUP(B918,辅助信息!E:J,6,FALSE)</f>
        <v>#N/A</v>
      </c>
      <c r="M918" s="92">
        <v>45728</v>
      </c>
      <c r="O918" s="63">
        <f ca="1" t="shared" si="28"/>
        <v>0</v>
      </c>
      <c r="P918" s="63">
        <f ca="1" t="shared" si="29"/>
        <v>231</v>
      </c>
      <c r="Q918" s="27" t="e">
        <f>VLOOKUP(B918,辅助信息!E:M,9,FALSE)</f>
        <v>#N/A</v>
      </c>
      <c r="R918" s="27"/>
    </row>
    <row r="919" hidden="1" spans="2:18">
      <c r="B919" s="41" t="s">
        <v>64</v>
      </c>
      <c r="C919" s="71">
        <v>45727</v>
      </c>
      <c r="D919" s="41" t="e">
        <f>VLOOKUP(B919,辅助信息!E:K,7,FALSE)</f>
        <v>#N/A</v>
      </c>
      <c r="E919" s="41" t="str">
        <f>VLOOKUP(F919,辅助信息!A:B,2,FALSE)</f>
        <v>螺纹钢</v>
      </c>
      <c r="F919" s="41" t="s">
        <v>33</v>
      </c>
      <c r="G919" s="37">
        <v>6</v>
      </c>
      <c r="H919" s="88" t="e">
        <f>_xlfn._xlws.FILTER('[1]2025年已发货'!$E:$E,'[1]2025年已发货'!$F:$F&amp;'[1]2025年已发货'!$C:$C&amp;'[1]2025年已发货'!$G:$G&amp;'[1]2025年已发货'!$H:$H=C919&amp;F919&amp;I919&amp;J919,"未发货")</f>
        <v>#N/A</v>
      </c>
      <c r="I919" s="41" t="e">
        <f>VLOOKUP(B919,辅助信息!E:I,3,FALSE)</f>
        <v>#N/A</v>
      </c>
      <c r="J919" s="41" t="e">
        <f>VLOOKUP(B919,辅助信息!E:I,4,FALSE)</f>
        <v>#N/A</v>
      </c>
      <c r="K919" s="41" t="e">
        <f>VLOOKUP(J919,辅助信息!H:I,2,FALSE)</f>
        <v>#N/A</v>
      </c>
      <c r="L919" s="79"/>
      <c r="M919" s="92">
        <v>45728</v>
      </c>
      <c r="O919" s="63">
        <f ca="1" t="shared" si="28"/>
        <v>0</v>
      </c>
      <c r="P919" s="63">
        <f ca="1" t="shared" si="29"/>
        <v>231</v>
      </c>
      <c r="Q919" s="27" t="e">
        <f>VLOOKUP(B919,辅助信息!E:M,9,FALSE)</f>
        <v>#N/A</v>
      </c>
      <c r="R919" s="27"/>
    </row>
    <row r="920" hidden="1" spans="2:18">
      <c r="B920" s="41" t="s">
        <v>64</v>
      </c>
      <c r="C920" s="71">
        <v>45727</v>
      </c>
      <c r="D920" s="41" t="e">
        <f>VLOOKUP(B920,辅助信息!E:K,7,FALSE)</f>
        <v>#N/A</v>
      </c>
      <c r="E920" s="41" t="str">
        <f>VLOOKUP(F920,辅助信息!A:B,2,FALSE)</f>
        <v>螺纹钢</v>
      </c>
      <c r="F920" s="41" t="s">
        <v>28</v>
      </c>
      <c r="G920" s="37">
        <v>9</v>
      </c>
      <c r="H920" s="88" t="e">
        <f>_xlfn._xlws.FILTER('[1]2025年已发货'!$E:$E,'[1]2025年已发货'!$F:$F&amp;'[1]2025年已发货'!$C:$C&amp;'[1]2025年已发货'!$G:$G&amp;'[1]2025年已发货'!$H:$H=C920&amp;F920&amp;I920&amp;J920,"未发货")</f>
        <v>#N/A</v>
      </c>
      <c r="I920" s="41" t="e">
        <f>VLOOKUP(B920,辅助信息!E:I,3,FALSE)</f>
        <v>#N/A</v>
      </c>
      <c r="J920" s="41" t="e">
        <f>VLOOKUP(B920,辅助信息!E:I,4,FALSE)</f>
        <v>#N/A</v>
      </c>
      <c r="K920" s="41" t="e">
        <f>VLOOKUP(J920,辅助信息!H:I,2,FALSE)</f>
        <v>#N/A</v>
      </c>
      <c r="L920" s="79"/>
      <c r="M920" s="92">
        <v>45728</v>
      </c>
      <c r="O920" s="63">
        <f ca="1" t="shared" si="28"/>
        <v>0</v>
      </c>
      <c r="P920" s="63">
        <f ca="1" t="shared" si="29"/>
        <v>231</v>
      </c>
      <c r="Q920" s="27" t="e">
        <f>VLOOKUP(B920,辅助信息!E:M,9,FALSE)</f>
        <v>#N/A</v>
      </c>
      <c r="R920" s="27"/>
    </row>
    <row r="921" hidden="1" spans="2:18">
      <c r="B921" s="41" t="s">
        <v>64</v>
      </c>
      <c r="C921" s="71">
        <v>45727</v>
      </c>
      <c r="D921" s="41" t="e">
        <f>VLOOKUP(B921,辅助信息!E:K,7,FALSE)</f>
        <v>#N/A</v>
      </c>
      <c r="E921" s="41" t="str">
        <f>VLOOKUP(F921,辅助信息!A:B,2,FALSE)</f>
        <v>螺纹钢</v>
      </c>
      <c r="F921" s="41" t="s">
        <v>65</v>
      </c>
      <c r="G921" s="37">
        <f>42+12</f>
        <v>54</v>
      </c>
      <c r="H921" s="88" t="e">
        <f>_xlfn._xlws.FILTER('[1]2025年已发货'!$E:$E,'[1]2025年已发货'!$F:$F&amp;'[1]2025年已发货'!$C:$C&amp;'[1]2025年已发货'!$G:$G&amp;'[1]2025年已发货'!$H:$H=C921&amp;F921&amp;I921&amp;J921,"未发货")</f>
        <v>#N/A</v>
      </c>
      <c r="I921" s="41" t="e">
        <f>VLOOKUP(B921,辅助信息!E:I,3,FALSE)</f>
        <v>#N/A</v>
      </c>
      <c r="J921" s="41" t="e">
        <f>VLOOKUP(B921,辅助信息!E:I,4,FALSE)</f>
        <v>#N/A</v>
      </c>
      <c r="K921" s="41" t="e">
        <f>VLOOKUP(J921,辅助信息!H:I,2,FALSE)</f>
        <v>#N/A</v>
      </c>
      <c r="L921" s="79"/>
      <c r="M921" s="92">
        <v>45728</v>
      </c>
      <c r="O921" s="63">
        <f ca="1" t="shared" si="28"/>
        <v>0</v>
      </c>
      <c r="P921" s="63">
        <f ca="1" t="shared" si="29"/>
        <v>231</v>
      </c>
      <c r="Q921" s="27" t="e">
        <f>VLOOKUP(B921,辅助信息!E:M,9,FALSE)</f>
        <v>#N/A</v>
      </c>
      <c r="R921" s="27"/>
    </row>
    <row r="922" hidden="1" spans="2:18">
      <c r="B922" s="41" t="s">
        <v>64</v>
      </c>
      <c r="C922" s="71">
        <v>45727</v>
      </c>
      <c r="D922" s="41" t="e">
        <f>VLOOKUP(B922,辅助信息!E:K,7,FALSE)</f>
        <v>#N/A</v>
      </c>
      <c r="E922" s="41" t="str">
        <f>VLOOKUP(F922,辅助信息!A:B,2,FALSE)</f>
        <v>螺纹钢</v>
      </c>
      <c r="F922" s="41" t="s">
        <v>52</v>
      </c>
      <c r="G922" s="37">
        <f>21+9</f>
        <v>30</v>
      </c>
      <c r="H922" s="88" t="e">
        <f>_xlfn._xlws.FILTER('[1]2025年已发货'!$E:$E,'[1]2025年已发货'!$F:$F&amp;'[1]2025年已发货'!$C:$C&amp;'[1]2025年已发货'!$G:$G&amp;'[1]2025年已发货'!$H:$H=C922&amp;F922&amp;I922&amp;J922,"未发货")</f>
        <v>#N/A</v>
      </c>
      <c r="I922" s="41" t="e">
        <f>VLOOKUP(B922,辅助信息!E:I,3,FALSE)</f>
        <v>#N/A</v>
      </c>
      <c r="J922" s="41" t="e">
        <f>VLOOKUP(B922,辅助信息!E:I,4,FALSE)</f>
        <v>#N/A</v>
      </c>
      <c r="K922" s="41" t="e">
        <f>VLOOKUP(J922,辅助信息!H:I,2,FALSE)</f>
        <v>#N/A</v>
      </c>
      <c r="L922" s="77"/>
      <c r="M922" s="92">
        <v>45728</v>
      </c>
      <c r="O922" s="63">
        <f ca="1" t="shared" si="28"/>
        <v>0</v>
      </c>
      <c r="P922" s="63">
        <f ca="1" t="shared" si="29"/>
        <v>231</v>
      </c>
      <c r="Q922" s="27" t="e">
        <f>VLOOKUP(B922,辅助信息!E:M,9,FALSE)</f>
        <v>#N/A</v>
      </c>
      <c r="R922" s="27"/>
    </row>
    <row r="923" hidden="1" spans="2:18">
      <c r="B923" s="41" t="s">
        <v>60</v>
      </c>
      <c r="C923" s="71">
        <v>45727</v>
      </c>
      <c r="D923" s="41" t="str">
        <f>VLOOKUP(B923,辅助信息!E:K,7,FALSE)</f>
        <v>JWDDCD2025051000019</v>
      </c>
      <c r="E923" s="41" t="str">
        <f>VLOOKUP(F923,辅助信息!A:B,2,FALSE)</f>
        <v>高线</v>
      </c>
      <c r="F923" s="41" t="s">
        <v>51</v>
      </c>
      <c r="G923" s="37">
        <v>9</v>
      </c>
      <c r="H923" s="88">
        <f>_xlfn._xlws.FILTER('[1]2025年已发货'!$E:$E,'[1]2025年已发货'!$F:$F&amp;'[1]2025年已发货'!$C:$C&amp;'[1]2025年已发货'!$G:$G&amp;'[1]2025年已发货'!$H:$H=C923&amp;F923&amp;I923&amp;J923,"未发货")</f>
        <v>10</v>
      </c>
      <c r="I923" s="41" t="str">
        <f>VLOOKUP(B923,辅助信息!E:I,3,FALSE)</f>
        <v>(五冶钢构医学科学产业园建设项目房建二部-六标)四川省南充市顺庆区搬罾街道学府大道二段</v>
      </c>
      <c r="J923" s="41" t="str">
        <f>VLOOKUP(B923,辅助信息!E:I,4,FALSE)</f>
        <v>安南</v>
      </c>
      <c r="K923" s="41">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231</v>
      </c>
      <c r="Q923" s="27" t="str">
        <f>VLOOKUP(B923,辅助信息!E:M,9,FALSE)</f>
        <v>ZTWM-CDGS-XS-2024-0248-五冶钢构-南充市医学院项目</v>
      </c>
      <c r="R923" s="27"/>
    </row>
    <row r="924" hidden="1" spans="2:18">
      <c r="B924" s="41" t="s">
        <v>60</v>
      </c>
      <c r="C924" s="71">
        <v>45727</v>
      </c>
      <c r="D924" s="41" t="str">
        <f>VLOOKUP(B924,辅助信息!E:K,7,FALSE)</f>
        <v>JWDDCD2025051000019</v>
      </c>
      <c r="E924" s="41" t="str">
        <f>VLOOKUP(F924,辅助信息!A:B,2,FALSE)</f>
        <v>螺纹钢</v>
      </c>
      <c r="F924" s="41" t="s">
        <v>27</v>
      </c>
      <c r="G924" s="37">
        <v>16</v>
      </c>
      <c r="H924" s="88">
        <f>_xlfn._xlws.FILTER('[1]2025年已发货'!$E:$E,'[1]2025年已发货'!$F:$F&amp;'[1]2025年已发货'!$C:$C&amp;'[1]2025年已发货'!$G:$G&amp;'[1]2025年已发货'!$H:$H=C924&amp;F924&amp;I924&amp;J924,"未发货")</f>
        <v>16</v>
      </c>
      <c r="I924" s="41" t="str">
        <f>VLOOKUP(B924,辅助信息!E:I,3,FALSE)</f>
        <v>(五冶钢构医学科学产业园建设项目房建二部-六标)四川省南充市顺庆区搬罾街道学府大道二段</v>
      </c>
      <c r="J924" s="41" t="str">
        <f>VLOOKUP(B924,辅助信息!E:I,4,FALSE)</f>
        <v>安南</v>
      </c>
      <c r="K924" s="41">
        <f>VLOOKUP(J924,辅助信息!H:I,2,FALSE)</f>
        <v>19950525030</v>
      </c>
      <c r="L924" s="79"/>
      <c r="M924" s="92">
        <v>45728</v>
      </c>
      <c r="O924" s="63">
        <f ca="1" t="shared" si="28"/>
        <v>0</v>
      </c>
      <c r="P924" s="63">
        <f ca="1" t="shared" si="29"/>
        <v>231</v>
      </c>
      <c r="Q924" s="27" t="str">
        <f>VLOOKUP(B924,辅助信息!E:M,9,FALSE)</f>
        <v>ZTWM-CDGS-XS-2024-0248-五冶钢构-南充市医学院项目</v>
      </c>
      <c r="R924" s="27"/>
    </row>
    <row r="925" hidden="1" spans="2:18">
      <c r="B925" s="41" t="s">
        <v>60</v>
      </c>
      <c r="C925" s="71">
        <v>45727</v>
      </c>
      <c r="D925" s="41" t="str">
        <f>VLOOKUP(B925,辅助信息!E:K,7,FALSE)</f>
        <v>JWDDCD2025051000019</v>
      </c>
      <c r="E925" s="41" t="str">
        <f>VLOOKUP(F925,辅助信息!A:B,2,FALSE)</f>
        <v>螺纹钢</v>
      </c>
      <c r="F925" s="41" t="s">
        <v>19</v>
      </c>
      <c r="G925" s="37">
        <v>15</v>
      </c>
      <c r="H925" s="88">
        <f>_xlfn._xlws.FILTER('[1]2025年已发货'!$E:$E,'[1]2025年已发货'!$F:$F&amp;'[1]2025年已发货'!$C:$C&amp;'[1]2025年已发货'!$G:$G&amp;'[1]2025年已发货'!$H:$H=C925&amp;F925&amp;I925&amp;J925,"未发货")</f>
        <v>15</v>
      </c>
      <c r="I925" s="41" t="str">
        <f>VLOOKUP(B925,辅助信息!E:I,3,FALSE)</f>
        <v>(五冶钢构医学科学产业园建设项目房建二部-六标)四川省南充市顺庆区搬罾街道学府大道二段</v>
      </c>
      <c r="J925" s="41" t="str">
        <f>VLOOKUP(B925,辅助信息!E:I,4,FALSE)</f>
        <v>安南</v>
      </c>
      <c r="K925" s="41">
        <f>VLOOKUP(J925,辅助信息!H:I,2,FALSE)</f>
        <v>19950525030</v>
      </c>
      <c r="L925" s="79"/>
      <c r="M925" s="92">
        <v>45728</v>
      </c>
      <c r="O925" s="63">
        <f ca="1" t="shared" si="28"/>
        <v>0</v>
      </c>
      <c r="P925" s="63">
        <f ca="1" t="shared" si="29"/>
        <v>231</v>
      </c>
      <c r="Q925" s="27" t="str">
        <f>VLOOKUP(B925,辅助信息!E:M,9,FALSE)</f>
        <v>ZTWM-CDGS-XS-2024-0248-五冶钢构-南充市医学院项目</v>
      </c>
      <c r="R925" s="27"/>
    </row>
    <row r="926" hidden="1" spans="2:18">
      <c r="B926" s="41" t="s">
        <v>60</v>
      </c>
      <c r="C926" s="71">
        <v>45727</v>
      </c>
      <c r="D926" s="41" t="str">
        <f>VLOOKUP(B926,辅助信息!E:K,7,FALSE)</f>
        <v>JWDDCD2025051000019</v>
      </c>
      <c r="E926" s="41" t="str">
        <f>VLOOKUP(F926,辅助信息!A:B,2,FALSE)</f>
        <v>螺纹钢</v>
      </c>
      <c r="F926" s="41" t="s">
        <v>32</v>
      </c>
      <c r="G926" s="37">
        <v>10</v>
      </c>
      <c r="H926" s="88">
        <f>_xlfn._xlws.FILTER('[1]2025年已发货'!$E:$E,'[1]2025年已发货'!$F:$F&amp;'[1]2025年已发货'!$C:$C&amp;'[1]2025年已发货'!$G:$G&amp;'[1]2025年已发货'!$H:$H=C926&amp;F926&amp;I926&amp;J926,"未发货")</f>
        <v>12</v>
      </c>
      <c r="I926" s="41" t="str">
        <f>VLOOKUP(B926,辅助信息!E:I,3,FALSE)</f>
        <v>(五冶钢构医学科学产业园建设项目房建二部-六标)四川省南充市顺庆区搬罾街道学府大道二段</v>
      </c>
      <c r="J926" s="41" t="str">
        <f>VLOOKUP(B926,辅助信息!E:I,4,FALSE)</f>
        <v>安南</v>
      </c>
      <c r="K926" s="41">
        <f>VLOOKUP(J926,辅助信息!H:I,2,FALSE)</f>
        <v>19950525030</v>
      </c>
      <c r="L926" s="79"/>
      <c r="M926" s="92">
        <v>45728</v>
      </c>
      <c r="O926" s="63">
        <f ca="1" t="shared" si="28"/>
        <v>0</v>
      </c>
      <c r="P926" s="63">
        <f ca="1" t="shared" si="29"/>
        <v>231</v>
      </c>
      <c r="Q926" s="27" t="str">
        <f>VLOOKUP(B926,辅助信息!E:M,9,FALSE)</f>
        <v>ZTWM-CDGS-XS-2024-0248-五冶钢构-南充市医学院项目</v>
      </c>
      <c r="R926" s="27"/>
    </row>
    <row r="927" hidden="1" spans="2:18">
      <c r="B927" s="41" t="s">
        <v>60</v>
      </c>
      <c r="C927" s="71">
        <v>45727</v>
      </c>
      <c r="D927" s="41" t="str">
        <f>VLOOKUP(B927,辅助信息!E:K,7,FALSE)</f>
        <v>JWDDCD2025051000019</v>
      </c>
      <c r="E927" s="41" t="str">
        <f>VLOOKUP(F927,辅助信息!A:B,2,FALSE)</f>
        <v>螺纹钢</v>
      </c>
      <c r="F927" s="41" t="s">
        <v>18</v>
      </c>
      <c r="G927" s="37">
        <v>20</v>
      </c>
      <c r="H927" s="88">
        <f>_xlfn._xlws.FILTER('[1]2025年已发货'!$E:$E,'[1]2025年已发货'!$F:$F&amp;'[1]2025年已发货'!$C:$C&amp;'[1]2025年已发货'!$G:$G&amp;'[1]2025年已发货'!$H:$H=C927&amp;F927&amp;I927&amp;J927,"未发货")</f>
        <v>20</v>
      </c>
      <c r="I927" s="41" t="str">
        <f>VLOOKUP(B927,辅助信息!E:I,3,FALSE)</f>
        <v>(五冶钢构医学科学产业园建设项目房建二部-六标)四川省南充市顺庆区搬罾街道学府大道二段</v>
      </c>
      <c r="J927" s="41" t="str">
        <f>VLOOKUP(B927,辅助信息!E:I,4,FALSE)</f>
        <v>安南</v>
      </c>
      <c r="K927" s="41">
        <f>VLOOKUP(J927,辅助信息!H:I,2,FALSE)</f>
        <v>19950525030</v>
      </c>
      <c r="L927" s="77"/>
      <c r="M927" s="92">
        <v>45728</v>
      </c>
      <c r="O927" s="63">
        <f ca="1" t="shared" si="28"/>
        <v>0</v>
      </c>
      <c r="P927" s="63">
        <f ca="1" t="shared" si="29"/>
        <v>231</v>
      </c>
      <c r="Q927" s="27" t="str">
        <f>VLOOKUP(B927,辅助信息!E:M,9,FALSE)</f>
        <v>ZTWM-CDGS-XS-2024-0248-五冶钢构-南充市医学院项目</v>
      </c>
      <c r="R927" s="27"/>
    </row>
    <row r="928" hidden="1" spans="2:18">
      <c r="B928" s="41" t="s">
        <v>68</v>
      </c>
      <c r="C928" s="71">
        <v>45727</v>
      </c>
      <c r="D928" s="41" t="s">
        <v>115</v>
      </c>
      <c r="E928" s="41" t="s">
        <v>116</v>
      </c>
      <c r="F928" s="41" t="s">
        <v>27</v>
      </c>
      <c r="G928" s="37">
        <v>11</v>
      </c>
      <c r="H928" s="37">
        <f>_xlfn._xlws.FILTER('[1]2025年已发货'!$E:$E,'[1]2025年已发货'!$F:$F&amp;'[1]2025年已发货'!$C:$C&amp;'[1]2025年已发货'!$G:$G&amp;'[1]2025年已发货'!$H:$H=C928&amp;F928&amp;I928&amp;J928,"未发货")</f>
        <v>11</v>
      </c>
      <c r="I928" s="41" t="str">
        <f>VLOOKUP(B928,辅助信息!E:I,3,FALSE)</f>
        <v>（商投建工达州中医药科技园-2工区-景观桥）达州市通川区达州中医药职业学院犀牛大道北段</v>
      </c>
      <c r="J928" s="41" t="str">
        <f>VLOOKUP(B928,辅助信息!E:I,4,FALSE)</f>
        <v>李波</v>
      </c>
      <c r="K928" s="41">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233</v>
      </c>
      <c r="Q928" s="27" t="str">
        <f>VLOOKUP(B928,辅助信息!E:M,9,FALSE)</f>
        <v>ZTWM-CDGS-XS-2024-0134-商投建工达州中医药科技成果示范园项目</v>
      </c>
      <c r="R928" s="27"/>
    </row>
    <row r="929" hidden="1" spans="2:18">
      <c r="B929" s="41" t="s">
        <v>68</v>
      </c>
      <c r="C929" s="71">
        <v>45727</v>
      </c>
      <c r="D929" s="41" t="s">
        <v>115</v>
      </c>
      <c r="E929" s="41" t="s">
        <v>116</v>
      </c>
      <c r="F929" s="41" t="s">
        <v>32</v>
      </c>
      <c r="G929" s="37">
        <v>132</v>
      </c>
      <c r="H929" s="88">
        <f>_xlfn._xlws.FILTER('[1]2025年已发货'!$E:$E,'[1]2025年已发货'!$F:$F&amp;'[1]2025年已发货'!$C:$C&amp;'[1]2025年已发货'!$G:$G&amp;'[1]2025年已发货'!$H:$H=C929&amp;F929&amp;I929&amp;J929,"未发货")</f>
        <v>80</v>
      </c>
      <c r="I929" s="41" t="str">
        <f>VLOOKUP(B929,辅助信息!E:I,3,FALSE)</f>
        <v>（商投建工达州中医药科技园-2工区-景观桥）达州市通川区达州中医药职业学院犀牛大道北段</v>
      </c>
      <c r="J929" s="41" t="str">
        <f>VLOOKUP(B929,辅助信息!E:I,4,FALSE)</f>
        <v>李波</v>
      </c>
      <c r="K929" s="41">
        <f>VLOOKUP(J929,辅助信息!H:I,2,FALSE)</f>
        <v>18381899787</v>
      </c>
      <c r="L929" s="79"/>
      <c r="M929" s="92">
        <v>45726</v>
      </c>
      <c r="O929" s="63">
        <f ca="1" t="shared" si="28"/>
        <v>0</v>
      </c>
      <c r="P929" s="63">
        <f ca="1" t="shared" si="29"/>
        <v>233</v>
      </c>
      <c r="Q929" s="27" t="str">
        <f>VLOOKUP(B929,辅助信息!E:M,9,FALSE)</f>
        <v>ZTWM-CDGS-XS-2024-0134-商投建工达州中医药科技成果示范园项目</v>
      </c>
      <c r="R929" s="27"/>
    </row>
    <row r="930" hidden="1" spans="2:18">
      <c r="B930" s="41" t="s">
        <v>68</v>
      </c>
      <c r="C930" s="71">
        <v>45727</v>
      </c>
      <c r="D930" s="41" t="s">
        <v>115</v>
      </c>
      <c r="E930" s="41" t="s">
        <v>116</v>
      </c>
      <c r="F930" s="41" t="s">
        <v>33</v>
      </c>
      <c r="G930" s="37">
        <v>19</v>
      </c>
      <c r="H930" s="88">
        <f>_xlfn._xlws.FILTER('[1]2025年已发货'!$E:$E,'[1]2025年已发货'!$F:$F&amp;'[1]2025年已发货'!$C:$C&amp;'[1]2025年已发货'!$G:$G&amp;'[1]2025年已发货'!$H:$H=C930&amp;F930&amp;I930&amp;J930,"未发货")</f>
        <v>18</v>
      </c>
      <c r="I930" s="41" t="str">
        <f>VLOOKUP(B930,辅助信息!E:I,3,FALSE)</f>
        <v>（商投建工达州中医药科技园-2工区-景观桥）达州市通川区达州中医药职业学院犀牛大道北段</v>
      </c>
      <c r="J930" s="41" t="str">
        <f>VLOOKUP(B930,辅助信息!E:I,4,FALSE)</f>
        <v>李波</v>
      </c>
      <c r="K930" s="41">
        <f>VLOOKUP(J930,辅助信息!H:I,2,FALSE)</f>
        <v>18381899787</v>
      </c>
      <c r="L930" s="79"/>
      <c r="M930" s="92">
        <v>45726</v>
      </c>
      <c r="O930" s="63">
        <f ca="1" t="shared" ref="O930:O993" si="30">IF(OR(M930="",N930&lt;&gt;""),"",MAX(M930-TODAY(),0))</f>
        <v>0</v>
      </c>
      <c r="P930" s="63">
        <f ca="1" t="shared" ref="P930:P993" si="31">IF(M930="","",IF(N930&lt;&gt;"",MAX(N930-M930,0),IF(TODAY()&gt;M930,TODAY()-M930,0)))</f>
        <v>233</v>
      </c>
      <c r="Q930" s="27" t="str">
        <f>VLOOKUP(B930,辅助信息!E:M,9,FALSE)</f>
        <v>ZTWM-CDGS-XS-2024-0134-商投建工达州中医药科技成果示范园项目</v>
      </c>
      <c r="R930" s="27"/>
    </row>
    <row r="931" hidden="1" spans="2:18">
      <c r="B931" s="41" t="s">
        <v>68</v>
      </c>
      <c r="C931" s="71">
        <v>45727</v>
      </c>
      <c r="D931" s="41" t="str">
        <f>VLOOKUP(B931,辅助信息!E:K,7,FALSE)</f>
        <v>JWDDCD2025052800131</v>
      </c>
      <c r="E931" s="41" t="str">
        <f>VLOOKUP(F931,辅助信息!A:B,2,FALSE)</f>
        <v>螺纹钢</v>
      </c>
      <c r="F931" s="41" t="s">
        <v>18</v>
      </c>
      <c r="G931" s="37">
        <v>14</v>
      </c>
      <c r="H931" s="37">
        <f>_xlfn._xlws.FILTER('[1]2025年已发货'!$E:$E,'[1]2025年已发货'!$F:$F&amp;'[1]2025年已发货'!$C:$C&amp;'[1]2025年已发货'!$G:$G&amp;'[1]2025年已发货'!$H:$H=C931&amp;F931&amp;I931&amp;J931,"未发货")</f>
        <v>14</v>
      </c>
      <c r="I931" s="41" t="str">
        <f>VLOOKUP(B931,辅助信息!E:I,3,FALSE)</f>
        <v>（商投建工达州中医药科技园-2工区-景观桥）达州市通川区达州中医药职业学院犀牛大道北段</v>
      </c>
      <c r="J931" s="41" t="str">
        <f>VLOOKUP(B931,辅助信息!E:I,4,FALSE)</f>
        <v>李波</v>
      </c>
      <c r="K931" s="41">
        <f>VLOOKUP(J931,辅助信息!H:I,2,FALSE)</f>
        <v>18381899787</v>
      </c>
      <c r="L931" s="77"/>
      <c r="M931" s="92">
        <v>45726</v>
      </c>
      <c r="O931" s="63">
        <f ca="1" t="shared" si="30"/>
        <v>0</v>
      </c>
      <c r="P931" s="63">
        <f ca="1" t="shared" si="31"/>
        <v>233</v>
      </c>
      <c r="Q931" s="27" t="str">
        <f>VLOOKUP(B931,辅助信息!E:M,9,FALSE)</f>
        <v>ZTWM-CDGS-XS-2024-0134-商投建工达州中医药科技成果示范园项目</v>
      </c>
      <c r="R931" s="27"/>
    </row>
    <row r="932" hidden="1" spans="2:18">
      <c r="B932" s="41" t="s">
        <v>64</v>
      </c>
      <c r="C932" s="71">
        <v>45727</v>
      </c>
      <c r="D932" s="41" t="e">
        <f>VLOOKUP(B932,辅助信息!E:K,7,FALSE)</f>
        <v>#N/A</v>
      </c>
      <c r="E932" s="41" t="str">
        <f>VLOOKUP(F932,辅助信息!A:B,2,FALSE)</f>
        <v>螺纹钢</v>
      </c>
      <c r="F932" s="41" t="s">
        <v>65</v>
      </c>
      <c r="G932" s="37">
        <v>12</v>
      </c>
      <c r="H932" s="88">
        <v>12</v>
      </c>
      <c r="I932" s="41" t="e">
        <f>VLOOKUP(B932,辅助信息!E:I,3,FALSE)</f>
        <v>#N/A</v>
      </c>
      <c r="J932" s="41" t="e">
        <f>VLOOKUP(B932,辅助信息!E:I,4,FALSE)</f>
        <v>#N/A</v>
      </c>
      <c r="K932" s="41" t="e">
        <f>VLOOKUP(J932,辅助信息!H:I,2,FALSE)</f>
        <v>#N/A</v>
      </c>
      <c r="L932" s="78" t="e">
        <f>VLOOKUP(B932,辅助信息!E:J,6,FALSE)</f>
        <v>#N/A</v>
      </c>
      <c r="M932" s="92">
        <v>45726</v>
      </c>
      <c r="O932" s="63">
        <f ca="1" t="shared" si="30"/>
        <v>0</v>
      </c>
      <c r="P932" s="63">
        <f ca="1" t="shared" si="31"/>
        <v>233</v>
      </c>
      <c r="Q932" s="27" t="e">
        <f>VLOOKUP(B932,辅助信息!E:M,9,FALSE)</f>
        <v>#N/A</v>
      </c>
      <c r="R932" s="27"/>
    </row>
    <row r="933" hidden="1" spans="2:18">
      <c r="B933" s="41" t="s">
        <v>64</v>
      </c>
      <c r="C933" s="71">
        <v>45727</v>
      </c>
      <c r="D933" s="41" t="e">
        <f>VLOOKUP(B933,辅助信息!E:K,7,FALSE)</f>
        <v>#N/A</v>
      </c>
      <c r="E933" s="41" t="str">
        <f>VLOOKUP(F933,辅助信息!A:B,2,FALSE)</f>
        <v>螺纹钢</v>
      </c>
      <c r="F933" s="41" t="s">
        <v>52</v>
      </c>
      <c r="G933" s="37">
        <v>8</v>
      </c>
      <c r="H933" s="88">
        <v>8</v>
      </c>
      <c r="I933" s="41" t="e">
        <f>VLOOKUP(B933,辅助信息!E:I,3,FALSE)</f>
        <v>#N/A</v>
      </c>
      <c r="J933" s="41" t="e">
        <f>VLOOKUP(B933,辅助信息!E:I,4,FALSE)</f>
        <v>#N/A</v>
      </c>
      <c r="K933" s="41" t="e">
        <f>VLOOKUP(J933,辅助信息!H:I,2,FALSE)</f>
        <v>#N/A</v>
      </c>
      <c r="L933" s="77"/>
      <c r="M933" s="92">
        <v>45726</v>
      </c>
      <c r="O933" s="63">
        <f ca="1" t="shared" si="30"/>
        <v>0</v>
      </c>
      <c r="P933" s="63">
        <f ca="1" t="shared" si="31"/>
        <v>233</v>
      </c>
      <c r="Q933" s="27" t="e">
        <f>VLOOKUP(B933,辅助信息!E:M,9,FALSE)</f>
        <v>#N/A</v>
      </c>
      <c r="R933" s="27"/>
    </row>
    <row r="934" ht="56.25" hidden="1" customHeight="1" spans="2:18">
      <c r="B934" s="41" t="s">
        <v>29</v>
      </c>
      <c r="C934" s="71">
        <v>45727</v>
      </c>
      <c r="D934" s="41" t="e">
        <f>VLOOKUP(B934,辅助信息!E:K,7,FALSE)</f>
        <v>#N/A</v>
      </c>
      <c r="E934" s="41" t="str">
        <f>VLOOKUP(F934,辅助信息!A:B,2,FALSE)</f>
        <v>螺纹钢</v>
      </c>
      <c r="F934" s="41" t="s">
        <v>28</v>
      </c>
      <c r="G934" s="37">
        <v>70</v>
      </c>
      <c r="H934" s="88" t="e">
        <f>_xlfn._xlws.FILTER('[1]2025年已发货'!$E:$E,'[1]2025年已发货'!$F:$F&amp;'[1]2025年已发货'!$C:$C&amp;'[1]2025年已发货'!$G:$G&amp;'[1]2025年已发货'!$H:$H=C934&amp;F934&amp;I934&amp;J934,"未发货")</f>
        <v>#N/A</v>
      </c>
      <c r="I934" s="41" t="e">
        <f>VLOOKUP(B934,辅助信息!E:I,3,FALSE)</f>
        <v>#N/A</v>
      </c>
      <c r="J934" s="41" t="e">
        <f>VLOOKUP(B934,辅助信息!E:I,4,FALSE)</f>
        <v>#N/A</v>
      </c>
      <c r="K934" s="41" t="e">
        <f>VLOOKUP(J934,辅助信息!H:I,2,FALSE)</f>
        <v>#N/A</v>
      </c>
      <c r="L934" s="78" t="e">
        <f>VLOOKUP(B934,辅助信息!E:J,6,FALSE)</f>
        <v>#N/A</v>
      </c>
      <c r="M934" s="92">
        <v>45726</v>
      </c>
      <c r="O934" s="63">
        <f ca="1" t="shared" si="30"/>
        <v>0</v>
      </c>
      <c r="P934" s="63">
        <f ca="1" t="shared" si="31"/>
        <v>233</v>
      </c>
      <c r="Q934" s="27" t="e">
        <f>VLOOKUP(B934,辅助信息!E:M,9,FALSE)</f>
        <v>#N/A</v>
      </c>
      <c r="R934" s="27"/>
    </row>
    <row r="935" hidden="1" spans="2:18">
      <c r="B935" s="41" t="s">
        <v>54</v>
      </c>
      <c r="C935" s="71">
        <v>45727</v>
      </c>
      <c r="D935" s="41" t="e">
        <f>VLOOKUP(B935,辅助信息!E:K,7,FALSE)</f>
        <v>#N/A</v>
      </c>
      <c r="E935" s="41" t="str">
        <f>VLOOKUP(F935,辅助信息!A:B,2,FALSE)</f>
        <v>螺纹钢</v>
      </c>
      <c r="F935" s="41" t="s">
        <v>32</v>
      </c>
      <c r="G935" s="37">
        <f>46-27</f>
        <v>19</v>
      </c>
      <c r="H935" s="88" t="e">
        <f>_xlfn._xlws.FILTER('[1]2025年已发货'!$E:$E,'[1]2025年已发货'!$F:$F&amp;'[1]2025年已发货'!$C:$C&amp;'[1]2025年已发货'!$G:$G&amp;'[1]2025年已发货'!$H:$H=C935&amp;F935&amp;I935&amp;J935,"未发货")</f>
        <v>#N/A</v>
      </c>
      <c r="I935" s="41" t="e">
        <f>VLOOKUP(B935,辅助信息!E:I,3,FALSE)</f>
        <v>#N/A</v>
      </c>
      <c r="J935" s="41" t="e">
        <f>VLOOKUP(B935,辅助信息!E:I,4,FALSE)</f>
        <v>#N/A</v>
      </c>
      <c r="K935" s="41" t="e">
        <f>VLOOKUP(J935,辅助信息!H:I,2,FALSE)</f>
        <v>#N/A</v>
      </c>
      <c r="L935" s="78" t="e">
        <f>VLOOKUP(B935,辅助信息!E:J,6,FALSE)</f>
        <v>#N/A</v>
      </c>
      <c r="M935" s="92">
        <v>45728</v>
      </c>
      <c r="O935" s="63">
        <f ca="1" t="shared" si="30"/>
        <v>0</v>
      </c>
      <c r="P935" s="63">
        <f ca="1" t="shared" si="31"/>
        <v>231</v>
      </c>
      <c r="Q935" s="27" t="e">
        <f>VLOOKUP(B935,辅助信息!E:M,9,FALSE)</f>
        <v>#N/A</v>
      </c>
      <c r="R935" s="27"/>
    </row>
    <row r="936" hidden="1" spans="2:18">
      <c r="B936" s="41" t="s">
        <v>54</v>
      </c>
      <c r="C936" s="71">
        <v>45727</v>
      </c>
      <c r="D936" s="41" t="e">
        <f>VLOOKUP(B936,辅助信息!E:K,7,FALSE)</f>
        <v>#N/A</v>
      </c>
      <c r="E936" s="41" t="str">
        <f>VLOOKUP(F936,辅助信息!A:B,2,FALSE)</f>
        <v>螺纹钢</v>
      </c>
      <c r="F936" s="41" t="s">
        <v>52</v>
      </c>
      <c r="G936" s="37">
        <v>2</v>
      </c>
      <c r="H936" s="88" t="e">
        <f>_xlfn._xlws.FILTER('[1]2025年已发货'!$E:$E,'[1]2025年已发货'!$F:$F&amp;'[1]2025年已发货'!$C:$C&amp;'[1]2025年已发货'!$G:$G&amp;'[1]2025年已发货'!$H:$H=C936&amp;F936&amp;I936&amp;J936,"未发货")</f>
        <v>#N/A</v>
      </c>
      <c r="I936" s="41" t="e">
        <f>VLOOKUP(B936,辅助信息!E:I,3,FALSE)</f>
        <v>#N/A</v>
      </c>
      <c r="J936" s="41" t="e">
        <f>VLOOKUP(B936,辅助信息!E:I,4,FALSE)</f>
        <v>#N/A</v>
      </c>
      <c r="K936" s="41" t="e">
        <f>VLOOKUP(J936,辅助信息!H:I,2,FALSE)</f>
        <v>#N/A</v>
      </c>
      <c r="L936" s="77"/>
      <c r="M936" s="92">
        <v>45728</v>
      </c>
      <c r="O936" s="63">
        <f ca="1" t="shared" si="30"/>
        <v>0</v>
      </c>
      <c r="P936" s="63">
        <f ca="1" t="shared" si="31"/>
        <v>231</v>
      </c>
      <c r="Q936" s="27" t="e">
        <f>VLOOKUP(B936,辅助信息!E:M,9,FALSE)</f>
        <v>#N/A</v>
      </c>
      <c r="R936" s="27"/>
    </row>
    <row r="937" hidden="1" spans="2:18">
      <c r="B937" s="41" t="s">
        <v>20</v>
      </c>
      <c r="C937" s="71">
        <v>45728</v>
      </c>
      <c r="D937" s="41" t="str">
        <f>VLOOKUP(B937,辅助信息!E:K,7,FALSE)</f>
        <v>JWDDCD2025051000019</v>
      </c>
      <c r="E937" s="41" t="str">
        <f>VLOOKUP(F937,辅助信息!A:B,2,FALSE)</f>
        <v>盘螺</v>
      </c>
      <c r="F937" s="41" t="s">
        <v>49</v>
      </c>
      <c r="G937" s="37">
        <v>8</v>
      </c>
      <c r="H937" s="88">
        <f>_xlfn._xlws.FILTER('[1]2025年已发货'!$E:$E,'[1]2025年已发货'!$F:$F&amp;'[1]2025年已发货'!$C:$C&amp;'[1]2025年已发货'!$G:$G&amp;'[1]2025年已发货'!$H:$H=C937&amp;F937&amp;I937&amp;J937,"未发货")</f>
        <v>8</v>
      </c>
      <c r="I937" s="41" t="str">
        <f>VLOOKUP(B937,辅助信息!E:I,3,FALSE)</f>
        <v>(五冶钢构医学科学产业园建设项目房建三部-一标（7-2）)四川省南充市顺庆区搬罾街道学府大道二段</v>
      </c>
      <c r="J937" s="41" t="str">
        <f>VLOOKUP(B937,辅助信息!E:I,4,FALSE)</f>
        <v>郑林</v>
      </c>
      <c r="K937" s="41">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232</v>
      </c>
      <c r="Q937" s="27" t="str">
        <f>VLOOKUP(B937,辅助信息!E:M,9,FALSE)</f>
        <v>ZTWM-CDGS-XS-2024-0248-五冶钢构-南充市医学院项目</v>
      </c>
      <c r="R937" s="27"/>
    </row>
    <row r="938" hidden="1" spans="2:18">
      <c r="B938" s="41" t="s">
        <v>20</v>
      </c>
      <c r="C938" s="71">
        <v>45728</v>
      </c>
      <c r="D938" s="41" t="str">
        <f>VLOOKUP(B938,辅助信息!E:K,7,FALSE)</f>
        <v>JWDDCD2025051000019</v>
      </c>
      <c r="E938" s="41" t="str">
        <f>VLOOKUP(F938,辅助信息!A:B,2,FALSE)</f>
        <v>盘螺</v>
      </c>
      <c r="F938" s="41" t="s">
        <v>40</v>
      </c>
      <c r="G938" s="37">
        <v>4</v>
      </c>
      <c r="H938" s="88">
        <f>_xlfn._xlws.FILTER('[1]2025年已发货'!$E:$E,'[1]2025年已发货'!$F:$F&amp;'[1]2025年已发货'!$C:$C&amp;'[1]2025年已发货'!$G:$G&amp;'[1]2025年已发货'!$H:$H=C938&amp;F938&amp;I938&amp;J938,"未发货")</f>
        <v>4</v>
      </c>
      <c r="I938" s="41" t="str">
        <f>VLOOKUP(B938,辅助信息!E:I,3,FALSE)</f>
        <v>(五冶钢构医学科学产业园建设项目房建三部-一标（7-2）)四川省南充市顺庆区搬罾街道学府大道二段</v>
      </c>
      <c r="J938" s="41" t="str">
        <f>VLOOKUP(B938,辅助信息!E:I,4,FALSE)</f>
        <v>郑林</v>
      </c>
      <c r="K938" s="41">
        <f>VLOOKUP(J938,辅助信息!H:I,2,FALSE)</f>
        <v>18349955455</v>
      </c>
      <c r="L938" s="79"/>
      <c r="M938" s="92">
        <v>45727</v>
      </c>
      <c r="O938" s="63">
        <f ca="1" t="shared" si="30"/>
        <v>0</v>
      </c>
      <c r="P938" s="63">
        <f ca="1" t="shared" si="31"/>
        <v>232</v>
      </c>
      <c r="Q938" s="27" t="str">
        <f>VLOOKUP(B938,辅助信息!E:M,9,FALSE)</f>
        <v>ZTWM-CDGS-XS-2024-0248-五冶钢构-南充市医学院项目</v>
      </c>
      <c r="R938" s="27"/>
    </row>
    <row r="939" hidden="1" spans="2:18">
      <c r="B939" s="41" t="s">
        <v>20</v>
      </c>
      <c r="C939" s="71">
        <v>45728</v>
      </c>
      <c r="D939" s="41" t="str">
        <f>VLOOKUP(B939,辅助信息!E:K,7,FALSE)</f>
        <v>JWDDCD2025051000019</v>
      </c>
      <c r="E939" s="41" t="str">
        <f>VLOOKUP(F939,辅助信息!A:B,2,FALSE)</f>
        <v>盘螺</v>
      </c>
      <c r="F939" s="41" t="s">
        <v>41</v>
      </c>
      <c r="G939" s="37">
        <v>6</v>
      </c>
      <c r="H939" s="88">
        <f>_xlfn._xlws.FILTER('[1]2025年已发货'!$E:$E,'[1]2025年已发货'!$F:$F&amp;'[1]2025年已发货'!$C:$C&amp;'[1]2025年已发货'!$G:$G&amp;'[1]2025年已发货'!$H:$H=C939&amp;F939&amp;I939&amp;J939,"未发货")</f>
        <v>6</v>
      </c>
      <c r="I939" s="41" t="str">
        <f>VLOOKUP(B939,辅助信息!E:I,3,FALSE)</f>
        <v>(五冶钢构医学科学产业园建设项目房建三部-一标（7-2）)四川省南充市顺庆区搬罾街道学府大道二段</v>
      </c>
      <c r="J939" s="41" t="str">
        <f>VLOOKUP(B939,辅助信息!E:I,4,FALSE)</f>
        <v>郑林</v>
      </c>
      <c r="K939" s="41">
        <f>VLOOKUP(J939,辅助信息!H:I,2,FALSE)</f>
        <v>18349955455</v>
      </c>
      <c r="L939" s="79"/>
      <c r="M939" s="92">
        <v>45727</v>
      </c>
      <c r="O939" s="63">
        <f ca="1" t="shared" si="30"/>
        <v>0</v>
      </c>
      <c r="P939" s="63">
        <f ca="1" t="shared" si="31"/>
        <v>232</v>
      </c>
      <c r="Q939" s="27" t="str">
        <f>VLOOKUP(B939,辅助信息!E:M,9,FALSE)</f>
        <v>ZTWM-CDGS-XS-2024-0248-五冶钢构-南充市医学院项目</v>
      </c>
      <c r="R939" s="27"/>
    </row>
    <row r="940" hidden="1" spans="2:18">
      <c r="B940" s="41" t="s">
        <v>20</v>
      </c>
      <c r="C940" s="71">
        <v>45728</v>
      </c>
      <c r="D940" s="41" t="str">
        <f>VLOOKUP(B940,辅助信息!E:K,7,FALSE)</f>
        <v>JWDDCD2025051000019</v>
      </c>
      <c r="E940" s="41" t="str">
        <f>VLOOKUP(F940,辅助信息!A:B,2,FALSE)</f>
        <v>盘螺</v>
      </c>
      <c r="F940" s="41" t="s">
        <v>26</v>
      </c>
      <c r="G940" s="37">
        <v>9</v>
      </c>
      <c r="H940" s="88">
        <f>_xlfn._xlws.FILTER('[1]2025年已发货'!$E:$E,'[1]2025年已发货'!$F:$F&amp;'[1]2025年已发货'!$C:$C&amp;'[1]2025年已发货'!$G:$G&amp;'[1]2025年已发货'!$H:$H=C940&amp;F940&amp;I940&amp;J940,"未发货")</f>
        <v>9</v>
      </c>
      <c r="I940" s="41" t="str">
        <f>VLOOKUP(B940,辅助信息!E:I,3,FALSE)</f>
        <v>(五冶钢构医学科学产业园建设项目房建三部-一标（7-2）)四川省南充市顺庆区搬罾街道学府大道二段</v>
      </c>
      <c r="J940" s="41" t="str">
        <f>VLOOKUP(B940,辅助信息!E:I,4,FALSE)</f>
        <v>郑林</v>
      </c>
      <c r="K940" s="41">
        <f>VLOOKUP(J940,辅助信息!H:I,2,FALSE)</f>
        <v>18349955455</v>
      </c>
      <c r="L940" s="79"/>
      <c r="M940" s="92">
        <v>45727</v>
      </c>
      <c r="O940" s="63">
        <f ca="1" t="shared" si="30"/>
        <v>0</v>
      </c>
      <c r="P940" s="63">
        <f ca="1" t="shared" si="31"/>
        <v>232</v>
      </c>
      <c r="Q940" s="27" t="str">
        <f>VLOOKUP(B940,辅助信息!E:M,9,FALSE)</f>
        <v>ZTWM-CDGS-XS-2024-0248-五冶钢构-南充市医学院项目</v>
      </c>
      <c r="R940" s="27"/>
    </row>
    <row r="941" hidden="1" spans="2:18">
      <c r="B941" s="41" t="s">
        <v>20</v>
      </c>
      <c r="C941" s="71">
        <v>45728</v>
      </c>
      <c r="D941" s="41" t="str">
        <f>VLOOKUP(B941,辅助信息!E:K,7,FALSE)</f>
        <v>JWDDCD2025051000019</v>
      </c>
      <c r="E941" s="41" t="str">
        <f>VLOOKUP(F941,辅助信息!A:B,2,FALSE)</f>
        <v>螺纹钢</v>
      </c>
      <c r="F941" s="41" t="s">
        <v>46</v>
      </c>
      <c r="G941" s="37">
        <v>8</v>
      </c>
      <c r="H941" s="88">
        <f>_xlfn._xlws.FILTER('[1]2025年已发货'!$E:$E,'[1]2025年已发货'!$F:$F&amp;'[1]2025年已发货'!$C:$C&amp;'[1]2025年已发货'!$G:$G&amp;'[1]2025年已发货'!$H:$H=C941&amp;F941&amp;I941&amp;J941,"未发货")</f>
        <v>8</v>
      </c>
      <c r="I941" s="41" t="str">
        <f>VLOOKUP(B941,辅助信息!E:I,3,FALSE)</f>
        <v>(五冶钢构医学科学产业园建设项目房建三部-一标（7-2）)四川省南充市顺庆区搬罾街道学府大道二段</v>
      </c>
      <c r="J941" s="41" t="str">
        <f>VLOOKUP(B941,辅助信息!E:I,4,FALSE)</f>
        <v>郑林</v>
      </c>
      <c r="K941" s="41">
        <f>VLOOKUP(J941,辅助信息!H:I,2,FALSE)</f>
        <v>18349955455</v>
      </c>
      <c r="L941" s="77"/>
      <c r="M941" s="92">
        <v>45727</v>
      </c>
      <c r="O941" s="63">
        <f ca="1" t="shared" si="30"/>
        <v>0</v>
      </c>
      <c r="P941" s="63">
        <f ca="1" t="shared" si="31"/>
        <v>232</v>
      </c>
      <c r="Q941" s="27" t="str">
        <f>VLOOKUP(B941,辅助信息!E:M,9,FALSE)</f>
        <v>ZTWM-CDGS-XS-2024-0248-五冶钢构-南充市医学院项目</v>
      </c>
      <c r="R941" s="27"/>
    </row>
    <row r="942" hidden="1" spans="2:18">
      <c r="B942" s="41" t="s">
        <v>74</v>
      </c>
      <c r="C942" s="71">
        <v>45730</v>
      </c>
      <c r="D942" s="41" t="e">
        <f>VLOOKUP(B942,辅助信息!E:K,7,FALSE)</f>
        <v>#N/A</v>
      </c>
      <c r="E942" s="41" t="str">
        <f>VLOOKUP(F942,辅助信息!A:B,2,FALSE)</f>
        <v>螺纹钢</v>
      </c>
      <c r="F942" s="41" t="s">
        <v>27</v>
      </c>
      <c r="G942" s="37">
        <v>3</v>
      </c>
      <c r="H942" s="37" t="e">
        <f>_xlfn._xlws.FILTER('[1]2025年已发货'!$E:$E,'[1]2025年已发货'!$F:$F&amp;'[1]2025年已发货'!$C:$C&amp;'[1]2025年已发货'!$G:$G&amp;'[1]2025年已发货'!$H:$H=C942&amp;F942&amp;I942&amp;J942,"未发货")</f>
        <v>#N/A</v>
      </c>
      <c r="I942" s="41" t="e">
        <f>VLOOKUP(B942,辅助信息!E:I,3,FALSE)</f>
        <v>#N/A</v>
      </c>
      <c r="J942" s="41" t="e">
        <f>VLOOKUP(B942,辅助信息!E:I,4,FALSE)</f>
        <v>#N/A</v>
      </c>
      <c r="K942" s="41" t="e">
        <f>VLOOKUP(J942,辅助信息!H:I,2,FALSE)</f>
        <v>#N/A</v>
      </c>
      <c r="L942" s="78" t="e">
        <f>VLOOKUP(B943,辅助信息!E:J,6,FALSE)</f>
        <v>#N/A</v>
      </c>
      <c r="M942" s="92">
        <v>45728</v>
      </c>
      <c r="O942" s="63">
        <f ca="1" t="shared" si="30"/>
        <v>0</v>
      </c>
      <c r="P942" s="63">
        <f ca="1" t="shared" si="31"/>
        <v>231</v>
      </c>
      <c r="Q942" s="27" t="e">
        <f>VLOOKUP(B942,辅助信息!E:M,9,FALSE)</f>
        <v>#N/A</v>
      </c>
      <c r="R942" s="27"/>
    </row>
    <row r="943" hidden="1" spans="2:18">
      <c r="B943" s="41" t="s">
        <v>74</v>
      </c>
      <c r="C943" s="71">
        <v>45730</v>
      </c>
      <c r="D943" s="41" t="e">
        <f>VLOOKUP(B943,辅助信息!E:K,7,FALSE)</f>
        <v>#N/A</v>
      </c>
      <c r="E943" s="41" t="str">
        <f>VLOOKUP(F943,辅助信息!A:B,2,FALSE)</f>
        <v>螺纹钢</v>
      </c>
      <c r="F943" s="41" t="s">
        <v>19</v>
      </c>
      <c r="G943" s="37">
        <v>3</v>
      </c>
      <c r="H943" s="37" t="e">
        <f>_xlfn._xlws.FILTER('[1]2025年已发货'!$E:$E,'[1]2025年已发货'!$F:$F&amp;'[1]2025年已发货'!$C:$C&amp;'[1]2025年已发货'!$G:$G&amp;'[1]2025年已发货'!$H:$H=C943&amp;F943&amp;I943&amp;J943,"未发货")</f>
        <v>#N/A</v>
      </c>
      <c r="I943" s="41" t="e">
        <f>VLOOKUP(B943,辅助信息!E:I,3,FALSE)</f>
        <v>#N/A</v>
      </c>
      <c r="J943" s="41" t="e">
        <f>VLOOKUP(B943,辅助信息!E:I,4,FALSE)</f>
        <v>#N/A</v>
      </c>
      <c r="K943" s="41" t="e">
        <f>VLOOKUP(J943,辅助信息!H:I,2,FALSE)</f>
        <v>#N/A</v>
      </c>
      <c r="L943" s="79"/>
      <c r="M943" s="92">
        <v>45728</v>
      </c>
      <c r="O943" s="63">
        <f ca="1" t="shared" si="30"/>
        <v>0</v>
      </c>
      <c r="P943" s="63">
        <f ca="1" t="shared" si="31"/>
        <v>231</v>
      </c>
      <c r="Q943" s="27" t="e">
        <f>VLOOKUP(B943,辅助信息!E:M,9,FALSE)</f>
        <v>#N/A</v>
      </c>
      <c r="R943" s="27"/>
    </row>
    <row r="944" hidden="1" spans="2:18">
      <c r="B944" s="41" t="s">
        <v>74</v>
      </c>
      <c r="C944" s="71">
        <v>45730</v>
      </c>
      <c r="D944" s="41" t="e">
        <f>VLOOKUP(B944,辅助信息!E:K,7,FALSE)</f>
        <v>#N/A</v>
      </c>
      <c r="E944" s="41" t="str">
        <f>VLOOKUP(F944,辅助信息!A:B,2,FALSE)</f>
        <v>螺纹钢</v>
      </c>
      <c r="F944" s="41" t="s">
        <v>32</v>
      </c>
      <c r="G944" s="37">
        <v>6</v>
      </c>
      <c r="H944" s="37" t="e">
        <f>_xlfn._xlws.FILTER('[1]2025年已发货'!$E:$E,'[1]2025年已发货'!$F:$F&amp;'[1]2025年已发货'!$C:$C&amp;'[1]2025年已发货'!$G:$G&amp;'[1]2025年已发货'!$H:$H=C944&amp;F944&amp;I944&amp;J944,"未发货")</f>
        <v>#N/A</v>
      </c>
      <c r="I944" s="41" t="e">
        <f>VLOOKUP(B944,辅助信息!E:I,3,FALSE)</f>
        <v>#N/A</v>
      </c>
      <c r="J944" s="41" t="e">
        <f>VLOOKUP(B944,辅助信息!E:I,4,FALSE)</f>
        <v>#N/A</v>
      </c>
      <c r="K944" s="41" t="e">
        <f>VLOOKUP(J944,辅助信息!H:I,2,FALSE)</f>
        <v>#N/A</v>
      </c>
      <c r="L944" s="79"/>
      <c r="M944" s="92">
        <v>45728</v>
      </c>
      <c r="O944" s="63">
        <f ca="1" t="shared" si="30"/>
        <v>0</v>
      </c>
      <c r="P944" s="63">
        <f ca="1" t="shared" si="31"/>
        <v>231</v>
      </c>
      <c r="Q944" s="27" t="e">
        <f>VLOOKUP(B944,辅助信息!E:M,9,FALSE)</f>
        <v>#N/A</v>
      </c>
      <c r="R944" s="27"/>
    </row>
    <row r="945" hidden="1" spans="2:18">
      <c r="B945" s="41" t="s">
        <v>74</v>
      </c>
      <c r="C945" s="71">
        <v>45730</v>
      </c>
      <c r="D945" s="41" t="e">
        <f>VLOOKUP(B945,辅助信息!E:K,7,FALSE)</f>
        <v>#N/A</v>
      </c>
      <c r="E945" s="41" t="str">
        <f>VLOOKUP(F945,辅助信息!A:B,2,FALSE)</f>
        <v>螺纹钢</v>
      </c>
      <c r="F945" s="41" t="s">
        <v>33</v>
      </c>
      <c r="G945" s="37">
        <v>9</v>
      </c>
      <c r="H945" s="37" t="e">
        <f>_xlfn._xlws.FILTER('[1]2025年已发货'!$E:$E,'[1]2025年已发货'!$F:$F&amp;'[1]2025年已发货'!$C:$C&amp;'[1]2025年已发货'!$G:$G&amp;'[1]2025年已发货'!$H:$H=C945&amp;F945&amp;I945&amp;J945,"未发货")</f>
        <v>#N/A</v>
      </c>
      <c r="I945" s="41" t="e">
        <f>VLOOKUP(B945,辅助信息!E:I,3,FALSE)</f>
        <v>#N/A</v>
      </c>
      <c r="J945" s="41" t="e">
        <f>VLOOKUP(B945,辅助信息!E:I,4,FALSE)</f>
        <v>#N/A</v>
      </c>
      <c r="K945" s="41" t="e">
        <f>VLOOKUP(J945,辅助信息!H:I,2,FALSE)</f>
        <v>#N/A</v>
      </c>
      <c r="L945" s="79"/>
      <c r="M945" s="92">
        <v>45728</v>
      </c>
      <c r="O945" s="63">
        <f ca="1" t="shared" si="30"/>
        <v>0</v>
      </c>
      <c r="P945" s="63">
        <f ca="1" t="shared" si="31"/>
        <v>231</v>
      </c>
      <c r="Q945" s="27" t="e">
        <f>VLOOKUP(B945,辅助信息!E:M,9,FALSE)</f>
        <v>#N/A</v>
      </c>
      <c r="R945" s="27"/>
    </row>
    <row r="946" hidden="1" spans="2:18">
      <c r="B946" s="41" t="s">
        <v>74</v>
      </c>
      <c r="C946" s="71">
        <v>45730</v>
      </c>
      <c r="D946" s="41" t="e">
        <f>VLOOKUP(B946,辅助信息!E:K,7,FALSE)</f>
        <v>#N/A</v>
      </c>
      <c r="E946" s="41" t="str">
        <f>VLOOKUP(F946,辅助信息!A:B,2,FALSE)</f>
        <v>螺纹钢</v>
      </c>
      <c r="F946" s="41" t="s">
        <v>18</v>
      </c>
      <c r="G946" s="37">
        <v>3</v>
      </c>
      <c r="H946" s="37" t="e">
        <f>_xlfn._xlws.FILTER('[1]2025年已发货'!$E:$E,'[1]2025年已发货'!$F:$F&amp;'[1]2025年已发货'!$C:$C&amp;'[1]2025年已发货'!$G:$G&amp;'[1]2025年已发货'!$H:$H=C946&amp;F946&amp;I946&amp;J946,"未发货")</f>
        <v>#N/A</v>
      </c>
      <c r="I946" s="41" t="e">
        <f>VLOOKUP(B946,辅助信息!E:I,3,FALSE)</f>
        <v>#N/A</v>
      </c>
      <c r="J946" s="41" t="e">
        <f>VLOOKUP(B946,辅助信息!E:I,4,FALSE)</f>
        <v>#N/A</v>
      </c>
      <c r="K946" s="41" t="e">
        <f>VLOOKUP(J946,辅助信息!H:I,2,FALSE)</f>
        <v>#N/A</v>
      </c>
      <c r="L946" s="79"/>
      <c r="M946" s="92">
        <v>45728</v>
      </c>
      <c r="O946" s="63">
        <f ca="1" t="shared" si="30"/>
        <v>0</v>
      </c>
      <c r="P946" s="63">
        <f ca="1" t="shared" si="31"/>
        <v>231</v>
      </c>
      <c r="Q946" s="27" t="e">
        <f>VLOOKUP(B946,辅助信息!E:M,9,FALSE)</f>
        <v>#N/A</v>
      </c>
      <c r="R946" s="27"/>
    </row>
    <row r="947" hidden="1" spans="2:18">
      <c r="B947" s="41" t="s">
        <v>74</v>
      </c>
      <c r="C947" s="71">
        <v>45730</v>
      </c>
      <c r="D947" s="41" t="e">
        <f>VLOOKUP(B947,辅助信息!E:K,7,FALSE)</f>
        <v>#N/A</v>
      </c>
      <c r="E947" s="41" t="str">
        <f>VLOOKUP(F947,辅助信息!A:B,2,FALSE)</f>
        <v>螺纹钢</v>
      </c>
      <c r="F947" s="41" t="s">
        <v>65</v>
      </c>
      <c r="G947" s="37">
        <v>21</v>
      </c>
      <c r="H947" s="37" t="e">
        <f>_xlfn._xlws.FILTER('[1]2025年已发货'!$E:$E,'[1]2025年已发货'!$F:$F&amp;'[1]2025年已发货'!$C:$C&amp;'[1]2025年已发货'!$G:$G&amp;'[1]2025年已发货'!$H:$H=C947&amp;F947&amp;I947&amp;J947,"未发货")</f>
        <v>#N/A</v>
      </c>
      <c r="I947" s="41" t="e">
        <f>VLOOKUP(B947,辅助信息!E:I,3,FALSE)</f>
        <v>#N/A</v>
      </c>
      <c r="J947" s="41" t="e">
        <f>VLOOKUP(B947,辅助信息!E:I,4,FALSE)</f>
        <v>#N/A</v>
      </c>
      <c r="K947" s="41" t="e">
        <f>VLOOKUP(J947,辅助信息!H:I,2,FALSE)</f>
        <v>#N/A</v>
      </c>
      <c r="L947" s="77"/>
      <c r="M947" s="92">
        <v>45728</v>
      </c>
      <c r="O947" s="63">
        <f ca="1" t="shared" si="30"/>
        <v>0</v>
      </c>
      <c r="P947" s="63">
        <f ca="1" t="shared" si="31"/>
        <v>231</v>
      </c>
      <c r="Q947" s="27" t="e">
        <f>VLOOKUP(B947,辅助信息!E:M,9,FALSE)</f>
        <v>#N/A</v>
      </c>
      <c r="R947" s="27"/>
    </row>
    <row r="948" hidden="1" spans="2:18">
      <c r="B948" s="41" t="s">
        <v>68</v>
      </c>
      <c r="C948" s="71">
        <v>45730</v>
      </c>
      <c r="D948" s="41" t="s">
        <v>115</v>
      </c>
      <c r="E948" s="41" t="s">
        <v>116</v>
      </c>
      <c r="F948" s="41" t="s">
        <v>27</v>
      </c>
      <c r="G948" s="37">
        <v>11</v>
      </c>
      <c r="H948" s="37" t="str">
        <f>_xlfn._xlws.FILTER('[1]2025年已发货'!$E:$E,'[1]2025年已发货'!$F:$F&amp;'[1]2025年已发货'!$C:$C&amp;'[1]2025年已发货'!$G:$G&amp;'[1]2025年已发货'!$H:$H=C948&amp;F948&amp;I948&amp;J948,"未发货")</f>
        <v>未发货</v>
      </c>
      <c r="I948" s="41" t="str">
        <f>VLOOKUP(B948,辅助信息!E:I,3,FALSE)</f>
        <v>（商投建工达州中医药科技园-2工区-景观桥）达州市通川区达州中医药职业学院犀牛大道北段</v>
      </c>
      <c r="J948" s="41" t="str">
        <f>VLOOKUP(B948,辅助信息!E:I,4,FALSE)</f>
        <v>李波</v>
      </c>
      <c r="K948" s="41">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233</v>
      </c>
      <c r="Q948" s="27" t="str">
        <f>VLOOKUP(B948,辅助信息!E:M,9,FALSE)</f>
        <v>ZTWM-CDGS-XS-2024-0134-商投建工达州中医药科技成果示范园项目</v>
      </c>
      <c r="R948" s="27"/>
    </row>
    <row r="949" hidden="1" spans="2:18">
      <c r="B949" s="41" t="s">
        <v>68</v>
      </c>
      <c r="C949" s="71">
        <v>45730</v>
      </c>
      <c r="D949" s="41" t="s">
        <v>115</v>
      </c>
      <c r="E949" s="41" t="s">
        <v>116</v>
      </c>
      <c r="F949" s="41" t="s">
        <v>32</v>
      </c>
      <c r="G949" s="37">
        <v>99</v>
      </c>
      <c r="H949" s="37" t="str">
        <f>_xlfn._xlws.FILTER('[1]2025年已发货'!$E:$E,'[1]2025年已发货'!$F:$F&amp;'[1]2025年已发货'!$C:$C&amp;'[1]2025年已发货'!$G:$G&amp;'[1]2025年已发货'!$H:$H=C949&amp;F949&amp;I949&amp;J949,"未发货")</f>
        <v>未发货</v>
      </c>
      <c r="I949" s="41" t="str">
        <f>VLOOKUP(B949,辅助信息!E:I,3,FALSE)</f>
        <v>（商投建工达州中医药科技园-2工区-景观桥）达州市通川区达州中医药职业学院犀牛大道北段</v>
      </c>
      <c r="J949" s="41" t="str">
        <f>VLOOKUP(B949,辅助信息!E:I,4,FALSE)</f>
        <v>李波</v>
      </c>
      <c r="K949" s="41">
        <f>VLOOKUP(J949,辅助信息!H:I,2,FALSE)</f>
        <v>18381899787</v>
      </c>
      <c r="L949" s="79"/>
      <c r="M949" s="92">
        <v>45726</v>
      </c>
      <c r="O949" s="63">
        <f ca="1" t="shared" si="30"/>
        <v>0</v>
      </c>
      <c r="P949" s="63">
        <f ca="1" t="shared" si="31"/>
        <v>233</v>
      </c>
      <c r="Q949" s="27" t="str">
        <f>VLOOKUP(B949,辅助信息!E:M,9,FALSE)</f>
        <v>ZTWM-CDGS-XS-2024-0134-商投建工达州中医药科技成果示范园项目</v>
      </c>
      <c r="R949" s="27"/>
    </row>
    <row r="950" hidden="1" spans="2:18">
      <c r="B950" s="41" t="s">
        <v>68</v>
      </c>
      <c r="C950" s="71">
        <v>45730</v>
      </c>
      <c r="D950" s="41" t="str">
        <f>VLOOKUP(B950,辅助信息!E:K,7,FALSE)</f>
        <v>JWDDCD2025052800131</v>
      </c>
      <c r="E950" s="41" t="str">
        <f>VLOOKUP(F950,辅助信息!A:B,2,FALSE)</f>
        <v>螺纹钢</v>
      </c>
      <c r="F950" s="41" t="s">
        <v>18</v>
      </c>
      <c r="G950" s="37">
        <v>14</v>
      </c>
      <c r="H950" s="37" t="str">
        <f>_xlfn._xlws.FILTER('[1]2025年已发货'!$E:$E,'[1]2025年已发货'!$F:$F&amp;'[1]2025年已发货'!$C:$C&amp;'[1]2025年已发货'!$G:$G&amp;'[1]2025年已发货'!$H:$H=C950&amp;F950&amp;I950&amp;J950,"未发货")</f>
        <v>未发货</v>
      </c>
      <c r="I950" s="41" t="str">
        <f>VLOOKUP(B950,辅助信息!E:I,3,FALSE)</f>
        <v>（商投建工达州中医药科技园-2工区-景观桥）达州市通川区达州中医药职业学院犀牛大道北段</v>
      </c>
      <c r="J950" s="41" t="str">
        <f>VLOOKUP(B950,辅助信息!E:I,4,FALSE)</f>
        <v>李波</v>
      </c>
      <c r="K950" s="41">
        <f>VLOOKUP(J950,辅助信息!H:I,2,FALSE)</f>
        <v>18381899787</v>
      </c>
      <c r="L950" s="77"/>
      <c r="M950" s="92">
        <v>45726</v>
      </c>
      <c r="O950" s="63">
        <f ca="1" t="shared" si="30"/>
        <v>0</v>
      </c>
      <c r="P950" s="63">
        <f ca="1" t="shared" si="31"/>
        <v>233</v>
      </c>
      <c r="Q950" s="27" t="str">
        <f>VLOOKUP(B950,辅助信息!E:M,9,FALSE)</f>
        <v>ZTWM-CDGS-XS-2024-0134-商投建工达州中医药科技成果示范园项目</v>
      </c>
      <c r="R950" s="27"/>
    </row>
    <row r="951" hidden="1" spans="2:18">
      <c r="B951" s="41" t="s">
        <v>69</v>
      </c>
      <c r="C951" s="71">
        <v>45730</v>
      </c>
      <c r="D951" s="41" t="str">
        <f>VLOOKUP(B951,辅助信息!E:K,7,FALSE)</f>
        <v>JWDDCD2025052800131</v>
      </c>
      <c r="E951" s="41" t="str">
        <f>VLOOKUP(F951,辅助信息!A:B,2,FALSE)</f>
        <v>螺纹钢</v>
      </c>
      <c r="F951" s="41" t="s">
        <v>58</v>
      </c>
      <c r="G951" s="37">
        <v>24</v>
      </c>
      <c r="H951" s="37" t="str">
        <f>_xlfn._xlws.FILTER('[1]2025年已发货'!$E:$E,'[1]2025年已发货'!$F:$F&amp;'[1]2025年已发货'!$C:$C&amp;'[1]2025年已发货'!$G:$G&amp;'[1]2025年已发货'!$H:$H=C951&amp;F951&amp;I951&amp;J951,"未发货")</f>
        <v>未发货</v>
      </c>
      <c r="I951" s="41" t="str">
        <f>VLOOKUP(B951,辅助信息!E:I,3,FALSE)</f>
        <v>（商投建工达州中医药科技园-4工区-2号楼）达州市通川区达州中医药职业学院犀牛大道北段</v>
      </c>
      <c r="J951" s="41" t="str">
        <f>VLOOKUP(B951,辅助信息!E:I,4,FALSE)</f>
        <v>张扬</v>
      </c>
      <c r="K951" s="41">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228</v>
      </c>
      <c r="Q951" s="27" t="str">
        <f>VLOOKUP(B951,辅助信息!E:M,9,FALSE)</f>
        <v>ZTWM-CDGS-XS-2024-0134-商投建工达州中医药科技成果示范园项目</v>
      </c>
      <c r="R951" s="27"/>
    </row>
    <row r="952" hidden="1" spans="2:18">
      <c r="B952" s="41" t="s">
        <v>69</v>
      </c>
      <c r="C952" s="71">
        <v>45730</v>
      </c>
      <c r="D952" s="41" t="str">
        <f>VLOOKUP(B952,辅助信息!E:K,7,FALSE)</f>
        <v>JWDDCD2025052800131</v>
      </c>
      <c r="E952" s="41" t="str">
        <f>VLOOKUP(F952,辅助信息!A:B,2,FALSE)</f>
        <v>螺纹钢</v>
      </c>
      <c r="F952" s="41" t="s">
        <v>22</v>
      </c>
      <c r="G952" s="37">
        <v>12</v>
      </c>
      <c r="H952" s="37" t="str">
        <f>_xlfn._xlws.FILTER('[1]2025年已发货'!$E:$E,'[1]2025年已发货'!$F:$F&amp;'[1]2025年已发货'!$C:$C&amp;'[1]2025年已发货'!$G:$G&amp;'[1]2025年已发货'!$H:$H=C952&amp;F952&amp;I952&amp;J952,"未发货")</f>
        <v>未发货</v>
      </c>
      <c r="I952" s="41" t="str">
        <f>VLOOKUP(B952,辅助信息!E:I,3,FALSE)</f>
        <v>（商投建工达州中医药科技园-4工区-2号楼）达州市通川区达州中医药职业学院犀牛大道北段</v>
      </c>
      <c r="J952" s="41" t="str">
        <f>VLOOKUP(B952,辅助信息!E:I,4,FALSE)</f>
        <v>张扬</v>
      </c>
      <c r="K952" s="41">
        <f>VLOOKUP(J952,辅助信息!H:I,2,FALSE)</f>
        <v>18381904567</v>
      </c>
      <c r="L952" s="79"/>
      <c r="M952" s="92">
        <v>45731</v>
      </c>
      <c r="O952" s="63">
        <f ca="1" t="shared" si="30"/>
        <v>0</v>
      </c>
      <c r="P952" s="63">
        <f ca="1" t="shared" si="31"/>
        <v>228</v>
      </c>
      <c r="Q952" s="27" t="str">
        <f>VLOOKUP(B952,辅助信息!E:M,9,FALSE)</f>
        <v>ZTWM-CDGS-XS-2024-0134-商投建工达州中医药科技成果示范园项目</v>
      </c>
      <c r="R952" s="27"/>
    </row>
    <row r="953" hidden="1" spans="2:18">
      <c r="B953" s="41" t="s">
        <v>69</v>
      </c>
      <c r="C953" s="71">
        <v>45730</v>
      </c>
      <c r="D953" s="41" t="str">
        <f>VLOOKUP(B953,辅助信息!E:K,7,FALSE)</f>
        <v>JWDDCD2025052800131</v>
      </c>
      <c r="E953" s="41" t="str">
        <f>VLOOKUP(F953,辅助信息!A:B,2,FALSE)</f>
        <v>盘螺</v>
      </c>
      <c r="F953" s="41" t="s">
        <v>40</v>
      </c>
      <c r="G953" s="37">
        <v>60</v>
      </c>
      <c r="H953" s="37" t="str">
        <f>_xlfn._xlws.FILTER('[1]2025年已发货'!$E:$E,'[1]2025年已发货'!$F:$F&amp;'[1]2025年已发货'!$C:$C&amp;'[1]2025年已发货'!$G:$G&amp;'[1]2025年已发货'!$H:$H=C953&amp;F953&amp;I953&amp;J953,"未发货")</f>
        <v>未发货</v>
      </c>
      <c r="I953" s="41" t="str">
        <f>VLOOKUP(B953,辅助信息!E:I,3,FALSE)</f>
        <v>（商投建工达州中医药科技园-4工区-2号楼）达州市通川区达州中医药职业学院犀牛大道北段</v>
      </c>
      <c r="J953" s="41" t="str">
        <f>VLOOKUP(B953,辅助信息!E:I,4,FALSE)</f>
        <v>张扬</v>
      </c>
      <c r="K953" s="41">
        <f>VLOOKUP(J953,辅助信息!H:I,2,FALSE)</f>
        <v>18381904567</v>
      </c>
      <c r="L953" s="79"/>
      <c r="M953" s="92">
        <v>45731</v>
      </c>
      <c r="O953" s="63">
        <f ca="1" t="shared" si="30"/>
        <v>0</v>
      </c>
      <c r="P953" s="63">
        <f ca="1" t="shared" si="31"/>
        <v>228</v>
      </c>
      <c r="Q953" s="27" t="str">
        <f>VLOOKUP(B953,辅助信息!E:M,9,FALSE)</f>
        <v>ZTWM-CDGS-XS-2024-0134-商投建工达州中医药科技成果示范园项目</v>
      </c>
      <c r="R953" s="27"/>
    </row>
    <row r="954" hidden="1" spans="2:18">
      <c r="B954" s="41" t="s">
        <v>69</v>
      </c>
      <c r="C954" s="71">
        <v>45730</v>
      </c>
      <c r="D954" s="41" t="str">
        <f>VLOOKUP(B954,辅助信息!E:K,7,FALSE)</f>
        <v>JWDDCD2025052800131</v>
      </c>
      <c r="E954" s="41" t="str">
        <f>VLOOKUP(F954,辅助信息!A:B,2,FALSE)</f>
        <v>螺纹钢</v>
      </c>
      <c r="F954" s="41" t="s">
        <v>33</v>
      </c>
      <c r="G954" s="37">
        <v>9</v>
      </c>
      <c r="H954" s="37" t="str">
        <f>_xlfn._xlws.FILTER('[1]2025年已发货'!$E:$E,'[1]2025年已发货'!$F:$F&amp;'[1]2025年已发货'!$C:$C&amp;'[1]2025年已发货'!$G:$G&amp;'[1]2025年已发货'!$H:$H=C954&amp;F954&amp;I954&amp;J954,"未发货")</f>
        <v>未发货</v>
      </c>
      <c r="I954" s="41" t="str">
        <f>VLOOKUP(B954,辅助信息!E:I,3,FALSE)</f>
        <v>（商投建工达州中医药科技园-4工区-2号楼）达州市通川区达州中医药职业学院犀牛大道北段</v>
      </c>
      <c r="J954" s="41" t="str">
        <f>VLOOKUP(B954,辅助信息!E:I,4,FALSE)</f>
        <v>张扬</v>
      </c>
      <c r="K954" s="41">
        <f>VLOOKUP(J954,辅助信息!H:I,2,FALSE)</f>
        <v>18381904567</v>
      </c>
      <c r="L954" s="77"/>
      <c r="M954" s="92">
        <v>45731</v>
      </c>
      <c r="O954" s="63">
        <f ca="1" t="shared" si="30"/>
        <v>0</v>
      </c>
      <c r="P954" s="63">
        <f ca="1" t="shared" si="31"/>
        <v>228</v>
      </c>
      <c r="Q954" s="27" t="str">
        <f>VLOOKUP(B954,辅助信息!E:M,9,FALSE)</f>
        <v>ZTWM-CDGS-XS-2024-0134-商投建工达州中医药科技成果示范园项目</v>
      </c>
      <c r="R954" s="27"/>
    </row>
    <row r="955" hidden="1" spans="2:18">
      <c r="B955" s="41" t="s">
        <v>74</v>
      </c>
      <c r="C955" s="71">
        <v>45732</v>
      </c>
      <c r="D955" s="41" t="e">
        <f>VLOOKUP(B955,辅助信息!E:K,7,FALSE)</f>
        <v>#N/A</v>
      </c>
      <c r="E955" s="41" t="str">
        <f>VLOOKUP(F955,辅助信息!A:B,2,FALSE)</f>
        <v>螺纹钢</v>
      </c>
      <c r="F955" s="41" t="s">
        <v>27</v>
      </c>
      <c r="G955" s="37">
        <v>3</v>
      </c>
      <c r="H955" s="37" t="e">
        <f>_xlfn._xlws.FILTER('[1]2025年已发货'!$E:$E,'[1]2025年已发货'!$F:$F&amp;'[1]2025年已发货'!$C:$C&amp;'[1]2025年已发货'!$G:$G&amp;'[1]2025年已发货'!$H:$H=C955&amp;F955&amp;I955&amp;J955,"未发货")</f>
        <v>#N/A</v>
      </c>
      <c r="I955" s="41" t="e">
        <f>VLOOKUP(B955,辅助信息!E:I,3,FALSE)</f>
        <v>#N/A</v>
      </c>
      <c r="J955" s="41" t="e">
        <f>VLOOKUP(B955,辅助信息!E:I,4,FALSE)</f>
        <v>#N/A</v>
      </c>
      <c r="K955" s="41" t="e">
        <f>VLOOKUP(J955,辅助信息!H:I,2,FALSE)</f>
        <v>#N/A</v>
      </c>
      <c r="L955" s="78" t="e">
        <f>VLOOKUP(B955,辅助信息!E:J,6,FALSE)</f>
        <v>#N/A</v>
      </c>
      <c r="M955" s="92">
        <v>45728</v>
      </c>
      <c r="O955" s="63">
        <f ca="1" t="shared" si="30"/>
        <v>0</v>
      </c>
      <c r="P955" s="63">
        <f ca="1" t="shared" si="31"/>
        <v>231</v>
      </c>
      <c r="Q955" s="27" t="e">
        <f>VLOOKUP(B955,辅助信息!E:M,9,FALSE)</f>
        <v>#N/A</v>
      </c>
      <c r="R955" s="27"/>
    </row>
    <row r="956" hidden="1" spans="2:18">
      <c r="B956" s="41" t="s">
        <v>74</v>
      </c>
      <c r="C956" s="71">
        <v>45732</v>
      </c>
      <c r="D956" s="41" t="e">
        <f>VLOOKUP(B956,辅助信息!E:K,7,FALSE)</f>
        <v>#N/A</v>
      </c>
      <c r="E956" s="41" t="str">
        <f>VLOOKUP(F956,辅助信息!A:B,2,FALSE)</f>
        <v>螺纹钢</v>
      </c>
      <c r="F956" s="41" t="s">
        <v>19</v>
      </c>
      <c r="G956" s="37">
        <v>3</v>
      </c>
      <c r="H956" s="37" t="e">
        <f>_xlfn._xlws.FILTER('[1]2025年已发货'!$E:$E,'[1]2025年已发货'!$F:$F&amp;'[1]2025年已发货'!$C:$C&amp;'[1]2025年已发货'!$G:$G&amp;'[1]2025年已发货'!$H:$H=C956&amp;F956&amp;I956&amp;J956,"未发货")</f>
        <v>#N/A</v>
      </c>
      <c r="I956" s="41" t="e">
        <f>VLOOKUP(B956,辅助信息!E:I,3,FALSE)</f>
        <v>#N/A</v>
      </c>
      <c r="J956" s="41" t="e">
        <f>VLOOKUP(B956,辅助信息!E:I,4,FALSE)</f>
        <v>#N/A</v>
      </c>
      <c r="K956" s="41" t="e">
        <f>VLOOKUP(J956,辅助信息!H:I,2,FALSE)</f>
        <v>#N/A</v>
      </c>
      <c r="L956" s="79"/>
      <c r="M956" s="92">
        <v>45728</v>
      </c>
      <c r="O956" s="63">
        <f ca="1" t="shared" si="30"/>
        <v>0</v>
      </c>
      <c r="P956" s="63">
        <f ca="1" t="shared" si="31"/>
        <v>231</v>
      </c>
      <c r="Q956" s="27" t="e">
        <f>VLOOKUP(B956,辅助信息!E:M,9,FALSE)</f>
        <v>#N/A</v>
      </c>
      <c r="R956" s="27"/>
    </row>
    <row r="957" hidden="1" spans="2:18">
      <c r="B957" s="41" t="s">
        <v>74</v>
      </c>
      <c r="C957" s="71">
        <v>45732</v>
      </c>
      <c r="D957" s="41" t="e">
        <f>VLOOKUP(B957,辅助信息!E:K,7,FALSE)</f>
        <v>#N/A</v>
      </c>
      <c r="E957" s="41" t="str">
        <f>VLOOKUP(F957,辅助信息!A:B,2,FALSE)</f>
        <v>螺纹钢</v>
      </c>
      <c r="F957" s="41" t="s">
        <v>32</v>
      </c>
      <c r="G957" s="37">
        <v>6</v>
      </c>
      <c r="H957" s="37" t="e">
        <f>_xlfn._xlws.FILTER('[1]2025年已发货'!$E:$E,'[1]2025年已发货'!$F:$F&amp;'[1]2025年已发货'!$C:$C&amp;'[1]2025年已发货'!$G:$G&amp;'[1]2025年已发货'!$H:$H=C957&amp;F957&amp;I957&amp;J957,"未发货")</f>
        <v>#N/A</v>
      </c>
      <c r="I957" s="41" t="e">
        <f>VLOOKUP(B957,辅助信息!E:I,3,FALSE)</f>
        <v>#N/A</v>
      </c>
      <c r="J957" s="41" t="e">
        <f>VLOOKUP(B957,辅助信息!E:I,4,FALSE)</f>
        <v>#N/A</v>
      </c>
      <c r="K957" s="41" t="e">
        <f>VLOOKUP(J957,辅助信息!H:I,2,FALSE)</f>
        <v>#N/A</v>
      </c>
      <c r="L957" s="79"/>
      <c r="M957" s="92">
        <v>45728</v>
      </c>
      <c r="O957" s="63">
        <f ca="1" t="shared" si="30"/>
        <v>0</v>
      </c>
      <c r="P957" s="63">
        <f ca="1" t="shared" si="31"/>
        <v>231</v>
      </c>
      <c r="Q957" s="27" t="e">
        <f>VLOOKUP(B957,辅助信息!E:M,9,FALSE)</f>
        <v>#N/A</v>
      </c>
      <c r="R957" s="27"/>
    </row>
    <row r="958" hidden="1" spans="2:18">
      <c r="B958" s="41" t="s">
        <v>74</v>
      </c>
      <c r="C958" s="71">
        <v>45732</v>
      </c>
      <c r="D958" s="41" t="e">
        <f>VLOOKUP(B958,辅助信息!E:K,7,FALSE)</f>
        <v>#N/A</v>
      </c>
      <c r="E958" s="41" t="str">
        <f>VLOOKUP(F958,辅助信息!A:B,2,FALSE)</f>
        <v>螺纹钢</v>
      </c>
      <c r="F958" s="41" t="s">
        <v>33</v>
      </c>
      <c r="G958" s="37">
        <v>9</v>
      </c>
      <c r="H958" s="37" t="e">
        <f>_xlfn._xlws.FILTER('[1]2025年已发货'!$E:$E,'[1]2025年已发货'!$F:$F&amp;'[1]2025年已发货'!$C:$C&amp;'[1]2025年已发货'!$G:$G&amp;'[1]2025年已发货'!$H:$H=C958&amp;F958&amp;I958&amp;J958,"未发货")</f>
        <v>#N/A</v>
      </c>
      <c r="I958" s="41" t="e">
        <f>VLOOKUP(B958,辅助信息!E:I,3,FALSE)</f>
        <v>#N/A</v>
      </c>
      <c r="J958" s="41" t="e">
        <f>VLOOKUP(B958,辅助信息!E:I,4,FALSE)</f>
        <v>#N/A</v>
      </c>
      <c r="K958" s="41" t="e">
        <f>VLOOKUP(J958,辅助信息!H:I,2,FALSE)</f>
        <v>#N/A</v>
      </c>
      <c r="L958" s="79"/>
      <c r="M958" s="92">
        <v>45728</v>
      </c>
      <c r="O958" s="63">
        <f ca="1" t="shared" si="30"/>
        <v>0</v>
      </c>
      <c r="P958" s="63">
        <f ca="1" t="shared" si="31"/>
        <v>231</v>
      </c>
      <c r="Q958" s="27" t="e">
        <f>VLOOKUP(B958,辅助信息!E:M,9,FALSE)</f>
        <v>#N/A</v>
      </c>
      <c r="R958" s="27"/>
    </row>
    <row r="959" hidden="1" spans="2:18">
      <c r="B959" s="41" t="s">
        <v>74</v>
      </c>
      <c r="C959" s="71">
        <v>45732</v>
      </c>
      <c r="D959" s="41" t="e">
        <f>VLOOKUP(B959,辅助信息!E:K,7,FALSE)</f>
        <v>#N/A</v>
      </c>
      <c r="E959" s="41" t="str">
        <f>VLOOKUP(F959,辅助信息!A:B,2,FALSE)</f>
        <v>螺纹钢</v>
      </c>
      <c r="F959" s="41" t="s">
        <v>18</v>
      </c>
      <c r="G959" s="37">
        <v>3</v>
      </c>
      <c r="H959" s="37" t="e">
        <f>_xlfn._xlws.FILTER('[1]2025年已发货'!$E:$E,'[1]2025年已发货'!$F:$F&amp;'[1]2025年已发货'!$C:$C&amp;'[1]2025年已发货'!$G:$G&amp;'[1]2025年已发货'!$H:$H=C959&amp;F959&amp;I959&amp;J959,"未发货")</f>
        <v>#N/A</v>
      </c>
      <c r="I959" s="41" t="e">
        <f>VLOOKUP(B959,辅助信息!E:I,3,FALSE)</f>
        <v>#N/A</v>
      </c>
      <c r="J959" s="41" t="e">
        <f>VLOOKUP(B959,辅助信息!E:I,4,FALSE)</f>
        <v>#N/A</v>
      </c>
      <c r="K959" s="41" t="e">
        <f>VLOOKUP(J959,辅助信息!H:I,2,FALSE)</f>
        <v>#N/A</v>
      </c>
      <c r="L959" s="79"/>
      <c r="M959" s="92">
        <v>45728</v>
      </c>
      <c r="O959" s="63">
        <f ca="1" t="shared" si="30"/>
        <v>0</v>
      </c>
      <c r="P959" s="63">
        <f ca="1" t="shared" si="31"/>
        <v>231</v>
      </c>
      <c r="Q959" s="27" t="e">
        <f>VLOOKUP(B959,辅助信息!E:M,9,FALSE)</f>
        <v>#N/A</v>
      </c>
      <c r="R959" s="27"/>
    </row>
    <row r="960" hidden="1" spans="2:18">
      <c r="B960" s="41" t="s">
        <v>74</v>
      </c>
      <c r="C960" s="71">
        <v>45732</v>
      </c>
      <c r="D960" s="41" t="e">
        <f>VLOOKUP(B960,辅助信息!E:K,7,FALSE)</f>
        <v>#N/A</v>
      </c>
      <c r="E960" s="41" t="str">
        <f>VLOOKUP(F960,辅助信息!A:B,2,FALSE)</f>
        <v>螺纹钢</v>
      </c>
      <c r="F960" s="41" t="s">
        <v>65</v>
      </c>
      <c r="G960" s="37">
        <v>21</v>
      </c>
      <c r="H960" s="37" t="e">
        <f>_xlfn._xlws.FILTER('[1]2025年已发货'!$E:$E,'[1]2025年已发货'!$F:$F&amp;'[1]2025年已发货'!$C:$C&amp;'[1]2025年已发货'!$G:$G&amp;'[1]2025年已发货'!$H:$H=C960&amp;F960&amp;I960&amp;J960,"未发货")</f>
        <v>#N/A</v>
      </c>
      <c r="I960" s="41" t="e">
        <f>VLOOKUP(B960,辅助信息!E:I,3,FALSE)</f>
        <v>#N/A</v>
      </c>
      <c r="J960" s="41" t="e">
        <f>VLOOKUP(B960,辅助信息!E:I,4,FALSE)</f>
        <v>#N/A</v>
      </c>
      <c r="K960" s="41" t="e">
        <f>VLOOKUP(J960,辅助信息!H:I,2,FALSE)</f>
        <v>#N/A</v>
      </c>
      <c r="L960" s="77"/>
      <c r="M960" s="92">
        <v>45728</v>
      </c>
      <c r="O960" s="63">
        <f ca="1" t="shared" si="30"/>
        <v>0</v>
      </c>
      <c r="P960" s="63">
        <f ca="1" t="shared" si="31"/>
        <v>231</v>
      </c>
      <c r="Q960" s="27" t="e">
        <f>VLOOKUP(B960,辅助信息!E:M,9,FALSE)</f>
        <v>#N/A</v>
      </c>
      <c r="R960" s="27"/>
    </row>
    <row r="961" hidden="1" spans="2:18">
      <c r="B961" s="41" t="s">
        <v>68</v>
      </c>
      <c r="C961" s="71">
        <v>45732</v>
      </c>
      <c r="D961" s="41" t="str">
        <f>VLOOKUP(B961,辅助信息!E:K,7,FALSE)</f>
        <v>JWDDCD2025052800131</v>
      </c>
      <c r="E961" s="41" t="str">
        <f>VLOOKUP(F961,辅助信息!A:B,2,FALSE)</f>
        <v>螺纹钢</v>
      </c>
      <c r="F961" s="41" t="s">
        <v>27</v>
      </c>
      <c r="G961" s="37">
        <v>11</v>
      </c>
      <c r="H961" s="37" t="str">
        <f>_xlfn._xlws.FILTER('[1]2025年已发货'!$E:$E,'[1]2025年已发货'!$F:$F&amp;'[1]2025年已发货'!$C:$C&amp;'[1]2025年已发货'!$G:$G&amp;'[1]2025年已发货'!$H:$H=C961&amp;F961&amp;I961&amp;J961,"未发货")</f>
        <v>未发货</v>
      </c>
      <c r="I961" s="41" t="str">
        <f>VLOOKUP(B961,辅助信息!E:I,3,FALSE)</f>
        <v>（商投建工达州中医药科技园-2工区-景观桥）达州市通川区达州中医药职业学院犀牛大道北段</v>
      </c>
      <c r="J961" s="41" t="str">
        <f>VLOOKUP(B961,辅助信息!E:I,4,FALSE)</f>
        <v>李波</v>
      </c>
      <c r="K961" s="41">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233</v>
      </c>
      <c r="Q961" s="27" t="str">
        <f>VLOOKUP(B961,辅助信息!E:M,9,FALSE)</f>
        <v>ZTWM-CDGS-XS-2024-0134-商投建工达州中医药科技成果示范园项目</v>
      </c>
      <c r="R961" s="27"/>
    </row>
    <row r="962" hidden="1" spans="2:18">
      <c r="B962" s="41" t="s">
        <v>68</v>
      </c>
      <c r="C962" s="71">
        <v>45732</v>
      </c>
      <c r="D962" s="41" t="str">
        <f>VLOOKUP(B962,辅助信息!E:K,7,FALSE)</f>
        <v>JWDDCD2025052800131</v>
      </c>
      <c r="E962" s="41" t="str">
        <f>VLOOKUP(F962,辅助信息!A:B,2,FALSE)</f>
        <v>螺纹钢</v>
      </c>
      <c r="F962" s="41" t="s">
        <v>32</v>
      </c>
      <c r="G962" s="37">
        <v>99</v>
      </c>
      <c r="H962" s="37" t="str">
        <f>_xlfn._xlws.FILTER('[1]2025年已发货'!$E:$E,'[1]2025年已发货'!$F:$F&amp;'[1]2025年已发货'!$C:$C&amp;'[1]2025年已发货'!$G:$G&amp;'[1]2025年已发货'!$H:$H=C962&amp;F962&amp;I962&amp;J962,"未发货")</f>
        <v>未发货</v>
      </c>
      <c r="I962" s="41" t="str">
        <f>VLOOKUP(B962,辅助信息!E:I,3,FALSE)</f>
        <v>（商投建工达州中医药科技园-2工区-景观桥）达州市通川区达州中医药职业学院犀牛大道北段</v>
      </c>
      <c r="J962" s="41" t="str">
        <f>VLOOKUP(B962,辅助信息!E:I,4,FALSE)</f>
        <v>李波</v>
      </c>
      <c r="K962" s="41">
        <f>VLOOKUP(J962,辅助信息!H:I,2,FALSE)</f>
        <v>18381899787</v>
      </c>
      <c r="L962" s="79"/>
      <c r="M962" s="92">
        <v>45726</v>
      </c>
      <c r="O962" s="63">
        <f ca="1" t="shared" si="30"/>
        <v>0</v>
      </c>
      <c r="P962" s="63">
        <f ca="1" t="shared" si="31"/>
        <v>233</v>
      </c>
      <c r="Q962" s="27" t="str">
        <f>VLOOKUP(B962,辅助信息!E:M,9,FALSE)</f>
        <v>ZTWM-CDGS-XS-2024-0134-商投建工达州中医药科技成果示范园项目</v>
      </c>
      <c r="R962" s="27"/>
    </row>
    <row r="963" hidden="1" spans="2:18">
      <c r="B963" s="41" t="s">
        <v>68</v>
      </c>
      <c r="C963" s="71">
        <v>45732</v>
      </c>
      <c r="D963" s="41" t="str">
        <f>VLOOKUP(B963,辅助信息!E:K,7,FALSE)</f>
        <v>JWDDCD2025052800131</v>
      </c>
      <c r="E963" s="41" t="str">
        <f>VLOOKUP(F963,辅助信息!A:B,2,FALSE)</f>
        <v>螺纹钢</v>
      </c>
      <c r="F963" s="41" t="s">
        <v>18</v>
      </c>
      <c r="G963" s="37">
        <v>14</v>
      </c>
      <c r="H963" s="37" t="str">
        <f>_xlfn._xlws.FILTER('[1]2025年已发货'!$E:$E,'[1]2025年已发货'!$F:$F&amp;'[1]2025年已发货'!$C:$C&amp;'[1]2025年已发货'!$G:$G&amp;'[1]2025年已发货'!$H:$H=C963&amp;F963&amp;I963&amp;J963,"未发货")</f>
        <v>未发货</v>
      </c>
      <c r="I963" s="41" t="str">
        <f>VLOOKUP(B963,辅助信息!E:I,3,FALSE)</f>
        <v>（商投建工达州中医药科技园-2工区-景观桥）达州市通川区达州中医药职业学院犀牛大道北段</v>
      </c>
      <c r="J963" s="41" t="str">
        <f>VLOOKUP(B963,辅助信息!E:I,4,FALSE)</f>
        <v>李波</v>
      </c>
      <c r="K963" s="41">
        <f>VLOOKUP(J963,辅助信息!H:I,2,FALSE)</f>
        <v>18381899787</v>
      </c>
      <c r="L963" s="77"/>
      <c r="M963" s="92">
        <v>45726</v>
      </c>
      <c r="O963" s="63">
        <f ca="1" t="shared" si="30"/>
        <v>0</v>
      </c>
      <c r="P963" s="63">
        <f ca="1" t="shared" si="31"/>
        <v>233</v>
      </c>
      <c r="Q963" s="27" t="str">
        <f>VLOOKUP(B963,辅助信息!E:M,9,FALSE)</f>
        <v>ZTWM-CDGS-XS-2024-0134-商投建工达州中医药科技成果示范园项目</v>
      </c>
      <c r="R963" s="27"/>
    </row>
    <row r="964" hidden="1" spans="2:18">
      <c r="B964" s="41" t="s">
        <v>69</v>
      </c>
      <c r="C964" s="71">
        <v>45732</v>
      </c>
      <c r="D964" s="41" t="str">
        <f>VLOOKUP(B964,辅助信息!E:K,7,FALSE)</f>
        <v>JWDDCD2025052800131</v>
      </c>
      <c r="E964" s="41" t="str">
        <f>VLOOKUP(F964,辅助信息!A:B,2,FALSE)</f>
        <v>螺纹钢</v>
      </c>
      <c r="F964" s="41" t="s">
        <v>58</v>
      </c>
      <c r="G964" s="37">
        <v>24</v>
      </c>
      <c r="H964" s="88">
        <f>_xlfn._xlws.FILTER('[1]2025年已发货'!$E:$E,'[1]2025年已发货'!$F:$F&amp;'[1]2025年已发货'!$C:$C&amp;'[1]2025年已发货'!$G:$G&amp;'[1]2025年已发货'!$H:$H=C964&amp;F964&amp;I964&amp;J964,"未发货")</f>
        <v>18</v>
      </c>
      <c r="I964" s="41" t="str">
        <f>VLOOKUP(B964,辅助信息!E:I,3,FALSE)</f>
        <v>（商投建工达州中医药科技园-4工区-2号楼）达州市通川区达州中医药职业学院犀牛大道北段</v>
      </c>
      <c r="J964" s="41" t="str">
        <f>VLOOKUP(B964,辅助信息!E:I,4,FALSE)</f>
        <v>张扬</v>
      </c>
      <c r="K964" s="41">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228</v>
      </c>
      <c r="Q964" s="27" t="str">
        <f>VLOOKUP(B964,辅助信息!E:M,9,FALSE)</f>
        <v>ZTWM-CDGS-XS-2024-0134-商投建工达州中医药科技成果示范园项目</v>
      </c>
      <c r="R964" s="27"/>
    </row>
    <row r="965" hidden="1" spans="2:18">
      <c r="B965" s="41" t="s">
        <v>69</v>
      </c>
      <c r="C965" s="71">
        <v>45732</v>
      </c>
      <c r="D965" s="41" t="str">
        <f>VLOOKUP(B965,辅助信息!E:K,7,FALSE)</f>
        <v>JWDDCD2025052800131</v>
      </c>
      <c r="E965" s="41" t="str">
        <f>VLOOKUP(F965,辅助信息!A:B,2,FALSE)</f>
        <v>螺纹钢</v>
      </c>
      <c r="F965" s="41" t="s">
        <v>22</v>
      </c>
      <c r="G965" s="37">
        <v>12</v>
      </c>
      <c r="H965" s="88">
        <f>_xlfn._xlws.FILTER('[1]2025年已发货'!$E:$E,'[1]2025年已发货'!$F:$F&amp;'[1]2025年已发货'!$C:$C&amp;'[1]2025年已发货'!$G:$G&amp;'[1]2025年已发货'!$H:$H=C965&amp;F965&amp;I965&amp;J965,"未发货")</f>
        <v>12</v>
      </c>
      <c r="I965" s="41" t="str">
        <f>VLOOKUP(B965,辅助信息!E:I,3,FALSE)</f>
        <v>（商投建工达州中医药科技园-4工区-2号楼）达州市通川区达州中医药职业学院犀牛大道北段</v>
      </c>
      <c r="J965" s="41" t="str">
        <f>VLOOKUP(B965,辅助信息!E:I,4,FALSE)</f>
        <v>张扬</v>
      </c>
      <c r="K965" s="41">
        <f>VLOOKUP(J965,辅助信息!H:I,2,FALSE)</f>
        <v>18381904567</v>
      </c>
      <c r="L965" s="79"/>
      <c r="M965" s="92">
        <v>45731</v>
      </c>
      <c r="O965" s="63">
        <f ca="1" t="shared" si="30"/>
        <v>0</v>
      </c>
      <c r="P965" s="63">
        <f ca="1" t="shared" si="31"/>
        <v>228</v>
      </c>
      <c r="Q965" s="27" t="str">
        <f>VLOOKUP(B965,辅助信息!E:M,9,FALSE)</f>
        <v>ZTWM-CDGS-XS-2024-0134-商投建工达州中医药科技成果示范园项目</v>
      </c>
      <c r="R965" s="27"/>
    </row>
    <row r="966" hidden="1" spans="2:18">
      <c r="B966" s="41" t="s">
        <v>69</v>
      </c>
      <c r="C966" s="71">
        <v>45732</v>
      </c>
      <c r="D966" s="41" t="str">
        <f>VLOOKUP(B966,辅助信息!E:K,7,FALSE)</f>
        <v>JWDDCD2025052800131</v>
      </c>
      <c r="E966" s="41" t="str">
        <f>VLOOKUP(F966,辅助信息!A:B,2,FALSE)</f>
        <v>盘螺</v>
      </c>
      <c r="F966" s="41" t="s">
        <v>40</v>
      </c>
      <c r="G966" s="37">
        <v>60</v>
      </c>
      <c r="H966" s="88">
        <f>_xlfn._xlws.FILTER('[1]2025年已发货'!$E:$E,'[1]2025年已发货'!$F:$F&amp;'[1]2025年已发货'!$C:$C&amp;'[1]2025年已发货'!$G:$G&amp;'[1]2025年已发货'!$H:$H=C966&amp;F966&amp;I966&amp;J966,"未发货")</f>
        <v>60</v>
      </c>
      <c r="I966" s="41" t="str">
        <f>VLOOKUP(B966,辅助信息!E:I,3,FALSE)</f>
        <v>（商投建工达州中医药科技园-4工区-2号楼）达州市通川区达州中医药职业学院犀牛大道北段</v>
      </c>
      <c r="J966" s="41" t="str">
        <f>VLOOKUP(B966,辅助信息!E:I,4,FALSE)</f>
        <v>张扬</v>
      </c>
      <c r="K966" s="41">
        <f>VLOOKUP(J966,辅助信息!H:I,2,FALSE)</f>
        <v>18381904567</v>
      </c>
      <c r="L966" s="79"/>
      <c r="M966" s="92">
        <v>45731</v>
      </c>
      <c r="O966" s="63">
        <f ca="1" t="shared" si="30"/>
        <v>0</v>
      </c>
      <c r="P966" s="63">
        <f ca="1" t="shared" si="31"/>
        <v>228</v>
      </c>
      <c r="Q966" s="27" t="str">
        <f>VLOOKUP(B966,辅助信息!E:M,9,FALSE)</f>
        <v>ZTWM-CDGS-XS-2024-0134-商投建工达州中医药科技成果示范园项目</v>
      </c>
      <c r="R966" s="27"/>
    </row>
    <row r="967" hidden="1" spans="2:18">
      <c r="B967" s="41" t="s">
        <v>69</v>
      </c>
      <c r="C967" s="71">
        <v>45731</v>
      </c>
      <c r="D967" s="41" t="str">
        <f>VLOOKUP(B967,辅助信息!E:K,7,FALSE)</f>
        <v>JWDDCD2025052800131</v>
      </c>
      <c r="E967" s="41" t="str">
        <f>VLOOKUP(F967,辅助信息!A:B,2,FALSE)</f>
        <v>螺纹钢</v>
      </c>
      <c r="F967" s="41" t="s">
        <v>33</v>
      </c>
      <c r="G967" s="37">
        <v>9</v>
      </c>
      <c r="H967" s="37" t="str">
        <f>_xlfn._xlws.FILTER('[1]2025年已发货'!$E:$E,'[1]2025年已发货'!$F:$F&amp;'[1]2025年已发货'!$C:$C&amp;'[1]2025年已发货'!$G:$G&amp;'[1]2025年已发货'!$H:$H=C967&amp;F967&amp;I967&amp;J967,"未发货")</f>
        <v>未发货</v>
      </c>
      <c r="I967" s="41" t="str">
        <f>VLOOKUP(B967,辅助信息!E:I,3,FALSE)</f>
        <v>（商投建工达州中医药科技园-4工区-2号楼）达州市通川区达州中医药职业学院犀牛大道北段</v>
      </c>
      <c r="J967" s="41" t="str">
        <f>VLOOKUP(B967,辅助信息!E:I,4,FALSE)</f>
        <v>张扬</v>
      </c>
      <c r="K967" s="41">
        <f>VLOOKUP(J967,辅助信息!H:I,2,FALSE)</f>
        <v>18381904567</v>
      </c>
      <c r="L967" s="77"/>
      <c r="M967" s="105">
        <v>45731</v>
      </c>
      <c r="N967" s="44"/>
      <c r="O967" s="44">
        <f ca="1" t="shared" si="30"/>
        <v>0</v>
      </c>
      <c r="P967" s="44">
        <f ca="1" t="shared" si="31"/>
        <v>228</v>
      </c>
      <c r="Q967" s="41" t="str">
        <f>VLOOKUP(B967,辅助信息!E:M,9,FALSE)</f>
        <v>ZTWM-CDGS-XS-2024-0134-商投建工达州中医药科技成果示范园项目</v>
      </c>
      <c r="R967" s="27"/>
    </row>
    <row r="968" hidden="1" spans="2:18">
      <c r="B968" s="41" t="s">
        <v>44</v>
      </c>
      <c r="C968" s="71">
        <v>45731</v>
      </c>
      <c r="D968" s="41" t="str">
        <f>VLOOKUP(B968,辅助信息!E:K,7,FALSE)</f>
        <v>JWDDCD2025060600053</v>
      </c>
      <c r="E968" s="41" t="str">
        <f>VLOOKUP(F968,辅助信息!A:B,2,FALSE)</f>
        <v>盘螺</v>
      </c>
      <c r="F968" s="41" t="s">
        <v>26</v>
      </c>
      <c r="G968" s="37">
        <v>35</v>
      </c>
      <c r="H968" s="37">
        <f>_xlfn._xlws.FILTER('[1]2025年已发货'!$E:$E,'[1]2025年已发货'!$F:$F&amp;'[1]2025年已发货'!$C:$C&amp;'[1]2025年已发货'!$G:$G&amp;'[1]2025年已发货'!$H:$H=C968&amp;F968&amp;I968&amp;J968,"未发货")</f>
        <v>35</v>
      </c>
      <c r="I968" s="41" t="str">
        <f>VLOOKUP(B968,辅助信息!E:I,3,FALSE)</f>
        <v>（华西酒城南）成都市武侯区火车南站西路8号酒城南项目</v>
      </c>
      <c r="J968" s="41" t="str">
        <f>VLOOKUP(B968,辅助信息!E:I,4,FALSE)</f>
        <v>龙耀宇</v>
      </c>
      <c r="K968" s="41">
        <f>VLOOKUP(J968,辅助信息!H:I,2,FALSE)</f>
        <v>18384145895</v>
      </c>
      <c r="L968" s="87" t="str">
        <f>VLOOKUP(B968,辅助信息!E:J,6,FALSE)</f>
        <v>对方卸车</v>
      </c>
      <c r="M968" s="105">
        <v>45733</v>
      </c>
      <c r="N968" s="44"/>
      <c r="O968" s="44">
        <f ca="1" t="shared" si="30"/>
        <v>0</v>
      </c>
      <c r="P968" s="44">
        <f ca="1" t="shared" si="31"/>
        <v>226</v>
      </c>
      <c r="Q968" s="41" t="str">
        <f>VLOOKUP(B968,辅助信息!E:M,9,FALSE)</f>
        <v>ZTWM-CDGS-XS-2024-0189-华西集采-酒城南项目</v>
      </c>
      <c r="R968" s="27"/>
    </row>
    <row r="969" hidden="1" spans="2:18">
      <c r="B969" s="41" t="s">
        <v>64</v>
      </c>
      <c r="C969" s="71">
        <v>45731</v>
      </c>
      <c r="D969" s="41" t="e">
        <f>VLOOKUP(B969,辅助信息!E:K,7,FALSE)</f>
        <v>#N/A</v>
      </c>
      <c r="E969" s="41" t="str">
        <f>VLOOKUP(F969,辅助信息!A:B,2,FALSE)</f>
        <v>螺纹钢</v>
      </c>
      <c r="F969" s="41" t="s">
        <v>27</v>
      </c>
      <c r="G969" s="37">
        <v>24</v>
      </c>
      <c r="H969" s="37" t="e">
        <f>_xlfn._xlws.FILTER('[1]2025年已发货'!$E:$E,'[1]2025年已发货'!$F:$F&amp;'[1]2025年已发货'!$C:$C&amp;'[1]2025年已发货'!$G:$G&amp;'[1]2025年已发货'!$H:$H=C969&amp;F969&amp;I969&amp;J969,"未发货")</f>
        <v>#N/A</v>
      </c>
      <c r="I969" s="41" t="e">
        <f>VLOOKUP(B969,辅助信息!E:I,3,FALSE)</f>
        <v>#N/A</v>
      </c>
      <c r="J969" s="41" t="e">
        <f>VLOOKUP(B969,辅助信息!E:I,4,FALSE)</f>
        <v>#N/A</v>
      </c>
      <c r="K969" s="41" t="e">
        <f>VLOOKUP(J969,辅助信息!H:I,2,FALSE)</f>
        <v>#N/A</v>
      </c>
      <c r="L969" s="78" t="e">
        <f>VLOOKUP(B969,辅助信息!E:J,6,FALSE)</f>
        <v>#N/A</v>
      </c>
      <c r="M969" s="105">
        <v>45733</v>
      </c>
      <c r="N969" s="44"/>
      <c r="O969" s="44">
        <f ca="1" t="shared" si="30"/>
        <v>0</v>
      </c>
      <c r="P969" s="44">
        <f ca="1" t="shared" si="31"/>
        <v>226</v>
      </c>
      <c r="Q969" s="41" t="e">
        <f>VLOOKUP(B969,辅助信息!E:M,9,FALSE)</f>
        <v>#N/A</v>
      </c>
      <c r="R969" s="27"/>
    </row>
    <row r="970" hidden="1" spans="2:18">
      <c r="B970" s="41" t="s">
        <v>64</v>
      </c>
      <c r="C970" s="71">
        <v>45731</v>
      </c>
      <c r="D970" s="41" t="e">
        <f>VLOOKUP(B970,辅助信息!E:K,7,FALSE)</f>
        <v>#N/A</v>
      </c>
      <c r="E970" s="41" t="str">
        <f>VLOOKUP(F970,辅助信息!A:B,2,FALSE)</f>
        <v>螺纹钢</v>
      </c>
      <c r="F970" s="41" t="s">
        <v>32</v>
      </c>
      <c r="G970" s="37">
        <v>12</v>
      </c>
      <c r="H970" s="37" t="e">
        <f>_xlfn._xlws.FILTER('[1]2025年已发货'!$E:$E,'[1]2025年已发货'!$F:$F&amp;'[1]2025年已发货'!$C:$C&amp;'[1]2025年已发货'!$G:$G&amp;'[1]2025年已发货'!$H:$H=C970&amp;F970&amp;I970&amp;J970,"未发货")</f>
        <v>#N/A</v>
      </c>
      <c r="I970" s="41" t="e">
        <f>VLOOKUP(B970,辅助信息!E:I,3,FALSE)</f>
        <v>#N/A</v>
      </c>
      <c r="J970" s="41" t="e">
        <f>VLOOKUP(B970,辅助信息!E:I,4,FALSE)</f>
        <v>#N/A</v>
      </c>
      <c r="K970" s="41" t="e">
        <f>VLOOKUP(J970,辅助信息!H:I,2,FALSE)</f>
        <v>#N/A</v>
      </c>
      <c r="L970" s="79"/>
      <c r="M970" s="105">
        <v>45733</v>
      </c>
      <c r="N970" s="44"/>
      <c r="O970" s="44">
        <f ca="1" t="shared" si="30"/>
        <v>0</v>
      </c>
      <c r="P970" s="44">
        <f ca="1" t="shared" si="31"/>
        <v>226</v>
      </c>
      <c r="Q970" s="41" t="e">
        <f>VLOOKUP(B970,辅助信息!E:M,9,FALSE)</f>
        <v>#N/A</v>
      </c>
      <c r="R970" s="27"/>
    </row>
    <row r="971" hidden="1" spans="2:18">
      <c r="B971" s="41" t="s">
        <v>64</v>
      </c>
      <c r="C971" s="71">
        <v>45731</v>
      </c>
      <c r="D971" s="41" t="e">
        <f>VLOOKUP(B971,辅助信息!E:K,7,FALSE)</f>
        <v>#N/A</v>
      </c>
      <c r="E971" s="41" t="str">
        <f>VLOOKUP(F971,辅助信息!A:B,2,FALSE)</f>
        <v>螺纹钢</v>
      </c>
      <c r="F971" s="41" t="s">
        <v>33</v>
      </c>
      <c r="G971" s="37">
        <v>6</v>
      </c>
      <c r="H971" s="37" t="e">
        <f>_xlfn._xlws.FILTER('[1]2025年已发货'!$E:$E,'[1]2025年已发货'!$F:$F&amp;'[1]2025年已发货'!$C:$C&amp;'[1]2025年已发货'!$G:$G&amp;'[1]2025年已发货'!$H:$H=C971&amp;F971&amp;I971&amp;J971,"未发货")</f>
        <v>#N/A</v>
      </c>
      <c r="I971" s="41" t="e">
        <f>VLOOKUP(B971,辅助信息!E:I,3,FALSE)</f>
        <v>#N/A</v>
      </c>
      <c r="J971" s="41" t="e">
        <f>VLOOKUP(B971,辅助信息!E:I,4,FALSE)</f>
        <v>#N/A</v>
      </c>
      <c r="K971" s="41" t="e">
        <f>VLOOKUP(J971,辅助信息!H:I,2,FALSE)</f>
        <v>#N/A</v>
      </c>
      <c r="L971" s="77"/>
      <c r="M971" s="105">
        <v>45733</v>
      </c>
      <c r="N971" s="44"/>
      <c r="O971" s="44">
        <f ca="1" t="shared" si="30"/>
        <v>0</v>
      </c>
      <c r="P971" s="44">
        <f ca="1" t="shared" si="31"/>
        <v>226</v>
      </c>
      <c r="Q971" s="41" t="e">
        <f>VLOOKUP(B971,辅助信息!E:M,9,FALSE)</f>
        <v>#N/A</v>
      </c>
      <c r="R971" s="27"/>
    </row>
    <row r="972" hidden="1" spans="2:18">
      <c r="B972" s="41" t="s">
        <v>74</v>
      </c>
      <c r="C972" s="71">
        <v>45731</v>
      </c>
      <c r="D972" s="41" t="e">
        <f>VLOOKUP(B972,辅助信息!E:K,7,FALSE)</f>
        <v>#N/A</v>
      </c>
      <c r="E972" s="41" t="str">
        <f>VLOOKUP(F972,辅助信息!A:B,2,FALSE)</f>
        <v>螺纹钢</v>
      </c>
      <c r="F972" s="41" t="s">
        <v>27</v>
      </c>
      <c r="G972" s="37">
        <v>15</v>
      </c>
      <c r="H972" s="37" t="e">
        <f>_xlfn._xlws.FILTER('[1]2025年已发货'!$E:$E,'[1]2025年已发货'!$F:$F&amp;'[1]2025年已发货'!$C:$C&amp;'[1]2025年已发货'!$G:$G&amp;'[1]2025年已发货'!$H:$H=C972&amp;F972&amp;I972&amp;J972,"未发货")</f>
        <v>#N/A</v>
      </c>
      <c r="I972" s="41" t="e">
        <f>VLOOKUP(B972,辅助信息!E:I,3,FALSE)</f>
        <v>#N/A</v>
      </c>
      <c r="J972" s="41" t="e">
        <f>VLOOKUP(B972,辅助信息!E:I,4,FALSE)</f>
        <v>#N/A</v>
      </c>
      <c r="K972" s="41" t="e">
        <f>VLOOKUP(J972,辅助信息!H:I,2,FALSE)</f>
        <v>#N/A</v>
      </c>
      <c r="L972" s="78" t="e">
        <f>VLOOKUP(B972,辅助信息!E:J,6,FALSE)</f>
        <v>#N/A</v>
      </c>
      <c r="M972" s="105">
        <v>45738</v>
      </c>
      <c r="N972" s="44"/>
      <c r="O972" s="44">
        <f ca="1" t="shared" si="30"/>
        <v>0</v>
      </c>
      <c r="P972" s="44">
        <f ca="1" t="shared" si="31"/>
        <v>221</v>
      </c>
      <c r="Q972" s="41" t="e">
        <f>VLOOKUP(B972,辅助信息!E:M,9,FALSE)</f>
        <v>#N/A</v>
      </c>
      <c r="R972" s="27"/>
    </row>
    <row r="973" hidden="1" spans="2:18">
      <c r="B973" s="41" t="s">
        <v>74</v>
      </c>
      <c r="C973" s="71">
        <v>45731</v>
      </c>
      <c r="D973" s="41" t="e">
        <f>VLOOKUP(B973,辅助信息!E:K,7,FALSE)</f>
        <v>#N/A</v>
      </c>
      <c r="E973" s="41" t="str">
        <f>VLOOKUP(F973,辅助信息!A:B,2,FALSE)</f>
        <v>螺纹钢</v>
      </c>
      <c r="F973" s="41" t="s">
        <v>19</v>
      </c>
      <c r="G973" s="37">
        <v>15</v>
      </c>
      <c r="H973" s="37" t="e">
        <f>_xlfn._xlws.FILTER('[1]2025年已发货'!$E:$E,'[1]2025年已发货'!$F:$F&amp;'[1]2025年已发货'!$C:$C&amp;'[1]2025年已发货'!$G:$G&amp;'[1]2025年已发货'!$H:$H=C973&amp;F973&amp;I973&amp;J973,"未发货")</f>
        <v>#N/A</v>
      </c>
      <c r="I973" s="41" t="e">
        <f>VLOOKUP(B973,辅助信息!E:I,3,FALSE)</f>
        <v>#N/A</v>
      </c>
      <c r="J973" s="41" t="e">
        <f>VLOOKUP(B973,辅助信息!E:I,4,FALSE)</f>
        <v>#N/A</v>
      </c>
      <c r="K973" s="41" t="e">
        <f>VLOOKUP(J973,辅助信息!H:I,2,FALSE)</f>
        <v>#N/A</v>
      </c>
      <c r="L973" s="79"/>
      <c r="M973" s="105">
        <v>45738</v>
      </c>
      <c r="N973" s="44"/>
      <c r="O973" s="44">
        <f ca="1" t="shared" si="30"/>
        <v>0</v>
      </c>
      <c r="P973" s="44">
        <f ca="1" t="shared" si="31"/>
        <v>221</v>
      </c>
      <c r="Q973" s="41" t="e">
        <f>VLOOKUP(B973,辅助信息!E:M,9,FALSE)</f>
        <v>#N/A</v>
      </c>
      <c r="R973" s="27"/>
    </row>
    <row r="974" hidden="1" spans="2:18">
      <c r="B974" s="41" t="s">
        <v>74</v>
      </c>
      <c r="C974" s="71">
        <v>45731</v>
      </c>
      <c r="D974" s="41" t="e">
        <f>VLOOKUP(B974,辅助信息!E:K,7,FALSE)</f>
        <v>#N/A</v>
      </c>
      <c r="E974" s="41" t="str">
        <f>VLOOKUP(F974,辅助信息!A:B,2,FALSE)</f>
        <v>螺纹钢</v>
      </c>
      <c r="F974" s="41" t="s">
        <v>32</v>
      </c>
      <c r="G974" s="37">
        <v>15</v>
      </c>
      <c r="H974" s="37" t="e">
        <f>_xlfn._xlws.FILTER('[1]2025年已发货'!$E:$E,'[1]2025年已发货'!$F:$F&amp;'[1]2025年已发货'!$C:$C&amp;'[1]2025年已发货'!$G:$G&amp;'[1]2025年已发货'!$H:$H=C974&amp;F974&amp;I974&amp;J974,"未发货")</f>
        <v>#N/A</v>
      </c>
      <c r="I974" s="41" t="e">
        <f>VLOOKUP(B974,辅助信息!E:I,3,FALSE)</f>
        <v>#N/A</v>
      </c>
      <c r="J974" s="41" t="e">
        <f>VLOOKUP(B974,辅助信息!E:I,4,FALSE)</f>
        <v>#N/A</v>
      </c>
      <c r="K974" s="41" t="e">
        <f>VLOOKUP(J974,辅助信息!H:I,2,FALSE)</f>
        <v>#N/A</v>
      </c>
      <c r="L974" s="79"/>
      <c r="M974" s="105">
        <v>45738</v>
      </c>
      <c r="N974" s="44"/>
      <c r="O974" s="44">
        <f ca="1" t="shared" si="30"/>
        <v>0</v>
      </c>
      <c r="P974" s="44">
        <f ca="1" t="shared" si="31"/>
        <v>221</v>
      </c>
      <c r="Q974" s="41" t="e">
        <f>VLOOKUP(B974,辅助信息!E:M,9,FALSE)</f>
        <v>#N/A</v>
      </c>
      <c r="R974" s="27"/>
    </row>
    <row r="975" hidden="1" spans="2:18">
      <c r="B975" s="41" t="s">
        <v>74</v>
      </c>
      <c r="C975" s="71">
        <v>45731</v>
      </c>
      <c r="D975" s="41" t="e">
        <f>VLOOKUP(B975,辅助信息!E:K,7,FALSE)</f>
        <v>#N/A</v>
      </c>
      <c r="E975" s="41" t="str">
        <f>VLOOKUP(F975,辅助信息!A:B,2,FALSE)</f>
        <v>螺纹钢</v>
      </c>
      <c r="F975" s="41" t="s">
        <v>65</v>
      </c>
      <c r="G975" s="37">
        <v>30</v>
      </c>
      <c r="H975" s="37" t="e">
        <f>_xlfn._xlws.FILTER('[1]2025年已发货'!$E:$E,'[1]2025年已发货'!$F:$F&amp;'[1]2025年已发货'!$C:$C&amp;'[1]2025年已发货'!$G:$G&amp;'[1]2025年已发货'!$H:$H=C975&amp;F975&amp;I975&amp;J975,"未发货")</f>
        <v>#N/A</v>
      </c>
      <c r="I975" s="41" t="e">
        <f>VLOOKUP(B975,辅助信息!E:I,3,FALSE)</f>
        <v>#N/A</v>
      </c>
      <c r="J975" s="41" t="e">
        <f>VLOOKUP(B975,辅助信息!E:I,4,FALSE)</f>
        <v>#N/A</v>
      </c>
      <c r="K975" s="41" t="e">
        <f>VLOOKUP(J975,辅助信息!H:I,2,FALSE)</f>
        <v>#N/A</v>
      </c>
      <c r="L975" s="77"/>
      <c r="M975" s="105">
        <v>45738</v>
      </c>
      <c r="N975" s="44"/>
      <c r="O975" s="44">
        <f ca="1" t="shared" si="30"/>
        <v>0</v>
      </c>
      <c r="P975" s="44">
        <f ca="1" t="shared" si="31"/>
        <v>221</v>
      </c>
      <c r="Q975" s="41" t="e">
        <f>VLOOKUP(B975,辅助信息!E:M,9,FALSE)</f>
        <v>#N/A</v>
      </c>
      <c r="R975" s="27"/>
    </row>
    <row r="976" hidden="1" spans="2:18">
      <c r="B976" s="41" t="s">
        <v>75</v>
      </c>
      <c r="C976" s="71">
        <v>45731</v>
      </c>
      <c r="D976" s="41" t="e">
        <f>VLOOKUP(B976,辅助信息!E:K,7,FALSE)</f>
        <v>#N/A</v>
      </c>
      <c r="E976" s="41" t="str">
        <f>VLOOKUP(F976,辅助信息!A:B,2,FALSE)</f>
        <v>盘螺</v>
      </c>
      <c r="F976" s="41" t="s">
        <v>26</v>
      </c>
      <c r="G976" s="37">
        <v>10</v>
      </c>
      <c r="H976" s="37" t="e">
        <f>_xlfn._xlws.FILTER('[1]2025年已发货'!$E:$E,'[1]2025年已发货'!$F:$F&amp;'[1]2025年已发货'!$C:$C&amp;'[1]2025年已发货'!$G:$G&amp;'[1]2025年已发货'!$H:$H=C976&amp;F976&amp;I976&amp;J976,"未发货")</f>
        <v>#N/A</v>
      </c>
      <c r="I976" s="41" t="e">
        <f>VLOOKUP(B976,辅助信息!E:I,3,FALSE)</f>
        <v>#N/A</v>
      </c>
      <c r="J976" s="41" t="e">
        <f>VLOOKUP(B976,辅助信息!E:I,4,FALSE)</f>
        <v>#N/A</v>
      </c>
      <c r="K976" s="41" t="e">
        <f>VLOOKUP(J976,辅助信息!H:I,2,FALSE)</f>
        <v>#N/A</v>
      </c>
      <c r="L976" s="78" t="e">
        <f>VLOOKUP(B976,辅助信息!E:J,6,FALSE)</f>
        <v>#N/A</v>
      </c>
      <c r="M976" s="105">
        <v>45733</v>
      </c>
      <c r="N976" s="44"/>
      <c r="O976" s="44">
        <f ca="1" t="shared" si="30"/>
        <v>0</v>
      </c>
      <c r="P976" s="44">
        <f ca="1" t="shared" si="31"/>
        <v>226</v>
      </c>
      <c r="Q976" s="41" t="e">
        <f>VLOOKUP(B976,辅助信息!E:M,9,FALSE)</f>
        <v>#N/A</v>
      </c>
      <c r="R976" s="27"/>
    </row>
    <row r="977" hidden="1" spans="2:18">
      <c r="B977" s="41" t="s">
        <v>75</v>
      </c>
      <c r="C977" s="71">
        <v>45731</v>
      </c>
      <c r="D977" s="41" t="e">
        <f>VLOOKUP(B977,辅助信息!E:K,7,FALSE)</f>
        <v>#N/A</v>
      </c>
      <c r="E977" s="41" t="str">
        <f>VLOOKUP(F977,辅助信息!A:B,2,FALSE)</f>
        <v>螺纹钢</v>
      </c>
      <c r="F977" s="41" t="s">
        <v>27</v>
      </c>
      <c r="G977" s="37">
        <v>10</v>
      </c>
      <c r="H977" s="37" t="e">
        <f>_xlfn._xlws.FILTER('[1]2025年已发货'!$E:$E,'[1]2025年已发货'!$F:$F&amp;'[1]2025年已发货'!$C:$C&amp;'[1]2025年已发货'!$G:$G&amp;'[1]2025年已发货'!$H:$H=C977&amp;F977&amp;I977&amp;J977,"未发货")</f>
        <v>#N/A</v>
      </c>
      <c r="I977" s="41" t="e">
        <f>VLOOKUP(B977,辅助信息!E:I,3,FALSE)</f>
        <v>#N/A</v>
      </c>
      <c r="J977" s="41" t="e">
        <f>VLOOKUP(B977,辅助信息!E:I,4,FALSE)</f>
        <v>#N/A</v>
      </c>
      <c r="K977" s="41" t="e">
        <f>VLOOKUP(J977,辅助信息!H:I,2,FALSE)</f>
        <v>#N/A</v>
      </c>
      <c r="L977" s="79"/>
      <c r="M977" s="105">
        <v>45733</v>
      </c>
      <c r="N977" s="44"/>
      <c r="O977" s="44">
        <f ca="1" t="shared" si="30"/>
        <v>0</v>
      </c>
      <c r="P977" s="44">
        <f ca="1" t="shared" si="31"/>
        <v>226</v>
      </c>
      <c r="Q977" s="41" t="e">
        <f>VLOOKUP(B977,辅助信息!E:M,9,FALSE)</f>
        <v>#N/A</v>
      </c>
      <c r="R977" s="27"/>
    </row>
    <row r="978" hidden="1" spans="2:18">
      <c r="B978" s="41" t="s">
        <v>75</v>
      </c>
      <c r="C978" s="71">
        <v>45731</v>
      </c>
      <c r="D978" s="41" t="e">
        <f>VLOOKUP(B978,辅助信息!E:K,7,FALSE)</f>
        <v>#N/A</v>
      </c>
      <c r="E978" s="41" t="str">
        <f>VLOOKUP(F978,辅助信息!A:B,2,FALSE)</f>
        <v>螺纹钢</v>
      </c>
      <c r="F978" s="41" t="s">
        <v>19</v>
      </c>
      <c r="G978" s="37">
        <v>12</v>
      </c>
      <c r="H978" s="37" t="e">
        <f>_xlfn._xlws.FILTER('[1]2025年已发货'!$E:$E,'[1]2025年已发货'!$F:$F&amp;'[1]2025年已发货'!$C:$C&amp;'[1]2025年已发货'!$G:$G&amp;'[1]2025年已发货'!$H:$H=C978&amp;F978&amp;I978&amp;J978,"未发货")</f>
        <v>#N/A</v>
      </c>
      <c r="I978" s="41" t="e">
        <f>VLOOKUP(B978,辅助信息!E:I,3,FALSE)</f>
        <v>#N/A</v>
      </c>
      <c r="J978" s="41" t="e">
        <f>VLOOKUP(B978,辅助信息!E:I,4,FALSE)</f>
        <v>#N/A</v>
      </c>
      <c r="K978" s="41" t="e">
        <f>VLOOKUP(J978,辅助信息!H:I,2,FALSE)</f>
        <v>#N/A</v>
      </c>
      <c r="L978" s="79"/>
      <c r="M978" s="105">
        <v>45733</v>
      </c>
      <c r="N978" s="44"/>
      <c r="O978" s="44">
        <f ca="1" t="shared" si="30"/>
        <v>0</v>
      </c>
      <c r="P978" s="44">
        <f ca="1" t="shared" si="31"/>
        <v>226</v>
      </c>
      <c r="Q978" s="41" t="e">
        <f>VLOOKUP(B978,辅助信息!E:M,9,FALSE)</f>
        <v>#N/A</v>
      </c>
      <c r="R978" s="27"/>
    </row>
    <row r="979" hidden="1" spans="2:18">
      <c r="B979" s="41" t="s">
        <v>75</v>
      </c>
      <c r="C979" s="71">
        <v>45731</v>
      </c>
      <c r="D979" s="41" t="e">
        <f>VLOOKUP(B979,辅助信息!E:K,7,FALSE)</f>
        <v>#N/A</v>
      </c>
      <c r="E979" s="41" t="str">
        <f>VLOOKUP(F979,辅助信息!A:B,2,FALSE)</f>
        <v>螺纹钢</v>
      </c>
      <c r="F979" s="41" t="s">
        <v>28</v>
      </c>
      <c r="G979" s="37">
        <v>9</v>
      </c>
      <c r="H979" s="37" t="e">
        <f>_xlfn._xlws.FILTER('[1]2025年已发货'!$E:$E,'[1]2025年已发货'!$F:$F&amp;'[1]2025年已发货'!$C:$C&amp;'[1]2025年已发货'!$G:$G&amp;'[1]2025年已发货'!$H:$H=C979&amp;F979&amp;I979&amp;J979,"未发货")</f>
        <v>#N/A</v>
      </c>
      <c r="I979" s="41" t="e">
        <f>VLOOKUP(B979,辅助信息!E:I,3,FALSE)</f>
        <v>#N/A</v>
      </c>
      <c r="J979" s="41" t="e">
        <f>VLOOKUP(B979,辅助信息!E:I,4,FALSE)</f>
        <v>#N/A</v>
      </c>
      <c r="K979" s="41" t="e">
        <f>VLOOKUP(J979,辅助信息!H:I,2,FALSE)</f>
        <v>#N/A</v>
      </c>
      <c r="L979" s="79"/>
      <c r="M979" s="105">
        <v>45733</v>
      </c>
      <c r="N979" s="44"/>
      <c r="O979" s="44">
        <f ca="1" t="shared" si="30"/>
        <v>0</v>
      </c>
      <c r="P979" s="44">
        <f ca="1" t="shared" si="31"/>
        <v>226</v>
      </c>
      <c r="Q979" s="41" t="e">
        <f>VLOOKUP(B979,辅助信息!E:M,9,FALSE)</f>
        <v>#N/A</v>
      </c>
      <c r="R979" s="27"/>
    </row>
    <row r="980" hidden="1" spans="2:18">
      <c r="B980" s="41" t="s">
        <v>75</v>
      </c>
      <c r="C980" s="71">
        <v>45731</v>
      </c>
      <c r="D980" s="41" t="e">
        <f>VLOOKUP(B980,辅助信息!E:K,7,FALSE)</f>
        <v>#N/A</v>
      </c>
      <c r="E980" s="41" t="str">
        <f>VLOOKUP(F980,辅助信息!A:B,2,FALSE)</f>
        <v>螺纹钢</v>
      </c>
      <c r="F980" s="41" t="s">
        <v>65</v>
      </c>
      <c r="G980" s="37">
        <v>50</v>
      </c>
      <c r="H980" s="37" t="e">
        <f>_xlfn._xlws.FILTER('[1]2025年已发货'!$E:$E,'[1]2025年已发货'!$F:$F&amp;'[1]2025年已发货'!$C:$C&amp;'[1]2025年已发货'!$G:$G&amp;'[1]2025年已发货'!$H:$H=C980&amp;F980&amp;I980&amp;J980,"未发货")</f>
        <v>#N/A</v>
      </c>
      <c r="I980" s="41" t="e">
        <f>VLOOKUP(B980,辅助信息!E:I,3,FALSE)</f>
        <v>#N/A</v>
      </c>
      <c r="J980" s="41" t="e">
        <f>VLOOKUP(B980,辅助信息!E:I,4,FALSE)</f>
        <v>#N/A</v>
      </c>
      <c r="K980" s="41" t="e">
        <f>VLOOKUP(J980,辅助信息!H:I,2,FALSE)</f>
        <v>#N/A</v>
      </c>
      <c r="L980" s="77"/>
      <c r="M980" s="105">
        <v>45733</v>
      </c>
      <c r="N980" s="44"/>
      <c r="O980" s="44">
        <f ca="1" t="shared" si="30"/>
        <v>0</v>
      </c>
      <c r="P980" s="44">
        <f ca="1" t="shared" si="31"/>
        <v>226</v>
      </c>
      <c r="Q980" s="41" t="e">
        <f>VLOOKUP(B980,辅助信息!E:M,9,FALSE)</f>
        <v>#N/A</v>
      </c>
      <c r="R980" s="27"/>
    </row>
    <row r="981" hidden="1" spans="2:18">
      <c r="B981" s="41" t="s">
        <v>87</v>
      </c>
      <c r="C981" s="71">
        <v>45731</v>
      </c>
      <c r="D981" s="41" t="e">
        <f>VLOOKUP(B981,辅助信息!E:K,7,FALSE)</f>
        <v>#N/A</v>
      </c>
      <c r="E981" s="41" t="str">
        <f>VLOOKUP(F981,辅助信息!A:B,2,FALSE)</f>
        <v>盘螺</v>
      </c>
      <c r="F981" s="41" t="s">
        <v>26</v>
      </c>
      <c r="G981" s="37">
        <v>10</v>
      </c>
      <c r="H981" s="37" t="e">
        <f>_xlfn._xlws.FILTER('[1]2025年已发货'!$E:$E,'[1]2025年已发货'!$F:$F&amp;'[1]2025年已发货'!$C:$C&amp;'[1]2025年已发货'!$G:$G&amp;'[1]2025年已发货'!$H:$H=C981&amp;F981&amp;I981&amp;J981,"未发货")</f>
        <v>#N/A</v>
      </c>
      <c r="I981" s="41" t="e">
        <f>VLOOKUP(B981,辅助信息!E:I,3,FALSE)</f>
        <v>#N/A</v>
      </c>
      <c r="J981" s="41" t="e">
        <f>VLOOKUP(B981,辅助信息!E:I,4,FALSE)</f>
        <v>#N/A</v>
      </c>
      <c r="K981" s="41" t="e">
        <f>VLOOKUP(J981,辅助信息!H:I,2,FALSE)</f>
        <v>#N/A</v>
      </c>
      <c r="L981" s="78" t="e">
        <f>VLOOKUP(B981,辅助信息!E:J,6,FALSE)</f>
        <v>#N/A</v>
      </c>
      <c r="M981" s="105">
        <v>45733</v>
      </c>
      <c r="N981" s="44"/>
      <c r="O981" s="44">
        <f ca="1" t="shared" si="30"/>
        <v>0</v>
      </c>
      <c r="P981" s="44">
        <f ca="1" t="shared" si="31"/>
        <v>226</v>
      </c>
      <c r="Q981" s="41" t="e">
        <f>VLOOKUP(B981,辅助信息!E:M,9,FALSE)</f>
        <v>#N/A</v>
      </c>
      <c r="R981" s="27"/>
    </row>
    <row r="982" hidden="1" spans="2:18">
      <c r="B982" s="41" t="s">
        <v>87</v>
      </c>
      <c r="C982" s="71">
        <v>45731</v>
      </c>
      <c r="D982" s="41" t="e">
        <f>VLOOKUP(B982,辅助信息!E:K,7,FALSE)</f>
        <v>#N/A</v>
      </c>
      <c r="E982" s="41" t="str">
        <f>VLOOKUP(F982,辅助信息!A:B,2,FALSE)</f>
        <v>螺纹钢</v>
      </c>
      <c r="F982" s="41" t="s">
        <v>27</v>
      </c>
      <c r="G982" s="37">
        <v>10</v>
      </c>
      <c r="H982" s="37" t="e">
        <f>_xlfn._xlws.FILTER('[1]2025年已发货'!$E:$E,'[1]2025年已发货'!$F:$F&amp;'[1]2025年已发货'!$C:$C&amp;'[1]2025年已发货'!$G:$G&amp;'[1]2025年已发货'!$H:$H=C982&amp;F982&amp;I982&amp;J982,"未发货")</f>
        <v>#N/A</v>
      </c>
      <c r="I982" s="41" t="e">
        <f>VLOOKUP(B982,辅助信息!E:I,3,FALSE)</f>
        <v>#N/A</v>
      </c>
      <c r="J982" s="41" t="e">
        <f>VLOOKUP(B982,辅助信息!E:I,4,FALSE)</f>
        <v>#N/A</v>
      </c>
      <c r="K982" s="41" t="e">
        <f>VLOOKUP(J982,辅助信息!H:I,2,FALSE)</f>
        <v>#N/A</v>
      </c>
      <c r="L982" s="79"/>
      <c r="M982" s="105">
        <v>45733</v>
      </c>
      <c r="N982" s="44"/>
      <c r="O982" s="44">
        <f ca="1" t="shared" si="30"/>
        <v>0</v>
      </c>
      <c r="P982" s="44">
        <f ca="1" t="shared" si="31"/>
        <v>226</v>
      </c>
      <c r="Q982" s="41" t="e">
        <f>VLOOKUP(B982,辅助信息!E:M,9,FALSE)</f>
        <v>#N/A</v>
      </c>
      <c r="R982" s="27"/>
    </row>
    <row r="983" hidden="1" spans="2:18">
      <c r="B983" s="41" t="s">
        <v>87</v>
      </c>
      <c r="C983" s="71">
        <v>45731</v>
      </c>
      <c r="D983" s="41" t="e">
        <f>VLOOKUP(B983,辅助信息!E:K,7,FALSE)</f>
        <v>#N/A</v>
      </c>
      <c r="E983" s="41" t="str">
        <f>VLOOKUP(F983,辅助信息!A:B,2,FALSE)</f>
        <v>螺纹钢</v>
      </c>
      <c r="F983" s="41" t="s">
        <v>19</v>
      </c>
      <c r="G983" s="37">
        <v>10</v>
      </c>
      <c r="H983" s="37" t="e">
        <f>_xlfn._xlws.FILTER('[1]2025年已发货'!$E:$E,'[1]2025年已发货'!$F:$F&amp;'[1]2025年已发货'!$C:$C&amp;'[1]2025年已发货'!$G:$G&amp;'[1]2025年已发货'!$H:$H=C983&amp;F983&amp;I983&amp;J983,"未发货")</f>
        <v>#N/A</v>
      </c>
      <c r="I983" s="41" t="e">
        <f>VLOOKUP(B983,辅助信息!E:I,3,FALSE)</f>
        <v>#N/A</v>
      </c>
      <c r="J983" s="41" t="e">
        <f>VLOOKUP(B983,辅助信息!E:I,4,FALSE)</f>
        <v>#N/A</v>
      </c>
      <c r="K983" s="41" t="e">
        <f>VLOOKUP(J983,辅助信息!H:I,2,FALSE)</f>
        <v>#N/A</v>
      </c>
      <c r="L983" s="79"/>
      <c r="M983" s="105">
        <v>45733</v>
      </c>
      <c r="N983" s="44"/>
      <c r="O983" s="44">
        <f ca="1" t="shared" si="30"/>
        <v>0</v>
      </c>
      <c r="P983" s="44">
        <f ca="1" t="shared" si="31"/>
        <v>226</v>
      </c>
      <c r="Q983" s="41" t="e">
        <f>VLOOKUP(B983,辅助信息!E:M,9,FALSE)</f>
        <v>#N/A</v>
      </c>
      <c r="R983" s="27"/>
    </row>
    <row r="984" hidden="1" spans="2:18">
      <c r="B984" s="41" t="s">
        <v>87</v>
      </c>
      <c r="C984" s="71">
        <v>45731</v>
      </c>
      <c r="D984" s="41" t="e">
        <f>VLOOKUP(B984,辅助信息!E:K,7,FALSE)</f>
        <v>#N/A</v>
      </c>
      <c r="E984" s="41" t="str">
        <f>VLOOKUP(F984,辅助信息!A:B,2,FALSE)</f>
        <v>螺纹钢</v>
      </c>
      <c r="F984" s="41" t="s">
        <v>28</v>
      </c>
      <c r="G984" s="37">
        <v>10</v>
      </c>
      <c r="H984" s="37" t="e">
        <f>_xlfn._xlws.FILTER('[1]2025年已发货'!$E:$E,'[1]2025年已发货'!$F:$F&amp;'[1]2025年已发货'!$C:$C&amp;'[1]2025年已发货'!$G:$G&amp;'[1]2025年已发货'!$H:$H=C984&amp;F984&amp;I984&amp;J984,"未发货")</f>
        <v>#N/A</v>
      </c>
      <c r="I984" s="41" t="e">
        <f>VLOOKUP(B984,辅助信息!E:I,3,FALSE)</f>
        <v>#N/A</v>
      </c>
      <c r="J984" s="41" t="e">
        <f>VLOOKUP(B984,辅助信息!E:I,4,FALSE)</f>
        <v>#N/A</v>
      </c>
      <c r="K984" s="41" t="e">
        <f>VLOOKUP(J984,辅助信息!H:I,2,FALSE)</f>
        <v>#N/A</v>
      </c>
      <c r="L984" s="79"/>
      <c r="M984" s="105">
        <v>45733</v>
      </c>
      <c r="N984" s="44"/>
      <c r="O984" s="44">
        <f ca="1" t="shared" si="30"/>
        <v>0</v>
      </c>
      <c r="P984" s="44">
        <f ca="1" t="shared" si="31"/>
        <v>226</v>
      </c>
      <c r="Q984" s="41" t="e">
        <f>VLOOKUP(B984,辅助信息!E:M,9,FALSE)</f>
        <v>#N/A</v>
      </c>
      <c r="R984" s="27"/>
    </row>
    <row r="985" hidden="1" spans="2:18">
      <c r="B985" s="41" t="s">
        <v>87</v>
      </c>
      <c r="C985" s="71">
        <v>45731</v>
      </c>
      <c r="D985" s="41" t="e">
        <f>VLOOKUP(B985,辅助信息!E:K,7,FALSE)</f>
        <v>#N/A</v>
      </c>
      <c r="E985" s="41" t="str">
        <f>VLOOKUP(F985,辅助信息!A:B,2,FALSE)</f>
        <v>螺纹钢</v>
      </c>
      <c r="F985" s="41" t="s">
        <v>65</v>
      </c>
      <c r="G985" s="37">
        <v>30</v>
      </c>
      <c r="H985" s="37" t="e">
        <f>_xlfn._xlws.FILTER('[1]2025年已发货'!$E:$E,'[1]2025年已发货'!$F:$F&amp;'[1]2025年已发货'!$C:$C&amp;'[1]2025年已发货'!$G:$G&amp;'[1]2025年已发货'!$H:$H=C985&amp;F985&amp;I985&amp;J985,"未发货")</f>
        <v>#N/A</v>
      </c>
      <c r="I985" s="41" t="e">
        <f>VLOOKUP(B985,辅助信息!E:I,3,FALSE)</f>
        <v>#N/A</v>
      </c>
      <c r="J985" s="41" t="e">
        <f>VLOOKUP(B985,辅助信息!E:I,4,FALSE)</f>
        <v>#N/A</v>
      </c>
      <c r="K985" s="41" t="e">
        <f>VLOOKUP(J985,辅助信息!H:I,2,FALSE)</f>
        <v>#N/A</v>
      </c>
      <c r="L985" s="79"/>
      <c r="M985" s="105">
        <v>45733</v>
      </c>
      <c r="N985" s="44"/>
      <c r="O985" s="44">
        <f ca="1" t="shared" si="30"/>
        <v>0</v>
      </c>
      <c r="P985" s="44">
        <f ca="1" t="shared" si="31"/>
        <v>226</v>
      </c>
      <c r="Q985" s="41" t="e">
        <f>VLOOKUP(B985,辅助信息!E:M,9,FALSE)</f>
        <v>#N/A</v>
      </c>
      <c r="R985" s="27"/>
    </row>
    <row r="986" hidden="1" spans="2:18">
      <c r="B986" s="41" t="s">
        <v>87</v>
      </c>
      <c r="C986" s="71">
        <v>45731</v>
      </c>
      <c r="D986" s="41" t="e">
        <f>VLOOKUP(B986,辅助信息!E:K,7,FALSE)</f>
        <v>#N/A</v>
      </c>
      <c r="E986" s="41" t="str">
        <f>VLOOKUP(F986,辅助信息!A:B,2,FALSE)</f>
        <v>螺纹钢</v>
      </c>
      <c r="F986" s="41" t="s">
        <v>52</v>
      </c>
      <c r="G986" s="37">
        <v>30</v>
      </c>
      <c r="H986" s="37" t="e">
        <f>_xlfn._xlws.FILTER('[1]2025年已发货'!$E:$E,'[1]2025年已发货'!$F:$F&amp;'[1]2025年已发货'!$C:$C&amp;'[1]2025年已发货'!$G:$G&amp;'[1]2025年已发货'!$H:$H=C986&amp;F986&amp;I986&amp;J986,"未发货")</f>
        <v>#N/A</v>
      </c>
      <c r="I986" s="41" t="e">
        <f>VLOOKUP(B986,辅助信息!E:I,3,FALSE)</f>
        <v>#N/A</v>
      </c>
      <c r="J986" s="41" t="e">
        <f>VLOOKUP(B986,辅助信息!E:I,4,FALSE)</f>
        <v>#N/A</v>
      </c>
      <c r="K986" s="41" t="e">
        <f>VLOOKUP(J986,辅助信息!H:I,2,FALSE)</f>
        <v>#N/A</v>
      </c>
      <c r="L986" s="77"/>
      <c r="M986" s="105">
        <v>45733</v>
      </c>
      <c r="N986" s="44"/>
      <c r="O986" s="44">
        <f ca="1" t="shared" si="30"/>
        <v>0</v>
      </c>
      <c r="P986" s="44">
        <f ca="1" t="shared" si="31"/>
        <v>226</v>
      </c>
      <c r="Q986" s="41" t="e">
        <f>VLOOKUP(B986,辅助信息!E:M,9,FALSE)</f>
        <v>#N/A</v>
      </c>
      <c r="R986" s="27"/>
    </row>
    <row r="987" hidden="1" spans="2:18">
      <c r="B987" s="41" t="s">
        <v>108</v>
      </c>
      <c r="C987" s="71">
        <v>45731</v>
      </c>
      <c r="D987" s="41" t="e">
        <f>VLOOKUP(B987,辅助信息!E:K,7,FALSE)</f>
        <v>#N/A</v>
      </c>
      <c r="E987" s="41" t="str">
        <f>VLOOKUP(F987,辅助信息!A:B,2,FALSE)</f>
        <v>螺纹钢</v>
      </c>
      <c r="F987" s="41" t="s">
        <v>27</v>
      </c>
      <c r="G987" s="37">
        <v>7</v>
      </c>
      <c r="H987" s="37" t="e">
        <f>_xlfn._xlws.FILTER('[1]2025年已发货'!$E:$E,'[1]2025年已发货'!$F:$F&amp;'[1]2025年已发货'!$C:$C&amp;'[1]2025年已发货'!$G:$G&amp;'[1]2025年已发货'!$H:$H=C987&amp;F987&amp;I987&amp;J987,"未发货")</f>
        <v>#N/A</v>
      </c>
      <c r="I987" s="41" t="e">
        <f>VLOOKUP(B987,辅助信息!E:I,3,FALSE)</f>
        <v>#N/A</v>
      </c>
      <c r="J987" s="41" t="e">
        <f>VLOOKUP(B987,辅助信息!E:I,4,FALSE)</f>
        <v>#N/A</v>
      </c>
      <c r="K987" s="41" t="e">
        <f>VLOOKUP(J987,辅助信息!H:I,2,FALSE)</f>
        <v>#N/A</v>
      </c>
      <c r="L987" s="78" t="e">
        <f>VLOOKUP(B987,辅助信息!E:J,6,FALSE)</f>
        <v>#N/A</v>
      </c>
      <c r="M987" s="105">
        <v>45733</v>
      </c>
      <c r="N987" s="44"/>
      <c r="O987" s="44">
        <f ca="1" t="shared" si="30"/>
        <v>0</v>
      </c>
      <c r="P987" s="44">
        <f ca="1" t="shared" si="31"/>
        <v>226</v>
      </c>
      <c r="Q987" s="41" t="e">
        <f>VLOOKUP(B987,辅助信息!E:M,9,FALSE)</f>
        <v>#N/A</v>
      </c>
      <c r="R987" s="27"/>
    </row>
    <row r="988" hidden="1" spans="2:18">
      <c r="B988" s="41" t="s">
        <v>108</v>
      </c>
      <c r="C988" s="71">
        <v>45731</v>
      </c>
      <c r="D988" s="41" t="e">
        <f>VLOOKUP(B988,辅助信息!E:K,7,FALSE)</f>
        <v>#N/A</v>
      </c>
      <c r="E988" s="41" t="str">
        <f>VLOOKUP(F988,辅助信息!A:B,2,FALSE)</f>
        <v>螺纹钢</v>
      </c>
      <c r="F988" s="41" t="s">
        <v>32</v>
      </c>
      <c r="G988" s="37">
        <v>3</v>
      </c>
      <c r="H988" s="37" t="e">
        <f>_xlfn._xlws.FILTER('[1]2025年已发货'!$E:$E,'[1]2025年已发货'!$F:$F&amp;'[1]2025年已发货'!$C:$C&amp;'[1]2025年已发货'!$G:$G&amp;'[1]2025年已发货'!$H:$H=C988&amp;F988&amp;I988&amp;J988,"未发货")</f>
        <v>#N/A</v>
      </c>
      <c r="I988" s="41" t="e">
        <f>VLOOKUP(B988,辅助信息!E:I,3,FALSE)</f>
        <v>#N/A</v>
      </c>
      <c r="J988" s="41" t="e">
        <f>VLOOKUP(B988,辅助信息!E:I,4,FALSE)</f>
        <v>#N/A</v>
      </c>
      <c r="K988" s="41" t="e">
        <f>VLOOKUP(J988,辅助信息!H:I,2,FALSE)</f>
        <v>#N/A</v>
      </c>
      <c r="L988" s="79"/>
      <c r="M988" s="105">
        <v>45733</v>
      </c>
      <c r="N988" s="44"/>
      <c r="O988" s="44">
        <f ca="1" t="shared" si="30"/>
        <v>0</v>
      </c>
      <c r="P988" s="44">
        <f ca="1" t="shared" si="31"/>
        <v>226</v>
      </c>
      <c r="Q988" s="41" t="e">
        <f>VLOOKUP(B988,辅助信息!E:M,9,FALSE)</f>
        <v>#N/A</v>
      </c>
      <c r="R988" s="27"/>
    </row>
    <row r="989" hidden="1" spans="2:18">
      <c r="B989" s="41" t="s">
        <v>108</v>
      </c>
      <c r="C989" s="71">
        <v>45731</v>
      </c>
      <c r="D989" s="41" t="e">
        <f>VLOOKUP(B989,辅助信息!E:K,7,FALSE)</f>
        <v>#N/A</v>
      </c>
      <c r="E989" s="41" t="str">
        <f>VLOOKUP(F989,辅助信息!A:B,2,FALSE)</f>
        <v>螺纹钢</v>
      </c>
      <c r="F989" s="41" t="s">
        <v>33</v>
      </c>
      <c r="G989" s="37">
        <v>3</v>
      </c>
      <c r="H989" s="37" t="e">
        <f>_xlfn._xlws.FILTER('[1]2025年已发货'!$E:$E,'[1]2025年已发货'!$F:$F&amp;'[1]2025年已发货'!$C:$C&amp;'[1]2025年已发货'!$G:$G&amp;'[1]2025年已发货'!$H:$H=C989&amp;F989&amp;I989&amp;J989,"未发货")</f>
        <v>#N/A</v>
      </c>
      <c r="I989" s="41" t="e">
        <f>VLOOKUP(B989,辅助信息!E:I,3,FALSE)</f>
        <v>#N/A</v>
      </c>
      <c r="J989" s="41" t="e">
        <f>VLOOKUP(B989,辅助信息!E:I,4,FALSE)</f>
        <v>#N/A</v>
      </c>
      <c r="K989" s="41" t="e">
        <f>VLOOKUP(J989,辅助信息!H:I,2,FALSE)</f>
        <v>#N/A</v>
      </c>
      <c r="L989" s="79"/>
      <c r="M989" s="105">
        <v>45733</v>
      </c>
      <c r="N989" s="44"/>
      <c r="O989" s="44">
        <f ca="1" t="shared" si="30"/>
        <v>0</v>
      </c>
      <c r="P989" s="44">
        <f ca="1" t="shared" si="31"/>
        <v>226</v>
      </c>
      <c r="Q989" s="41" t="e">
        <f>VLOOKUP(B989,辅助信息!E:M,9,FALSE)</f>
        <v>#N/A</v>
      </c>
      <c r="R989" s="27"/>
    </row>
    <row r="990" hidden="1" spans="2:18">
      <c r="B990" s="41" t="s">
        <v>108</v>
      </c>
      <c r="C990" s="71">
        <v>45731</v>
      </c>
      <c r="D990" s="41" t="e">
        <f>VLOOKUP(B990,辅助信息!E:K,7,FALSE)</f>
        <v>#N/A</v>
      </c>
      <c r="E990" s="41" t="str">
        <f>VLOOKUP(F990,辅助信息!A:B,2,FALSE)</f>
        <v>螺纹钢</v>
      </c>
      <c r="F990" s="41" t="s">
        <v>52</v>
      </c>
      <c r="G990" s="37">
        <v>46</v>
      </c>
      <c r="H990" s="37" t="e">
        <f>_xlfn._xlws.FILTER('[1]2025年已发货'!$E:$E,'[1]2025年已发货'!$F:$F&amp;'[1]2025年已发货'!$C:$C&amp;'[1]2025年已发货'!$G:$G&amp;'[1]2025年已发货'!$H:$H=C990&amp;F990&amp;I990&amp;J990,"未发货")</f>
        <v>#N/A</v>
      </c>
      <c r="I990" s="41" t="e">
        <f>VLOOKUP(B990,辅助信息!E:I,3,FALSE)</f>
        <v>#N/A</v>
      </c>
      <c r="J990" s="41" t="e">
        <f>VLOOKUP(B990,辅助信息!E:I,4,FALSE)</f>
        <v>#N/A</v>
      </c>
      <c r="K990" s="41" t="e">
        <f>VLOOKUP(J990,辅助信息!H:I,2,FALSE)</f>
        <v>#N/A</v>
      </c>
      <c r="L990" s="77"/>
      <c r="M990" s="105">
        <v>45733</v>
      </c>
      <c r="N990" s="44"/>
      <c r="O990" s="44">
        <f ca="1" t="shared" si="30"/>
        <v>0</v>
      </c>
      <c r="P990" s="44">
        <f ca="1" t="shared" si="31"/>
        <v>226</v>
      </c>
      <c r="Q990" s="41" t="e">
        <f>VLOOKUP(B990,辅助信息!E:M,9,FALSE)</f>
        <v>#N/A</v>
      </c>
      <c r="R990" s="27"/>
    </row>
    <row r="991" hidden="1" spans="2:18">
      <c r="B991" s="41" t="s">
        <v>106</v>
      </c>
      <c r="C991" s="71">
        <v>45731</v>
      </c>
      <c r="D991" s="41" t="str">
        <f>VLOOKUP(B991,辅助信息!E:K,7,FALSE)</f>
        <v>JWDDCD2024101600133</v>
      </c>
      <c r="E991" s="41" t="str">
        <f>VLOOKUP(F991,辅助信息!A:B,2,FALSE)</f>
        <v>高线</v>
      </c>
      <c r="F991" s="41" t="s">
        <v>51</v>
      </c>
      <c r="G991" s="37">
        <v>3</v>
      </c>
      <c r="H991" s="37">
        <f>_xlfn._xlws.FILTER('[1]2025年已发货'!$E:$E,'[1]2025年已发货'!$F:$F&amp;'[1]2025年已发货'!$C:$C&amp;'[1]2025年已发货'!$G:$G&amp;'[1]2025年已发货'!$H:$H=C991&amp;F991&amp;I991&amp;J991,"未发货")</f>
        <v>3</v>
      </c>
      <c r="I991" s="41" t="str">
        <f>VLOOKUP(B991,辅助信息!E:I,3,FALSE)</f>
        <v>（五冶钢构宜宾高县月江镇建设项目）  四川省宜宾市高县月江镇刚记超市斜对面(还阳组团沪碳二期项目)</v>
      </c>
      <c r="J991" s="41" t="str">
        <f>VLOOKUP(B991,辅助信息!E:I,4,FALSE)</f>
        <v>张朝亮</v>
      </c>
      <c r="K991" s="41">
        <f>VLOOKUP(J991,辅助信息!H:I,2,FALSE)</f>
        <v>15228205853</v>
      </c>
      <c r="L991" s="78" t="str">
        <f>VLOOKUP(B991,辅助信息!E:J,6,FALSE)</f>
        <v>提前联系到场规格</v>
      </c>
      <c r="M991" s="105">
        <v>45733</v>
      </c>
      <c r="N991" s="44"/>
      <c r="O991" s="44">
        <f ca="1" t="shared" si="30"/>
        <v>0</v>
      </c>
      <c r="P991" s="44">
        <f ca="1" t="shared" si="31"/>
        <v>226</v>
      </c>
      <c r="Q991" s="41" t="str">
        <f>VLOOKUP(B991,辅助信息!E:M,9,FALSE)</f>
        <v>ZTWM-CDGS-XS-2024-0169-中冶西部钢构-宜宾市南溪区幸福路东路,高县月江镇建设项目</v>
      </c>
      <c r="R991" s="27"/>
    </row>
    <row r="992" hidden="1" spans="2:18">
      <c r="B992" s="41" t="s">
        <v>106</v>
      </c>
      <c r="C992" s="71">
        <v>45731</v>
      </c>
      <c r="D992" s="41" t="str">
        <f>VLOOKUP(B992,辅助信息!E:K,7,FALSE)</f>
        <v>JWDDCD2024101600133</v>
      </c>
      <c r="E992" s="41" t="str">
        <f>VLOOKUP(F992,辅助信息!A:B,2,FALSE)</f>
        <v>螺纹钢</v>
      </c>
      <c r="F992" s="41" t="s">
        <v>27</v>
      </c>
      <c r="G992" s="37">
        <v>3</v>
      </c>
      <c r="H992" s="37">
        <f>_xlfn._xlws.FILTER('[1]2025年已发货'!$E:$E,'[1]2025年已发货'!$F:$F&amp;'[1]2025年已发货'!$C:$C&amp;'[1]2025年已发货'!$G:$G&amp;'[1]2025年已发货'!$H:$H=C992&amp;F992&amp;I992&amp;J992,"未发货")</f>
        <v>3</v>
      </c>
      <c r="I992" s="41" t="str">
        <f>VLOOKUP(B992,辅助信息!E:I,3,FALSE)</f>
        <v>（五冶钢构宜宾高县月江镇建设项目）  四川省宜宾市高县月江镇刚记超市斜对面(还阳组团沪碳二期项目)</v>
      </c>
      <c r="J992" s="41" t="str">
        <f>VLOOKUP(B992,辅助信息!E:I,4,FALSE)</f>
        <v>张朝亮</v>
      </c>
      <c r="K992" s="41">
        <f>VLOOKUP(J992,辅助信息!H:I,2,FALSE)</f>
        <v>15228205853</v>
      </c>
      <c r="L992" s="79"/>
      <c r="M992" s="105">
        <v>45733</v>
      </c>
      <c r="N992" s="44"/>
      <c r="O992" s="44">
        <f ca="1" t="shared" si="30"/>
        <v>0</v>
      </c>
      <c r="P992" s="44">
        <f ca="1" t="shared" si="31"/>
        <v>226</v>
      </c>
      <c r="Q992" s="41" t="str">
        <f>VLOOKUP(B992,辅助信息!E:M,9,FALSE)</f>
        <v>ZTWM-CDGS-XS-2024-0169-中冶西部钢构-宜宾市南溪区幸福路东路,高县月江镇建设项目</v>
      </c>
      <c r="R992" s="27"/>
    </row>
    <row r="993" hidden="1" spans="2:18">
      <c r="B993" s="41" t="s">
        <v>106</v>
      </c>
      <c r="C993" s="71">
        <v>45731</v>
      </c>
      <c r="D993" s="41" t="str">
        <f>VLOOKUP(B993,辅助信息!E:K,7,FALSE)</f>
        <v>JWDDCD2024101600133</v>
      </c>
      <c r="E993" s="41" t="str">
        <f>VLOOKUP(F993,辅助信息!A:B,2,FALSE)</f>
        <v>螺纹钢</v>
      </c>
      <c r="F993" s="41" t="s">
        <v>32</v>
      </c>
      <c r="G993" s="37">
        <v>12</v>
      </c>
      <c r="H993" s="37">
        <f>_xlfn._xlws.FILTER('[1]2025年已发货'!$E:$E,'[1]2025年已发货'!$F:$F&amp;'[1]2025年已发货'!$C:$C&amp;'[1]2025年已发货'!$G:$G&amp;'[1]2025年已发货'!$H:$H=C993&amp;F993&amp;I993&amp;J993,"未发货")</f>
        <v>12</v>
      </c>
      <c r="I993" s="41" t="str">
        <f>VLOOKUP(B993,辅助信息!E:I,3,FALSE)</f>
        <v>（五冶钢构宜宾高县月江镇建设项目）  四川省宜宾市高县月江镇刚记超市斜对面(还阳组团沪碳二期项目)</v>
      </c>
      <c r="J993" s="41" t="str">
        <f>VLOOKUP(B993,辅助信息!E:I,4,FALSE)</f>
        <v>张朝亮</v>
      </c>
      <c r="K993" s="41">
        <f>VLOOKUP(J993,辅助信息!H:I,2,FALSE)</f>
        <v>15228205853</v>
      </c>
      <c r="L993" s="79"/>
      <c r="M993" s="105">
        <v>45733</v>
      </c>
      <c r="N993" s="44"/>
      <c r="O993" s="44">
        <f ca="1" t="shared" si="30"/>
        <v>0</v>
      </c>
      <c r="P993" s="44">
        <f ca="1" t="shared" si="31"/>
        <v>226</v>
      </c>
      <c r="Q993" s="41" t="str">
        <f>VLOOKUP(B993,辅助信息!E:M,9,FALSE)</f>
        <v>ZTWM-CDGS-XS-2024-0169-中冶西部钢构-宜宾市南溪区幸福路东路,高县月江镇建设项目</v>
      </c>
      <c r="R993" s="27"/>
    </row>
    <row r="994" hidden="1" spans="2:18">
      <c r="B994" s="41" t="s">
        <v>106</v>
      </c>
      <c r="C994" s="71">
        <v>45731</v>
      </c>
      <c r="D994" s="41" t="str">
        <f>VLOOKUP(B994,辅助信息!E:K,7,FALSE)</f>
        <v>JWDDCD2024101600133</v>
      </c>
      <c r="E994" s="41" t="str">
        <f>VLOOKUP(F994,辅助信息!A:B,2,FALSE)</f>
        <v>螺纹钢</v>
      </c>
      <c r="F994" s="41" t="s">
        <v>28</v>
      </c>
      <c r="G994" s="37">
        <v>18</v>
      </c>
      <c r="H994" s="37">
        <f>_xlfn._xlws.FILTER('[1]2025年已发货'!$E:$E,'[1]2025年已发货'!$F:$F&amp;'[1]2025年已发货'!$C:$C&amp;'[1]2025年已发货'!$G:$G&amp;'[1]2025年已发货'!$H:$H=C994&amp;F994&amp;I994&amp;J994,"未发货")</f>
        <v>18</v>
      </c>
      <c r="I994" s="41" t="str">
        <f>VLOOKUP(B994,辅助信息!E:I,3,FALSE)</f>
        <v>（五冶钢构宜宾高县月江镇建设项目）  四川省宜宾市高县月江镇刚记超市斜对面(还阳组团沪碳二期项目)</v>
      </c>
      <c r="J994" s="41" t="str">
        <f>VLOOKUP(B994,辅助信息!E:I,4,FALSE)</f>
        <v>张朝亮</v>
      </c>
      <c r="K994" s="41">
        <f>VLOOKUP(J994,辅助信息!H:I,2,FALSE)</f>
        <v>15228205853</v>
      </c>
      <c r="L994" s="77"/>
      <c r="M994" s="105">
        <v>45733</v>
      </c>
      <c r="N994" s="44"/>
      <c r="O994" s="44">
        <f ca="1" t="shared" ref="O994:O1000" si="32">IF(OR(M994="",N994&lt;&gt;""),"",MAX(M994-TODAY(),0))</f>
        <v>0</v>
      </c>
      <c r="P994" s="44">
        <f ca="1" t="shared" ref="P994:P1000" si="33">IF(M994="","",IF(N994&lt;&gt;"",MAX(N994-M994,0),IF(TODAY()&gt;M994,TODAY()-M994,0)))</f>
        <v>226</v>
      </c>
      <c r="Q994" s="41" t="str">
        <f>VLOOKUP(B994,辅助信息!E:M,9,FALSE)</f>
        <v>ZTWM-CDGS-XS-2024-0169-中冶西部钢构-宜宾市南溪区幸福路东路,高县月江镇建设项目</v>
      </c>
      <c r="R994" s="27"/>
    </row>
    <row r="995" ht="56.25" hidden="1" customHeight="1" spans="2:18">
      <c r="B995" s="41" t="s">
        <v>54</v>
      </c>
      <c r="C995" s="71">
        <v>45731</v>
      </c>
      <c r="D995" s="41" t="e">
        <f>VLOOKUP(B995,辅助信息!E:K,7,FALSE)</f>
        <v>#N/A</v>
      </c>
      <c r="E995" s="41" t="str">
        <f>VLOOKUP(F995,辅助信息!A:B,2,FALSE)</f>
        <v>螺纹钢</v>
      </c>
      <c r="F995" s="41" t="s">
        <v>32</v>
      </c>
      <c r="G995" s="37">
        <v>35</v>
      </c>
      <c r="H995" s="37" t="e">
        <f>_xlfn._xlws.FILTER('[1]2025年已发货'!$E:$E,'[1]2025年已发货'!$F:$F&amp;'[1]2025年已发货'!$C:$C&amp;'[1]2025年已发货'!$G:$G&amp;'[1]2025年已发货'!$H:$H=C995&amp;F995&amp;I995&amp;J995,"未发货")</f>
        <v>#N/A</v>
      </c>
      <c r="I995" s="41" t="e">
        <f>VLOOKUP(B995,辅助信息!E:I,3,FALSE)</f>
        <v>#N/A</v>
      </c>
      <c r="J995" s="41" t="e">
        <f>VLOOKUP(B995,辅助信息!E:I,4,FALSE)</f>
        <v>#N/A</v>
      </c>
      <c r="K995" s="41" t="e">
        <f>VLOOKUP(J995,辅助信息!H:I,2,FALSE)</f>
        <v>#N/A</v>
      </c>
      <c r="L995" s="87" t="e">
        <f>VLOOKUP(B995,辅助信息!E:J,6,FALSE)</f>
        <v>#N/A</v>
      </c>
      <c r="M995" s="105">
        <v>45734</v>
      </c>
      <c r="N995" s="44"/>
      <c r="O995" s="44">
        <f ca="1" t="shared" si="32"/>
        <v>0</v>
      </c>
      <c r="P995" s="44">
        <f ca="1" t="shared" si="33"/>
        <v>225</v>
      </c>
      <c r="Q995" s="41" t="e">
        <f>VLOOKUP(B995,辅助信息!E:M,9,FALSE)</f>
        <v>#N/A</v>
      </c>
      <c r="R995" s="27"/>
    </row>
    <row r="996" hidden="1" spans="2:18">
      <c r="B996" s="41" t="s">
        <v>69</v>
      </c>
      <c r="C996" s="71">
        <v>45740</v>
      </c>
      <c r="D996" s="41" t="str">
        <f>VLOOKUP(B996,辅助信息!E:K,7,FALSE)</f>
        <v>JWDDCD2025052800131</v>
      </c>
      <c r="E996" s="41" t="str">
        <f>VLOOKUP(F996,辅助信息!A:B,2,FALSE)</f>
        <v>盘螺</v>
      </c>
      <c r="F996" s="41" t="s">
        <v>40</v>
      </c>
      <c r="G996" s="37">
        <v>30</v>
      </c>
      <c r="H996" s="104">
        <f>_xlfn.XLOOKUP(C996&amp;F996&amp;I996&amp;J996,'[1]2025年已发货'!$F:$F&amp;'[1]2025年已发货'!$C:$C&amp;'[1]2025年已发货'!$G:$G&amp;'[1]2025年已发货'!$H:$H,'[1]2025年已发货'!$E:$E,"未发货")</f>
        <v>27</v>
      </c>
      <c r="I996" s="41" t="str">
        <f>VLOOKUP(B996,辅助信息!E:I,3,FALSE)</f>
        <v>（商投建工达州中医药科技园-4工区-2号楼）达州市通川区达州中医药职业学院犀牛大道北段</v>
      </c>
      <c r="J996" s="41" t="str">
        <f>VLOOKUP(B996,辅助信息!E:I,4,FALSE)</f>
        <v>张扬</v>
      </c>
      <c r="K996" s="41">
        <f>VLOOKUP(J996,辅助信息!H:I,2,FALSE)</f>
        <v>18381904567</v>
      </c>
      <c r="L996" s="90" t="str">
        <f>VLOOKUP(B996,辅助信息!E:J,6,FALSE)</f>
        <v>控制炉批号！多了现场不收！,优先安排达钢,提前联系到场规格及数量</v>
      </c>
      <c r="M996" s="105"/>
      <c r="N996" s="44"/>
      <c r="O996" s="44" t="str">
        <f ca="1" t="shared" si="32"/>
        <v/>
      </c>
      <c r="P996" s="44" t="str">
        <f ca="1" t="shared" si="33"/>
        <v/>
      </c>
      <c r="Q996" s="41" t="str">
        <f>VLOOKUP(B996,辅助信息!E:M,9,FALSE)</f>
        <v>ZTWM-CDGS-XS-2024-0134-商投建工达州中医药科技成果示范园项目</v>
      </c>
      <c r="R996" s="27"/>
    </row>
    <row r="997" hidden="1" spans="1:18">
      <c r="A997" s="78"/>
      <c r="B997" s="41" t="s">
        <v>69</v>
      </c>
      <c r="C997" s="71">
        <v>45740</v>
      </c>
      <c r="D997" s="41" t="str">
        <f>VLOOKUP(B997,辅助信息!E:K,7,FALSE)</f>
        <v>JWDDCD2025052800131</v>
      </c>
      <c r="E997" s="41" t="str">
        <f>VLOOKUP(F997,辅助信息!A:B,2,FALSE)</f>
        <v>螺纹钢</v>
      </c>
      <c r="F997" s="41" t="s">
        <v>33</v>
      </c>
      <c r="G997" s="37">
        <v>9</v>
      </c>
      <c r="H997" s="104">
        <f>_xlfn.XLOOKUP(C997&amp;F997&amp;I997&amp;J997,'[1]2025年已发货'!$F:$F&amp;'[1]2025年已发货'!$C:$C&amp;'[1]2025年已发货'!$G:$G&amp;'[1]2025年已发货'!$H:$H,'[1]2025年已发货'!$E:$E,"未发货")</f>
        <v>8</v>
      </c>
      <c r="I997" s="41" t="str">
        <f>VLOOKUP(B997,辅助信息!E:I,3,FALSE)</f>
        <v>（商投建工达州中医药科技园-4工区-2号楼）达州市通川区达州中医药职业学院犀牛大道北段</v>
      </c>
      <c r="J997" s="41" t="str">
        <f>VLOOKUP(B997,辅助信息!E:I,4,FALSE)</f>
        <v>张扬</v>
      </c>
      <c r="K997" s="41">
        <f>VLOOKUP(J997,辅助信息!H:I,2,FALSE)</f>
        <v>18381904567</v>
      </c>
      <c r="L997" s="79"/>
      <c r="M997" s="105">
        <v>45731</v>
      </c>
      <c r="N997" s="44"/>
      <c r="O997" s="44">
        <f ca="1" t="shared" si="32"/>
        <v>0</v>
      </c>
      <c r="P997" s="44">
        <f ca="1" t="shared" si="33"/>
        <v>228</v>
      </c>
      <c r="Q997" s="41" t="str">
        <f>VLOOKUP(B997,辅助信息!E:M,9,FALSE)</f>
        <v>ZTWM-CDGS-XS-2024-0134-商投建工达州中医药科技成果示范园项目</v>
      </c>
      <c r="R997" s="27"/>
    </row>
    <row r="998" hidden="1" spans="1:18">
      <c r="A998" s="78"/>
      <c r="B998" s="41" t="s">
        <v>75</v>
      </c>
      <c r="C998" s="71">
        <v>45740</v>
      </c>
      <c r="D998" s="41" t="e">
        <f>VLOOKUP(B998,辅助信息!E:K,7,FALSE)</f>
        <v>#N/A</v>
      </c>
      <c r="E998" s="41" t="str">
        <f>VLOOKUP(F998,辅助信息!A:B,2,FALSE)</f>
        <v>盘螺</v>
      </c>
      <c r="F998" s="41" t="s">
        <v>41</v>
      </c>
      <c r="G998" s="37">
        <v>2.5</v>
      </c>
      <c r="H998" s="104" t="e">
        <f>_xlfn.XLOOKUP(C998&amp;F998&amp;I998&amp;J998,'[1]2025年已发货'!$F:$F&amp;'[1]2025年已发货'!$C:$C&amp;'[1]2025年已发货'!$G:$G&amp;'[1]2025年已发货'!$H:$H,'[1]2025年已发货'!$E:$E,"未发货")</f>
        <v>#N/A</v>
      </c>
      <c r="I998" s="41" t="e">
        <f>VLOOKUP(B998,辅助信息!E:I,3,FALSE)</f>
        <v>#N/A</v>
      </c>
      <c r="J998" s="41" t="e">
        <f>VLOOKUP(B998,辅助信息!E:I,4,FALSE)</f>
        <v>#N/A</v>
      </c>
      <c r="K998" s="41" t="e">
        <f>VLOOKUP(J998,辅助信息!H:I,2,FALSE)</f>
        <v>#N/A</v>
      </c>
      <c r="L998" s="90" t="e">
        <f>VLOOKUP(B998,辅助信息!E:J,6,FALSE)</f>
        <v>#N/A</v>
      </c>
      <c r="M998" s="105">
        <v>45733</v>
      </c>
      <c r="N998" s="44"/>
      <c r="O998" s="44">
        <f ca="1" t="shared" si="32"/>
        <v>0</v>
      </c>
      <c r="P998" s="44">
        <f ca="1" t="shared" si="33"/>
        <v>226</v>
      </c>
      <c r="Q998" s="41" t="e">
        <f>VLOOKUP(B998,辅助信息!E:M,9,FALSE)</f>
        <v>#N/A</v>
      </c>
      <c r="R998" s="27"/>
    </row>
    <row r="999" hidden="1" spans="1:18">
      <c r="A999" s="78"/>
      <c r="B999" s="41" t="s">
        <v>75</v>
      </c>
      <c r="C999" s="71">
        <v>45740</v>
      </c>
      <c r="D999" s="41" t="e">
        <f>VLOOKUP(B999,辅助信息!E:K,7,FALSE)</f>
        <v>#N/A</v>
      </c>
      <c r="E999" s="41" t="str">
        <f>VLOOKUP(F999,辅助信息!A:B,2,FALSE)</f>
        <v>螺纹钢</v>
      </c>
      <c r="F999" s="41" t="s">
        <v>28</v>
      </c>
      <c r="G999" s="37">
        <v>9</v>
      </c>
      <c r="H999" s="104" t="e">
        <f>_xlfn.XLOOKUP(C999&amp;F999&amp;I999&amp;J999,'[1]2025年已发货'!$F:$F&amp;'[1]2025年已发货'!$C:$C&amp;'[1]2025年已发货'!$G:$G&amp;'[1]2025年已发货'!$H:$H,'[1]2025年已发货'!$E:$E,"未发货")</f>
        <v>#N/A</v>
      </c>
      <c r="I999" s="41" t="e">
        <f>VLOOKUP(B999,辅助信息!E:I,3,FALSE)</f>
        <v>#N/A</v>
      </c>
      <c r="J999" s="41" t="e">
        <f>VLOOKUP(B999,辅助信息!E:I,4,FALSE)</f>
        <v>#N/A</v>
      </c>
      <c r="K999" s="41" t="e">
        <f>VLOOKUP(J999,辅助信息!H:I,2,FALSE)</f>
        <v>#N/A</v>
      </c>
      <c r="L999" s="79"/>
      <c r="M999" s="105">
        <v>45733</v>
      </c>
      <c r="N999" s="44"/>
      <c r="O999" s="44">
        <f ca="1" t="shared" si="32"/>
        <v>0</v>
      </c>
      <c r="P999" s="44">
        <f ca="1" t="shared" si="33"/>
        <v>226</v>
      </c>
      <c r="Q999" s="41" t="e">
        <f>VLOOKUP(B999,辅助信息!E:M,9,FALSE)</f>
        <v>#N/A</v>
      </c>
      <c r="R999" s="27"/>
    </row>
    <row r="1000" ht="33.75" hidden="1" customHeight="1" spans="2:18">
      <c r="B1000" s="41" t="s">
        <v>68</v>
      </c>
      <c r="C1000" s="71">
        <v>45740</v>
      </c>
      <c r="D1000" s="41" t="str">
        <f>VLOOKUP(B1000,辅助信息!E:K,7,FALSE)</f>
        <v>JWDDCD2025052800131</v>
      </c>
      <c r="E1000" s="41" t="str">
        <f>VLOOKUP(F1000,辅助信息!A:B,2,FALSE)</f>
        <v>高线</v>
      </c>
      <c r="F1000" s="41" t="s">
        <v>51</v>
      </c>
      <c r="G1000" s="37">
        <v>3</v>
      </c>
      <c r="H1000" s="104" t="str">
        <f>_xlfn.XLOOKUP(C1000&amp;F1000&amp;I1000&amp;J1000,'[1]2025年已发货'!$F:$F&amp;'[1]2025年已发货'!$C:$C&amp;'[1]2025年已发货'!$G:$G&amp;'[1]2025年已发货'!$H:$H,'[1]2025年已发货'!$E:$E,"未发货")</f>
        <v>未发货</v>
      </c>
      <c r="I1000" s="41" t="str">
        <f>VLOOKUP(B1000,辅助信息!E:I,3,FALSE)</f>
        <v>（商投建工达州中医药科技园-2工区-景观桥）达州市通川区达州中医药职业学院犀牛大道北段</v>
      </c>
      <c r="J1000" s="41" t="str">
        <f>VLOOKUP(B1000,辅助信息!E:I,4,FALSE)</f>
        <v>李波</v>
      </c>
      <c r="K1000" s="41">
        <f>VLOOKUP(J1000,辅助信息!H:I,2,FALSE)</f>
        <v>18381899787</v>
      </c>
      <c r="L1000" s="78" t="str">
        <f>VLOOKUP(B1000,辅助信息!E:J,6,FALSE)</f>
        <v>控制炉批号！多了现场不收！,优先安排达钢,提前联系到场规格及数量</v>
      </c>
      <c r="M1000" s="106">
        <v>45736</v>
      </c>
      <c r="O1000" s="44">
        <f ca="1" t="shared" si="32"/>
        <v>0</v>
      </c>
      <c r="P1000" s="44">
        <f ca="1" t="shared" si="33"/>
        <v>223</v>
      </c>
      <c r="Q1000" s="41" t="str">
        <f>VLOOKUP(B1000,辅助信息!E:M,9,FALSE)</f>
        <v>ZTWM-CDGS-XS-2024-0134-商投建工达州中医药科技成果示范园项目</v>
      </c>
      <c r="R1000" s="27"/>
    </row>
    <row r="1001" hidden="1" spans="2:18">
      <c r="B1001" s="41" t="s">
        <v>73</v>
      </c>
      <c r="C1001" s="71">
        <v>45740</v>
      </c>
      <c r="D1001" s="41" t="s">
        <v>118</v>
      </c>
      <c r="E1001" s="41" t="s">
        <v>119</v>
      </c>
      <c r="F1001" s="41" t="s">
        <v>49</v>
      </c>
      <c r="G1001" s="37">
        <v>10</v>
      </c>
      <c r="H1001" s="104">
        <f>_xlfn.XLOOKUP(C1001&amp;F1001&amp;I1001&amp;J1001,'[1]2025年已发货'!$F:$F&amp;'[1]2025年已发货'!$C:$C&amp;'[1]2025年已发货'!$G:$G&amp;'[1]2025年已发货'!$H:$H,'[1]2025年已发货'!$E:$E,"未发货")</f>
        <v>10</v>
      </c>
      <c r="I1001" s="41" t="str">
        <f>VLOOKUP(B1001,辅助信息!E:I,3,FALSE)</f>
        <v>(五冶钢构医学科学产业园建设项目房建三部-一标（7-1）)四川省南充市顺庆区搬罾街道学府大道二段</v>
      </c>
      <c r="J1001" s="41" t="str">
        <f>VLOOKUP(B1001,辅助信息!E:I,4,FALSE)</f>
        <v>郑林</v>
      </c>
      <c r="K1001" s="41">
        <f>VLOOKUP(J1001,辅助信息!H:I,2,FALSE)</f>
        <v>18349955455</v>
      </c>
      <c r="L1001" s="78"/>
      <c r="M1001" s="106"/>
      <c r="O1001" s="44"/>
      <c r="P1001" s="44"/>
      <c r="Q1001" s="41"/>
      <c r="R1001" s="27"/>
    </row>
    <row r="1002" hidden="1" spans="2:18">
      <c r="B1002" s="41" t="s">
        <v>73</v>
      </c>
      <c r="C1002" s="71">
        <v>45740</v>
      </c>
      <c r="D1002" s="41" t="str">
        <f>VLOOKUP(B1002,辅助信息!E:K,7,FALSE)</f>
        <v>JWDDCD2025051000019</v>
      </c>
      <c r="E1002" s="41" t="str">
        <f>VLOOKUP(F1002,辅助信息!A:B,2,FALSE)</f>
        <v>盘螺</v>
      </c>
      <c r="F1002" s="41" t="s">
        <v>26</v>
      </c>
      <c r="G1002" s="37">
        <v>17</v>
      </c>
      <c r="H1002" s="104">
        <f>_xlfn.XLOOKUP(C1002&amp;F1002&amp;I1002&amp;J1002,'[1]2025年已发货'!$F:$F&amp;'[1]2025年已发货'!$C:$C&amp;'[1]2025年已发货'!$G:$G&amp;'[1]2025年已发货'!$H:$H,'[1]2025年已发货'!$E:$E,"未发货")</f>
        <v>17</v>
      </c>
      <c r="I1002" s="41" t="str">
        <f>VLOOKUP(B1002,辅助信息!E:I,3,FALSE)</f>
        <v>(五冶钢构医学科学产业园建设项目房建三部-一标（7-1）)四川省南充市顺庆区搬罾街道学府大道二段</v>
      </c>
      <c r="J1002" s="41" t="str">
        <f>VLOOKUP(B1002,辅助信息!E:I,4,FALSE)</f>
        <v>郑林</v>
      </c>
      <c r="K1002" s="41">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4">
        <f ca="1" t="shared" ref="O1002:O1010" si="34">IF(OR(M1002="",N1002&lt;&gt;""),"",MAX(M1002-TODAY(),0))</f>
        <v>0</v>
      </c>
      <c r="P1002" s="44">
        <f ca="1" t="shared" ref="P1002:P1010" si="35">IF(M1002="","",IF(N1002&lt;&gt;"",MAX(N1002-M1002,0),IF(TODAY()&gt;M1002,TODAY()-M1002,0)))</f>
        <v>221</v>
      </c>
      <c r="Q1002" s="41" t="str">
        <f>VLOOKUP(B1002,辅助信息!E:M,9,FALSE)</f>
        <v>ZTWM-CDGS-XS-2024-0248-五冶钢构-南充市医学院项目</v>
      </c>
      <c r="R1002" s="27"/>
    </row>
    <row r="1003" hidden="1" spans="2:18">
      <c r="B1003" s="41" t="s">
        <v>73</v>
      </c>
      <c r="C1003" s="71">
        <v>45740</v>
      </c>
      <c r="D1003" s="41" t="str">
        <f>VLOOKUP(B1003,辅助信息!E:K,7,FALSE)</f>
        <v>JWDDCD2025051000019</v>
      </c>
      <c r="E1003" s="41" t="str">
        <f>VLOOKUP(F1003,辅助信息!A:B,2,FALSE)</f>
        <v>盘螺</v>
      </c>
      <c r="F1003" s="41" t="s">
        <v>40</v>
      </c>
      <c r="G1003" s="37">
        <v>8</v>
      </c>
      <c r="H1003" s="104">
        <f>_xlfn.XLOOKUP(C1003&amp;F1003&amp;I1003&amp;J1003,'[1]2025年已发货'!$F:$F&amp;'[1]2025年已发货'!$C:$C&amp;'[1]2025年已发货'!$G:$G&amp;'[1]2025年已发货'!$H:$H,'[1]2025年已发货'!$E:$E,"未发货")</f>
        <v>8</v>
      </c>
      <c r="I1003" s="41" t="str">
        <f>VLOOKUP(B1003,辅助信息!E:I,3,FALSE)</f>
        <v>(五冶钢构医学科学产业园建设项目房建三部-一标（7-1）)四川省南充市顺庆区搬罾街道学府大道二段</v>
      </c>
      <c r="J1003" s="41" t="str">
        <f>VLOOKUP(B1003,辅助信息!E:I,4,FALSE)</f>
        <v>郑林</v>
      </c>
      <c r="K1003" s="41">
        <f>VLOOKUP(J1003,辅助信息!H:I,2,FALSE)</f>
        <v>18349955455</v>
      </c>
      <c r="L1003" s="77"/>
      <c r="M1003" s="106">
        <v>45738</v>
      </c>
      <c r="O1003" s="44">
        <f ca="1" t="shared" si="34"/>
        <v>0</v>
      </c>
      <c r="P1003" s="44">
        <f ca="1" t="shared" si="35"/>
        <v>221</v>
      </c>
      <c r="Q1003" s="41" t="str">
        <f>VLOOKUP(B1003,辅助信息!E:M,9,FALSE)</f>
        <v>ZTWM-CDGS-XS-2024-0248-五冶钢构-南充市医学院项目</v>
      </c>
      <c r="R1003" s="27"/>
    </row>
    <row r="1004" hidden="1" spans="2:18">
      <c r="B1004" s="41" t="s">
        <v>113</v>
      </c>
      <c r="C1004" s="71">
        <v>45740</v>
      </c>
      <c r="D1004" s="41" t="str">
        <f>VLOOKUP(B1004,辅助信息!E:K,7,FALSE)</f>
        <v>JWDDCD2025051000019</v>
      </c>
      <c r="E1004" s="41" t="str">
        <f>VLOOKUP(F1004,辅助信息!A:B,2,FALSE)</f>
        <v>螺纹钢</v>
      </c>
      <c r="F1004" s="41" t="s">
        <v>32</v>
      </c>
      <c r="G1004" s="37">
        <v>10</v>
      </c>
      <c r="H1004" s="104">
        <f>_xlfn.XLOOKUP(C1004&amp;F1004&amp;I1004&amp;J1004,'[1]2025年已发货'!$F:$F&amp;'[1]2025年已发货'!$C:$C&amp;'[1]2025年已发货'!$G:$G&amp;'[1]2025年已发货'!$H:$H,'[1]2025年已发货'!$E:$E,"未发货")</f>
        <v>10</v>
      </c>
      <c r="I1004" s="41" t="str">
        <f>VLOOKUP(B1004,辅助信息!E:I,3,FALSE)</f>
        <v>(五冶钢构医学科学产业园建设项目房建二部-排洪渠（五标）)四川省南充市顺庆区搬罾街道学府大道二段</v>
      </c>
      <c r="J1004" s="41" t="str">
        <f>VLOOKUP(B1004,辅助信息!E:I,4,FALSE)</f>
        <v>安南</v>
      </c>
      <c r="K1004" s="41">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4">
        <f ca="1" t="shared" si="34"/>
        <v>0</v>
      </c>
      <c r="P1004" s="44">
        <f ca="1" t="shared" si="35"/>
        <v>221</v>
      </c>
      <c r="Q1004" s="41" t="str">
        <f>VLOOKUP(B1004,辅助信息!E:M,9,FALSE)</f>
        <v>ZTWM-CDGS-XS-2024-0248-五冶钢构-南充市医学院项目</v>
      </c>
      <c r="R1004" s="27"/>
    </row>
    <row r="1005" hidden="1" spans="2:18">
      <c r="B1005" s="41" t="s">
        <v>113</v>
      </c>
      <c r="C1005" s="71">
        <v>45740</v>
      </c>
      <c r="D1005" s="41" t="str">
        <f>VLOOKUP(B1005,辅助信息!E:K,7,FALSE)</f>
        <v>JWDDCD2025051000019</v>
      </c>
      <c r="E1005" s="41" t="str">
        <f>VLOOKUP(F1005,辅助信息!A:B,2,FALSE)</f>
        <v>螺纹钢</v>
      </c>
      <c r="F1005" s="41" t="s">
        <v>18</v>
      </c>
      <c r="G1005" s="37">
        <v>25</v>
      </c>
      <c r="H1005" s="104">
        <f>_xlfn.XLOOKUP(C1005&amp;F1005&amp;I1005&amp;J1005,'[1]2025年已发货'!$F:$F&amp;'[1]2025年已发货'!$C:$C&amp;'[1]2025年已发货'!$G:$G&amp;'[1]2025年已发货'!$H:$H,'[1]2025年已发货'!$E:$E,"未发货")</f>
        <v>25</v>
      </c>
      <c r="I1005" s="41" t="str">
        <f>VLOOKUP(B1005,辅助信息!E:I,3,FALSE)</f>
        <v>(五冶钢构医学科学产业园建设项目房建二部-排洪渠（五标）)四川省南充市顺庆区搬罾街道学府大道二段</v>
      </c>
      <c r="J1005" s="41" t="str">
        <f>VLOOKUP(B1005,辅助信息!E:I,4,FALSE)</f>
        <v>安南</v>
      </c>
      <c r="K1005" s="41">
        <f>VLOOKUP(J1005,辅助信息!H:I,2,FALSE)</f>
        <v>19950525030</v>
      </c>
      <c r="L1005" s="77"/>
      <c r="M1005" s="106">
        <v>45738</v>
      </c>
      <c r="O1005" s="44">
        <f ca="1" t="shared" si="34"/>
        <v>0</v>
      </c>
      <c r="P1005" s="44">
        <f ca="1" t="shared" si="35"/>
        <v>221</v>
      </c>
      <c r="Q1005" s="41" t="str">
        <f>VLOOKUP(B1005,辅助信息!E:M,9,FALSE)</f>
        <v>ZTWM-CDGS-XS-2024-0248-五冶钢构-南充市医学院项目</v>
      </c>
      <c r="R1005" s="27"/>
    </row>
    <row r="1006" hidden="1" spans="2:18">
      <c r="B1006" s="41" t="s">
        <v>29</v>
      </c>
      <c r="C1006" s="71">
        <v>45740</v>
      </c>
      <c r="D1006" s="41" t="e">
        <f>VLOOKUP(B1006,辅助信息!E:K,7,FALSE)</f>
        <v>#N/A</v>
      </c>
      <c r="E1006" s="41" t="str">
        <f>VLOOKUP(F1006,辅助信息!A:B,2,FALSE)</f>
        <v>螺纹钢</v>
      </c>
      <c r="F1006" s="41" t="s">
        <v>27</v>
      </c>
      <c r="G1006" s="37">
        <v>20</v>
      </c>
      <c r="H1006" s="104" t="e">
        <f>_xlfn.XLOOKUP(C1006&amp;F1006&amp;I1006&amp;J1006,'[1]2025年已发货'!$F:$F&amp;'[1]2025年已发货'!$C:$C&amp;'[1]2025年已发货'!$G:$G&amp;'[1]2025年已发货'!$H:$H,'[1]2025年已发货'!$E:$E,"未发货")</f>
        <v>#N/A</v>
      </c>
      <c r="I1006" s="41" t="e">
        <f>VLOOKUP(B1006,辅助信息!E:I,3,FALSE)</f>
        <v>#N/A</v>
      </c>
      <c r="J1006" s="41" t="e">
        <f>VLOOKUP(B1006,辅助信息!E:I,4,FALSE)</f>
        <v>#N/A</v>
      </c>
      <c r="K1006" s="41" t="e">
        <f>VLOOKUP(J1006,辅助信息!H:I,2,FALSE)</f>
        <v>#N/A</v>
      </c>
      <c r="L1006" s="78" t="e">
        <f>VLOOKUP(B1006,辅助信息!E:J,6,FALSE)</f>
        <v>#N/A</v>
      </c>
      <c r="M1006" s="106">
        <v>45738</v>
      </c>
      <c r="O1006" s="44">
        <f ca="1" t="shared" si="34"/>
        <v>0</v>
      </c>
      <c r="P1006" s="44">
        <f ca="1" t="shared" si="35"/>
        <v>221</v>
      </c>
      <c r="Q1006" s="41" t="e">
        <f>VLOOKUP(B1006,辅助信息!E:M,9,FALSE)</f>
        <v>#N/A</v>
      </c>
      <c r="R1006" s="27"/>
    </row>
    <row r="1007" hidden="1" spans="2:18">
      <c r="B1007" s="41" t="s">
        <v>29</v>
      </c>
      <c r="C1007" s="71">
        <v>45740</v>
      </c>
      <c r="D1007" s="41" t="e">
        <f>VLOOKUP(B1007,辅助信息!E:K,7,FALSE)</f>
        <v>#N/A</v>
      </c>
      <c r="E1007" s="41" t="str">
        <f>VLOOKUP(F1007,辅助信息!A:B,2,FALSE)</f>
        <v>螺纹钢</v>
      </c>
      <c r="F1007" s="41" t="s">
        <v>28</v>
      </c>
      <c r="G1007" s="37">
        <v>15</v>
      </c>
      <c r="H1007" s="104" t="e">
        <f>_xlfn.XLOOKUP(C1007&amp;F1007&amp;I1007&amp;J1007,'[1]2025年已发货'!$F:$F&amp;'[1]2025年已发货'!$C:$C&amp;'[1]2025年已发货'!$G:$G&amp;'[1]2025年已发货'!$H:$H,'[1]2025年已发货'!$E:$E,"未发货")</f>
        <v>#N/A</v>
      </c>
      <c r="I1007" s="41" t="e">
        <f>VLOOKUP(B1007,辅助信息!E:I,3,FALSE)</f>
        <v>#N/A</v>
      </c>
      <c r="J1007" s="41" t="e">
        <f>VLOOKUP(B1007,辅助信息!E:I,4,FALSE)</f>
        <v>#N/A</v>
      </c>
      <c r="K1007" s="41" t="e">
        <f>VLOOKUP(J1007,辅助信息!H:I,2,FALSE)</f>
        <v>#N/A</v>
      </c>
      <c r="L1007" s="77"/>
      <c r="M1007" s="106">
        <v>45738</v>
      </c>
      <c r="O1007" s="44">
        <f ca="1" t="shared" si="34"/>
        <v>0</v>
      </c>
      <c r="P1007" s="44">
        <f ca="1" t="shared" si="35"/>
        <v>221</v>
      </c>
      <c r="Q1007" s="41" t="e">
        <f>VLOOKUP(B1007,辅助信息!E:M,9,FALSE)</f>
        <v>#N/A</v>
      </c>
      <c r="R1007" s="27"/>
    </row>
    <row r="1008" hidden="1" spans="2:18">
      <c r="B1008" s="41" t="s">
        <v>87</v>
      </c>
      <c r="C1008" s="71">
        <v>45740</v>
      </c>
      <c r="D1008" s="41" t="e">
        <f>VLOOKUP(B1008,辅助信息!E:K,7,FALSE)</f>
        <v>#N/A</v>
      </c>
      <c r="E1008" s="41" t="str">
        <f>VLOOKUP(F1008,辅助信息!A:B,2,FALSE)</f>
        <v>螺纹钢</v>
      </c>
      <c r="F1008" s="41" t="s">
        <v>27</v>
      </c>
      <c r="G1008" s="37">
        <v>5</v>
      </c>
      <c r="H1008" s="104" t="e">
        <f>_xlfn.XLOOKUP(C1008&amp;F1008&amp;I1008&amp;J1008,'[1]2025年已发货'!$F:$F&amp;'[1]2025年已发货'!$C:$C&amp;'[1]2025年已发货'!$G:$G&amp;'[1]2025年已发货'!$H:$H,'[1]2025年已发货'!$E:$E,"未发货")</f>
        <v>#N/A</v>
      </c>
      <c r="I1008" s="41" t="e">
        <f>VLOOKUP(B1008,辅助信息!E:I,3,FALSE)</f>
        <v>#N/A</v>
      </c>
      <c r="J1008" s="41" t="e">
        <f>VLOOKUP(B1008,辅助信息!E:I,4,FALSE)</f>
        <v>#N/A</v>
      </c>
      <c r="K1008" s="41" t="e">
        <f>VLOOKUP(J1008,辅助信息!H:I,2,FALSE)</f>
        <v>#N/A</v>
      </c>
      <c r="L1008" s="78" t="e">
        <f>VLOOKUP(B1008,辅助信息!E:J,6,FALSE)</f>
        <v>#N/A</v>
      </c>
      <c r="M1008" s="106">
        <v>45738</v>
      </c>
      <c r="O1008" s="44">
        <f ca="1" t="shared" si="34"/>
        <v>0</v>
      </c>
      <c r="P1008" s="44">
        <f ca="1" t="shared" si="35"/>
        <v>221</v>
      </c>
      <c r="Q1008" s="41" t="e">
        <f>VLOOKUP(B1008,辅助信息!E:M,9,FALSE)</f>
        <v>#N/A</v>
      </c>
      <c r="R1008" s="27"/>
    </row>
    <row r="1009" hidden="1" spans="2:18">
      <c r="B1009" s="41" t="s">
        <v>87</v>
      </c>
      <c r="C1009" s="71">
        <v>45740</v>
      </c>
      <c r="D1009" s="41" t="e">
        <f>VLOOKUP(B1009,辅助信息!E:K,7,FALSE)</f>
        <v>#N/A</v>
      </c>
      <c r="E1009" s="41" t="str">
        <f>VLOOKUP(F1009,辅助信息!A:B,2,FALSE)</f>
        <v>螺纹钢</v>
      </c>
      <c r="F1009" s="41" t="s">
        <v>19</v>
      </c>
      <c r="G1009" s="37">
        <v>8</v>
      </c>
      <c r="H1009" s="104" t="e">
        <f>_xlfn.XLOOKUP(C1009&amp;F1009&amp;I1009&amp;J1009,'[1]2025年已发货'!$F:$F&amp;'[1]2025年已发货'!$C:$C&amp;'[1]2025年已发货'!$G:$G&amp;'[1]2025年已发货'!$H:$H,'[1]2025年已发货'!$E:$E,"未发货")</f>
        <v>#N/A</v>
      </c>
      <c r="I1009" s="41" t="e">
        <f>VLOOKUP(B1009,辅助信息!E:I,3,FALSE)</f>
        <v>#N/A</v>
      </c>
      <c r="J1009" s="41" t="e">
        <f>VLOOKUP(B1009,辅助信息!E:I,4,FALSE)</f>
        <v>#N/A</v>
      </c>
      <c r="K1009" s="41" t="e">
        <f>VLOOKUP(J1009,辅助信息!H:I,2,FALSE)</f>
        <v>#N/A</v>
      </c>
      <c r="L1009" s="79"/>
      <c r="M1009" s="106">
        <v>45738</v>
      </c>
      <c r="O1009" s="44">
        <f ca="1" t="shared" si="34"/>
        <v>0</v>
      </c>
      <c r="P1009" s="44">
        <f ca="1" t="shared" si="35"/>
        <v>221</v>
      </c>
      <c r="Q1009" s="41" t="e">
        <f>VLOOKUP(B1009,辅助信息!E:M,9,FALSE)</f>
        <v>#N/A</v>
      </c>
      <c r="R1009" s="27"/>
    </row>
    <row r="1010" hidden="1" spans="2:18">
      <c r="B1010" s="41" t="s">
        <v>87</v>
      </c>
      <c r="C1010" s="71">
        <v>45740</v>
      </c>
      <c r="D1010" s="41" t="e">
        <f>VLOOKUP(B1010,辅助信息!E:K,7,FALSE)</f>
        <v>#N/A</v>
      </c>
      <c r="E1010" s="41" t="str">
        <f>VLOOKUP(F1010,辅助信息!A:B,2,FALSE)</f>
        <v>螺纹钢</v>
      </c>
      <c r="F1010" s="41" t="s">
        <v>52</v>
      </c>
      <c r="G1010" s="37">
        <v>22</v>
      </c>
      <c r="H1010" s="104" t="e">
        <f>_xlfn.XLOOKUP(C1010&amp;F1010&amp;I1010&amp;J1010,'[1]2025年已发货'!$F:$F&amp;'[1]2025年已发货'!$C:$C&amp;'[1]2025年已发货'!$G:$G&amp;'[1]2025年已发货'!$H:$H,'[1]2025年已发货'!$E:$E,"未发货")</f>
        <v>#N/A</v>
      </c>
      <c r="I1010" s="41" t="e">
        <f>VLOOKUP(B1010,辅助信息!E:I,3,FALSE)</f>
        <v>#N/A</v>
      </c>
      <c r="J1010" s="41" t="e">
        <f>VLOOKUP(B1010,辅助信息!E:I,4,FALSE)</f>
        <v>#N/A</v>
      </c>
      <c r="K1010" s="41" t="e">
        <f>VLOOKUP(J1010,辅助信息!H:I,2,FALSE)</f>
        <v>#N/A</v>
      </c>
      <c r="L1010" s="77"/>
      <c r="M1010" s="106">
        <v>45738</v>
      </c>
      <c r="O1010" s="44">
        <f ca="1" t="shared" si="34"/>
        <v>0</v>
      </c>
      <c r="P1010" s="44">
        <f ca="1" t="shared" si="35"/>
        <v>221</v>
      </c>
      <c r="Q1010" s="41" t="e">
        <f>VLOOKUP(B1010,辅助信息!E:M,9,FALSE)</f>
        <v>#N/A</v>
      </c>
      <c r="R1010" s="27"/>
    </row>
    <row r="1011" hidden="1" spans="2:18">
      <c r="B1011" s="41" t="s">
        <v>87</v>
      </c>
      <c r="C1011" s="71">
        <v>45740</v>
      </c>
      <c r="D1011" s="41" t="e">
        <f>VLOOKUP(B1011,辅助信息!E:K,7,FALSE)</f>
        <v>#N/A</v>
      </c>
      <c r="E1011" s="41" t="str">
        <f>VLOOKUP(F1011,辅助信息!A:B,2,FALSE)</f>
        <v>螺纹钢</v>
      </c>
      <c r="F1011" s="41" t="s">
        <v>65</v>
      </c>
      <c r="G1011" s="37">
        <v>10</v>
      </c>
      <c r="H1011" s="104" t="e">
        <f>_xlfn.XLOOKUP(C1011&amp;F1011&amp;I1011&amp;J1011,'[1]2025年已发货'!$F:$F&amp;'[1]2025年已发货'!$C:$C&amp;'[1]2025年已发货'!$G:$G&amp;'[1]2025年已发货'!$H:$H,'[1]2025年已发货'!$E:$E,"未发货")</f>
        <v>#N/A</v>
      </c>
      <c r="I1011" s="41" t="e">
        <f>VLOOKUP(B1011,辅助信息!E:I,3,FALSE)</f>
        <v>#N/A</v>
      </c>
      <c r="J1011" s="41" t="e">
        <f>VLOOKUP(B1011,辅助信息!E:I,4,FALSE)</f>
        <v>#N/A</v>
      </c>
      <c r="K1011" s="41"/>
      <c r="L1011" s="78"/>
      <c r="M1011" s="106"/>
      <c r="O1011" s="44"/>
      <c r="P1011" s="44"/>
      <c r="Q1011" s="41"/>
      <c r="R1011" s="27"/>
    </row>
    <row r="1012" hidden="1" spans="2:18">
      <c r="B1012" s="41" t="s">
        <v>120</v>
      </c>
      <c r="C1012" s="71">
        <v>45740</v>
      </c>
      <c r="D1012" s="41" t="e">
        <f>VLOOKUP(B1012,辅助信息!E:K,7,FALSE)</f>
        <v>#N/A</v>
      </c>
      <c r="E1012" s="41" t="str">
        <f>VLOOKUP(F1012,辅助信息!A:B,2,FALSE)</f>
        <v>高线</v>
      </c>
      <c r="F1012" s="41" t="s">
        <v>53</v>
      </c>
      <c r="G1012" s="37">
        <v>3</v>
      </c>
      <c r="H1012" s="104" t="e">
        <f>_xlfn.XLOOKUP(C1012&amp;F1012&amp;I1012&amp;J1012,'[1]2025年已发货'!$F:$F&amp;'[1]2025年已发货'!$C:$C&amp;'[1]2025年已发货'!$G:$G&amp;'[1]2025年已发货'!$H:$H,'[1]2025年已发货'!$E:$E,"未发货")</f>
        <v>#N/A</v>
      </c>
      <c r="I1012" s="41" t="e">
        <f>VLOOKUP(B1012,辅助信息!E:I,3,FALSE)</f>
        <v>#N/A</v>
      </c>
      <c r="J1012" s="41" t="e">
        <f>VLOOKUP(B1012,辅助信息!E:I,4,FALSE)</f>
        <v>#N/A</v>
      </c>
      <c r="K1012" s="41" t="e">
        <f>VLOOKUP(J1012,辅助信息!H:I,2,FALSE)</f>
        <v>#N/A</v>
      </c>
      <c r="L1012" s="78" t="e">
        <f>VLOOKUP(B1012,辅助信息!E:J,6,FALSE)</f>
        <v>#N/A</v>
      </c>
      <c r="M1012" s="106">
        <v>45738</v>
      </c>
      <c r="O1012" s="44">
        <f ca="1" t="shared" ref="O1012:O1019" si="36">IF(OR(M1012="",N1012&lt;&gt;""),"",MAX(M1012-TODAY(),0))</f>
        <v>0</v>
      </c>
      <c r="P1012" s="44">
        <f ca="1" t="shared" ref="P1012:P1075" si="37">IF(M1012="","",IF(N1012&lt;&gt;"",MAX(N1012-M1012,0),IF(TODAY()&gt;M1012,TODAY()-M1012,0)))</f>
        <v>221</v>
      </c>
      <c r="Q1012" s="41" t="e">
        <f>VLOOKUP(B1012,辅助信息!E:M,9,FALSE)</f>
        <v>#N/A</v>
      </c>
      <c r="R1012" s="27"/>
    </row>
    <row r="1013" hidden="1" spans="2:18">
      <c r="B1013" s="41" t="s">
        <v>120</v>
      </c>
      <c r="C1013" s="71">
        <v>45740</v>
      </c>
      <c r="D1013" s="41" t="e">
        <f>VLOOKUP(B1013,辅助信息!E:K,7,FALSE)</f>
        <v>#N/A</v>
      </c>
      <c r="E1013" s="41" t="str">
        <f>VLOOKUP(F1013,辅助信息!A:B,2,FALSE)</f>
        <v>盘螺</v>
      </c>
      <c r="F1013" s="41" t="s">
        <v>41</v>
      </c>
      <c r="G1013" s="37">
        <v>6</v>
      </c>
      <c r="H1013" s="104" t="e">
        <f>_xlfn.XLOOKUP(C1013&amp;F1013&amp;I1013&amp;J1013,'[1]2025年已发货'!$F:$F&amp;'[1]2025年已发货'!$C:$C&amp;'[1]2025年已发货'!$G:$G&amp;'[1]2025年已发货'!$H:$H,'[1]2025年已发货'!$E:$E,"未发货")</f>
        <v>#N/A</v>
      </c>
      <c r="I1013" s="41" t="e">
        <f>VLOOKUP(B1013,辅助信息!E:I,3,FALSE)</f>
        <v>#N/A</v>
      </c>
      <c r="J1013" s="41" t="e">
        <f>VLOOKUP(B1013,辅助信息!E:I,4,FALSE)</f>
        <v>#N/A</v>
      </c>
      <c r="K1013" s="41" t="e">
        <f>VLOOKUP(J1013,辅助信息!H:I,2,FALSE)</f>
        <v>#N/A</v>
      </c>
      <c r="L1013" s="79"/>
      <c r="M1013" s="106">
        <v>45738</v>
      </c>
      <c r="O1013" s="44">
        <f ca="1" t="shared" si="36"/>
        <v>0</v>
      </c>
      <c r="P1013" s="44">
        <f ca="1" t="shared" si="37"/>
        <v>221</v>
      </c>
      <c r="Q1013" s="41" t="e">
        <f>VLOOKUP(B1013,辅助信息!E:M,9,FALSE)</f>
        <v>#N/A</v>
      </c>
      <c r="R1013" s="27"/>
    </row>
    <row r="1014" hidden="1" spans="2:18">
      <c r="B1014" s="41" t="s">
        <v>120</v>
      </c>
      <c r="C1014" s="71">
        <v>45740</v>
      </c>
      <c r="D1014" s="41" t="e">
        <f>VLOOKUP(B1014,辅助信息!E:K,7,FALSE)</f>
        <v>#N/A</v>
      </c>
      <c r="E1014" s="41" t="str">
        <f>VLOOKUP(F1014,辅助信息!A:B,2,FALSE)</f>
        <v>螺纹钢</v>
      </c>
      <c r="F1014" s="41" t="s">
        <v>27</v>
      </c>
      <c r="G1014" s="37">
        <v>6</v>
      </c>
      <c r="H1014" s="104" t="e">
        <f>_xlfn.XLOOKUP(C1014&amp;F1014&amp;I1014&amp;J1014,'[1]2025年已发货'!$F:$F&amp;'[1]2025年已发货'!$C:$C&amp;'[1]2025年已发货'!$G:$G&amp;'[1]2025年已发货'!$H:$H,'[1]2025年已发货'!$E:$E,"未发货")</f>
        <v>#N/A</v>
      </c>
      <c r="I1014" s="41" t="e">
        <f>VLOOKUP(B1014,辅助信息!E:I,3,FALSE)</f>
        <v>#N/A</v>
      </c>
      <c r="J1014" s="41" t="e">
        <f>VLOOKUP(B1014,辅助信息!E:I,4,FALSE)</f>
        <v>#N/A</v>
      </c>
      <c r="K1014" s="41" t="e">
        <f>VLOOKUP(J1014,辅助信息!H:I,2,FALSE)</f>
        <v>#N/A</v>
      </c>
      <c r="L1014" s="79"/>
      <c r="M1014" s="106">
        <v>45738</v>
      </c>
      <c r="O1014" s="44">
        <f ca="1" t="shared" si="36"/>
        <v>0</v>
      </c>
      <c r="P1014" s="44">
        <f ca="1" t="shared" si="37"/>
        <v>221</v>
      </c>
      <c r="Q1014" s="41" t="e">
        <f>VLOOKUP(B1014,辅助信息!E:M,9,FALSE)</f>
        <v>#N/A</v>
      </c>
      <c r="R1014" s="27"/>
    </row>
    <row r="1015" hidden="1" spans="2:18">
      <c r="B1015" s="41" t="s">
        <v>120</v>
      </c>
      <c r="C1015" s="71">
        <v>45740</v>
      </c>
      <c r="D1015" s="41" t="e">
        <f>VLOOKUP(B1015,辅助信息!E:K,7,FALSE)</f>
        <v>#N/A</v>
      </c>
      <c r="E1015" s="41" t="str">
        <f>VLOOKUP(F1015,辅助信息!A:B,2,FALSE)</f>
        <v>螺纹钢</v>
      </c>
      <c r="F1015" s="41" t="s">
        <v>32</v>
      </c>
      <c r="G1015" s="37">
        <v>3</v>
      </c>
      <c r="H1015" s="104" t="e">
        <f>_xlfn.XLOOKUP(C1015&amp;F1015&amp;I1015&amp;J1015,'[1]2025年已发货'!$F:$F&amp;'[1]2025年已发货'!$C:$C&amp;'[1]2025年已发货'!$G:$G&amp;'[1]2025年已发货'!$H:$H,'[1]2025年已发货'!$E:$E,"未发货")</f>
        <v>#N/A</v>
      </c>
      <c r="I1015" s="41" t="e">
        <f>VLOOKUP(B1015,辅助信息!E:I,3,FALSE)</f>
        <v>#N/A</v>
      </c>
      <c r="J1015" s="41" t="e">
        <f>VLOOKUP(B1015,辅助信息!E:I,4,FALSE)</f>
        <v>#N/A</v>
      </c>
      <c r="K1015" s="41" t="e">
        <f>VLOOKUP(J1015,辅助信息!H:I,2,FALSE)</f>
        <v>#N/A</v>
      </c>
      <c r="L1015" s="79"/>
      <c r="M1015" s="106">
        <v>45738</v>
      </c>
      <c r="O1015" s="44">
        <f ca="1" t="shared" si="36"/>
        <v>0</v>
      </c>
      <c r="P1015" s="44">
        <f ca="1" t="shared" si="37"/>
        <v>221</v>
      </c>
      <c r="Q1015" s="41" t="e">
        <f>VLOOKUP(B1015,辅助信息!E:M,9,FALSE)</f>
        <v>#N/A</v>
      </c>
      <c r="R1015" s="27"/>
    </row>
    <row r="1016" hidden="1" spans="2:18">
      <c r="B1016" s="41" t="s">
        <v>120</v>
      </c>
      <c r="C1016" s="71">
        <v>45740</v>
      </c>
      <c r="D1016" s="41" t="e">
        <f>VLOOKUP(B1016,辅助信息!E:K,7,FALSE)</f>
        <v>#N/A</v>
      </c>
      <c r="E1016" s="41" t="str">
        <f>VLOOKUP(F1016,辅助信息!A:B,2,FALSE)</f>
        <v>螺纹钢</v>
      </c>
      <c r="F1016" s="41" t="s">
        <v>52</v>
      </c>
      <c r="G1016" s="37">
        <v>15</v>
      </c>
      <c r="H1016" s="104" t="e">
        <f>_xlfn.XLOOKUP(C1016&amp;F1016&amp;I1016&amp;J1016,'[1]2025年已发货'!$F:$F&amp;'[1]2025年已发货'!$C:$C&amp;'[1]2025年已发货'!$G:$G&amp;'[1]2025年已发货'!$H:$H,'[1]2025年已发货'!$E:$E,"未发货")</f>
        <v>#N/A</v>
      </c>
      <c r="I1016" s="41" t="e">
        <f>VLOOKUP(B1016,辅助信息!E:I,3,FALSE)</f>
        <v>#N/A</v>
      </c>
      <c r="J1016" s="41" t="e">
        <f>VLOOKUP(B1016,辅助信息!E:I,4,FALSE)</f>
        <v>#N/A</v>
      </c>
      <c r="K1016" s="41" t="e">
        <f>VLOOKUP(J1016,辅助信息!H:I,2,FALSE)</f>
        <v>#N/A</v>
      </c>
      <c r="L1016" s="77"/>
      <c r="M1016" s="106">
        <v>45738</v>
      </c>
      <c r="O1016" s="44">
        <f ca="1" t="shared" si="36"/>
        <v>0</v>
      </c>
      <c r="P1016" s="44">
        <f ca="1" t="shared" si="37"/>
        <v>221</v>
      </c>
      <c r="Q1016" s="41" t="e">
        <f>VLOOKUP(B1016,辅助信息!E:M,9,FALSE)</f>
        <v>#N/A</v>
      </c>
      <c r="R1016" s="27"/>
    </row>
    <row r="1017" hidden="1" spans="2:18">
      <c r="B1017" s="41" t="s">
        <v>64</v>
      </c>
      <c r="C1017" s="71">
        <v>45740</v>
      </c>
      <c r="D1017" s="41" t="e">
        <f>VLOOKUP(B1017,辅助信息!E:K,7,FALSE)</f>
        <v>#N/A</v>
      </c>
      <c r="E1017" s="41" t="str">
        <f>VLOOKUP(F1017,辅助信息!A:B,2,FALSE)</f>
        <v>螺纹钢</v>
      </c>
      <c r="F1017" s="41" t="s">
        <v>19</v>
      </c>
      <c r="G1017" s="37">
        <v>10</v>
      </c>
      <c r="H1017" s="104" t="e">
        <f>_xlfn.XLOOKUP(C1017&amp;F1017&amp;I1017&amp;J1017,'[1]2025年已发货'!$F:$F&amp;'[1]2025年已发货'!$C:$C&amp;'[1]2025年已发货'!$G:$G&amp;'[1]2025年已发货'!$H:$H,'[1]2025年已发货'!$E:$E,"未发货")</f>
        <v>#N/A</v>
      </c>
      <c r="I1017" s="41" t="e">
        <f>VLOOKUP(B1017,辅助信息!E:I,3,FALSE)</f>
        <v>#N/A</v>
      </c>
      <c r="J1017" s="41" t="e">
        <f>VLOOKUP(B1017,辅助信息!E:I,4,FALSE)</f>
        <v>#N/A</v>
      </c>
      <c r="K1017" s="41" t="e">
        <f>VLOOKUP(J1017,辅助信息!H:I,2,FALSE)</f>
        <v>#N/A</v>
      </c>
      <c r="L1017" s="78" t="e">
        <f>VLOOKUP(B1017,辅助信息!E:J,6,FALSE)</f>
        <v>#N/A</v>
      </c>
      <c r="M1017" s="106">
        <v>45738</v>
      </c>
      <c r="O1017" s="44">
        <f ca="1" t="shared" si="36"/>
        <v>0</v>
      </c>
      <c r="P1017" s="44">
        <f ca="1" t="shared" si="37"/>
        <v>221</v>
      </c>
      <c r="Q1017" s="41" t="e">
        <f>VLOOKUP(B1017,辅助信息!E:M,9,FALSE)</f>
        <v>#N/A</v>
      </c>
      <c r="R1017" s="27"/>
    </row>
    <row r="1018" hidden="1" spans="2:18">
      <c r="B1018" s="41" t="s">
        <v>64</v>
      </c>
      <c r="C1018" s="71">
        <v>45740</v>
      </c>
      <c r="D1018" s="41" t="e">
        <f>VLOOKUP(B1018,辅助信息!E:K,7,FALSE)</f>
        <v>#N/A</v>
      </c>
      <c r="E1018" s="41" t="str">
        <f>VLOOKUP(F1018,辅助信息!A:B,2,FALSE)</f>
        <v>螺纹钢</v>
      </c>
      <c r="F1018" s="41" t="s">
        <v>32</v>
      </c>
      <c r="G1018" s="37">
        <v>11</v>
      </c>
      <c r="H1018" s="104" t="e">
        <f>_xlfn.XLOOKUP(C1018&amp;F1018&amp;I1018&amp;J1018,'[1]2025年已发货'!$F:$F&amp;'[1]2025年已发货'!$C:$C&amp;'[1]2025年已发货'!$G:$G&amp;'[1]2025年已发货'!$H:$H,'[1]2025年已发货'!$E:$E,"未发货")</f>
        <v>#N/A</v>
      </c>
      <c r="I1018" s="41" t="e">
        <f>VLOOKUP(B1018,辅助信息!E:I,3,FALSE)</f>
        <v>#N/A</v>
      </c>
      <c r="J1018" s="41" t="e">
        <f>VLOOKUP(B1018,辅助信息!E:I,4,FALSE)</f>
        <v>#N/A</v>
      </c>
      <c r="K1018" s="41" t="e">
        <f>VLOOKUP(J1018,辅助信息!H:I,2,FALSE)</f>
        <v>#N/A</v>
      </c>
      <c r="L1018" s="79"/>
      <c r="M1018" s="106">
        <v>45738</v>
      </c>
      <c r="O1018" s="44">
        <f ca="1" t="shared" si="36"/>
        <v>0</v>
      </c>
      <c r="P1018" s="44">
        <f ca="1" t="shared" si="37"/>
        <v>221</v>
      </c>
      <c r="Q1018" s="41" t="e">
        <f>VLOOKUP(B1018,辅助信息!E:M,9,FALSE)</f>
        <v>#N/A</v>
      </c>
      <c r="R1018" s="27"/>
    </row>
    <row r="1019" hidden="1" spans="2:18">
      <c r="B1019" s="41" t="s">
        <v>64</v>
      </c>
      <c r="C1019" s="71">
        <v>45740</v>
      </c>
      <c r="D1019" s="41" t="e">
        <f>VLOOKUP(B1019,辅助信息!E:K,7,FALSE)</f>
        <v>#N/A</v>
      </c>
      <c r="E1019" s="41" t="str">
        <f>VLOOKUP(F1019,辅助信息!A:B,2,FALSE)</f>
        <v>螺纹钢</v>
      </c>
      <c r="F1019" s="41" t="s">
        <v>52</v>
      </c>
      <c r="G1019" s="37">
        <v>21</v>
      </c>
      <c r="H1019" s="104" t="e">
        <f>_xlfn.XLOOKUP(C1019&amp;F1019&amp;I1019&amp;J1019,'[1]2025年已发货'!$F:$F&amp;'[1]2025年已发货'!$C:$C&amp;'[1]2025年已发货'!$G:$G&amp;'[1]2025年已发货'!$H:$H,'[1]2025年已发货'!$E:$E,"未发货")</f>
        <v>#N/A</v>
      </c>
      <c r="I1019" s="41" t="e">
        <f>VLOOKUP(B1019,辅助信息!E:I,3,FALSE)</f>
        <v>#N/A</v>
      </c>
      <c r="J1019" s="41" t="e">
        <f>VLOOKUP(B1019,辅助信息!E:I,4,FALSE)</f>
        <v>#N/A</v>
      </c>
      <c r="K1019" s="41" t="e">
        <f>VLOOKUP(J1019,辅助信息!H:I,2,FALSE)</f>
        <v>#N/A</v>
      </c>
      <c r="L1019" s="77"/>
      <c r="M1019" s="106">
        <v>45738</v>
      </c>
      <c r="O1019" s="44">
        <f ca="1" t="shared" si="36"/>
        <v>0</v>
      </c>
      <c r="P1019" s="44">
        <f ca="1" t="shared" si="37"/>
        <v>221</v>
      </c>
      <c r="Q1019" s="41" t="e">
        <f>VLOOKUP(B1019,辅助信息!E:M,9,FALSE)</f>
        <v>#N/A</v>
      </c>
      <c r="R1019" s="27"/>
    </row>
    <row r="1020" ht="13.5" hidden="1" customHeight="1" spans="2:17">
      <c r="B1020" s="41" t="s">
        <v>106</v>
      </c>
      <c r="C1020" s="71">
        <v>45740</v>
      </c>
      <c r="D1020" s="41" t="s">
        <v>121</v>
      </c>
      <c r="E1020" s="41" t="str">
        <f>VLOOKUP(F1020,辅助信息!A:B,2,FALSE)</f>
        <v>盘螺</v>
      </c>
      <c r="F1020" s="41" t="s">
        <v>40</v>
      </c>
      <c r="G1020" s="37">
        <v>10</v>
      </c>
      <c r="H1020" s="104" t="str">
        <f>_xlfn.XLOOKUP(C1020&amp;F1020&amp;I1020&amp;J1020,'[1]2025年已发货'!$F:$F&amp;'[1]2025年已发货'!$C:$C&amp;'[1]2025年已发货'!$G:$G&amp;'[1]2025年已发货'!$H:$H,'[1]2025年已发货'!$E:$E,"未发货")</f>
        <v>未发货</v>
      </c>
      <c r="I1020" s="41" t="s">
        <v>122</v>
      </c>
      <c r="J1020" s="41" t="s">
        <v>123</v>
      </c>
      <c r="K1020" s="41">
        <v>15228205853</v>
      </c>
      <c r="L1020" s="78" t="s">
        <v>124</v>
      </c>
      <c r="M1020" s="106">
        <v>45741</v>
      </c>
      <c r="O1020" s="44">
        <v>1</v>
      </c>
      <c r="P1020" s="44">
        <f ca="1" t="shared" si="37"/>
        <v>218</v>
      </c>
      <c r="Q1020" s="41" t="s">
        <v>125</v>
      </c>
    </row>
    <row r="1021" ht="13.5" hidden="1" customHeight="1" spans="2:17">
      <c r="B1021" s="41" t="s">
        <v>106</v>
      </c>
      <c r="C1021" s="71">
        <v>45740</v>
      </c>
      <c r="D1021" s="41" t="s">
        <v>121</v>
      </c>
      <c r="E1021" s="41" t="str">
        <f>VLOOKUP(F1021,辅助信息!A:B,2,FALSE)</f>
        <v>盘螺</v>
      </c>
      <c r="F1021" s="41" t="s">
        <v>41</v>
      </c>
      <c r="G1021" s="37">
        <v>15</v>
      </c>
      <c r="H1021" s="104" t="str">
        <f>_xlfn.XLOOKUP(C1021&amp;F1021&amp;I1021&amp;J1021,'[1]2025年已发货'!$F:$F&amp;'[1]2025年已发货'!$C:$C&amp;'[1]2025年已发货'!$G:$G&amp;'[1]2025年已发货'!$H:$H,'[1]2025年已发货'!$E:$E,"未发货")</f>
        <v>未发货</v>
      </c>
      <c r="I1021" s="41" t="s">
        <v>122</v>
      </c>
      <c r="J1021" s="41" t="s">
        <v>123</v>
      </c>
      <c r="K1021" s="41">
        <v>15228205853</v>
      </c>
      <c r="L1021" s="79"/>
      <c r="M1021" s="106">
        <v>45741</v>
      </c>
      <c r="O1021" s="44">
        <v>1</v>
      </c>
      <c r="P1021" s="44">
        <f ca="1" t="shared" si="37"/>
        <v>218</v>
      </c>
      <c r="Q1021" s="41" t="s">
        <v>125</v>
      </c>
    </row>
    <row r="1022" ht="13.5" hidden="1" customHeight="1" spans="2:17">
      <c r="B1022" s="41" t="s">
        <v>106</v>
      </c>
      <c r="C1022" s="71">
        <v>45740</v>
      </c>
      <c r="D1022" s="41" t="s">
        <v>121</v>
      </c>
      <c r="E1022" s="41" t="str">
        <f>VLOOKUP(F1022,辅助信息!A:B,2,FALSE)</f>
        <v>螺纹钢</v>
      </c>
      <c r="F1022" s="41" t="s">
        <v>18</v>
      </c>
      <c r="G1022" s="37">
        <v>9</v>
      </c>
      <c r="H1022" s="104" t="str">
        <f>_xlfn.XLOOKUP(C1022&amp;F1022&amp;I1022&amp;J1022,'[1]2025年已发货'!$F:$F&amp;'[1]2025年已发货'!$C:$C&amp;'[1]2025年已发货'!$G:$G&amp;'[1]2025年已发货'!$H:$H,'[1]2025年已发货'!$E:$E,"未发货")</f>
        <v>未发货</v>
      </c>
      <c r="I1022" s="41" t="s">
        <v>122</v>
      </c>
      <c r="J1022" s="41" t="s">
        <v>123</v>
      </c>
      <c r="K1022" s="41">
        <v>15228205853</v>
      </c>
      <c r="L1022" s="77"/>
      <c r="M1022" s="107">
        <v>45741</v>
      </c>
      <c r="O1022" s="99">
        <v>1</v>
      </c>
      <c r="P1022" s="99">
        <f ca="1" t="shared" si="37"/>
        <v>218</v>
      </c>
      <c r="Q1022" s="41" t="s">
        <v>125</v>
      </c>
    </row>
    <row r="1023" hidden="1" spans="1:18">
      <c r="A1023" s="100" t="s">
        <v>126</v>
      </c>
      <c r="B1023" s="41" t="s">
        <v>120</v>
      </c>
      <c r="C1023" s="71">
        <v>45744</v>
      </c>
      <c r="D1023" s="41" t="e">
        <f>VLOOKUP(B1023,辅助信息!E:K,7,FALSE)</f>
        <v>#N/A</v>
      </c>
      <c r="E1023" s="41" t="str">
        <f>VLOOKUP(F1023,辅助信息!A:B,2,FALSE)</f>
        <v>高线</v>
      </c>
      <c r="F1023" s="41" t="s">
        <v>53</v>
      </c>
      <c r="G1023" s="37">
        <v>3</v>
      </c>
      <c r="H1023" s="37" t="e">
        <f>_xlfn.XLOOKUP(C1023&amp;F1023&amp;I1023&amp;J1023,'[1]2025年已发货'!$F:$F&amp;'[1]2025年已发货'!$C:$C&amp;'[1]2025年已发货'!$G:$G&amp;'[1]2025年已发货'!$H:$H,'[1]2025年已发货'!$E:$E,"未发货")</f>
        <v>#N/A</v>
      </c>
      <c r="I1023" s="41" t="e">
        <f>VLOOKUP(B1023,辅助信息!E:I,3,FALSE)</f>
        <v>#N/A</v>
      </c>
      <c r="J1023" s="41" t="e">
        <f>VLOOKUP(B1023,辅助信息!E:I,4,FALSE)</f>
        <v>#N/A</v>
      </c>
      <c r="K1023" s="41" t="e">
        <f>VLOOKUP(J1023,辅助信息!H:I,2,FALSE)</f>
        <v>#N/A</v>
      </c>
      <c r="L1023" s="44" t="e">
        <f>VLOOKUP(B1023,辅助信息!E:J,6,FALSE)</f>
        <v>#N/A</v>
      </c>
      <c r="M1023" s="92">
        <v>45738</v>
      </c>
      <c r="O1023" s="63">
        <f ca="1" t="shared" ref="O1023:O1086" si="38">IF(OR(M1023="",N1023&lt;&gt;""),"",MAX(M1023-TODAY(),0))</f>
        <v>0</v>
      </c>
      <c r="P1023" s="63">
        <f ca="1" t="shared" si="37"/>
        <v>221</v>
      </c>
      <c r="Q1023" s="27" t="e">
        <f>VLOOKUP(B1023,辅助信息!E:M,9,FALSE)</f>
        <v>#N/A</v>
      </c>
      <c r="R1023" s="27"/>
    </row>
    <row r="1024" hidden="1" spans="1:18">
      <c r="A1024" s="79"/>
      <c r="B1024" s="41" t="s">
        <v>120</v>
      </c>
      <c r="C1024" s="71">
        <v>45744</v>
      </c>
      <c r="D1024" s="41" t="e">
        <f>VLOOKUP(B1024,辅助信息!E:K,7,FALSE)</f>
        <v>#N/A</v>
      </c>
      <c r="E1024" s="41" t="str">
        <f>VLOOKUP(F1024,辅助信息!A:B,2,FALSE)</f>
        <v>盘螺</v>
      </c>
      <c r="F1024" s="41" t="s">
        <v>41</v>
      </c>
      <c r="G1024" s="37">
        <v>6</v>
      </c>
      <c r="H1024" s="37" t="e">
        <f>_xlfn.XLOOKUP(C1024&amp;F1024&amp;I1024&amp;J1024,'[1]2025年已发货'!$F:$F&amp;'[1]2025年已发货'!$C:$C&amp;'[1]2025年已发货'!$G:$G&amp;'[1]2025年已发货'!$H:$H,'[1]2025年已发货'!$E:$E,"未发货")</f>
        <v>#N/A</v>
      </c>
      <c r="I1024" s="41" t="e">
        <f>VLOOKUP(B1024,辅助信息!E:I,3,FALSE)</f>
        <v>#N/A</v>
      </c>
      <c r="J1024" s="41" t="e">
        <f>VLOOKUP(B1024,辅助信息!E:I,4,FALSE)</f>
        <v>#N/A</v>
      </c>
      <c r="K1024" s="41" t="e">
        <f>VLOOKUP(J1024,辅助信息!H:I,2,FALSE)</f>
        <v>#N/A</v>
      </c>
      <c r="L1024" s="79"/>
      <c r="M1024" s="92">
        <v>45738</v>
      </c>
      <c r="O1024" s="63">
        <f ca="1" t="shared" si="38"/>
        <v>0</v>
      </c>
      <c r="P1024" s="63">
        <f ca="1" t="shared" si="37"/>
        <v>221</v>
      </c>
      <c r="Q1024" s="27" t="e">
        <f>VLOOKUP(B1024,辅助信息!E:M,9,FALSE)</f>
        <v>#N/A</v>
      </c>
      <c r="R1024" s="27"/>
    </row>
    <row r="1025" hidden="1" spans="1:18">
      <c r="A1025" s="79"/>
      <c r="B1025" s="41" t="s">
        <v>120</v>
      </c>
      <c r="C1025" s="71">
        <v>45744</v>
      </c>
      <c r="D1025" s="41" t="e">
        <f>VLOOKUP(B1025,辅助信息!E:K,7,FALSE)</f>
        <v>#N/A</v>
      </c>
      <c r="E1025" s="41" t="str">
        <f>VLOOKUP(F1025,辅助信息!A:B,2,FALSE)</f>
        <v>螺纹钢</v>
      </c>
      <c r="F1025" s="41" t="s">
        <v>27</v>
      </c>
      <c r="G1025" s="37">
        <v>6</v>
      </c>
      <c r="H1025" s="37" t="e">
        <f>_xlfn.XLOOKUP(C1025&amp;F1025&amp;I1025&amp;J1025,'[1]2025年已发货'!$F:$F&amp;'[1]2025年已发货'!$C:$C&amp;'[1]2025年已发货'!$G:$G&amp;'[1]2025年已发货'!$H:$H,'[1]2025年已发货'!$E:$E,"未发货")</f>
        <v>#N/A</v>
      </c>
      <c r="I1025" s="41" t="e">
        <f>VLOOKUP(B1025,辅助信息!E:I,3,FALSE)</f>
        <v>#N/A</v>
      </c>
      <c r="J1025" s="41" t="e">
        <f>VLOOKUP(B1025,辅助信息!E:I,4,FALSE)</f>
        <v>#N/A</v>
      </c>
      <c r="K1025" s="41" t="e">
        <f>VLOOKUP(J1025,辅助信息!H:I,2,FALSE)</f>
        <v>#N/A</v>
      </c>
      <c r="L1025" s="79"/>
      <c r="M1025" s="92">
        <v>45738</v>
      </c>
      <c r="O1025" s="63">
        <f ca="1" t="shared" si="38"/>
        <v>0</v>
      </c>
      <c r="P1025" s="63">
        <f ca="1" t="shared" si="37"/>
        <v>221</v>
      </c>
      <c r="Q1025" s="27" t="e">
        <f>VLOOKUP(B1025,辅助信息!E:M,9,FALSE)</f>
        <v>#N/A</v>
      </c>
      <c r="R1025" s="27"/>
    </row>
    <row r="1026" hidden="1" spans="1:18">
      <c r="A1026" s="79"/>
      <c r="B1026" s="41" t="s">
        <v>120</v>
      </c>
      <c r="C1026" s="71">
        <v>45744</v>
      </c>
      <c r="D1026" s="41" t="e">
        <f>VLOOKUP(B1026,辅助信息!E:K,7,FALSE)</f>
        <v>#N/A</v>
      </c>
      <c r="E1026" s="41" t="str">
        <f>VLOOKUP(F1026,辅助信息!A:B,2,FALSE)</f>
        <v>螺纹钢</v>
      </c>
      <c r="F1026" s="41" t="s">
        <v>32</v>
      </c>
      <c r="G1026" s="37">
        <v>3</v>
      </c>
      <c r="H1026" s="37" t="e">
        <f>_xlfn.XLOOKUP(C1026&amp;F1026&amp;I1026&amp;J1026,'[1]2025年已发货'!$F:$F&amp;'[1]2025年已发货'!$C:$C&amp;'[1]2025年已发货'!$G:$G&amp;'[1]2025年已发货'!$H:$H,'[1]2025年已发货'!$E:$E,"未发货")</f>
        <v>#N/A</v>
      </c>
      <c r="I1026" s="41" t="e">
        <f>VLOOKUP(B1026,辅助信息!E:I,3,FALSE)</f>
        <v>#N/A</v>
      </c>
      <c r="J1026" s="41" t="e">
        <f>VLOOKUP(B1026,辅助信息!E:I,4,FALSE)</f>
        <v>#N/A</v>
      </c>
      <c r="K1026" s="41" t="e">
        <f>VLOOKUP(J1026,辅助信息!H:I,2,FALSE)</f>
        <v>#N/A</v>
      </c>
      <c r="L1026" s="79"/>
      <c r="M1026" s="92">
        <v>45738</v>
      </c>
      <c r="O1026" s="63">
        <f ca="1" t="shared" si="38"/>
        <v>0</v>
      </c>
      <c r="P1026" s="63">
        <f ca="1" t="shared" si="37"/>
        <v>221</v>
      </c>
      <c r="Q1026" s="27" t="e">
        <f>VLOOKUP(B1026,辅助信息!E:M,9,FALSE)</f>
        <v>#N/A</v>
      </c>
      <c r="R1026" s="27"/>
    </row>
    <row r="1027" hidden="1" spans="1:18">
      <c r="A1027" s="77"/>
      <c r="B1027" s="41" t="s">
        <v>120</v>
      </c>
      <c r="C1027" s="71">
        <v>45744</v>
      </c>
      <c r="D1027" s="41" t="e">
        <f>VLOOKUP(B1027,辅助信息!E:K,7,FALSE)</f>
        <v>#N/A</v>
      </c>
      <c r="E1027" s="41" t="str">
        <f>VLOOKUP(F1027,辅助信息!A:B,2,FALSE)</f>
        <v>螺纹钢</v>
      </c>
      <c r="F1027" s="41" t="s">
        <v>52</v>
      </c>
      <c r="G1027" s="37">
        <v>15</v>
      </c>
      <c r="H1027" s="37" t="e">
        <f>_xlfn.XLOOKUP(C1027&amp;F1027&amp;I1027&amp;J1027,'[1]2025年已发货'!$F:$F&amp;'[1]2025年已发货'!$C:$C&amp;'[1]2025年已发货'!$G:$G&amp;'[1]2025年已发货'!$H:$H,'[1]2025年已发货'!$E:$E,"未发货")</f>
        <v>#N/A</v>
      </c>
      <c r="I1027" s="41" t="e">
        <f>VLOOKUP(B1027,辅助信息!E:I,3,FALSE)</f>
        <v>#N/A</v>
      </c>
      <c r="J1027" s="41" t="e">
        <f>VLOOKUP(B1027,辅助信息!E:I,4,FALSE)</f>
        <v>#N/A</v>
      </c>
      <c r="K1027" s="41" t="e">
        <f>VLOOKUP(J1027,辅助信息!H:I,2,FALSE)</f>
        <v>#N/A</v>
      </c>
      <c r="L1027" s="77"/>
      <c r="M1027" s="92">
        <v>45738</v>
      </c>
      <c r="O1027" s="63">
        <f ca="1" t="shared" si="38"/>
        <v>0</v>
      </c>
      <c r="P1027" s="63">
        <f ca="1" t="shared" si="37"/>
        <v>221</v>
      </c>
      <c r="Q1027" s="27" t="e">
        <f>VLOOKUP(B1027,辅助信息!E:M,9,FALSE)</f>
        <v>#N/A</v>
      </c>
      <c r="R1027" s="27"/>
    </row>
    <row r="1028" hidden="1" spans="2:18">
      <c r="B1028" s="41" t="s">
        <v>74</v>
      </c>
      <c r="C1028" s="71">
        <v>45746</v>
      </c>
      <c r="D1028" s="41" t="e">
        <f>VLOOKUP(B1028,辅助信息!E:K,7,FALSE)</f>
        <v>#N/A</v>
      </c>
      <c r="E1028" s="41" t="str">
        <f>VLOOKUP(F1028,辅助信息!A:B,2,FALSE)</f>
        <v>螺纹钢</v>
      </c>
      <c r="F1028" s="41" t="s">
        <v>27</v>
      </c>
      <c r="G1028" s="37">
        <v>30</v>
      </c>
      <c r="H1028" s="37" t="e">
        <f>_xlfn.XLOOKUP(C1028&amp;F1028&amp;I1028&amp;J1028,'[1]2025年已发货'!$F:$F&amp;'[1]2025年已发货'!$C:$C&amp;'[1]2025年已发货'!$G:$G&amp;'[1]2025年已发货'!$H:$H,'[1]2025年已发货'!$E:$E,"未发货")</f>
        <v>#N/A</v>
      </c>
      <c r="I1028" s="41" t="e">
        <f>VLOOKUP(B1028,辅助信息!E:I,3,FALSE)</f>
        <v>#N/A</v>
      </c>
      <c r="J1028" s="41" t="e">
        <f>VLOOKUP(B1028,辅助信息!E:I,4,FALSE)</f>
        <v>#N/A</v>
      </c>
      <c r="K1028" s="41" t="e">
        <f>VLOOKUP(J1028,辅助信息!H:I,2,FALSE)</f>
        <v>#N/A</v>
      </c>
      <c r="L1028" s="44" t="e">
        <f>VLOOKUP(B1028,辅助信息!E:J,6,FALSE)</f>
        <v>#N/A</v>
      </c>
      <c r="M1028" s="92">
        <v>45752</v>
      </c>
      <c r="O1028" s="63">
        <f ca="1" t="shared" si="38"/>
        <v>0</v>
      </c>
      <c r="P1028" s="63">
        <f ca="1" t="shared" si="37"/>
        <v>207</v>
      </c>
      <c r="Q1028" s="27" t="e">
        <f>VLOOKUP(B1028,辅助信息!E:M,9,FALSE)</f>
        <v>#N/A</v>
      </c>
      <c r="R1028" s="27"/>
    </row>
    <row r="1029" hidden="1" spans="2:18">
      <c r="B1029" s="41" t="s">
        <v>74</v>
      </c>
      <c r="C1029" s="71">
        <v>45746</v>
      </c>
      <c r="D1029" s="41" t="e">
        <f>VLOOKUP(B1029,辅助信息!E:K,7,FALSE)</f>
        <v>#N/A</v>
      </c>
      <c r="E1029" s="41" t="str">
        <f>VLOOKUP(F1029,辅助信息!A:B,2,FALSE)</f>
        <v>螺纹钢</v>
      </c>
      <c r="F1029" s="41" t="s">
        <v>19</v>
      </c>
      <c r="G1029" s="37">
        <v>15</v>
      </c>
      <c r="H1029" s="37" t="e">
        <f>_xlfn.XLOOKUP(C1029&amp;F1029&amp;I1029&amp;J1029,'[1]2025年已发货'!$F:$F&amp;'[1]2025年已发货'!$C:$C&amp;'[1]2025年已发货'!$G:$G&amp;'[1]2025年已发货'!$H:$H,'[1]2025年已发货'!$E:$E,"未发货")</f>
        <v>#N/A</v>
      </c>
      <c r="I1029" s="41" t="e">
        <f>VLOOKUP(B1029,辅助信息!E:I,3,FALSE)</f>
        <v>#N/A</v>
      </c>
      <c r="J1029" s="41" t="e">
        <f>VLOOKUP(B1029,辅助信息!E:I,4,FALSE)</f>
        <v>#N/A</v>
      </c>
      <c r="K1029" s="41" t="e">
        <f>VLOOKUP(J1029,辅助信息!H:I,2,FALSE)</f>
        <v>#N/A</v>
      </c>
      <c r="L1029" s="79"/>
      <c r="M1029" s="92">
        <v>45752</v>
      </c>
      <c r="O1029" s="63">
        <f ca="1" t="shared" si="38"/>
        <v>0</v>
      </c>
      <c r="P1029" s="63">
        <f ca="1" t="shared" si="37"/>
        <v>207</v>
      </c>
      <c r="Q1029" s="27" t="e">
        <f>VLOOKUP(B1029,辅助信息!E:M,9,FALSE)</f>
        <v>#N/A</v>
      </c>
      <c r="R1029" s="27"/>
    </row>
    <row r="1030" hidden="1" spans="2:18">
      <c r="B1030" s="41" t="s">
        <v>74</v>
      </c>
      <c r="C1030" s="71">
        <v>45746</v>
      </c>
      <c r="D1030" s="41" t="e">
        <f>VLOOKUP(B1030,辅助信息!E:K,7,FALSE)</f>
        <v>#N/A</v>
      </c>
      <c r="E1030" s="41" t="str">
        <f>VLOOKUP(F1030,辅助信息!A:B,2,FALSE)</f>
        <v>螺纹钢</v>
      </c>
      <c r="F1030" s="41" t="s">
        <v>32</v>
      </c>
      <c r="G1030" s="37">
        <v>15</v>
      </c>
      <c r="H1030" s="37" t="e">
        <f>_xlfn.XLOOKUP(C1030&amp;F1030&amp;I1030&amp;J1030,'[1]2025年已发货'!$F:$F&amp;'[1]2025年已发货'!$C:$C&amp;'[1]2025年已发货'!$G:$G&amp;'[1]2025年已发货'!$H:$H,'[1]2025年已发货'!$E:$E,"未发货")</f>
        <v>#N/A</v>
      </c>
      <c r="I1030" s="41" t="e">
        <f>VLOOKUP(B1030,辅助信息!E:I,3,FALSE)</f>
        <v>#N/A</v>
      </c>
      <c r="J1030" s="41" t="e">
        <f>VLOOKUP(B1030,辅助信息!E:I,4,FALSE)</f>
        <v>#N/A</v>
      </c>
      <c r="K1030" s="41" t="e">
        <f>VLOOKUP(J1030,辅助信息!H:I,2,FALSE)</f>
        <v>#N/A</v>
      </c>
      <c r="L1030" s="79"/>
      <c r="M1030" s="92">
        <v>45752</v>
      </c>
      <c r="O1030" s="63">
        <f ca="1" t="shared" si="38"/>
        <v>0</v>
      </c>
      <c r="P1030" s="63">
        <f ca="1" t="shared" si="37"/>
        <v>207</v>
      </c>
      <c r="Q1030" s="27" t="e">
        <f>VLOOKUP(B1030,辅助信息!E:M,9,FALSE)</f>
        <v>#N/A</v>
      </c>
      <c r="R1030" s="27"/>
    </row>
    <row r="1031" hidden="1" spans="2:18">
      <c r="B1031" s="41" t="s">
        <v>74</v>
      </c>
      <c r="C1031" s="71">
        <v>45746</v>
      </c>
      <c r="D1031" s="41" t="e">
        <f>VLOOKUP(B1031,辅助信息!E:K,7,FALSE)</f>
        <v>#N/A</v>
      </c>
      <c r="E1031" s="41" t="str">
        <f>VLOOKUP(F1031,辅助信息!A:B,2,FALSE)</f>
        <v>螺纹钢</v>
      </c>
      <c r="F1031" s="41" t="s">
        <v>65</v>
      </c>
      <c r="G1031" s="37">
        <v>30</v>
      </c>
      <c r="H1031" s="37" t="e">
        <f>_xlfn.XLOOKUP(C1031&amp;F1031&amp;I1031&amp;J1031,'[1]2025年已发货'!$F:$F&amp;'[1]2025年已发货'!$C:$C&amp;'[1]2025年已发货'!$G:$G&amp;'[1]2025年已发货'!$H:$H,'[1]2025年已发货'!$E:$E,"未发货")</f>
        <v>#N/A</v>
      </c>
      <c r="I1031" s="41" t="e">
        <f>VLOOKUP(B1031,辅助信息!E:I,3,FALSE)</f>
        <v>#N/A</v>
      </c>
      <c r="J1031" s="41" t="e">
        <f>VLOOKUP(B1031,辅助信息!E:I,4,FALSE)</f>
        <v>#N/A</v>
      </c>
      <c r="K1031" s="41" t="e">
        <f>VLOOKUP(J1031,辅助信息!H:I,2,FALSE)</f>
        <v>#N/A</v>
      </c>
      <c r="L1031" s="77"/>
      <c r="M1031" s="92">
        <v>45752</v>
      </c>
      <c r="O1031" s="63">
        <f ca="1" t="shared" si="38"/>
        <v>0</v>
      </c>
      <c r="P1031" s="63">
        <f ca="1" t="shared" si="37"/>
        <v>207</v>
      </c>
      <c r="Q1031" s="27" t="e">
        <f>VLOOKUP(B1031,辅助信息!E:M,9,FALSE)</f>
        <v>#N/A</v>
      </c>
      <c r="R1031" s="27"/>
    </row>
    <row r="1032" hidden="1" spans="2:18">
      <c r="B1032" s="41" t="s">
        <v>64</v>
      </c>
      <c r="C1032" s="71">
        <v>45746</v>
      </c>
      <c r="D1032" s="41" t="e">
        <f>VLOOKUP(B1032,辅助信息!E:K,7,FALSE)</f>
        <v>#N/A</v>
      </c>
      <c r="E1032" s="41" t="str">
        <f>VLOOKUP(F1032,辅助信息!A:B,2,FALSE)</f>
        <v>螺纹钢</v>
      </c>
      <c r="F1032" s="41" t="s">
        <v>65</v>
      </c>
      <c r="G1032" s="37">
        <v>30</v>
      </c>
      <c r="H1032" s="37" t="e">
        <f>_xlfn.XLOOKUP(C1032&amp;F1032&amp;I1032&amp;J1032,'[1]2025年已发货'!$F:$F&amp;'[1]2025年已发货'!$C:$C&amp;'[1]2025年已发货'!$G:$G&amp;'[1]2025年已发货'!$H:$H,'[1]2025年已发货'!$E:$E,"未发货")</f>
        <v>#N/A</v>
      </c>
      <c r="I1032" s="41" t="e">
        <f>VLOOKUP(B1032,辅助信息!E:I,3,FALSE)</f>
        <v>#N/A</v>
      </c>
      <c r="J1032" s="41" t="e">
        <f>VLOOKUP(B1032,辅助信息!E:I,4,FALSE)</f>
        <v>#N/A</v>
      </c>
      <c r="K1032" s="41" t="e">
        <f>VLOOKUP(J1032,辅助信息!H:I,2,FALSE)</f>
        <v>#N/A</v>
      </c>
      <c r="L1032" s="44" t="e">
        <f>VLOOKUP(B1032,辅助信息!E:J,6,FALSE)</f>
        <v>#N/A</v>
      </c>
      <c r="M1032" s="92">
        <v>45746</v>
      </c>
      <c r="O1032" s="63">
        <f ca="1" t="shared" si="38"/>
        <v>0</v>
      </c>
      <c r="P1032" s="63">
        <f ca="1" t="shared" si="37"/>
        <v>213</v>
      </c>
      <c r="Q1032" s="27" t="e">
        <f>VLOOKUP(B1032,辅助信息!E:M,9,FALSE)</f>
        <v>#N/A</v>
      </c>
      <c r="R1032" s="27"/>
    </row>
    <row r="1033" hidden="1" spans="2:18">
      <c r="B1033" s="41" t="s">
        <v>64</v>
      </c>
      <c r="C1033" s="71">
        <v>45746</v>
      </c>
      <c r="D1033" s="41" t="e">
        <f>VLOOKUP(B1033,辅助信息!E:K,7,FALSE)</f>
        <v>#N/A</v>
      </c>
      <c r="E1033" s="41" t="str">
        <f>VLOOKUP(F1033,辅助信息!A:B,2,FALSE)</f>
        <v>螺纹钢</v>
      </c>
      <c r="F1033" s="41" t="s">
        <v>52</v>
      </c>
      <c r="G1033" s="37">
        <v>33</v>
      </c>
      <c r="H1033" s="37" t="e">
        <f>_xlfn.XLOOKUP(C1033&amp;F1033&amp;I1033&amp;J1033,'[1]2025年已发货'!$F:$F&amp;'[1]2025年已发货'!$C:$C&amp;'[1]2025年已发货'!$G:$G&amp;'[1]2025年已发货'!$H:$H,'[1]2025年已发货'!$E:$E,"未发货")</f>
        <v>#N/A</v>
      </c>
      <c r="I1033" s="41" t="e">
        <f>VLOOKUP(B1033,辅助信息!E:I,3,FALSE)</f>
        <v>#N/A</v>
      </c>
      <c r="J1033" s="41" t="e">
        <f>VLOOKUP(B1033,辅助信息!E:I,4,FALSE)</f>
        <v>#N/A</v>
      </c>
      <c r="K1033" s="41" t="e">
        <f>VLOOKUP(J1033,辅助信息!H:I,2,FALSE)</f>
        <v>#N/A</v>
      </c>
      <c r="L1033" s="77"/>
      <c r="M1033" s="92">
        <v>45746</v>
      </c>
      <c r="O1033" s="63">
        <f ca="1" t="shared" si="38"/>
        <v>0</v>
      </c>
      <c r="P1033" s="63">
        <f ca="1" t="shared" si="37"/>
        <v>213</v>
      </c>
      <c r="Q1033" s="27" t="e">
        <f>VLOOKUP(B1033,辅助信息!E:M,9,FALSE)</f>
        <v>#N/A</v>
      </c>
      <c r="R1033" s="27"/>
    </row>
    <row r="1034" hidden="1" spans="2:18">
      <c r="B1034" s="41" t="s">
        <v>87</v>
      </c>
      <c r="C1034" s="71">
        <v>45746</v>
      </c>
      <c r="D1034" s="41" t="e">
        <f>VLOOKUP(B1034,辅助信息!E:K,7,FALSE)</f>
        <v>#N/A</v>
      </c>
      <c r="E1034" s="41" t="str">
        <f>VLOOKUP(F1034,辅助信息!A:B,2,FALSE)</f>
        <v>螺纹钢</v>
      </c>
      <c r="F1034" s="41" t="s">
        <v>27</v>
      </c>
      <c r="G1034" s="37">
        <v>5</v>
      </c>
      <c r="H1034" s="37" t="e">
        <f>_xlfn.XLOOKUP(C1034&amp;F1034&amp;I1034&amp;J1034,'[1]2025年已发货'!$F:$F&amp;'[1]2025年已发货'!$C:$C&amp;'[1]2025年已发货'!$G:$G&amp;'[1]2025年已发货'!$H:$H,'[1]2025年已发货'!$E:$E,"未发货")</f>
        <v>#N/A</v>
      </c>
      <c r="I1034" s="41" t="e">
        <f>VLOOKUP(B1034,辅助信息!E:I,3,FALSE)</f>
        <v>#N/A</v>
      </c>
      <c r="J1034" s="41" t="e">
        <f>VLOOKUP(B1034,辅助信息!E:I,4,FALSE)</f>
        <v>#N/A</v>
      </c>
      <c r="K1034" s="41" t="e">
        <f>VLOOKUP(J1034,辅助信息!H:I,2,FALSE)</f>
        <v>#N/A</v>
      </c>
      <c r="L1034" s="44" t="e">
        <f>VLOOKUP(B1034,辅助信息!E:J,6,FALSE)</f>
        <v>#N/A</v>
      </c>
      <c r="M1034" s="92">
        <v>45747</v>
      </c>
      <c r="O1034" s="63">
        <f ca="1" t="shared" si="38"/>
        <v>0</v>
      </c>
      <c r="P1034" s="63">
        <f ca="1" t="shared" si="37"/>
        <v>212</v>
      </c>
      <c r="Q1034" s="27" t="e">
        <f>VLOOKUP(B1034,辅助信息!E:M,9,FALSE)</f>
        <v>#N/A</v>
      </c>
      <c r="R1034" s="27"/>
    </row>
    <row r="1035" hidden="1" spans="2:18">
      <c r="B1035" s="41" t="s">
        <v>87</v>
      </c>
      <c r="C1035" s="71">
        <v>45746</v>
      </c>
      <c r="D1035" s="41" t="e">
        <f>VLOOKUP(B1035,辅助信息!E:K,7,FALSE)</f>
        <v>#N/A</v>
      </c>
      <c r="E1035" s="41" t="str">
        <f>VLOOKUP(F1035,辅助信息!A:B,2,FALSE)</f>
        <v>螺纹钢</v>
      </c>
      <c r="F1035" s="41" t="s">
        <v>19</v>
      </c>
      <c r="G1035" s="37">
        <v>8</v>
      </c>
      <c r="H1035" s="37" t="e">
        <f>_xlfn.XLOOKUP(C1035&amp;F1035&amp;I1035&amp;J1035,'[1]2025年已发货'!$F:$F&amp;'[1]2025年已发货'!$C:$C&amp;'[1]2025年已发货'!$G:$G&amp;'[1]2025年已发货'!$H:$H,'[1]2025年已发货'!$E:$E,"未发货")</f>
        <v>#N/A</v>
      </c>
      <c r="I1035" s="41" t="e">
        <f>VLOOKUP(B1035,辅助信息!E:I,3,FALSE)</f>
        <v>#N/A</v>
      </c>
      <c r="J1035" s="41" t="e">
        <f>VLOOKUP(B1035,辅助信息!E:I,4,FALSE)</f>
        <v>#N/A</v>
      </c>
      <c r="K1035" s="41" t="e">
        <f>VLOOKUP(J1035,辅助信息!H:I,2,FALSE)</f>
        <v>#N/A</v>
      </c>
      <c r="L1035" s="79"/>
      <c r="M1035" s="92">
        <v>45747</v>
      </c>
      <c r="O1035" s="63">
        <f ca="1" t="shared" si="38"/>
        <v>0</v>
      </c>
      <c r="P1035" s="63">
        <f ca="1" t="shared" si="37"/>
        <v>212</v>
      </c>
      <c r="Q1035" s="27" t="e">
        <f>VLOOKUP(B1035,辅助信息!E:M,9,FALSE)</f>
        <v>#N/A</v>
      </c>
      <c r="R1035" s="27"/>
    </row>
    <row r="1036" hidden="1" spans="2:18">
      <c r="B1036" s="41" t="s">
        <v>87</v>
      </c>
      <c r="C1036" s="71">
        <v>45746</v>
      </c>
      <c r="D1036" s="41" t="e">
        <f>VLOOKUP(B1036,辅助信息!E:K,7,FALSE)</f>
        <v>#N/A</v>
      </c>
      <c r="E1036" s="41" t="str">
        <f>VLOOKUP(F1036,辅助信息!A:B,2,FALSE)</f>
        <v>螺纹钢</v>
      </c>
      <c r="F1036" s="41" t="s">
        <v>32</v>
      </c>
      <c r="G1036" s="37">
        <v>8</v>
      </c>
      <c r="H1036" s="37" t="e">
        <f>_xlfn.XLOOKUP(C1036&amp;F1036&amp;I1036&amp;J1036,'[1]2025年已发货'!$F:$F&amp;'[1]2025年已发货'!$C:$C&amp;'[1]2025年已发货'!$G:$G&amp;'[1]2025年已发货'!$H:$H,'[1]2025年已发货'!$E:$E,"未发货")</f>
        <v>#N/A</v>
      </c>
      <c r="I1036" s="41" t="e">
        <f>VLOOKUP(B1036,辅助信息!E:I,3,FALSE)</f>
        <v>#N/A</v>
      </c>
      <c r="J1036" s="41" t="e">
        <f>VLOOKUP(B1036,辅助信息!E:I,4,FALSE)</f>
        <v>#N/A</v>
      </c>
      <c r="K1036" s="41" t="e">
        <f>VLOOKUP(J1036,辅助信息!H:I,2,FALSE)</f>
        <v>#N/A</v>
      </c>
      <c r="L1036" s="79"/>
      <c r="M1036" s="92">
        <v>45747</v>
      </c>
      <c r="O1036" s="63">
        <f ca="1" t="shared" si="38"/>
        <v>0</v>
      </c>
      <c r="P1036" s="63">
        <f ca="1" t="shared" si="37"/>
        <v>212</v>
      </c>
      <c r="Q1036" s="27" t="e">
        <f>VLOOKUP(B1036,辅助信息!E:M,9,FALSE)</f>
        <v>#N/A</v>
      </c>
      <c r="R1036" s="27"/>
    </row>
    <row r="1037" hidden="1" spans="2:18">
      <c r="B1037" s="41" t="s">
        <v>87</v>
      </c>
      <c r="C1037" s="71">
        <v>45745</v>
      </c>
      <c r="D1037" s="41" t="e">
        <f>VLOOKUP(B1037,辅助信息!E:K,7,FALSE)</f>
        <v>#N/A</v>
      </c>
      <c r="E1037" s="41" t="str">
        <f>VLOOKUP(F1037,辅助信息!A:B,2,FALSE)</f>
        <v>螺纹钢</v>
      </c>
      <c r="F1037" s="41" t="s">
        <v>28</v>
      </c>
      <c r="G1037" s="37">
        <v>35</v>
      </c>
      <c r="H1037" s="37" t="e">
        <f>_xlfn.XLOOKUP(C1037&amp;F1037&amp;I1037&amp;J1037,'[1]2025年已发货'!$F:$F&amp;'[1]2025年已发货'!$C:$C&amp;'[1]2025年已发货'!$G:$G&amp;'[1]2025年已发货'!$H:$H,'[1]2025年已发货'!$E:$E,"未发货")</f>
        <v>#N/A</v>
      </c>
      <c r="I1037" s="41" t="e">
        <f>VLOOKUP(B1037,辅助信息!E:I,3,FALSE)</f>
        <v>#N/A</v>
      </c>
      <c r="J1037" s="41" t="e">
        <f>VLOOKUP(B1037,辅助信息!E:I,4,FALSE)</f>
        <v>#N/A</v>
      </c>
      <c r="K1037" s="41" t="e">
        <f>VLOOKUP(J1037,辅助信息!H:I,2,FALSE)</f>
        <v>#N/A</v>
      </c>
      <c r="L1037" s="79"/>
      <c r="M1037" s="92">
        <v>45747</v>
      </c>
      <c r="O1037" s="63">
        <f ca="1" t="shared" si="38"/>
        <v>0</v>
      </c>
      <c r="P1037" s="63">
        <f ca="1" t="shared" si="37"/>
        <v>212</v>
      </c>
      <c r="Q1037" s="27" t="e">
        <f>VLOOKUP(B1037,辅助信息!E:M,9,FALSE)</f>
        <v>#N/A</v>
      </c>
      <c r="R1037" s="27"/>
    </row>
    <row r="1038" hidden="1" spans="2:18">
      <c r="B1038" s="41" t="s">
        <v>87</v>
      </c>
      <c r="C1038" s="71">
        <v>45746</v>
      </c>
      <c r="D1038" s="41" t="e">
        <f>VLOOKUP(B1038,辅助信息!E:K,7,FALSE)</f>
        <v>#N/A</v>
      </c>
      <c r="E1038" s="41" t="str">
        <f>VLOOKUP(F1038,辅助信息!A:B,2,FALSE)</f>
        <v>螺纹钢</v>
      </c>
      <c r="F1038" s="41" t="s">
        <v>18</v>
      </c>
      <c r="G1038" s="37">
        <v>5</v>
      </c>
      <c r="H1038" s="37" t="e">
        <f>_xlfn.XLOOKUP(C1038&amp;F1038&amp;I1038&amp;J1038,'[1]2025年已发货'!$F:$F&amp;'[1]2025年已发货'!$C:$C&amp;'[1]2025年已发货'!$G:$G&amp;'[1]2025年已发货'!$H:$H,'[1]2025年已发货'!$E:$E,"未发货")</f>
        <v>#N/A</v>
      </c>
      <c r="I1038" s="41" t="e">
        <f>VLOOKUP(B1038,辅助信息!E:I,3,FALSE)</f>
        <v>#N/A</v>
      </c>
      <c r="J1038" s="41" t="e">
        <f>VLOOKUP(B1038,辅助信息!E:I,4,FALSE)</f>
        <v>#N/A</v>
      </c>
      <c r="K1038" s="41" t="e">
        <f>VLOOKUP(J1038,辅助信息!H:I,2,FALSE)</f>
        <v>#N/A</v>
      </c>
      <c r="L1038" s="79"/>
      <c r="M1038" s="92">
        <v>45747</v>
      </c>
      <c r="O1038" s="63">
        <f ca="1" t="shared" si="38"/>
        <v>0</v>
      </c>
      <c r="P1038" s="63">
        <f ca="1" t="shared" si="37"/>
        <v>212</v>
      </c>
      <c r="Q1038" s="27" t="e">
        <f>VLOOKUP(B1038,辅助信息!E:M,9,FALSE)</f>
        <v>#N/A</v>
      </c>
      <c r="R1038" s="27"/>
    </row>
    <row r="1039" hidden="1" spans="2:18">
      <c r="B1039" s="41" t="s">
        <v>87</v>
      </c>
      <c r="C1039" s="71">
        <v>45746</v>
      </c>
      <c r="D1039" s="41" t="e">
        <f>VLOOKUP(B1039,辅助信息!E:K,7,FALSE)</f>
        <v>#N/A</v>
      </c>
      <c r="E1039" s="41" t="str">
        <f>VLOOKUP(F1039,辅助信息!A:B,2,FALSE)</f>
        <v>螺纹钢</v>
      </c>
      <c r="F1039" s="41" t="s">
        <v>65</v>
      </c>
      <c r="G1039" s="37">
        <v>8</v>
      </c>
      <c r="H1039" s="37" t="e">
        <f>_xlfn.XLOOKUP(C1039&amp;F1039&amp;I1039&amp;J1039,'[1]2025年已发货'!$F:$F&amp;'[1]2025年已发货'!$C:$C&amp;'[1]2025年已发货'!$G:$G&amp;'[1]2025年已发货'!$H:$H,'[1]2025年已发货'!$E:$E,"未发货")</f>
        <v>#N/A</v>
      </c>
      <c r="I1039" s="41" t="e">
        <f>VLOOKUP(B1039,辅助信息!E:I,3,FALSE)</f>
        <v>#N/A</v>
      </c>
      <c r="J1039" s="41" t="e">
        <f>VLOOKUP(B1039,辅助信息!E:I,4,FALSE)</f>
        <v>#N/A</v>
      </c>
      <c r="K1039" s="41" t="e">
        <f>VLOOKUP(J1039,辅助信息!H:I,2,FALSE)</f>
        <v>#N/A</v>
      </c>
      <c r="L1039" s="79"/>
      <c r="M1039" s="92">
        <v>45747</v>
      </c>
      <c r="O1039" s="63">
        <f ca="1" t="shared" si="38"/>
        <v>0</v>
      </c>
      <c r="P1039" s="63">
        <f ca="1" t="shared" si="37"/>
        <v>212</v>
      </c>
      <c r="Q1039" s="27" t="e">
        <f>VLOOKUP(B1039,辅助信息!E:M,9,FALSE)</f>
        <v>#N/A</v>
      </c>
      <c r="R1039" s="27"/>
    </row>
    <row r="1040" hidden="1" spans="2:18">
      <c r="B1040" s="41" t="s">
        <v>87</v>
      </c>
      <c r="C1040" s="71">
        <v>45746</v>
      </c>
      <c r="D1040" s="41" t="e">
        <f>VLOOKUP(B1040,辅助信息!E:K,7,FALSE)</f>
        <v>#N/A</v>
      </c>
      <c r="E1040" s="41" t="str">
        <f>VLOOKUP(F1040,辅助信息!A:B,2,FALSE)</f>
        <v>螺纹钢</v>
      </c>
      <c r="F1040" s="41" t="s">
        <v>52</v>
      </c>
      <c r="G1040" s="37">
        <v>70</v>
      </c>
      <c r="H1040" s="37" t="e">
        <f>_xlfn.XLOOKUP(C1040&amp;F1040&amp;I1040&amp;J1040,'[1]2025年已发货'!$F:$F&amp;'[1]2025年已发货'!$C:$C&amp;'[1]2025年已发货'!$G:$G&amp;'[1]2025年已发货'!$H:$H,'[1]2025年已发货'!$E:$E,"未发货")</f>
        <v>#N/A</v>
      </c>
      <c r="I1040" s="41" t="e">
        <f>VLOOKUP(B1040,辅助信息!E:I,3,FALSE)</f>
        <v>#N/A</v>
      </c>
      <c r="J1040" s="41" t="e">
        <f>VLOOKUP(B1040,辅助信息!E:I,4,FALSE)</f>
        <v>#N/A</v>
      </c>
      <c r="K1040" s="41" t="e">
        <f>VLOOKUP(J1040,辅助信息!H:I,2,FALSE)</f>
        <v>#N/A</v>
      </c>
      <c r="L1040" s="77"/>
      <c r="M1040" s="92">
        <v>45747</v>
      </c>
      <c r="O1040" s="63">
        <f ca="1" t="shared" si="38"/>
        <v>0</v>
      </c>
      <c r="P1040" s="63">
        <f ca="1" t="shared" si="37"/>
        <v>212</v>
      </c>
      <c r="Q1040" s="27" t="e">
        <f>VLOOKUP(B1040,辅助信息!E:M,9,FALSE)</f>
        <v>#N/A</v>
      </c>
      <c r="R1040" s="27"/>
    </row>
    <row r="1041" hidden="1" spans="2:18">
      <c r="B1041" s="41" t="s">
        <v>75</v>
      </c>
      <c r="C1041" s="71">
        <v>45746</v>
      </c>
      <c r="D1041" s="41" t="e">
        <f>VLOOKUP(B1041,辅助信息!E:K,7,FALSE)</f>
        <v>#N/A</v>
      </c>
      <c r="E1041" s="41" t="str">
        <f>VLOOKUP(F1041,辅助信息!A:B,2,FALSE)</f>
        <v>螺纹钢</v>
      </c>
      <c r="F1041" s="41" t="s">
        <v>27</v>
      </c>
      <c r="G1041" s="37">
        <v>10</v>
      </c>
      <c r="H1041" s="37" t="e">
        <f>_xlfn.XLOOKUP(C1041&amp;F1041&amp;I1041&amp;J1041,'[1]2025年已发货'!$F:$F&amp;'[1]2025年已发货'!$C:$C&amp;'[1]2025年已发货'!$G:$G&amp;'[1]2025年已发货'!$H:$H,'[1]2025年已发货'!$E:$E,"未发货")</f>
        <v>#N/A</v>
      </c>
      <c r="I1041" s="41" t="e">
        <f>VLOOKUP(B1041,辅助信息!E:I,3,FALSE)</f>
        <v>#N/A</v>
      </c>
      <c r="J1041" s="41" t="e">
        <f>VLOOKUP(B1041,辅助信息!E:I,4,FALSE)</f>
        <v>#N/A</v>
      </c>
      <c r="K1041" s="41" t="e">
        <f>VLOOKUP(J1041,辅助信息!H:I,2,FALSE)</f>
        <v>#N/A</v>
      </c>
      <c r="L1041" s="44" t="e">
        <f>VLOOKUP(B1041,辅助信息!E:J,6,FALSE)</f>
        <v>#N/A</v>
      </c>
      <c r="M1041" s="92">
        <v>45750</v>
      </c>
      <c r="O1041" s="63">
        <f ca="1" t="shared" si="38"/>
        <v>0</v>
      </c>
      <c r="P1041" s="63">
        <f ca="1" t="shared" si="37"/>
        <v>209</v>
      </c>
      <c r="Q1041" s="27" t="e">
        <f>VLOOKUP(B1041,辅助信息!E:M,9,FALSE)</f>
        <v>#N/A</v>
      </c>
      <c r="R1041" s="27"/>
    </row>
    <row r="1042" hidden="1" spans="2:18">
      <c r="B1042" s="41" t="s">
        <v>75</v>
      </c>
      <c r="C1042" s="71">
        <v>45746</v>
      </c>
      <c r="D1042" s="41" t="e">
        <f>VLOOKUP(B1042,辅助信息!E:K,7,FALSE)</f>
        <v>#N/A</v>
      </c>
      <c r="E1042" s="41" t="str">
        <f>VLOOKUP(F1042,辅助信息!A:B,2,FALSE)</f>
        <v>螺纹钢</v>
      </c>
      <c r="F1042" s="41" t="s">
        <v>19</v>
      </c>
      <c r="G1042" s="37">
        <v>40</v>
      </c>
      <c r="H1042" s="37" t="e">
        <f>_xlfn.XLOOKUP(C1042&amp;F1042&amp;I1042&amp;J1042,'[1]2025年已发货'!$F:$F&amp;'[1]2025年已发货'!$C:$C&amp;'[1]2025年已发货'!$G:$G&amp;'[1]2025年已发货'!$H:$H,'[1]2025年已发货'!$E:$E,"未发货")</f>
        <v>#N/A</v>
      </c>
      <c r="I1042" s="41" t="e">
        <f>VLOOKUP(B1042,辅助信息!E:I,3,FALSE)</f>
        <v>#N/A</v>
      </c>
      <c r="J1042" s="41" t="e">
        <f>VLOOKUP(B1042,辅助信息!E:I,4,FALSE)</f>
        <v>#N/A</v>
      </c>
      <c r="K1042" s="41" t="e">
        <f>VLOOKUP(J1042,辅助信息!H:I,2,FALSE)</f>
        <v>#N/A</v>
      </c>
      <c r="L1042" s="79"/>
      <c r="M1042" s="92">
        <v>45750</v>
      </c>
      <c r="O1042" s="63">
        <f ca="1" t="shared" si="38"/>
        <v>0</v>
      </c>
      <c r="P1042" s="63">
        <f ca="1" t="shared" si="37"/>
        <v>209</v>
      </c>
      <c r="Q1042" s="27" t="e">
        <f>VLOOKUP(B1042,辅助信息!E:M,9,FALSE)</f>
        <v>#N/A</v>
      </c>
      <c r="R1042" s="27"/>
    </row>
    <row r="1043" hidden="1" spans="2:18">
      <c r="B1043" s="41" t="s">
        <v>75</v>
      </c>
      <c r="C1043" s="71">
        <v>45746</v>
      </c>
      <c r="D1043" s="41" t="e">
        <f>VLOOKUP(B1043,辅助信息!E:K,7,FALSE)</f>
        <v>#N/A</v>
      </c>
      <c r="E1043" s="41" t="str">
        <f>VLOOKUP(F1043,辅助信息!A:B,2,FALSE)</f>
        <v>螺纹钢</v>
      </c>
      <c r="F1043" s="41" t="s">
        <v>18</v>
      </c>
      <c r="G1043" s="37">
        <v>30</v>
      </c>
      <c r="H1043" s="37" t="e">
        <f>_xlfn.XLOOKUP(C1043&amp;F1043&amp;I1043&amp;J1043,'[1]2025年已发货'!$F:$F&amp;'[1]2025年已发货'!$C:$C&amp;'[1]2025年已发货'!$G:$G&amp;'[1]2025年已发货'!$H:$H,'[1]2025年已发货'!$E:$E,"未发货")</f>
        <v>#N/A</v>
      </c>
      <c r="I1043" s="41" t="e">
        <f>VLOOKUP(B1043,辅助信息!E:I,3,FALSE)</f>
        <v>#N/A</v>
      </c>
      <c r="J1043" s="41" t="e">
        <f>VLOOKUP(B1043,辅助信息!E:I,4,FALSE)</f>
        <v>#N/A</v>
      </c>
      <c r="K1043" s="41" t="e">
        <f>VLOOKUP(J1043,辅助信息!H:I,2,FALSE)</f>
        <v>#N/A</v>
      </c>
      <c r="L1043" s="79"/>
      <c r="M1043" s="92">
        <v>45750</v>
      </c>
      <c r="O1043" s="63">
        <f ca="1" t="shared" si="38"/>
        <v>0</v>
      </c>
      <c r="P1043" s="63">
        <f ca="1" t="shared" si="37"/>
        <v>209</v>
      </c>
      <c r="Q1043" s="27" t="e">
        <f>VLOOKUP(B1043,辅助信息!E:M,9,FALSE)</f>
        <v>#N/A</v>
      </c>
      <c r="R1043" s="27"/>
    </row>
    <row r="1044" hidden="1" spans="2:18">
      <c r="B1044" s="41" t="s">
        <v>75</v>
      </c>
      <c r="C1044" s="71">
        <v>45746</v>
      </c>
      <c r="D1044" s="41" t="e">
        <f>VLOOKUP(B1044,辅助信息!E:K,7,FALSE)</f>
        <v>#N/A</v>
      </c>
      <c r="E1044" s="41" t="str">
        <f>VLOOKUP(F1044,辅助信息!A:B,2,FALSE)</f>
        <v>螺纹钢</v>
      </c>
      <c r="F1044" s="41" t="s">
        <v>86</v>
      </c>
      <c r="G1044" s="37">
        <v>45</v>
      </c>
      <c r="H1044" s="37" t="e">
        <f>_xlfn.XLOOKUP(C1044&amp;F1044&amp;I1044&amp;J1044,'[1]2025年已发货'!$F:$F&amp;'[1]2025年已发货'!$C:$C&amp;'[1]2025年已发货'!$G:$G&amp;'[1]2025年已发货'!$H:$H,'[1]2025年已发货'!$E:$E,"未发货")</f>
        <v>#N/A</v>
      </c>
      <c r="I1044" s="41" t="e">
        <f>VLOOKUP(B1044,辅助信息!E:I,3,FALSE)</f>
        <v>#N/A</v>
      </c>
      <c r="J1044" s="41" t="e">
        <f>VLOOKUP(B1044,辅助信息!E:I,4,FALSE)</f>
        <v>#N/A</v>
      </c>
      <c r="K1044" s="41" t="e">
        <f>VLOOKUP(J1044,辅助信息!H:I,2,FALSE)</f>
        <v>#N/A</v>
      </c>
      <c r="L1044" s="77"/>
      <c r="M1044" s="92">
        <v>45750</v>
      </c>
      <c r="O1044" s="63">
        <f ca="1" t="shared" si="38"/>
        <v>0</v>
      </c>
      <c r="P1044" s="63">
        <f ca="1" t="shared" si="37"/>
        <v>209</v>
      </c>
      <c r="Q1044" s="27" t="e">
        <f>VLOOKUP(B1044,辅助信息!E:M,9,FALSE)</f>
        <v>#N/A</v>
      </c>
      <c r="R1044" s="27"/>
    </row>
    <row r="1045" hidden="1" spans="2:18">
      <c r="B1045" s="41" t="s">
        <v>120</v>
      </c>
      <c r="C1045" s="71">
        <v>45745</v>
      </c>
      <c r="D1045" s="41" t="e">
        <f>VLOOKUP(B1045,辅助信息!E:K,7,FALSE)</f>
        <v>#N/A</v>
      </c>
      <c r="E1045" s="41" t="str">
        <f>VLOOKUP(F1045,辅助信息!A:B,2,FALSE)</f>
        <v>高线</v>
      </c>
      <c r="F1045" s="41" t="s">
        <v>53</v>
      </c>
      <c r="G1045" s="37">
        <v>5</v>
      </c>
      <c r="H1045" s="37" t="e">
        <f>_xlfn.XLOOKUP(C1045&amp;F1045&amp;I1045&amp;J1045,'[1]2025年已发货'!$F:$F&amp;'[1]2025年已发货'!$C:$C&amp;'[1]2025年已发货'!$G:$G&amp;'[1]2025年已发货'!$H:$H,'[1]2025年已发货'!$E:$E,"未发货")</f>
        <v>#N/A</v>
      </c>
      <c r="I1045" s="41" t="e">
        <f>VLOOKUP(B1045,辅助信息!E:I,3,FALSE)</f>
        <v>#N/A</v>
      </c>
      <c r="J1045" s="41" t="e">
        <f>VLOOKUP(B1045,辅助信息!E:I,4,FALSE)</f>
        <v>#N/A</v>
      </c>
      <c r="K1045" s="41" t="e">
        <f>VLOOKUP(J1045,辅助信息!H:I,2,FALSE)</f>
        <v>#N/A</v>
      </c>
      <c r="L1045" s="44" t="e">
        <f>VLOOKUP(B1045,辅助信息!E:J,6,FALSE)</f>
        <v>#N/A</v>
      </c>
      <c r="M1045" s="92">
        <v>45750</v>
      </c>
      <c r="O1045" s="63">
        <f ca="1" t="shared" si="38"/>
        <v>0</v>
      </c>
      <c r="P1045" s="63">
        <f ca="1" t="shared" si="37"/>
        <v>209</v>
      </c>
      <c r="Q1045" s="27" t="e">
        <f>VLOOKUP(B1045,辅助信息!E:M,9,FALSE)</f>
        <v>#N/A</v>
      </c>
      <c r="R1045" s="27"/>
    </row>
    <row r="1046" hidden="1" spans="2:18">
      <c r="B1046" s="41" t="s">
        <v>120</v>
      </c>
      <c r="C1046" s="71">
        <v>45745</v>
      </c>
      <c r="D1046" s="41" t="e">
        <f>VLOOKUP(B1046,辅助信息!E:K,7,FALSE)</f>
        <v>#N/A</v>
      </c>
      <c r="E1046" s="41" t="str">
        <f>VLOOKUP(F1046,辅助信息!A:B,2,FALSE)</f>
        <v>高线</v>
      </c>
      <c r="F1046" s="41" t="s">
        <v>51</v>
      </c>
      <c r="G1046" s="37">
        <v>3</v>
      </c>
      <c r="H1046" s="37" t="e">
        <f>_xlfn.XLOOKUP(C1046&amp;F1046&amp;I1046&amp;J1046,'[1]2025年已发货'!$F:$F&amp;'[1]2025年已发货'!$C:$C&amp;'[1]2025年已发货'!$G:$G&amp;'[1]2025年已发货'!$H:$H,'[1]2025年已发货'!$E:$E,"未发货")</f>
        <v>#N/A</v>
      </c>
      <c r="I1046" s="41" t="e">
        <f>VLOOKUP(B1046,辅助信息!E:I,3,FALSE)</f>
        <v>#N/A</v>
      </c>
      <c r="J1046" s="41" t="e">
        <f>VLOOKUP(B1046,辅助信息!E:I,4,FALSE)</f>
        <v>#N/A</v>
      </c>
      <c r="K1046" s="41" t="e">
        <f>VLOOKUP(J1046,辅助信息!H:I,2,FALSE)</f>
        <v>#N/A</v>
      </c>
      <c r="L1046" s="79"/>
      <c r="M1046" s="92">
        <v>45750</v>
      </c>
      <c r="O1046" s="63">
        <f ca="1" t="shared" si="38"/>
        <v>0</v>
      </c>
      <c r="P1046" s="63">
        <f ca="1" t="shared" si="37"/>
        <v>209</v>
      </c>
      <c r="Q1046" s="27" t="e">
        <f>VLOOKUP(B1046,辅助信息!E:M,9,FALSE)</f>
        <v>#N/A</v>
      </c>
      <c r="R1046" s="27"/>
    </row>
    <row r="1047" hidden="1" spans="2:18">
      <c r="B1047" s="41" t="s">
        <v>120</v>
      </c>
      <c r="C1047" s="71">
        <v>45745</v>
      </c>
      <c r="D1047" s="41" t="e">
        <f>VLOOKUP(B1047,辅助信息!E:K,7,FALSE)</f>
        <v>#N/A</v>
      </c>
      <c r="E1047" s="41" t="str">
        <f>VLOOKUP(F1047,辅助信息!A:B,2,FALSE)</f>
        <v>螺纹钢</v>
      </c>
      <c r="F1047" s="41" t="s">
        <v>32</v>
      </c>
      <c r="G1047" s="37">
        <v>5</v>
      </c>
      <c r="H1047" s="37" t="e">
        <f>_xlfn.XLOOKUP(C1047&amp;F1047&amp;I1047&amp;J1047,'[1]2025年已发货'!$F:$F&amp;'[1]2025年已发货'!$C:$C&amp;'[1]2025年已发货'!$G:$G&amp;'[1]2025年已发货'!$H:$H,'[1]2025年已发货'!$E:$E,"未发货")</f>
        <v>#N/A</v>
      </c>
      <c r="I1047" s="41" t="e">
        <f>VLOOKUP(B1047,辅助信息!E:I,3,FALSE)</f>
        <v>#N/A</v>
      </c>
      <c r="J1047" s="41" t="e">
        <f>VLOOKUP(B1047,辅助信息!E:I,4,FALSE)</f>
        <v>#N/A</v>
      </c>
      <c r="K1047" s="41" t="e">
        <f>VLOOKUP(J1047,辅助信息!H:I,2,FALSE)</f>
        <v>#N/A</v>
      </c>
      <c r="L1047" s="79"/>
      <c r="M1047" s="92">
        <v>45750</v>
      </c>
      <c r="O1047" s="63">
        <f ca="1" t="shared" si="38"/>
        <v>0</v>
      </c>
      <c r="P1047" s="63">
        <f ca="1" t="shared" si="37"/>
        <v>209</v>
      </c>
      <c r="Q1047" s="27" t="e">
        <f>VLOOKUP(B1047,辅助信息!E:M,9,FALSE)</f>
        <v>#N/A</v>
      </c>
      <c r="R1047" s="27"/>
    </row>
    <row r="1048" hidden="1" spans="2:18">
      <c r="B1048" s="41" t="s">
        <v>120</v>
      </c>
      <c r="C1048" s="71">
        <v>45745</v>
      </c>
      <c r="D1048" s="41" t="e">
        <f>VLOOKUP(B1048,辅助信息!E:K,7,FALSE)</f>
        <v>#N/A</v>
      </c>
      <c r="E1048" s="41" t="str">
        <f>VLOOKUP(F1048,辅助信息!A:B,2,FALSE)</f>
        <v>螺纹钢</v>
      </c>
      <c r="F1048" s="41" t="s">
        <v>30</v>
      </c>
      <c r="G1048" s="37">
        <v>8</v>
      </c>
      <c r="H1048" s="37" t="e">
        <f>_xlfn.XLOOKUP(C1048&amp;F1048&amp;I1048&amp;J1048,'[1]2025年已发货'!$F:$F&amp;'[1]2025年已发货'!$C:$C&amp;'[1]2025年已发货'!$G:$G&amp;'[1]2025年已发货'!$H:$H,'[1]2025年已发货'!$E:$E,"未发货")</f>
        <v>#N/A</v>
      </c>
      <c r="I1048" s="41" t="e">
        <f>VLOOKUP(B1048,辅助信息!E:I,3,FALSE)</f>
        <v>#N/A</v>
      </c>
      <c r="J1048" s="41" t="e">
        <f>VLOOKUP(B1048,辅助信息!E:I,4,FALSE)</f>
        <v>#N/A</v>
      </c>
      <c r="K1048" s="41" t="e">
        <f>VLOOKUP(J1048,辅助信息!H:I,2,FALSE)</f>
        <v>#N/A</v>
      </c>
      <c r="L1048" s="79"/>
      <c r="M1048" s="92">
        <v>45750</v>
      </c>
      <c r="O1048" s="63">
        <f ca="1" t="shared" si="38"/>
        <v>0</v>
      </c>
      <c r="P1048" s="63">
        <f ca="1" t="shared" si="37"/>
        <v>209</v>
      </c>
      <c r="Q1048" s="27" t="e">
        <f>VLOOKUP(B1048,辅助信息!E:M,9,FALSE)</f>
        <v>#N/A</v>
      </c>
      <c r="R1048" s="27"/>
    </row>
    <row r="1049" hidden="1" spans="2:18">
      <c r="B1049" s="41" t="s">
        <v>120</v>
      </c>
      <c r="C1049" s="71">
        <v>45745</v>
      </c>
      <c r="D1049" s="41" t="e">
        <f>VLOOKUP(B1049,辅助信息!E:K,7,FALSE)</f>
        <v>#N/A</v>
      </c>
      <c r="E1049" s="41" t="str">
        <f>VLOOKUP(F1049,辅助信息!A:B,2,FALSE)</f>
        <v>螺纹钢</v>
      </c>
      <c r="F1049" s="41" t="s">
        <v>28</v>
      </c>
      <c r="G1049" s="37">
        <v>17</v>
      </c>
      <c r="H1049" s="37" t="e">
        <f>_xlfn.XLOOKUP(C1049&amp;F1049&amp;I1049&amp;J1049,'[1]2025年已发货'!$F:$F&amp;'[1]2025年已发货'!$C:$C&amp;'[1]2025年已发货'!$G:$G&amp;'[1]2025年已发货'!$H:$H,'[1]2025年已发货'!$E:$E,"未发货")</f>
        <v>#N/A</v>
      </c>
      <c r="I1049" s="41" t="e">
        <f>VLOOKUP(B1049,辅助信息!E:I,3,FALSE)</f>
        <v>#N/A</v>
      </c>
      <c r="J1049" s="41" t="e">
        <f>VLOOKUP(B1049,辅助信息!E:I,4,FALSE)</f>
        <v>#N/A</v>
      </c>
      <c r="K1049" s="41" t="e">
        <f>VLOOKUP(J1049,辅助信息!H:I,2,FALSE)</f>
        <v>#N/A</v>
      </c>
      <c r="L1049" s="77"/>
      <c r="M1049" s="92">
        <v>45750</v>
      </c>
      <c r="O1049" s="63">
        <f ca="1" t="shared" si="38"/>
        <v>0</v>
      </c>
      <c r="P1049" s="63">
        <f ca="1" t="shared" si="37"/>
        <v>209</v>
      </c>
      <c r="Q1049" s="27" t="e">
        <f>VLOOKUP(B1049,辅助信息!E:M,9,FALSE)</f>
        <v>#N/A</v>
      </c>
      <c r="R1049" s="27"/>
    </row>
    <row r="1050" hidden="1" spans="2:18">
      <c r="B1050" s="41" t="s">
        <v>25</v>
      </c>
      <c r="C1050" s="71">
        <v>45746</v>
      </c>
      <c r="D1050" s="41" t="e">
        <f>VLOOKUP(B1050,辅助信息!E:K,7,FALSE)</f>
        <v>#N/A</v>
      </c>
      <c r="E1050" s="41" t="str">
        <f>VLOOKUP(F1050,辅助信息!A:B,2,FALSE)</f>
        <v>螺纹钢</v>
      </c>
      <c r="F1050" s="41" t="s">
        <v>27</v>
      </c>
      <c r="G1050" s="37">
        <v>10</v>
      </c>
      <c r="H1050" s="37" t="e">
        <f>_xlfn.XLOOKUP(C1050&amp;F1050&amp;I1050&amp;J1050,'[1]2025年已发货'!$F:$F&amp;'[1]2025年已发货'!$C:$C&amp;'[1]2025年已发货'!$G:$G&amp;'[1]2025年已发货'!$H:$H,'[1]2025年已发货'!$E:$E,"未发货")</f>
        <v>#N/A</v>
      </c>
      <c r="I1050" s="41" t="e">
        <f>VLOOKUP(B1050,辅助信息!E:I,3,FALSE)</f>
        <v>#N/A</v>
      </c>
      <c r="J1050" s="41" t="e">
        <f>VLOOKUP(B1050,辅助信息!E:I,4,FALSE)</f>
        <v>#N/A</v>
      </c>
      <c r="K1050" s="41" t="e">
        <f>VLOOKUP(J1050,辅助信息!H:I,2,FALSE)</f>
        <v>#N/A</v>
      </c>
      <c r="L1050" s="44" t="e">
        <f>VLOOKUP(B1050,辅助信息!E:J,6,FALSE)</f>
        <v>#N/A</v>
      </c>
      <c r="M1050" s="92">
        <v>45749</v>
      </c>
      <c r="O1050" s="63">
        <f ca="1" t="shared" si="38"/>
        <v>0</v>
      </c>
      <c r="P1050" s="63">
        <f ca="1" t="shared" si="37"/>
        <v>210</v>
      </c>
      <c r="Q1050" s="27" t="e">
        <f>VLOOKUP(B1050,辅助信息!E:M,9,FALSE)</f>
        <v>#N/A</v>
      </c>
      <c r="R1050" s="27"/>
    </row>
    <row r="1051" hidden="1" spans="2:18">
      <c r="B1051" s="41" t="s">
        <v>25</v>
      </c>
      <c r="C1051" s="71">
        <v>45746</v>
      </c>
      <c r="D1051" s="41" t="e">
        <f>VLOOKUP(B1051,辅助信息!E:K,7,FALSE)</f>
        <v>#N/A</v>
      </c>
      <c r="E1051" s="41" t="str">
        <f>VLOOKUP(F1051,辅助信息!A:B,2,FALSE)</f>
        <v>螺纹钢</v>
      </c>
      <c r="F1051" s="41" t="s">
        <v>32</v>
      </c>
      <c r="G1051" s="37">
        <v>6</v>
      </c>
      <c r="H1051" s="37" t="e">
        <f>_xlfn.XLOOKUP(C1051&amp;F1051&amp;I1051&amp;J1051,'[1]2025年已发货'!$F:$F&amp;'[1]2025年已发货'!$C:$C&amp;'[1]2025年已发货'!$G:$G&amp;'[1]2025年已发货'!$H:$H,'[1]2025年已发货'!$E:$E,"未发货")</f>
        <v>#N/A</v>
      </c>
      <c r="I1051" s="41" t="e">
        <f>VLOOKUP(B1051,辅助信息!E:I,3,FALSE)</f>
        <v>#N/A</v>
      </c>
      <c r="J1051" s="41" t="e">
        <f>VLOOKUP(B1051,辅助信息!E:I,4,FALSE)</f>
        <v>#N/A</v>
      </c>
      <c r="K1051" s="41" t="e">
        <f>VLOOKUP(J1051,辅助信息!H:I,2,FALSE)</f>
        <v>#N/A</v>
      </c>
      <c r="L1051" s="79"/>
      <c r="M1051" s="92">
        <v>45749</v>
      </c>
      <c r="O1051" s="63">
        <f ca="1" t="shared" si="38"/>
        <v>0</v>
      </c>
      <c r="P1051" s="63">
        <f ca="1" t="shared" si="37"/>
        <v>210</v>
      </c>
      <c r="Q1051" s="27" t="e">
        <f>VLOOKUP(B1051,辅助信息!E:M,9,FALSE)</f>
        <v>#N/A</v>
      </c>
      <c r="R1051" s="27"/>
    </row>
    <row r="1052" hidden="1" spans="2:18">
      <c r="B1052" s="41" t="s">
        <v>25</v>
      </c>
      <c r="C1052" s="71">
        <v>45746</v>
      </c>
      <c r="D1052" s="41" t="e">
        <f>VLOOKUP(B1052,辅助信息!E:K,7,FALSE)</f>
        <v>#N/A</v>
      </c>
      <c r="E1052" s="41" t="str">
        <f>VLOOKUP(F1052,辅助信息!A:B,2,FALSE)</f>
        <v>螺纹钢</v>
      </c>
      <c r="F1052" s="41" t="s">
        <v>28</v>
      </c>
      <c r="G1052" s="37">
        <v>12</v>
      </c>
      <c r="H1052" s="37" t="e">
        <f>_xlfn.XLOOKUP(C1052&amp;F1052&amp;I1052&amp;J1052,'[1]2025年已发货'!$F:$F&amp;'[1]2025年已发货'!$C:$C&amp;'[1]2025年已发货'!$G:$G&amp;'[1]2025年已发货'!$H:$H,'[1]2025年已发货'!$E:$E,"未发货")</f>
        <v>#N/A</v>
      </c>
      <c r="I1052" s="41" t="e">
        <f>VLOOKUP(B1052,辅助信息!E:I,3,FALSE)</f>
        <v>#N/A</v>
      </c>
      <c r="J1052" s="41" t="e">
        <f>VLOOKUP(B1052,辅助信息!E:I,4,FALSE)</f>
        <v>#N/A</v>
      </c>
      <c r="K1052" s="41" t="e">
        <f>VLOOKUP(J1052,辅助信息!H:I,2,FALSE)</f>
        <v>#N/A</v>
      </c>
      <c r="L1052" s="79"/>
      <c r="M1052" s="92">
        <v>45749</v>
      </c>
      <c r="O1052" s="63">
        <f ca="1" t="shared" si="38"/>
        <v>0</v>
      </c>
      <c r="P1052" s="63">
        <f ca="1" t="shared" si="37"/>
        <v>210</v>
      </c>
      <c r="Q1052" s="27" t="e">
        <f>VLOOKUP(B1052,辅助信息!E:M,9,FALSE)</f>
        <v>#N/A</v>
      </c>
      <c r="R1052" s="27"/>
    </row>
    <row r="1053" hidden="1" spans="2:18">
      <c r="B1053" s="41" t="s">
        <v>25</v>
      </c>
      <c r="C1053" s="71">
        <v>45746</v>
      </c>
      <c r="D1053" s="41" t="e">
        <f>VLOOKUP(B1053,辅助信息!E:K,7,FALSE)</f>
        <v>#N/A</v>
      </c>
      <c r="E1053" s="41" t="str">
        <f>VLOOKUP(F1053,辅助信息!A:B,2,FALSE)</f>
        <v>螺纹钢</v>
      </c>
      <c r="F1053" s="41" t="s">
        <v>65</v>
      </c>
      <c r="G1053" s="37">
        <v>8</v>
      </c>
      <c r="H1053" s="37" t="e">
        <f>_xlfn.XLOOKUP(C1053&amp;F1053&amp;I1053&amp;J1053,'[1]2025年已发货'!$F:$F&amp;'[1]2025年已发货'!$C:$C&amp;'[1]2025年已发货'!$G:$G&amp;'[1]2025年已发货'!$H:$H,'[1]2025年已发货'!$E:$E,"未发货")</f>
        <v>#N/A</v>
      </c>
      <c r="I1053" s="41" t="e">
        <f>VLOOKUP(B1053,辅助信息!E:I,3,FALSE)</f>
        <v>#N/A</v>
      </c>
      <c r="J1053" s="41" t="e">
        <f>VLOOKUP(B1053,辅助信息!E:I,4,FALSE)</f>
        <v>#N/A</v>
      </c>
      <c r="K1053" s="41" t="e">
        <f>VLOOKUP(J1053,辅助信息!H:I,2,FALSE)</f>
        <v>#N/A</v>
      </c>
      <c r="L1053" s="77"/>
      <c r="M1053" s="92">
        <v>45749</v>
      </c>
      <c r="O1053" s="63">
        <f ca="1" t="shared" si="38"/>
        <v>0</v>
      </c>
      <c r="P1053" s="63">
        <f ca="1" t="shared" si="37"/>
        <v>210</v>
      </c>
      <c r="Q1053" s="27" t="e">
        <f>VLOOKUP(B1053,辅助信息!E:M,9,FALSE)</f>
        <v>#N/A</v>
      </c>
      <c r="R1053" s="27"/>
    </row>
    <row r="1054" hidden="1" spans="2:18">
      <c r="B1054" s="41" t="s">
        <v>29</v>
      </c>
      <c r="C1054" s="71">
        <v>45746</v>
      </c>
      <c r="D1054" s="41" t="e">
        <f>VLOOKUP(B1054,辅助信息!E:K,7,FALSE)</f>
        <v>#N/A</v>
      </c>
      <c r="E1054" s="41" t="str">
        <f>VLOOKUP(F1054,辅助信息!A:B,2,FALSE)</f>
        <v>高线</v>
      </c>
      <c r="F1054" s="41" t="s">
        <v>53</v>
      </c>
      <c r="G1054" s="37">
        <v>15</v>
      </c>
      <c r="H1054" s="37" t="e">
        <f>_xlfn.XLOOKUP(C1054&amp;F1054&amp;I1054&amp;J1054,'[1]2025年已发货'!$F:$F&amp;'[1]2025年已发货'!$C:$C&amp;'[1]2025年已发货'!$G:$G&amp;'[1]2025年已发货'!$H:$H,'[1]2025年已发货'!$E:$E,"未发货")</f>
        <v>#N/A</v>
      </c>
      <c r="I1054" s="41" t="e">
        <f>VLOOKUP(B1054,辅助信息!E:I,3,FALSE)</f>
        <v>#N/A</v>
      </c>
      <c r="J1054" s="41" t="e">
        <f>VLOOKUP(B1054,辅助信息!E:I,4,FALSE)</f>
        <v>#N/A</v>
      </c>
      <c r="K1054" s="41" t="e">
        <f>VLOOKUP(J1054,辅助信息!H:I,2,FALSE)</f>
        <v>#N/A</v>
      </c>
      <c r="L1054" s="44" t="e">
        <f>VLOOKUP(B1054,辅助信息!E:J,6,FALSE)</f>
        <v>#N/A</v>
      </c>
      <c r="M1054" s="92">
        <v>45750</v>
      </c>
      <c r="O1054" s="63">
        <f ca="1" t="shared" si="38"/>
        <v>0</v>
      </c>
      <c r="P1054" s="63">
        <f ca="1" t="shared" si="37"/>
        <v>209</v>
      </c>
      <c r="Q1054" s="27" t="e">
        <f>VLOOKUP(B1054,辅助信息!E:M,9,FALSE)</f>
        <v>#N/A</v>
      </c>
      <c r="R1054" s="27"/>
    </row>
    <row r="1055" hidden="1" spans="2:18">
      <c r="B1055" s="41" t="s">
        <v>29</v>
      </c>
      <c r="C1055" s="71">
        <v>45746</v>
      </c>
      <c r="D1055" s="41" t="e">
        <f>VLOOKUP(B1055,辅助信息!E:K,7,FALSE)</f>
        <v>#N/A</v>
      </c>
      <c r="E1055" s="41" t="str">
        <f>VLOOKUP(F1055,辅助信息!A:B,2,FALSE)</f>
        <v>螺纹钢</v>
      </c>
      <c r="F1055" s="41" t="s">
        <v>28</v>
      </c>
      <c r="G1055" s="37">
        <v>20</v>
      </c>
      <c r="H1055" s="37" t="e">
        <f>_xlfn.XLOOKUP(C1055&amp;F1055&amp;I1055&amp;J1055,'[1]2025年已发货'!$F:$F&amp;'[1]2025年已发货'!$C:$C&amp;'[1]2025年已发货'!$G:$G&amp;'[1]2025年已发货'!$H:$H,'[1]2025年已发货'!$E:$E,"未发货")</f>
        <v>#N/A</v>
      </c>
      <c r="I1055" s="41" t="e">
        <f>VLOOKUP(B1055,辅助信息!E:I,3,FALSE)</f>
        <v>#N/A</v>
      </c>
      <c r="J1055" s="41" t="e">
        <f>VLOOKUP(B1055,辅助信息!E:I,4,FALSE)</f>
        <v>#N/A</v>
      </c>
      <c r="K1055" s="41" t="e">
        <f>VLOOKUP(J1055,辅助信息!H:I,2,FALSE)</f>
        <v>#N/A</v>
      </c>
      <c r="L1055" s="77"/>
      <c r="M1055" s="92">
        <v>45750</v>
      </c>
      <c r="O1055" s="63">
        <f ca="1" t="shared" si="38"/>
        <v>0</v>
      </c>
      <c r="P1055" s="63">
        <f ca="1" t="shared" si="37"/>
        <v>209</v>
      </c>
      <c r="Q1055" s="27" t="e">
        <f>VLOOKUP(B1055,辅助信息!E:M,9,FALSE)</f>
        <v>#N/A</v>
      </c>
      <c r="R1055" s="27"/>
    </row>
    <row r="1056" hidden="1" spans="2:18">
      <c r="B1056" s="41" t="s">
        <v>78</v>
      </c>
      <c r="C1056" s="71">
        <v>45746</v>
      </c>
      <c r="D1056" s="41" t="e">
        <f>VLOOKUP(B1056,辅助信息!E:K,7,FALSE)</f>
        <v>#N/A</v>
      </c>
      <c r="E1056" s="41" t="str">
        <f>VLOOKUP(F1056,辅助信息!A:B,2,FALSE)</f>
        <v>螺纹钢</v>
      </c>
      <c r="F1056" s="41" t="s">
        <v>19</v>
      </c>
      <c r="G1056" s="37">
        <v>6</v>
      </c>
      <c r="H1056" s="37" t="e">
        <f>_xlfn.XLOOKUP(C1056&amp;F1056&amp;I1056&amp;J1056,'[1]2025年已发货'!$F:$F&amp;'[1]2025年已发货'!$C:$C&amp;'[1]2025年已发货'!$G:$G&amp;'[1]2025年已发货'!$H:$H,'[1]2025年已发货'!$E:$E,"未发货")</f>
        <v>#N/A</v>
      </c>
      <c r="I1056" s="41" t="e">
        <f>VLOOKUP(B1056,辅助信息!E:I,3,FALSE)</f>
        <v>#N/A</v>
      </c>
      <c r="J1056" s="41" t="e">
        <f>VLOOKUP(B1056,辅助信息!E:I,4,FALSE)</f>
        <v>#N/A</v>
      </c>
      <c r="K1056" s="41" t="e">
        <f>VLOOKUP(J1056,辅助信息!H:I,2,FALSE)</f>
        <v>#N/A</v>
      </c>
      <c r="L1056" s="44" t="e">
        <f>VLOOKUP(B1056,辅助信息!E:J,6,FALSE)</f>
        <v>#N/A</v>
      </c>
      <c r="M1056" s="92">
        <v>45747</v>
      </c>
      <c r="O1056" s="63">
        <f ca="1" t="shared" si="38"/>
        <v>0</v>
      </c>
      <c r="P1056" s="63">
        <f ca="1" t="shared" si="37"/>
        <v>212</v>
      </c>
      <c r="Q1056" s="27" t="e">
        <f>VLOOKUP(B1056,辅助信息!E:M,9,FALSE)</f>
        <v>#N/A</v>
      </c>
      <c r="R1056" s="27"/>
    </row>
    <row r="1057" hidden="1" spans="2:18">
      <c r="B1057" s="41" t="s">
        <v>78</v>
      </c>
      <c r="C1057" s="71">
        <v>45746</v>
      </c>
      <c r="D1057" s="41" t="e">
        <f>VLOOKUP(B1057,辅助信息!E:K,7,FALSE)</f>
        <v>#N/A</v>
      </c>
      <c r="E1057" s="41" t="str">
        <f>VLOOKUP(F1057,辅助信息!A:B,2,FALSE)</f>
        <v>螺纹钢</v>
      </c>
      <c r="F1057" s="41" t="s">
        <v>33</v>
      </c>
      <c r="G1057" s="37">
        <v>26</v>
      </c>
      <c r="H1057" s="37" t="e">
        <f>_xlfn.XLOOKUP(C1057&amp;F1057&amp;I1057&amp;J1057,'[1]2025年已发货'!$F:$F&amp;'[1]2025年已发货'!$C:$C&amp;'[1]2025年已发货'!$G:$G&amp;'[1]2025年已发货'!$H:$H,'[1]2025年已发货'!$E:$E,"未发货")</f>
        <v>#N/A</v>
      </c>
      <c r="I1057" s="41" t="e">
        <f>VLOOKUP(B1057,辅助信息!E:I,3,FALSE)</f>
        <v>#N/A</v>
      </c>
      <c r="J1057" s="41" t="e">
        <f>VLOOKUP(B1057,辅助信息!E:I,4,FALSE)</f>
        <v>#N/A</v>
      </c>
      <c r="K1057" s="41" t="e">
        <f>VLOOKUP(J1057,辅助信息!H:I,2,FALSE)</f>
        <v>#N/A</v>
      </c>
      <c r="L1057" s="79"/>
      <c r="M1057" s="92">
        <v>45747</v>
      </c>
      <c r="O1057" s="63">
        <f ca="1" t="shared" si="38"/>
        <v>0</v>
      </c>
      <c r="P1057" s="63">
        <f ca="1" t="shared" si="37"/>
        <v>212</v>
      </c>
      <c r="Q1057" s="27" t="e">
        <f>VLOOKUP(B1057,辅助信息!E:M,9,FALSE)</f>
        <v>#N/A</v>
      </c>
      <c r="R1057" s="27"/>
    </row>
    <row r="1058" hidden="1" spans="2:18">
      <c r="B1058" s="41" t="s">
        <v>78</v>
      </c>
      <c r="C1058" s="71">
        <v>45746</v>
      </c>
      <c r="D1058" s="41" t="e">
        <f>VLOOKUP(B1058,辅助信息!E:K,7,FALSE)</f>
        <v>#N/A</v>
      </c>
      <c r="E1058" s="41" t="str">
        <f>VLOOKUP(F1058,辅助信息!A:B,2,FALSE)</f>
        <v>螺纹钢</v>
      </c>
      <c r="F1058" s="41" t="s">
        <v>65</v>
      </c>
      <c r="G1058" s="37">
        <v>3</v>
      </c>
      <c r="H1058" s="37" t="e">
        <f>_xlfn.XLOOKUP(C1058&amp;F1058&amp;I1058&amp;J1058,'[1]2025年已发货'!$F:$F&amp;'[1]2025年已发货'!$C:$C&amp;'[1]2025年已发货'!$G:$G&amp;'[1]2025年已发货'!$H:$H,'[1]2025年已发货'!$E:$E,"未发货")</f>
        <v>#N/A</v>
      </c>
      <c r="I1058" s="41" t="e">
        <f>VLOOKUP(B1058,辅助信息!E:I,3,FALSE)</f>
        <v>#N/A</v>
      </c>
      <c r="J1058" s="41" t="e">
        <f>VLOOKUP(B1058,辅助信息!E:I,4,FALSE)</f>
        <v>#N/A</v>
      </c>
      <c r="K1058" s="41" t="e">
        <f>VLOOKUP(J1058,辅助信息!H:I,2,FALSE)</f>
        <v>#N/A</v>
      </c>
      <c r="L1058" s="77"/>
      <c r="M1058" s="92">
        <v>45747</v>
      </c>
      <c r="O1058" s="63">
        <f ca="1" t="shared" si="38"/>
        <v>0</v>
      </c>
      <c r="P1058" s="63">
        <f ca="1" t="shared" si="37"/>
        <v>212</v>
      </c>
      <c r="Q1058" s="27" t="e">
        <f>VLOOKUP(B1058,辅助信息!E:M,9,FALSE)</f>
        <v>#N/A</v>
      </c>
      <c r="R1058" s="27"/>
    </row>
    <row r="1059" hidden="1" spans="2:18">
      <c r="B1059" s="41" t="s">
        <v>54</v>
      </c>
      <c r="C1059" s="71">
        <v>45746</v>
      </c>
      <c r="D1059" s="41" t="e">
        <f>VLOOKUP(B1059,辅助信息!E:K,7,FALSE)</f>
        <v>#N/A</v>
      </c>
      <c r="E1059" s="41" t="str">
        <f>VLOOKUP(F1059,辅助信息!A:B,2,FALSE)</f>
        <v>螺纹钢</v>
      </c>
      <c r="F1059" s="41" t="s">
        <v>27</v>
      </c>
      <c r="G1059" s="37">
        <v>8</v>
      </c>
      <c r="H1059" s="37" t="e">
        <f>_xlfn.XLOOKUP(C1059&amp;F1059&amp;I1059&amp;J1059,'[1]2025年已发货'!$F:$F&amp;'[1]2025年已发货'!$C:$C&amp;'[1]2025年已发货'!$G:$G&amp;'[1]2025年已发货'!$H:$H,'[1]2025年已发货'!$E:$E,"未发货")</f>
        <v>#N/A</v>
      </c>
      <c r="I1059" s="41" t="e">
        <f>VLOOKUP(B1059,辅助信息!E:I,3,FALSE)</f>
        <v>#N/A</v>
      </c>
      <c r="J1059" s="41" t="e">
        <f>VLOOKUP(B1059,辅助信息!E:I,4,FALSE)</f>
        <v>#N/A</v>
      </c>
      <c r="K1059" s="41" t="e">
        <f>VLOOKUP(J1059,辅助信息!H:I,2,FALSE)</f>
        <v>#N/A</v>
      </c>
      <c r="L1059" s="44" t="e">
        <f>VLOOKUP(B1059,辅助信息!E:J,6,FALSE)</f>
        <v>#N/A</v>
      </c>
      <c r="M1059" s="92">
        <v>45747</v>
      </c>
      <c r="O1059" s="63">
        <f ca="1" t="shared" si="38"/>
        <v>0</v>
      </c>
      <c r="P1059" s="63">
        <f ca="1" t="shared" si="37"/>
        <v>212</v>
      </c>
      <c r="Q1059" s="27" t="e">
        <f>VLOOKUP(B1059,辅助信息!E:M,9,FALSE)</f>
        <v>#N/A</v>
      </c>
      <c r="R1059" s="27"/>
    </row>
    <row r="1060" hidden="1" spans="2:18">
      <c r="B1060" s="41" t="s">
        <v>54</v>
      </c>
      <c r="C1060" s="71">
        <v>45746</v>
      </c>
      <c r="D1060" s="41" t="e">
        <f>VLOOKUP(B1060,辅助信息!E:K,7,FALSE)</f>
        <v>#N/A</v>
      </c>
      <c r="E1060" s="41" t="str">
        <f>VLOOKUP(F1060,辅助信息!A:B,2,FALSE)</f>
        <v>螺纹钢</v>
      </c>
      <c r="F1060" s="41" t="s">
        <v>19</v>
      </c>
      <c r="G1060" s="37">
        <v>8</v>
      </c>
      <c r="H1060" s="37" t="e">
        <f>_xlfn.XLOOKUP(C1060&amp;F1060&amp;I1060&amp;J1060,'[1]2025年已发货'!$F:$F&amp;'[1]2025年已发货'!$C:$C&amp;'[1]2025年已发货'!$G:$G&amp;'[1]2025年已发货'!$H:$H,'[1]2025年已发货'!$E:$E,"未发货")</f>
        <v>#N/A</v>
      </c>
      <c r="I1060" s="41" t="e">
        <f>VLOOKUP(B1060,辅助信息!E:I,3,FALSE)</f>
        <v>#N/A</v>
      </c>
      <c r="J1060" s="41" t="e">
        <f>VLOOKUP(B1060,辅助信息!E:I,4,FALSE)</f>
        <v>#N/A</v>
      </c>
      <c r="K1060" s="41" t="e">
        <f>VLOOKUP(J1060,辅助信息!H:I,2,FALSE)</f>
        <v>#N/A</v>
      </c>
      <c r="L1060" s="79"/>
      <c r="M1060" s="92">
        <v>45747</v>
      </c>
      <c r="O1060" s="63">
        <f ca="1" t="shared" si="38"/>
        <v>0</v>
      </c>
      <c r="P1060" s="63">
        <f ca="1" t="shared" si="37"/>
        <v>212</v>
      </c>
      <c r="Q1060" s="27" t="e">
        <f>VLOOKUP(B1060,辅助信息!E:M,9,FALSE)</f>
        <v>#N/A</v>
      </c>
      <c r="R1060" s="27"/>
    </row>
    <row r="1061" hidden="1" spans="2:18">
      <c r="B1061" s="41" t="s">
        <v>54</v>
      </c>
      <c r="C1061" s="71">
        <v>45746</v>
      </c>
      <c r="D1061" s="41" t="e">
        <f>VLOOKUP(B1061,辅助信息!E:K,7,FALSE)</f>
        <v>#N/A</v>
      </c>
      <c r="E1061" s="41" t="str">
        <f>VLOOKUP(F1061,辅助信息!A:B,2,FALSE)</f>
        <v>螺纹钢</v>
      </c>
      <c r="F1061" s="41" t="s">
        <v>33</v>
      </c>
      <c r="G1061" s="37">
        <v>20</v>
      </c>
      <c r="H1061" s="37" t="e">
        <f>_xlfn.XLOOKUP(C1061&amp;F1061&amp;I1061&amp;J1061,'[1]2025年已发货'!$F:$F&amp;'[1]2025年已发货'!$C:$C&amp;'[1]2025年已发货'!$G:$G&amp;'[1]2025年已发货'!$H:$H,'[1]2025年已发货'!$E:$E,"未发货")</f>
        <v>#N/A</v>
      </c>
      <c r="I1061" s="41" t="e">
        <f>VLOOKUP(B1061,辅助信息!E:I,3,FALSE)</f>
        <v>#N/A</v>
      </c>
      <c r="J1061" s="41" t="e">
        <f>VLOOKUP(B1061,辅助信息!E:I,4,FALSE)</f>
        <v>#N/A</v>
      </c>
      <c r="K1061" s="41" t="e">
        <f>VLOOKUP(J1061,辅助信息!H:I,2,FALSE)</f>
        <v>#N/A</v>
      </c>
      <c r="L1061" s="77"/>
      <c r="M1061" s="92">
        <v>45747</v>
      </c>
      <c r="O1061" s="63">
        <f ca="1" t="shared" si="38"/>
        <v>0</v>
      </c>
      <c r="P1061" s="63">
        <f ca="1" t="shared" si="37"/>
        <v>212</v>
      </c>
      <c r="Q1061" s="27" t="e">
        <f>VLOOKUP(B1061,辅助信息!E:M,9,FALSE)</f>
        <v>#N/A</v>
      </c>
      <c r="R1061" s="27"/>
    </row>
    <row r="1062" hidden="1" spans="2:18">
      <c r="B1062" s="41" t="s">
        <v>89</v>
      </c>
      <c r="C1062" s="71">
        <v>45746</v>
      </c>
      <c r="D1062" s="41" t="str">
        <f>VLOOKUP(B1062,辅助信息!E:K,7,FALSE)</f>
        <v>JWDDCD2025051000019</v>
      </c>
      <c r="E1062" s="41" t="str">
        <f>VLOOKUP(F1062,辅助信息!A:B,2,FALSE)</f>
        <v>螺纹钢</v>
      </c>
      <c r="F1062" s="41" t="s">
        <v>32</v>
      </c>
      <c r="G1062" s="37">
        <v>60</v>
      </c>
      <c r="H1062" s="37">
        <f>_xlfn.XLOOKUP(C1062&amp;F1062&amp;I1062&amp;J1062,'[1]2025年已发货'!$F:$F&amp;'[1]2025年已发货'!$C:$C&amp;'[1]2025年已发货'!$G:$G&amp;'[1]2025年已发货'!$H:$H,'[1]2025年已发货'!$E:$E,"未发货")</f>
        <v>60</v>
      </c>
      <c r="I1062" s="41" t="str">
        <f>VLOOKUP(B1062,辅助信息!E:I,3,FALSE)</f>
        <v>(五冶钢构医学科学产业园建设项目房建三部-排洪渠)四川省南充市顺庆区搬罾街道学府大道二段</v>
      </c>
      <c r="J1062" s="41" t="str">
        <f>VLOOKUP(B1062,辅助信息!E:I,4,FALSE)</f>
        <v>郑林</v>
      </c>
      <c r="K1062" s="41">
        <f>VLOOKUP(J1062,辅助信息!H:I,2,FALSE)</f>
        <v>18349955455</v>
      </c>
      <c r="L1062" s="44"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212</v>
      </c>
      <c r="Q1062" s="27" t="str">
        <f>VLOOKUP(B1062,辅助信息!E:M,9,FALSE)</f>
        <v>ZTWM-CDGS-XS-2024-0248-五冶钢构-南充市医学院项目</v>
      </c>
      <c r="R1062" s="27"/>
    </row>
    <row r="1063" hidden="1" spans="2:18">
      <c r="B1063" s="41" t="s">
        <v>89</v>
      </c>
      <c r="C1063" s="71">
        <v>45746</v>
      </c>
      <c r="D1063" s="41" t="str">
        <f>VLOOKUP(B1063,辅助信息!E:K,7,FALSE)</f>
        <v>JWDDCD2025051000019</v>
      </c>
      <c r="E1063" s="41" t="str">
        <f>VLOOKUP(F1063,辅助信息!A:B,2,FALSE)</f>
        <v>螺纹钢</v>
      </c>
      <c r="F1063" s="41" t="s">
        <v>18</v>
      </c>
      <c r="G1063" s="37">
        <v>70</v>
      </c>
      <c r="H1063" s="37">
        <f>_xlfn.XLOOKUP(C1063&amp;F1063&amp;I1063&amp;J1063,'[1]2025年已发货'!$F:$F&amp;'[1]2025年已发货'!$C:$C&amp;'[1]2025年已发货'!$G:$G&amp;'[1]2025年已发货'!$H:$H,'[1]2025年已发货'!$E:$E,"未发货")</f>
        <v>70</v>
      </c>
      <c r="I1063" s="41" t="str">
        <f>VLOOKUP(B1063,辅助信息!E:I,3,FALSE)</f>
        <v>(五冶钢构医学科学产业园建设项目房建三部-排洪渠)四川省南充市顺庆区搬罾街道学府大道二段</v>
      </c>
      <c r="J1063" s="41" t="str">
        <f>VLOOKUP(B1063,辅助信息!E:I,4,FALSE)</f>
        <v>郑林</v>
      </c>
      <c r="K1063" s="41">
        <f>VLOOKUP(J1063,辅助信息!H:I,2,FALSE)</f>
        <v>18349955455</v>
      </c>
      <c r="L1063" s="79"/>
      <c r="M1063" s="92">
        <v>45747</v>
      </c>
      <c r="O1063" s="63">
        <f ca="1" t="shared" si="38"/>
        <v>0</v>
      </c>
      <c r="P1063" s="63">
        <f ca="1" t="shared" si="37"/>
        <v>212</v>
      </c>
      <c r="Q1063" s="27" t="str">
        <f>VLOOKUP(B1063,辅助信息!E:M,9,FALSE)</f>
        <v>ZTWM-CDGS-XS-2024-0248-五冶钢构-南充市医学院项目</v>
      </c>
      <c r="R1063" s="27"/>
    </row>
    <row r="1064" hidden="1" spans="2:18">
      <c r="B1064" s="41" t="s">
        <v>89</v>
      </c>
      <c r="C1064" s="71">
        <v>45746</v>
      </c>
      <c r="D1064" s="41" t="str">
        <f>VLOOKUP(B1064,辅助信息!E:K,7,FALSE)</f>
        <v>JWDDCD2025051000019</v>
      </c>
      <c r="E1064" s="41" t="str">
        <f>VLOOKUP(F1064,辅助信息!A:B,2,FALSE)</f>
        <v>螺纹钢</v>
      </c>
      <c r="F1064" s="41" t="s">
        <v>90</v>
      </c>
      <c r="G1064" s="37">
        <v>50</v>
      </c>
      <c r="H1064" s="37">
        <f>_xlfn.XLOOKUP(C1064&amp;F1064&amp;I1064&amp;J1064,'[1]2025年已发货'!$F:$F&amp;'[1]2025年已发货'!$C:$C&amp;'[1]2025年已发货'!$G:$G&amp;'[1]2025年已发货'!$H:$H,'[1]2025年已发货'!$E:$E,"未发货")</f>
        <v>45</v>
      </c>
      <c r="I1064" s="41" t="str">
        <f>VLOOKUP(B1064,辅助信息!E:I,3,FALSE)</f>
        <v>(五冶钢构医学科学产业园建设项目房建三部-排洪渠)四川省南充市顺庆区搬罾街道学府大道二段</v>
      </c>
      <c r="J1064" s="41" t="str">
        <f>VLOOKUP(B1064,辅助信息!E:I,4,FALSE)</f>
        <v>郑林</v>
      </c>
      <c r="K1064" s="41">
        <f>VLOOKUP(J1064,辅助信息!H:I,2,FALSE)</f>
        <v>18349955455</v>
      </c>
      <c r="L1064" s="79"/>
      <c r="M1064" s="92">
        <v>45747</v>
      </c>
      <c r="O1064" s="63">
        <f ca="1" t="shared" si="38"/>
        <v>0</v>
      </c>
      <c r="P1064" s="63">
        <f ca="1" t="shared" si="37"/>
        <v>212</v>
      </c>
      <c r="Q1064" s="27" t="str">
        <f>VLOOKUP(B1064,辅助信息!E:M,9,FALSE)</f>
        <v>ZTWM-CDGS-XS-2024-0248-五冶钢构-南充市医学院项目</v>
      </c>
      <c r="R1064" s="27"/>
    </row>
    <row r="1065" hidden="1" spans="2:18">
      <c r="B1065" s="41" t="s">
        <v>89</v>
      </c>
      <c r="C1065" s="71">
        <v>45746</v>
      </c>
      <c r="D1065" s="41" t="str">
        <f>VLOOKUP(B1065,辅助信息!E:K,7,FALSE)</f>
        <v>JWDDCD2025051000019</v>
      </c>
      <c r="E1065" s="41" t="str">
        <f>VLOOKUP(F1065,辅助信息!A:B,2,FALSE)</f>
        <v>螺纹钢</v>
      </c>
      <c r="F1065" s="41" t="s">
        <v>91</v>
      </c>
      <c r="G1065" s="37">
        <v>275</v>
      </c>
      <c r="H1065" s="37">
        <f>_xlfn.XLOOKUP(C1065&amp;F1065&amp;I1065&amp;J1065,'[1]2025年已发货'!$F:$F&amp;'[1]2025年已发货'!$C:$C&amp;'[1]2025年已发货'!$G:$G&amp;'[1]2025年已发货'!$H:$H,'[1]2025年已发货'!$E:$E,"未发货")</f>
        <v>175</v>
      </c>
      <c r="I1065" s="41" t="str">
        <f>VLOOKUP(B1065,辅助信息!E:I,3,FALSE)</f>
        <v>(五冶钢构医学科学产业园建设项目房建三部-排洪渠)四川省南充市顺庆区搬罾街道学府大道二段</v>
      </c>
      <c r="J1065" s="41" t="str">
        <f>VLOOKUP(B1065,辅助信息!E:I,4,FALSE)</f>
        <v>郑林</v>
      </c>
      <c r="K1065" s="41">
        <f>VLOOKUP(J1065,辅助信息!H:I,2,FALSE)</f>
        <v>18349955455</v>
      </c>
      <c r="L1065" s="77"/>
      <c r="M1065" s="92">
        <v>45747</v>
      </c>
      <c r="O1065" s="63">
        <f ca="1" t="shared" si="38"/>
        <v>0</v>
      </c>
      <c r="P1065" s="63">
        <f ca="1" t="shared" si="37"/>
        <v>212</v>
      </c>
      <c r="Q1065" s="27" t="str">
        <f>VLOOKUP(B1065,辅助信息!E:M,9,FALSE)</f>
        <v>ZTWM-CDGS-XS-2024-0248-五冶钢构-南充市医学院项目</v>
      </c>
      <c r="R1065" s="27"/>
    </row>
    <row r="1066" hidden="1" spans="2:18">
      <c r="B1066" s="41" t="s">
        <v>127</v>
      </c>
      <c r="C1066" s="71">
        <v>45746</v>
      </c>
      <c r="D1066" s="41" t="str">
        <f>VLOOKUP(B1066,辅助信息!E:K,7,FALSE)</f>
        <v>JWDDCD2025051000019</v>
      </c>
      <c r="E1066" s="41" t="str">
        <f>VLOOKUP(F1066,辅助信息!A:B,2,FALSE)</f>
        <v>盘螺</v>
      </c>
      <c r="F1066" s="41" t="s">
        <v>49</v>
      </c>
      <c r="G1066" s="37">
        <v>4</v>
      </c>
      <c r="H1066" s="37">
        <f>_xlfn.XLOOKUP(C1066&amp;F1066&amp;I1066&amp;J1066,'[1]2025年已发货'!$F:$F&amp;'[1]2025年已发货'!$C:$C&amp;'[1]2025年已发货'!$G:$G&amp;'[1]2025年已发货'!$H:$H,'[1]2025年已发货'!$E:$E,"未发货")</f>
        <v>5</v>
      </c>
      <c r="I1066" s="41" t="str">
        <f>VLOOKUP(B1066,辅助信息!E:I,3,FALSE)</f>
        <v>(五冶钢构医学科学产业园建设项目房建三部-管网总坪)四川省南充市顺庆区搬罾街道学府大道二段</v>
      </c>
      <c r="J1066" s="41" t="str">
        <f>VLOOKUP(B1066,辅助信息!E:I,4,FALSE)</f>
        <v>郑林</v>
      </c>
      <c r="K1066" s="41">
        <f>VLOOKUP(J1066,辅助信息!H:I,2,FALSE)</f>
        <v>18349955455</v>
      </c>
      <c r="L1066" s="44"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212</v>
      </c>
      <c r="Q1066" s="27" t="str">
        <f>VLOOKUP(B1066,辅助信息!E:M,9,FALSE)</f>
        <v>ZTWM-CDGS-XS-2024-0248-五冶钢构-南充市医学院项目</v>
      </c>
      <c r="R1066" s="27"/>
    </row>
    <row r="1067" hidden="1" spans="2:18">
      <c r="B1067" s="41" t="s">
        <v>127</v>
      </c>
      <c r="C1067" s="71">
        <v>45746</v>
      </c>
      <c r="D1067" s="41" t="str">
        <f>VLOOKUP(B1067,辅助信息!E:K,7,FALSE)</f>
        <v>JWDDCD2025051000019</v>
      </c>
      <c r="E1067" s="41" t="str">
        <f>VLOOKUP(F1067,辅助信息!A:B,2,FALSE)</f>
        <v>螺纹钢</v>
      </c>
      <c r="F1067" s="41" t="s">
        <v>27</v>
      </c>
      <c r="G1067" s="37">
        <v>13</v>
      </c>
      <c r="H1067" s="37">
        <f>_xlfn.XLOOKUP(C1067&amp;F1067&amp;I1067&amp;J1067,'[1]2025年已发货'!$F:$F&amp;'[1]2025年已发货'!$C:$C&amp;'[1]2025年已发货'!$G:$G&amp;'[1]2025年已发货'!$H:$H,'[1]2025年已发货'!$E:$E,"未发货")</f>
        <v>12</v>
      </c>
      <c r="I1067" s="41" t="str">
        <f>VLOOKUP(B1067,辅助信息!E:I,3,FALSE)</f>
        <v>(五冶钢构医学科学产业园建设项目房建三部-管网总坪)四川省南充市顺庆区搬罾街道学府大道二段</v>
      </c>
      <c r="J1067" s="41" t="str">
        <f>VLOOKUP(B1067,辅助信息!E:I,4,FALSE)</f>
        <v>郑林</v>
      </c>
      <c r="K1067" s="41">
        <f>VLOOKUP(J1067,辅助信息!H:I,2,FALSE)</f>
        <v>18349955455</v>
      </c>
      <c r="L1067" s="79"/>
      <c r="M1067" s="92">
        <v>45747</v>
      </c>
      <c r="O1067" s="63">
        <f ca="1" t="shared" si="38"/>
        <v>0</v>
      </c>
      <c r="P1067" s="63">
        <f ca="1" t="shared" si="37"/>
        <v>212</v>
      </c>
      <c r="Q1067" s="27" t="str">
        <f>VLOOKUP(B1067,辅助信息!E:M,9,FALSE)</f>
        <v>ZTWM-CDGS-XS-2024-0248-五冶钢构-南充市医学院项目</v>
      </c>
      <c r="R1067" s="27"/>
    </row>
    <row r="1068" hidden="1" spans="2:18">
      <c r="B1068" s="41" t="s">
        <v>127</v>
      </c>
      <c r="C1068" s="71">
        <v>45746</v>
      </c>
      <c r="D1068" s="41" t="str">
        <f>VLOOKUP(B1068,辅助信息!E:K,7,FALSE)</f>
        <v>JWDDCD2025051000019</v>
      </c>
      <c r="E1068" s="41" t="str">
        <f>VLOOKUP(F1068,辅助信息!A:B,2,FALSE)</f>
        <v>螺纹钢</v>
      </c>
      <c r="F1068" s="41" t="s">
        <v>19</v>
      </c>
      <c r="G1068" s="37">
        <v>18</v>
      </c>
      <c r="H1068" s="37">
        <f>_xlfn.XLOOKUP(C1068&amp;F1068&amp;I1068&amp;J1068,'[1]2025年已发货'!$F:$F&amp;'[1]2025年已发货'!$C:$C&amp;'[1]2025年已发货'!$G:$G&amp;'[1]2025年已发货'!$H:$H,'[1]2025年已发货'!$E:$E,"未发货")</f>
        <v>18</v>
      </c>
      <c r="I1068" s="41" t="str">
        <f>VLOOKUP(B1068,辅助信息!E:I,3,FALSE)</f>
        <v>(五冶钢构医学科学产业园建设项目房建三部-管网总坪)四川省南充市顺庆区搬罾街道学府大道二段</v>
      </c>
      <c r="J1068" s="41" t="str">
        <f>VLOOKUP(B1068,辅助信息!E:I,4,FALSE)</f>
        <v>郑林</v>
      </c>
      <c r="K1068" s="41">
        <f>VLOOKUP(J1068,辅助信息!H:I,2,FALSE)</f>
        <v>18349955455</v>
      </c>
      <c r="L1068" s="77"/>
      <c r="M1068" s="92">
        <v>45747</v>
      </c>
      <c r="O1068" s="63">
        <f ca="1" t="shared" si="38"/>
        <v>0</v>
      </c>
      <c r="P1068" s="63">
        <f ca="1" t="shared" si="37"/>
        <v>212</v>
      </c>
      <c r="Q1068" s="27" t="str">
        <f>VLOOKUP(B1068,辅助信息!E:M,9,FALSE)</f>
        <v>ZTWM-CDGS-XS-2024-0248-五冶钢构-南充市医学院项目</v>
      </c>
      <c r="R1068" s="27"/>
    </row>
    <row r="1069" hidden="1" spans="2:18">
      <c r="B1069" s="41" t="s">
        <v>69</v>
      </c>
      <c r="C1069" s="71">
        <v>45766</v>
      </c>
      <c r="D1069" s="41" t="str">
        <f>VLOOKUP(B1069,辅助信息!E:K,7,FALSE)</f>
        <v>JWDDCD2025052800131</v>
      </c>
      <c r="E1069" s="41" t="str">
        <f>VLOOKUP(F1069,辅助信息!A:B,2,FALSE)</f>
        <v>螺纹钢</v>
      </c>
      <c r="F1069" s="41" t="s">
        <v>45</v>
      </c>
      <c r="G1069" s="37">
        <v>3</v>
      </c>
      <c r="H1069" s="37">
        <f>_xlfn.XLOOKUP(C1069&amp;F1069&amp;I1069&amp;J1069,'[1]2025年已发货'!$F:$F&amp;'[1]2025年已发货'!$C:$C&amp;'[1]2025年已发货'!$G:$G&amp;'[1]2025年已发货'!$H:$H,'[1]2025年已发货'!$E:$E,"未发货")</f>
        <v>3</v>
      </c>
      <c r="I1069" s="41" t="str">
        <f>VLOOKUP(B1069,辅助信息!E:I,3,FALSE)</f>
        <v>（商投建工达州中医药科技园-4工区-2号楼）达州市通川区达州中医药职业学院犀牛大道北段</v>
      </c>
      <c r="J1069" s="41" t="str">
        <f>VLOOKUP(B1069,辅助信息!E:I,4,FALSE)</f>
        <v>张扬</v>
      </c>
      <c r="K1069" s="41">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191</v>
      </c>
      <c r="Q1069" s="27" t="str">
        <f>VLOOKUP(B1069,辅助信息!E:M,9,FALSE)</f>
        <v>ZTWM-CDGS-XS-2024-0134-商投建工达州中医药科技成果示范园项目</v>
      </c>
      <c r="R1069" s="27" t="str">
        <f>_xlfn._xlws.FILTER(辅助信息!D:D,辅助信息!E:E=B1069)</f>
        <v>商投建工达州中医药科技园</v>
      </c>
    </row>
    <row r="1070" hidden="1" spans="2:18">
      <c r="B1070" s="41" t="s">
        <v>69</v>
      </c>
      <c r="C1070" s="71">
        <v>45766</v>
      </c>
      <c r="D1070" s="41" t="str">
        <f>VLOOKUP(B1070,辅助信息!E:K,7,FALSE)</f>
        <v>JWDDCD2025052800131</v>
      </c>
      <c r="E1070" s="41" t="str">
        <f>VLOOKUP(F1070,辅助信息!A:B,2,FALSE)</f>
        <v>螺纹钢</v>
      </c>
      <c r="F1070" s="41" t="s">
        <v>21</v>
      </c>
      <c r="G1070" s="37">
        <v>12</v>
      </c>
      <c r="H1070" s="37">
        <f>_xlfn.XLOOKUP(C1070&amp;F1070&amp;I1070&amp;J1070,'[1]2025年已发货'!$F:$F&amp;'[1]2025年已发货'!$C:$C&amp;'[1]2025年已发货'!$G:$G&amp;'[1]2025年已发货'!$H:$H,'[1]2025年已发货'!$E:$E,"未发货")</f>
        <v>12</v>
      </c>
      <c r="I1070" s="41" t="str">
        <f>VLOOKUP(B1070,辅助信息!E:I,3,FALSE)</f>
        <v>（商投建工达州中医药科技园-4工区-2号楼）达州市通川区达州中医药职业学院犀牛大道北段</v>
      </c>
      <c r="J1070" s="41" t="str">
        <f>VLOOKUP(B1070,辅助信息!E:I,4,FALSE)</f>
        <v>张扬</v>
      </c>
      <c r="K1070" s="41">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191</v>
      </c>
      <c r="Q1070" s="27" t="str">
        <f>VLOOKUP(B1070,辅助信息!E:M,9,FALSE)</f>
        <v>ZTWM-CDGS-XS-2024-0134-商投建工达州中医药科技成果示范园项目</v>
      </c>
      <c r="R1070" s="27" t="str">
        <f>_xlfn._xlws.FILTER(辅助信息!D:D,辅助信息!E:E=B1070)</f>
        <v>商投建工达州中医药科技园</v>
      </c>
    </row>
    <row r="1071" hidden="1" spans="2:18">
      <c r="B1071" s="41" t="s">
        <v>69</v>
      </c>
      <c r="C1071" s="71">
        <v>45766</v>
      </c>
      <c r="D1071" s="41" t="str">
        <f>VLOOKUP(B1071,辅助信息!E:K,7,FALSE)</f>
        <v>JWDDCD2025052800131</v>
      </c>
      <c r="E1071" s="41" t="str">
        <f>VLOOKUP(F1071,辅助信息!A:B,2,FALSE)</f>
        <v>螺纹钢</v>
      </c>
      <c r="F1071" s="41" t="s">
        <v>58</v>
      </c>
      <c r="G1071" s="37">
        <v>9</v>
      </c>
      <c r="H1071" s="37">
        <f>_xlfn.XLOOKUP(C1071&amp;F1071&amp;I1071&amp;J1071,'[1]2025年已发货'!$F:$F&amp;'[1]2025年已发货'!$C:$C&amp;'[1]2025年已发货'!$G:$G&amp;'[1]2025年已发货'!$H:$H,'[1]2025年已发货'!$E:$E,"未发货")</f>
        <v>9</v>
      </c>
      <c r="I1071" s="41" t="str">
        <f>VLOOKUP(B1071,辅助信息!E:I,3,FALSE)</f>
        <v>（商投建工达州中医药科技园-4工区-2号楼）达州市通川区达州中医药职业学院犀牛大道北段</v>
      </c>
      <c r="J1071" s="41" t="str">
        <f>VLOOKUP(B1071,辅助信息!E:I,4,FALSE)</f>
        <v>张扬</v>
      </c>
      <c r="K1071" s="41">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191</v>
      </c>
      <c r="Q1071" s="27" t="str">
        <f>VLOOKUP(B1071,辅助信息!E:M,9,FALSE)</f>
        <v>ZTWM-CDGS-XS-2024-0134-商投建工达州中医药科技成果示范园项目</v>
      </c>
      <c r="R1071" s="27" t="str">
        <f>_xlfn._xlws.FILTER(辅助信息!D:D,辅助信息!E:E=B1071)</f>
        <v>商投建工达州中医药科技园</v>
      </c>
    </row>
    <row r="1072" hidden="1" spans="2:18">
      <c r="B1072" s="41" t="s">
        <v>69</v>
      </c>
      <c r="C1072" s="71">
        <v>45766</v>
      </c>
      <c r="D1072" s="41" t="str">
        <f>VLOOKUP(B1072,辅助信息!E:K,7,FALSE)</f>
        <v>JWDDCD2025052800131</v>
      </c>
      <c r="E1072" s="41" t="str">
        <f>VLOOKUP(F1072,辅助信息!A:B,2,FALSE)</f>
        <v>螺纹钢</v>
      </c>
      <c r="F1072" s="41" t="s">
        <v>46</v>
      </c>
      <c r="G1072" s="37">
        <v>9</v>
      </c>
      <c r="H1072" s="37">
        <f>_xlfn.XLOOKUP(C1072&amp;F1072&amp;I1072&amp;J1072,'[1]2025年已发货'!$F:$F&amp;'[1]2025年已发货'!$C:$C&amp;'[1]2025年已发货'!$G:$G&amp;'[1]2025年已发货'!$H:$H,'[1]2025年已发货'!$E:$E,"未发货")</f>
        <v>9</v>
      </c>
      <c r="I1072" s="41" t="str">
        <f>VLOOKUP(B1072,辅助信息!E:I,3,FALSE)</f>
        <v>（商投建工达州中医药科技园-4工区-2号楼）达州市通川区达州中医药职业学院犀牛大道北段</v>
      </c>
      <c r="J1072" s="41" t="str">
        <f>VLOOKUP(B1072,辅助信息!E:I,4,FALSE)</f>
        <v>张扬</v>
      </c>
      <c r="K1072" s="41">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191</v>
      </c>
      <c r="Q1072" s="27" t="str">
        <f>VLOOKUP(B1072,辅助信息!E:M,9,FALSE)</f>
        <v>ZTWM-CDGS-XS-2024-0134-商投建工达州中医药科技成果示范园项目</v>
      </c>
      <c r="R1072" s="27" t="str">
        <f>_xlfn._xlws.FILTER(辅助信息!D:D,辅助信息!E:E=B1072)</f>
        <v>商投建工达州中医药科技园</v>
      </c>
    </row>
    <row r="1073" hidden="1" spans="1:18">
      <c r="A1073" s="63">
        <f>G1073-H1073</f>
        <v>0</v>
      </c>
      <c r="B1073" s="41" t="s">
        <v>128</v>
      </c>
      <c r="C1073" s="71">
        <v>45767</v>
      </c>
      <c r="D1073" s="41" t="e">
        <f>VLOOKUP(B1073,辅助信息!E:K,7,FALSE)</f>
        <v>#N/A</v>
      </c>
      <c r="E1073" s="41" t="str">
        <f>VLOOKUP(F1073,辅助信息!A:B,2,FALSE)</f>
        <v>盘螺</v>
      </c>
      <c r="F1073" s="41" t="s">
        <v>41</v>
      </c>
      <c r="G1073" s="37">
        <v>5</v>
      </c>
      <c r="H1073" s="37">
        <v>5</v>
      </c>
      <c r="I1073" s="41" t="e">
        <f>VLOOKUP(B1073,辅助信息!E:I,3,FALSE)</f>
        <v>#N/A</v>
      </c>
      <c r="J1073" s="41" t="e">
        <f>VLOOKUP(B1073,辅助信息!E:I,4,FALSE)</f>
        <v>#N/A</v>
      </c>
      <c r="K1073" s="41" t="e">
        <f>VLOOKUP(J1073,辅助信息!H:I,2,FALSE)</f>
        <v>#N/A</v>
      </c>
      <c r="L1073" s="108" t="e">
        <f>VLOOKUP(B1073,辅助信息!E:J,6,FALSE)</f>
        <v>#N/A</v>
      </c>
      <c r="M1073" s="92">
        <v>45768</v>
      </c>
      <c r="O1073" s="63">
        <f ca="1" t="shared" si="38"/>
        <v>0</v>
      </c>
      <c r="P1073" s="63">
        <f ca="1" t="shared" si="37"/>
        <v>191</v>
      </c>
      <c r="Q1073" s="27" t="e">
        <f>VLOOKUP(B1073,辅助信息!E:M,9,FALSE)</f>
        <v>#N/A</v>
      </c>
      <c r="R1073" s="27" vm="1" t="e">
        <f>_xlfn._xlws.FILTER(辅助信息!D:D,辅助信息!E:E=B1073)</f>
        <v>#VALUE!</v>
      </c>
    </row>
    <row r="1074" hidden="1" spans="1:18">
      <c r="A1074" s="63">
        <f>G1074-H1074</f>
        <v>0</v>
      </c>
      <c r="B1074" s="41" t="s">
        <v>128</v>
      </c>
      <c r="C1074" s="71">
        <v>45767</v>
      </c>
      <c r="D1074" s="41" t="e">
        <f>VLOOKUP(B1074,辅助信息!E:K,7,FALSE)</f>
        <v>#N/A</v>
      </c>
      <c r="E1074" s="41" t="str">
        <f>VLOOKUP(F1074,辅助信息!A:B,2,FALSE)</f>
        <v>螺纹钢</v>
      </c>
      <c r="F1074" s="41" t="s">
        <v>30</v>
      </c>
      <c r="G1074" s="37">
        <v>30</v>
      </c>
      <c r="H1074" s="37">
        <v>30</v>
      </c>
      <c r="I1074" s="41" t="e">
        <f>VLOOKUP(B1074,辅助信息!E:I,3,FALSE)</f>
        <v>#N/A</v>
      </c>
      <c r="J1074" s="41" t="e">
        <f>VLOOKUP(B1074,辅助信息!E:I,4,FALSE)</f>
        <v>#N/A</v>
      </c>
      <c r="K1074" s="41" t="e">
        <f>VLOOKUP(J1074,辅助信息!H:I,2,FALSE)</f>
        <v>#N/A</v>
      </c>
      <c r="L1074" s="108" t="e">
        <f>VLOOKUP(B1074,辅助信息!E:J,6,FALSE)</f>
        <v>#N/A</v>
      </c>
      <c r="M1074" s="92">
        <v>45768</v>
      </c>
      <c r="O1074" s="63">
        <f ca="1" t="shared" si="38"/>
        <v>0</v>
      </c>
      <c r="P1074" s="63">
        <f ca="1" t="shared" si="37"/>
        <v>191</v>
      </c>
      <c r="Q1074" s="27" t="e">
        <f>VLOOKUP(B1074,辅助信息!E:M,9,FALSE)</f>
        <v>#N/A</v>
      </c>
      <c r="R1074" s="27" vm="1" t="e">
        <f>_xlfn._xlws.FILTER(辅助信息!D:D,辅助信息!E:E=B1074)</f>
        <v>#VALUE!</v>
      </c>
    </row>
    <row r="1075" hidden="1" spans="2:18">
      <c r="B1075" s="41" t="s">
        <v>64</v>
      </c>
      <c r="C1075" s="71">
        <v>45767</v>
      </c>
      <c r="D1075" s="41" t="e">
        <f>VLOOKUP(B1075,辅助信息!E:K,7,FALSE)</f>
        <v>#N/A</v>
      </c>
      <c r="E1075" s="41" t="str">
        <f>VLOOKUP(F1075,辅助信息!A:B,2,FALSE)</f>
        <v>螺纹钢</v>
      </c>
      <c r="F1075" s="41" t="s">
        <v>19</v>
      </c>
      <c r="G1075" s="37">
        <v>15</v>
      </c>
      <c r="H1075" s="37" t="e">
        <f>_xlfn.XLOOKUP(C1075&amp;F1075&amp;I1075&amp;J1075,'[1]2025年已发货'!$F:$F&amp;'[1]2025年已发货'!$C:$C&amp;'[1]2025年已发货'!$G:$G&amp;'[1]2025年已发货'!$H:$H,'[1]2025年已发货'!$E:$E,"未发货")</f>
        <v>#N/A</v>
      </c>
      <c r="I1075" s="41" t="e">
        <f>VLOOKUP(B1075,辅助信息!E:I,3,FALSE)</f>
        <v>#N/A</v>
      </c>
      <c r="J1075" s="41" t="e">
        <f>VLOOKUP(B1075,辅助信息!E:I,4,FALSE)</f>
        <v>#N/A</v>
      </c>
      <c r="K1075" s="41" t="e">
        <f>VLOOKUP(J1075,辅助信息!H:I,2,FALSE)</f>
        <v>#N/A</v>
      </c>
      <c r="L1075" s="108" t="e">
        <f>VLOOKUP(B1075,辅助信息!E:J,6,FALSE)</f>
        <v>#N/A</v>
      </c>
      <c r="M1075" s="92">
        <v>45768</v>
      </c>
      <c r="O1075" s="63">
        <f ca="1" t="shared" si="38"/>
        <v>0</v>
      </c>
      <c r="P1075" s="63">
        <f ca="1" t="shared" si="37"/>
        <v>191</v>
      </c>
      <c r="Q1075" s="27" t="e">
        <f>VLOOKUP(B1075,辅助信息!E:M,9,FALSE)</f>
        <v>#N/A</v>
      </c>
      <c r="R1075" s="27" vm="1" t="e">
        <f>_xlfn._xlws.FILTER(辅助信息!D:D,辅助信息!E:E=B1075)</f>
        <v>#VALUE!</v>
      </c>
    </row>
    <row r="1076" hidden="1" spans="2:18">
      <c r="B1076" s="41" t="s">
        <v>64</v>
      </c>
      <c r="C1076" s="71">
        <v>45767</v>
      </c>
      <c r="D1076" s="41" t="e">
        <f>VLOOKUP(B1076,辅助信息!E:K,7,FALSE)</f>
        <v>#N/A</v>
      </c>
      <c r="E1076" s="41" t="str">
        <f>VLOOKUP(F1076,辅助信息!A:B,2,FALSE)</f>
        <v>螺纹钢</v>
      </c>
      <c r="F1076" s="41" t="s">
        <v>32</v>
      </c>
      <c r="G1076" s="37">
        <v>6</v>
      </c>
      <c r="H1076" s="37" t="e">
        <f>_xlfn.XLOOKUP(C1076&amp;F1076&amp;I1076&amp;J1076,'[1]2025年已发货'!$F:$F&amp;'[1]2025年已发货'!$C:$C&amp;'[1]2025年已发货'!$G:$G&amp;'[1]2025年已发货'!$H:$H,'[1]2025年已发货'!$E:$E,"未发货")</f>
        <v>#N/A</v>
      </c>
      <c r="I1076" s="41" t="e">
        <f>VLOOKUP(B1076,辅助信息!E:I,3,FALSE)</f>
        <v>#N/A</v>
      </c>
      <c r="J1076" s="41" t="e">
        <f>VLOOKUP(B1076,辅助信息!E:I,4,FALSE)</f>
        <v>#N/A</v>
      </c>
      <c r="K1076" s="41" t="e">
        <f>VLOOKUP(J1076,辅助信息!H:I,2,FALSE)</f>
        <v>#N/A</v>
      </c>
      <c r="L1076" s="108" t="e">
        <f>VLOOKUP(B1076,辅助信息!E:J,6,FALSE)</f>
        <v>#N/A</v>
      </c>
      <c r="M1076" s="92">
        <v>45768</v>
      </c>
      <c r="O1076" s="63">
        <f ca="1" t="shared" si="38"/>
        <v>0</v>
      </c>
      <c r="P1076" s="63">
        <f ca="1" t="shared" ref="P1076:P1139" si="39">IF(M1076="","",IF(N1076&lt;&gt;"",MAX(N1076-M1076,0),IF(TODAY()&gt;M1076,TODAY()-M1076,0)))</f>
        <v>191</v>
      </c>
      <c r="Q1076" s="27" t="e">
        <f>VLOOKUP(B1076,辅助信息!E:M,9,FALSE)</f>
        <v>#N/A</v>
      </c>
      <c r="R1076" s="27" vm="1" t="e">
        <f>_xlfn._xlws.FILTER(辅助信息!D:D,辅助信息!E:E=B1076)</f>
        <v>#VALUE!</v>
      </c>
    </row>
    <row r="1077" hidden="1" spans="2:18">
      <c r="B1077" s="41" t="s">
        <v>64</v>
      </c>
      <c r="C1077" s="71">
        <v>45767</v>
      </c>
      <c r="D1077" s="41" t="e">
        <f>VLOOKUP(B1077,辅助信息!E:K,7,FALSE)</f>
        <v>#N/A</v>
      </c>
      <c r="E1077" s="41" t="str">
        <f>VLOOKUP(F1077,辅助信息!A:B,2,FALSE)</f>
        <v>螺纹钢</v>
      </c>
      <c r="F1077" s="41" t="s">
        <v>28</v>
      </c>
      <c r="G1077" s="37">
        <v>6</v>
      </c>
      <c r="H1077" s="37" t="e">
        <f>_xlfn.XLOOKUP(C1077&amp;F1077&amp;I1077&amp;J1077,'[1]2025年已发货'!$F:$F&amp;'[1]2025年已发货'!$C:$C&amp;'[1]2025年已发货'!$G:$G&amp;'[1]2025年已发货'!$H:$H,'[1]2025年已发货'!$E:$E,"未发货")</f>
        <v>#N/A</v>
      </c>
      <c r="I1077" s="41" t="e">
        <f>VLOOKUP(B1077,辅助信息!E:I,3,FALSE)</f>
        <v>#N/A</v>
      </c>
      <c r="J1077" s="41" t="e">
        <f>VLOOKUP(B1077,辅助信息!E:I,4,FALSE)</f>
        <v>#N/A</v>
      </c>
      <c r="K1077" s="41" t="e">
        <f>VLOOKUP(J1077,辅助信息!H:I,2,FALSE)</f>
        <v>#N/A</v>
      </c>
      <c r="L1077" s="108" t="e">
        <f>VLOOKUP(B1077,辅助信息!E:J,6,FALSE)</f>
        <v>#N/A</v>
      </c>
      <c r="M1077" s="92">
        <v>45768</v>
      </c>
      <c r="O1077" s="63">
        <f ca="1" t="shared" si="38"/>
        <v>0</v>
      </c>
      <c r="P1077" s="63">
        <f ca="1" t="shared" si="39"/>
        <v>191</v>
      </c>
      <c r="Q1077" s="27" t="e">
        <f>VLOOKUP(B1077,辅助信息!E:M,9,FALSE)</f>
        <v>#N/A</v>
      </c>
      <c r="R1077" s="27" vm="1" t="e">
        <f>_xlfn._xlws.FILTER(辅助信息!D:D,辅助信息!E:E=B1077)</f>
        <v>#VALUE!</v>
      </c>
    </row>
    <row r="1078" hidden="1" spans="2:18">
      <c r="B1078" s="41" t="s">
        <v>64</v>
      </c>
      <c r="C1078" s="71">
        <v>45767</v>
      </c>
      <c r="D1078" s="41" t="e">
        <f>VLOOKUP(B1078,辅助信息!E:K,7,FALSE)</f>
        <v>#N/A</v>
      </c>
      <c r="E1078" s="41" t="str">
        <f>VLOOKUP(F1078,辅助信息!A:B,2,FALSE)</f>
        <v>螺纹钢</v>
      </c>
      <c r="F1078" s="41" t="s">
        <v>65</v>
      </c>
      <c r="G1078" s="37">
        <v>21</v>
      </c>
      <c r="H1078" s="37" t="e">
        <f>_xlfn.XLOOKUP(C1078&amp;F1078&amp;I1078&amp;J1078,'[1]2025年已发货'!$F:$F&amp;'[1]2025年已发货'!$C:$C&amp;'[1]2025年已发货'!$G:$G&amp;'[1]2025年已发货'!$H:$H,'[1]2025年已发货'!$E:$E,"未发货")</f>
        <v>#N/A</v>
      </c>
      <c r="I1078" s="41" t="e">
        <f>VLOOKUP(B1078,辅助信息!E:I,3,FALSE)</f>
        <v>#N/A</v>
      </c>
      <c r="J1078" s="41" t="e">
        <f>VLOOKUP(B1078,辅助信息!E:I,4,FALSE)</f>
        <v>#N/A</v>
      </c>
      <c r="K1078" s="41" t="e">
        <f>VLOOKUP(J1078,辅助信息!H:I,2,FALSE)</f>
        <v>#N/A</v>
      </c>
      <c r="L1078" s="108" t="e">
        <f>VLOOKUP(B1078,辅助信息!E:J,6,FALSE)</f>
        <v>#N/A</v>
      </c>
      <c r="M1078" s="92">
        <v>45768</v>
      </c>
      <c r="O1078" s="63">
        <f ca="1" t="shared" si="38"/>
        <v>0</v>
      </c>
      <c r="P1078" s="63">
        <f ca="1" t="shared" si="39"/>
        <v>191</v>
      </c>
      <c r="Q1078" s="27" t="e">
        <f>VLOOKUP(B1078,辅助信息!E:M,9,FALSE)</f>
        <v>#N/A</v>
      </c>
      <c r="R1078" s="27" vm="1" t="e">
        <f>_xlfn._xlws.FILTER(辅助信息!D:D,辅助信息!E:E=B1078)</f>
        <v>#VALUE!</v>
      </c>
    </row>
    <row r="1079" hidden="1" spans="2:18">
      <c r="B1079" s="41" t="s">
        <v>64</v>
      </c>
      <c r="C1079" s="71">
        <v>45767</v>
      </c>
      <c r="D1079" s="41" t="e">
        <f>VLOOKUP(B1079,辅助信息!E:K,7,FALSE)</f>
        <v>#N/A</v>
      </c>
      <c r="E1079" s="41" t="str">
        <f>VLOOKUP(F1079,辅助信息!A:B,2,FALSE)</f>
        <v>螺纹钢</v>
      </c>
      <c r="F1079" s="41" t="s">
        <v>52</v>
      </c>
      <c r="G1079" s="37">
        <v>27</v>
      </c>
      <c r="H1079" s="37" t="e">
        <f>_xlfn.XLOOKUP(C1079&amp;F1079&amp;I1079&amp;J1079,'[1]2025年已发货'!$F:$F&amp;'[1]2025年已发货'!$C:$C&amp;'[1]2025年已发货'!$G:$G&amp;'[1]2025年已发货'!$H:$H,'[1]2025年已发货'!$E:$E,"未发货")</f>
        <v>#N/A</v>
      </c>
      <c r="I1079" s="41" t="e">
        <f>VLOOKUP(B1079,辅助信息!E:I,3,FALSE)</f>
        <v>#N/A</v>
      </c>
      <c r="J1079" s="41" t="e">
        <f>VLOOKUP(B1079,辅助信息!E:I,4,FALSE)</f>
        <v>#N/A</v>
      </c>
      <c r="K1079" s="41" t="e">
        <f>VLOOKUP(J1079,辅助信息!H:I,2,FALSE)</f>
        <v>#N/A</v>
      </c>
      <c r="L1079" s="108" t="e">
        <f>VLOOKUP(B1079,辅助信息!E:J,6,FALSE)</f>
        <v>#N/A</v>
      </c>
      <c r="M1079" s="92">
        <v>45768</v>
      </c>
      <c r="O1079" s="63">
        <f ca="1" t="shared" si="38"/>
        <v>0</v>
      </c>
      <c r="P1079" s="63">
        <f ca="1" t="shared" si="39"/>
        <v>191</v>
      </c>
      <c r="Q1079" s="27" t="e">
        <f>VLOOKUP(B1079,辅助信息!E:M,9,FALSE)</f>
        <v>#N/A</v>
      </c>
      <c r="R1079" s="27" vm="1" t="e">
        <f>_xlfn._xlws.FILTER(辅助信息!D:D,辅助信息!E:E=B1079)</f>
        <v>#VALUE!</v>
      </c>
    </row>
    <row r="1080" hidden="1" spans="2:18">
      <c r="B1080" s="41" t="s">
        <v>47</v>
      </c>
      <c r="C1080" s="71">
        <v>45767</v>
      </c>
      <c r="D1080" s="41" t="str">
        <f>VLOOKUP(B1080,辅助信息!E:K,7,FALSE)</f>
        <v>JWDDCD2025052800131</v>
      </c>
      <c r="E1080" s="41" t="str">
        <f>VLOOKUP(F1080,辅助信息!A:B,2,FALSE)</f>
        <v>盘螺</v>
      </c>
      <c r="F1080" s="41" t="s">
        <v>49</v>
      </c>
      <c r="G1080" s="37">
        <v>2</v>
      </c>
      <c r="H1080" s="37" t="str">
        <f>_xlfn.XLOOKUP(C1080&amp;F1080&amp;I1080&amp;J1080,'[1]2025年已发货'!$F:$F&amp;'[1]2025年已发货'!$C:$C&amp;'[1]2025年已发货'!$G:$G&amp;'[1]2025年已发货'!$H:$H,'[1]2025年已发货'!$E:$E,"未发货")</f>
        <v>未发货</v>
      </c>
      <c r="I1080" s="41" t="str">
        <f>VLOOKUP(B1080,辅助信息!E:I,3,FALSE)</f>
        <v>（商投建工达州中医药科技园-1工区）达州市通川区达州中医药职业学院犀牛大道北段</v>
      </c>
      <c r="J1080" s="41" t="str">
        <f>VLOOKUP(B1080,辅助信息!E:I,4,FALSE)</f>
        <v>程黄刚</v>
      </c>
      <c r="K1080" s="41">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190</v>
      </c>
      <c r="Q1080" s="27" t="str">
        <f>VLOOKUP(B1080,辅助信息!E:M,9,FALSE)</f>
        <v>ZTWM-CDGS-XS-2024-0134-商投建工达州中医药科技成果示范园项目</v>
      </c>
      <c r="R1080" s="27" t="str">
        <f>_xlfn._xlws.FILTER(辅助信息!D:D,辅助信息!E:E=B1080)</f>
        <v>商投建工达州中医药科技园</v>
      </c>
    </row>
    <row r="1081" hidden="1" spans="2:18">
      <c r="B1081" s="41" t="s">
        <v>47</v>
      </c>
      <c r="C1081" s="71">
        <v>45767</v>
      </c>
      <c r="D1081" s="41" t="str">
        <f>VLOOKUP(B1081,辅助信息!E:K,7,FALSE)</f>
        <v>JWDDCD2025052800131</v>
      </c>
      <c r="E1081" s="41" t="str">
        <f>VLOOKUP(F1081,辅助信息!A:B,2,FALSE)</f>
        <v>盘螺</v>
      </c>
      <c r="F1081" s="41" t="s">
        <v>40</v>
      </c>
      <c r="G1081" s="37">
        <v>8</v>
      </c>
      <c r="H1081" s="37" t="str">
        <f>_xlfn.XLOOKUP(C1081&amp;F1081&amp;I1081&amp;J1081,'[1]2025年已发货'!$F:$F&amp;'[1]2025年已发货'!$C:$C&amp;'[1]2025年已发货'!$G:$G&amp;'[1]2025年已发货'!$H:$H,'[1]2025年已发货'!$E:$E,"未发货")</f>
        <v>未发货</v>
      </c>
      <c r="I1081" s="41" t="str">
        <f>VLOOKUP(B1081,辅助信息!E:I,3,FALSE)</f>
        <v>（商投建工达州中医药科技园-1工区）达州市通川区达州中医药职业学院犀牛大道北段</v>
      </c>
      <c r="J1081" s="41" t="str">
        <f>VLOOKUP(B1081,辅助信息!E:I,4,FALSE)</f>
        <v>程黄刚</v>
      </c>
      <c r="K1081" s="41">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190</v>
      </c>
      <c r="Q1081" s="27" t="str">
        <f>VLOOKUP(B1081,辅助信息!E:M,9,FALSE)</f>
        <v>ZTWM-CDGS-XS-2024-0134-商投建工达州中医药科技成果示范园项目</v>
      </c>
      <c r="R1081" s="27" t="str">
        <f>_xlfn._xlws.FILTER(辅助信息!D:D,辅助信息!E:E=B1081)</f>
        <v>商投建工达州中医药科技园</v>
      </c>
    </row>
    <row r="1082" hidden="1" spans="2:18">
      <c r="B1082" s="41" t="s">
        <v>47</v>
      </c>
      <c r="C1082" s="71">
        <v>45767</v>
      </c>
      <c r="D1082" s="41" t="str">
        <f>VLOOKUP(B1082,辅助信息!E:K,7,FALSE)</f>
        <v>JWDDCD2025052800131</v>
      </c>
      <c r="E1082" s="41" t="str">
        <f>VLOOKUP(F1082,辅助信息!A:B,2,FALSE)</f>
        <v>盘螺</v>
      </c>
      <c r="F1082" s="41" t="s">
        <v>41</v>
      </c>
      <c r="G1082" s="37">
        <v>8</v>
      </c>
      <c r="H1082" s="37" t="str">
        <f>_xlfn.XLOOKUP(C1082&amp;F1082&amp;I1082&amp;J1082,'[1]2025年已发货'!$F:$F&amp;'[1]2025年已发货'!$C:$C&amp;'[1]2025年已发货'!$G:$G&amp;'[1]2025年已发货'!$H:$H,'[1]2025年已发货'!$E:$E,"未发货")</f>
        <v>未发货</v>
      </c>
      <c r="I1082" s="41" t="str">
        <f>VLOOKUP(B1082,辅助信息!E:I,3,FALSE)</f>
        <v>（商投建工达州中医药科技园-1工区）达州市通川区达州中医药职业学院犀牛大道北段</v>
      </c>
      <c r="J1082" s="41" t="str">
        <f>VLOOKUP(B1082,辅助信息!E:I,4,FALSE)</f>
        <v>程黄刚</v>
      </c>
      <c r="K1082" s="41">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190</v>
      </c>
      <c r="Q1082" s="27" t="str">
        <f>VLOOKUP(B1082,辅助信息!E:M,9,FALSE)</f>
        <v>ZTWM-CDGS-XS-2024-0134-商投建工达州中医药科技成果示范园项目</v>
      </c>
      <c r="R1082" s="27" t="str">
        <f>_xlfn._xlws.FILTER(辅助信息!D:D,辅助信息!E:E=B1082)</f>
        <v>商投建工达州中医药科技园</v>
      </c>
    </row>
    <row r="1083" hidden="1" spans="2:18">
      <c r="B1083" s="41" t="s">
        <v>47</v>
      </c>
      <c r="C1083" s="71">
        <v>45767</v>
      </c>
      <c r="D1083" s="41" t="str">
        <f>VLOOKUP(B1083,辅助信息!E:K,7,FALSE)</f>
        <v>JWDDCD2025052800131</v>
      </c>
      <c r="E1083" s="41" t="str">
        <f>VLOOKUP(F1083,辅助信息!A:B,2,FALSE)</f>
        <v>螺纹钢</v>
      </c>
      <c r="F1083" s="41" t="s">
        <v>27</v>
      </c>
      <c r="G1083" s="37">
        <v>6</v>
      </c>
      <c r="H1083" s="37" t="str">
        <f>_xlfn.XLOOKUP(C1083&amp;F1083&amp;I1083&amp;J1083,'[1]2025年已发货'!$F:$F&amp;'[1]2025年已发货'!$C:$C&amp;'[1]2025年已发货'!$G:$G&amp;'[1]2025年已发货'!$H:$H,'[1]2025年已发货'!$E:$E,"未发货")</f>
        <v>未发货</v>
      </c>
      <c r="I1083" s="41" t="str">
        <f>VLOOKUP(B1083,辅助信息!E:I,3,FALSE)</f>
        <v>（商投建工达州中医药科技园-1工区）达州市通川区达州中医药职业学院犀牛大道北段</v>
      </c>
      <c r="J1083" s="41" t="str">
        <f>VLOOKUP(B1083,辅助信息!E:I,4,FALSE)</f>
        <v>程黄刚</v>
      </c>
      <c r="K1083" s="41">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190</v>
      </c>
      <c r="Q1083" s="27" t="str">
        <f>VLOOKUP(B1083,辅助信息!E:M,9,FALSE)</f>
        <v>ZTWM-CDGS-XS-2024-0134-商投建工达州中医药科技成果示范园项目</v>
      </c>
      <c r="R1083" s="27" t="str">
        <f>_xlfn._xlws.FILTER(辅助信息!D:D,辅助信息!E:E=B1083)</f>
        <v>商投建工达州中医药科技园</v>
      </c>
    </row>
    <row r="1084" hidden="1" spans="2:18">
      <c r="B1084" s="41" t="s">
        <v>47</v>
      </c>
      <c r="C1084" s="71">
        <v>45767</v>
      </c>
      <c r="D1084" s="41" t="str">
        <f>VLOOKUP(B1084,辅助信息!E:K,7,FALSE)</f>
        <v>JWDDCD2025052800131</v>
      </c>
      <c r="E1084" s="41" t="str">
        <f>VLOOKUP(F1084,辅助信息!A:B,2,FALSE)</f>
        <v>螺纹钢</v>
      </c>
      <c r="F1084" s="41" t="s">
        <v>19</v>
      </c>
      <c r="G1084" s="37">
        <v>3</v>
      </c>
      <c r="H1084" s="37" t="str">
        <f>_xlfn.XLOOKUP(C1084&amp;F1084&amp;I1084&amp;J1084,'[1]2025年已发货'!$F:$F&amp;'[1]2025年已发货'!$C:$C&amp;'[1]2025年已发货'!$G:$G&amp;'[1]2025年已发货'!$H:$H,'[1]2025年已发货'!$E:$E,"未发货")</f>
        <v>未发货</v>
      </c>
      <c r="I1084" s="41" t="str">
        <f>VLOOKUP(B1084,辅助信息!E:I,3,FALSE)</f>
        <v>（商投建工达州中医药科技园-1工区）达州市通川区达州中医药职业学院犀牛大道北段</v>
      </c>
      <c r="J1084" s="41" t="str">
        <f>VLOOKUP(B1084,辅助信息!E:I,4,FALSE)</f>
        <v>程黄刚</v>
      </c>
      <c r="K1084" s="41">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190</v>
      </c>
      <c r="Q1084" s="27" t="str">
        <f>VLOOKUP(B1084,辅助信息!E:M,9,FALSE)</f>
        <v>ZTWM-CDGS-XS-2024-0134-商投建工达州中医药科技成果示范园项目</v>
      </c>
      <c r="R1084" s="27" t="str">
        <f>_xlfn._xlws.FILTER(辅助信息!D:D,辅助信息!E:E=B1084)</f>
        <v>商投建工达州中医药科技园</v>
      </c>
    </row>
    <row r="1085" hidden="1" spans="2:18">
      <c r="B1085" s="41" t="s">
        <v>47</v>
      </c>
      <c r="C1085" s="71">
        <v>45767</v>
      </c>
      <c r="D1085" s="41" t="str">
        <f>VLOOKUP(B1085,辅助信息!E:K,7,FALSE)</f>
        <v>JWDDCD2025052800131</v>
      </c>
      <c r="E1085" s="41" t="str">
        <f>VLOOKUP(F1085,辅助信息!A:B,2,FALSE)</f>
        <v>螺纹钢</v>
      </c>
      <c r="F1085" s="41" t="s">
        <v>32</v>
      </c>
      <c r="G1085" s="37">
        <v>9</v>
      </c>
      <c r="H1085" s="37" t="str">
        <f>_xlfn.XLOOKUP(C1085&amp;F1085&amp;I1085&amp;J1085,'[1]2025年已发货'!$F:$F&amp;'[1]2025年已发货'!$C:$C&amp;'[1]2025年已发货'!$G:$G&amp;'[1]2025年已发货'!$H:$H,'[1]2025年已发货'!$E:$E,"未发货")</f>
        <v>未发货</v>
      </c>
      <c r="I1085" s="41" t="str">
        <f>VLOOKUP(B1085,辅助信息!E:I,3,FALSE)</f>
        <v>（商投建工达州中医药科技园-1工区）达州市通川区达州中医药职业学院犀牛大道北段</v>
      </c>
      <c r="J1085" s="41" t="str">
        <f>VLOOKUP(B1085,辅助信息!E:I,4,FALSE)</f>
        <v>程黄刚</v>
      </c>
      <c r="K1085" s="41">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190</v>
      </c>
      <c r="Q1085" s="27" t="str">
        <f>VLOOKUP(B1085,辅助信息!E:M,9,FALSE)</f>
        <v>ZTWM-CDGS-XS-2024-0134-商投建工达州中医药科技成果示范园项目</v>
      </c>
      <c r="R1085" s="27" t="str">
        <f>_xlfn._xlws.FILTER(辅助信息!D:D,辅助信息!E:E=B1085)</f>
        <v>商投建工达州中医药科技园</v>
      </c>
    </row>
    <row r="1086" hidden="1" spans="2:18">
      <c r="B1086" s="41" t="s">
        <v>47</v>
      </c>
      <c r="C1086" s="71">
        <v>45767</v>
      </c>
      <c r="D1086" s="41" t="str">
        <f>VLOOKUP(B1086,辅助信息!E:K,7,FALSE)</f>
        <v>JWDDCD2025052800131</v>
      </c>
      <c r="E1086" s="41" t="str">
        <f>VLOOKUP(F1086,辅助信息!A:B,2,FALSE)</f>
        <v>螺纹钢</v>
      </c>
      <c r="F1086" s="41" t="s">
        <v>30</v>
      </c>
      <c r="G1086" s="37">
        <v>6</v>
      </c>
      <c r="H1086" s="37" t="str">
        <f>_xlfn.XLOOKUP(C1086&amp;F1086&amp;I1086&amp;J1086,'[1]2025年已发货'!$F:$F&amp;'[1]2025年已发货'!$C:$C&amp;'[1]2025年已发货'!$G:$G&amp;'[1]2025年已发货'!$H:$H,'[1]2025年已发货'!$E:$E,"未发货")</f>
        <v>未发货</v>
      </c>
      <c r="I1086" s="41" t="str">
        <f>VLOOKUP(B1086,辅助信息!E:I,3,FALSE)</f>
        <v>（商投建工达州中医药科技园-1工区）达州市通川区达州中医药职业学院犀牛大道北段</v>
      </c>
      <c r="J1086" s="41" t="str">
        <f>VLOOKUP(B1086,辅助信息!E:I,4,FALSE)</f>
        <v>程黄刚</v>
      </c>
      <c r="K1086" s="41">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190</v>
      </c>
      <c r="Q1086" s="27" t="str">
        <f>VLOOKUP(B1086,辅助信息!E:M,9,FALSE)</f>
        <v>ZTWM-CDGS-XS-2024-0134-商投建工达州中医药科技成果示范园项目</v>
      </c>
      <c r="R1086" s="27" t="str">
        <f>_xlfn._xlws.FILTER(辅助信息!D:D,辅助信息!E:E=B1086)</f>
        <v>商投建工达州中医药科技园</v>
      </c>
    </row>
    <row r="1087" hidden="1" spans="2:18">
      <c r="B1087" s="41" t="s">
        <v>47</v>
      </c>
      <c r="C1087" s="71">
        <v>45767</v>
      </c>
      <c r="D1087" s="41" t="str">
        <f>VLOOKUP(B1087,辅助信息!E:K,7,FALSE)</f>
        <v>JWDDCD2025052800131</v>
      </c>
      <c r="E1087" s="41" t="str">
        <f>VLOOKUP(F1087,辅助信息!A:B,2,FALSE)</f>
        <v>螺纹钢</v>
      </c>
      <c r="F1087" s="41" t="s">
        <v>33</v>
      </c>
      <c r="G1087" s="37">
        <v>18</v>
      </c>
      <c r="H1087" s="37" t="str">
        <f>_xlfn.XLOOKUP(C1087&amp;F1087&amp;I1087&amp;J1087,'[1]2025年已发货'!$F:$F&amp;'[1]2025年已发货'!$C:$C&amp;'[1]2025年已发货'!$G:$G&amp;'[1]2025年已发货'!$H:$H,'[1]2025年已发货'!$E:$E,"未发货")</f>
        <v>未发货</v>
      </c>
      <c r="I1087" s="41" t="str">
        <f>VLOOKUP(B1087,辅助信息!E:I,3,FALSE)</f>
        <v>（商投建工达州中医药科技园-1工区）达州市通川区达州中医药职业学院犀牛大道北段</v>
      </c>
      <c r="J1087" s="41" t="str">
        <f>VLOOKUP(B1087,辅助信息!E:I,4,FALSE)</f>
        <v>程黄刚</v>
      </c>
      <c r="K1087" s="41">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190</v>
      </c>
      <c r="Q1087" s="27" t="str">
        <f>VLOOKUP(B1087,辅助信息!E:M,9,FALSE)</f>
        <v>ZTWM-CDGS-XS-2024-0134-商投建工达州中医药科技成果示范园项目</v>
      </c>
      <c r="R1087" s="27" t="str">
        <f>_xlfn._xlws.FILTER(辅助信息!D:D,辅助信息!E:E=B1087)</f>
        <v>商投建工达州中医药科技园</v>
      </c>
    </row>
    <row r="1088" hidden="1" spans="2:18">
      <c r="B1088" s="41" t="s">
        <v>47</v>
      </c>
      <c r="C1088" s="71">
        <v>45767</v>
      </c>
      <c r="D1088" s="41" t="str">
        <f>VLOOKUP(B1088,辅助信息!E:K,7,FALSE)</f>
        <v>JWDDCD2025052800131</v>
      </c>
      <c r="E1088" s="41" t="str">
        <f>VLOOKUP(F1088,辅助信息!A:B,2,FALSE)</f>
        <v>螺纹钢</v>
      </c>
      <c r="F1088" s="41" t="s">
        <v>28</v>
      </c>
      <c r="G1088" s="37">
        <v>39</v>
      </c>
      <c r="H1088" s="37" t="str">
        <f>_xlfn.XLOOKUP(C1088&amp;F1088&amp;I1088&amp;J1088,'[1]2025年已发货'!$F:$F&amp;'[1]2025年已发货'!$C:$C&amp;'[1]2025年已发货'!$G:$G&amp;'[1]2025年已发货'!$H:$H,'[1]2025年已发货'!$E:$E,"未发货")</f>
        <v>未发货</v>
      </c>
      <c r="I1088" s="41" t="str">
        <f>VLOOKUP(B1088,辅助信息!E:I,3,FALSE)</f>
        <v>（商投建工达州中医药科技园-1工区）达州市通川区达州中医药职业学院犀牛大道北段</v>
      </c>
      <c r="J1088" s="41" t="str">
        <f>VLOOKUP(B1088,辅助信息!E:I,4,FALSE)</f>
        <v>程黄刚</v>
      </c>
      <c r="K1088" s="41">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190</v>
      </c>
      <c r="Q1088" s="27" t="str">
        <f>VLOOKUP(B1088,辅助信息!E:M,9,FALSE)</f>
        <v>ZTWM-CDGS-XS-2024-0134-商投建工达州中医药科技成果示范园项目</v>
      </c>
      <c r="R1088" s="27" t="str">
        <f>_xlfn._xlws.FILTER(辅助信息!D:D,辅助信息!E:E=B1088)</f>
        <v>商投建工达州中医药科技园</v>
      </c>
    </row>
    <row r="1089" hidden="1" spans="2:18">
      <c r="B1089" s="41" t="s">
        <v>47</v>
      </c>
      <c r="C1089" s="71">
        <v>45767</v>
      </c>
      <c r="D1089" s="41" t="str">
        <f>VLOOKUP(B1089,辅助信息!E:K,7,FALSE)</f>
        <v>JWDDCD2025052800131</v>
      </c>
      <c r="E1089" s="41" t="str">
        <f>VLOOKUP(F1089,辅助信息!A:B,2,FALSE)</f>
        <v>螺纹钢</v>
      </c>
      <c r="F1089" s="41" t="s">
        <v>18</v>
      </c>
      <c r="G1089" s="37">
        <v>18</v>
      </c>
      <c r="H1089" s="37" t="str">
        <f>_xlfn.XLOOKUP(C1089&amp;F1089&amp;I1089&amp;J1089,'[1]2025年已发货'!$F:$F&amp;'[1]2025年已发货'!$C:$C&amp;'[1]2025年已发货'!$G:$G&amp;'[1]2025年已发货'!$H:$H,'[1]2025年已发货'!$E:$E,"未发货")</f>
        <v>未发货</v>
      </c>
      <c r="I1089" s="41" t="str">
        <f>VLOOKUP(B1089,辅助信息!E:I,3,FALSE)</f>
        <v>（商投建工达州中医药科技园-1工区）达州市通川区达州中医药职业学院犀牛大道北段</v>
      </c>
      <c r="J1089" s="41" t="str">
        <f>VLOOKUP(B1089,辅助信息!E:I,4,FALSE)</f>
        <v>程黄刚</v>
      </c>
      <c r="K1089" s="41">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190</v>
      </c>
      <c r="Q1089" s="27" t="str">
        <f>VLOOKUP(B1089,辅助信息!E:M,9,FALSE)</f>
        <v>ZTWM-CDGS-XS-2024-0134-商投建工达州中医药科技成果示范园项目</v>
      </c>
      <c r="R1089" s="27" t="str">
        <f>_xlfn._xlws.FILTER(辅助信息!D:D,辅助信息!E:E=B1089)</f>
        <v>商投建工达州中医药科技园</v>
      </c>
    </row>
    <row r="1090" hidden="1" spans="2:18">
      <c r="B1090" s="41" t="s">
        <v>81</v>
      </c>
      <c r="C1090" s="71">
        <v>45770</v>
      </c>
      <c r="D1090" s="41" t="str">
        <f>VLOOKUP(B1090,辅助信息!E:K,7,FALSE)</f>
        <v>JWDDCD2025060900080</v>
      </c>
      <c r="E1090" s="41" t="str">
        <f>VLOOKUP(F1090,辅助信息!A:B,2,FALSE)</f>
        <v>高线</v>
      </c>
      <c r="F1090" s="41" t="s">
        <v>53</v>
      </c>
      <c r="G1090" s="37">
        <v>2</v>
      </c>
      <c r="H1090" s="37">
        <f>_xlfn.XLOOKUP(C1090&amp;F1090&amp;I1090&amp;J1090,'[1]2025年已发货'!$F:$F&amp;'[1]2025年已发货'!$C:$C&amp;'[1]2025年已发货'!$G:$G&amp;'[1]2025年已发货'!$H:$H,'[1]2025年已发货'!$E:$E,"未发货")</f>
        <v>2</v>
      </c>
      <c r="I1090" s="41" t="str">
        <f>VLOOKUP(B1090,辅助信息!E:I,3,FALSE)</f>
        <v>（华西简阳西城嘉苑）四川省成都市简阳市简城街道高屋村</v>
      </c>
      <c r="J1090" s="41" t="str">
        <f>VLOOKUP(B1090,辅助信息!E:I,4,FALSE)</f>
        <v>张瀚镭</v>
      </c>
      <c r="K1090" s="41">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190</v>
      </c>
      <c r="Q1090" s="30" t="str">
        <f>VLOOKUP(B1090,辅助信息!E:M,9,FALSE)</f>
        <v>ZTWM-CDGS-XS-2024-0030-华西集采-简州大道</v>
      </c>
      <c r="R1090" s="30" t="str">
        <f>_xlfn._xlws.FILTER(辅助信息!D:D,辅助信息!E:E=B1090)</f>
        <v>华西简阳西城嘉苑</v>
      </c>
    </row>
    <row r="1091" hidden="1" spans="2:18">
      <c r="B1091" s="41" t="s">
        <v>81</v>
      </c>
      <c r="C1091" s="71">
        <v>45770</v>
      </c>
      <c r="D1091" s="41" t="str">
        <f>VLOOKUP(B1091,辅助信息!E:K,7,FALSE)</f>
        <v>JWDDCD2025060900080</v>
      </c>
      <c r="E1091" s="41" t="str">
        <f>VLOOKUP(F1091,辅助信息!A:B,2,FALSE)</f>
        <v>盘螺</v>
      </c>
      <c r="F1091" s="41" t="s">
        <v>40</v>
      </c>
      <c r="G1091" s="37">
        <v>5</v>
      </c>
      <c r="H1091" s="37">
        <f>_xlfn.XLOOKUP(C1091&amp;F1091&amp;I1091&amp;J1091,'[1]2025年已发货'!$F:$F&amp;'[1]2025年已发货'!$C:$C&amp;'[1]2025年已发货'!$G:$G&amp;'[1]2025年已发货'!$H:$H,'[1]2025年已发货'!$E:$E,"未发货")</f>
        <v>5</v>
      </c>
      <c r="I1091" s="41" t="str">
        <f>VLOOKUP(B1091,辅助信息!E:I,3,FALSE)</f>
        <v>（华西简阳西城嘉苑）四川省成都市简阳市简城街道高屋村</v>
      </c>
      <c r="J1091" s="41" t="str">
        <f>VLOOKUP(B1091,辅助信息!E:I,4,FALSE)</f>
        <v>张瀚镭</v>
      </c>
      <c r="K1091" s="41">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190</v>
      </c>
      <c r="Q1091" s="30" t="str">
        <f>VLOOKUP(B1091,辅助信息!E:M,9,FALSE)</f>
        <v>ZTWM-CDGS-XS-2024-0030-华西集采-简州大道</v>
      </c>
      <c r="R1091" s="30" t="str">
        <f>_xlfn._xlws.FILTER(辅助信息!D:D,辅助信息!E:E=B1091)</f>
        <v>华西简阳西城嘉苑</v>
      </c>
    </row>
    <row r="1092" hidden="1" spans="2:18">
      <c r="B1092" s="41" t="s">
        <v>81</v>
      </c>
      <c r="C1092" s="71">
        <v>45770</v>
      </c>
      <c r="D1092" s="41" t="str">
        <f>VLOOKUP(B1092,辅助信息!E:K,7,FALSE)</f>
        <v>JWDDCD2025060900080</v>
      </c>
      <c r="E1092" s="41" t="str">
        <f>VLOOKUP(F1092,辅助信息!A:B,2,FALSE)</f>
        <v>盘螺</v>
      </c>
      <c r="F1092" s="41" t="s">
        <v>41</v>
      </c>
      <c r="G1092" s="37">
        <v>8</v>
      </c>
      <c r="H1092" s="37">
        <f>_xlfn.XLOOKUP(C1092&amp;F1092&amp;I1092&amp;J1092,'[1]2025年已发货'!$F:$F&amp;'[1]2025年已发货'!$C:$C&amp;'[1]2025年已发货'!$G:$G&amp;'[1]2025年已发货'!$H:$H,'[1]2025年已发货'!$E:$E,"未发货")</f>
        <v>8</v>
      </c>
      <c r="I1092" s="41" t="str">
        <f>VLOOKUP(B1092,辅助信息!E:I,3,FALSE)</f>
        <v>（华西简阳西城嘉苑）四川省成都市简阳市简城街道高屋村</v>
      </c>
      <c r="J1092" s="41" t="str">
        <f>VLOOKUP(B1092,辅助信息!E:I,4,FALSE)</f>
        <v>张瀚镭</v>
      </c>
      <c r="K1092" s="41">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190</v>
      </c>
      <c r="Q1092" s="30" t="str">
        <f>VLOOKUP(B1092,辅助信息!E:M,9,FALSE)</f>
        <v>ZTWM-CDGS-XS-2024-0030-华西集采-简州大道</v>
      </c>
      <c r="R1092" s="30" t="str">
        <f>_xlfn._xlws.FILTER(辅助信息!D:D,辅助信息!E:E=B1092)</f>
        <v>华西简阳西城嘉苑</v>
      </c>
    </row>
    <row r="1093" hidden="1" spans="2:18">
      <c r="B1093" s="41" t="s">
        <v>81</v>
      </c>
      <c r="C1093" s="71">
        <v>45770</v>
      </c>
      <c r="D1093" s="41" t="str">
        <f>VLOOKUP(B1093,辅助信息!E:K,7,FALSE)</f>
        <v>JWDDCD2025060900080</v>
      </c>
      <c r="E1093" s="41" t="str">
        <f>VLOOKUP(F1093,辅助信息!A:B,2,FALSE)</f>
        <v>盘螺</v>
      </c>
      <c r="F1093" s="41" t="s">
        <v>26</v>
      </c>
      <c r="G1093" s="37">
        <v>22</v>
      </c>
      <c r="H1093" s="37" t="str">
        <f>_xlfn.XLOOKUP(C1093&amp;F1093&amp;I1093&amp;J1093,'[1]2025年已发货'!$F:$F&amp;'[1]2025年已发货'!$C:$C&amp;'[1]2025年已发货'!$G:$G&amp;'[1]2025年已发货'!$H:$H,'[1]2025年已发货'!$E:$E,"未发货")</f>
        <v>未发货</v>
      </c>
      <c r="I1093" s="41" t="str">
        <f>VLOOKUP(B1093,辅助信息!E:I,3,FALSE)</f>
        <v>（华西简阳西城嘉苑）四川省成都市简阳市简城街道高屋村</v>
      </c>
      <c r="J1093" s="41" t="str">
        <f>VLOOKUP(B1093,辅助信息!E:I,4,FALSE)</f>
        <v>张瀚镭</v>
      </c>
      <c r="K1093" s="41">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190</v>
      </c>
      <c r="Q1093" s="30" t="str">
        <f>VLOOKUP(B1093,辅助信息!E:M,9,FALSE)</f>
        <v>ZTWM-CDGS-XS-2024-0030-华西集采-简州大道</v>
      </c>
      <c r="R1093" s="30" t="str">
        <f>_xlfn._xlws.FILTER(辅助信息!D:D,辅助信息!E:E=B1093)</f>
        <v>华西简阳西城嘉苑</v>
      </c>
    </row>
    <row r="1094" hidden="1" spans="2:18">
      <c r="B1094" s="41" t="s">
        <v>81</v>
      </c>
      <c r="C1094" s="71">
        <v>45770</v>
      </c>
      <c r="D1094" s="41" t="str">
        <f>VLOOKUP(B1094,辅助信息!E:K,7,FALSE)</f>
        <v>JWDDCD2025060900080</v>
      </c>
      <c r="E1094" s="41" t="str">
        <f>VLOOKUP(F1094,辅助信息!A:B,2,FALSE)</f>
        <v>螺纹钢</v>
      </c>
      <c r="F1094" s="41" t="s">
        <v>32</v>
      </c>
      <c r="G1094" s="37">
        <v>35</v>
      </c>
      <c r="H1094" s="37">
        <f>_xlfn.XLOOKUP(C1094&amp;F1094&amp;I1094&amp;J1094,'[1]2025年已发货'!$F:$F&amp;'[1]2025年已发货'!$C:$C&amp;'[1]2025年已发货'!$G:$G&amp;'[1]2025年已发货'!$H:$H,'[1]2025年已发货'!$E:$E,"未发货")</f>
        <v>35</v>
      </c>
      <c r="I1094" s="41" t="str">
        <f>VLOOKUP(B1094,辅助信息!E:I,3,FALSE)</f>
        <v>（华西简阳西城嘉苑）四川省成都市简阳市简城街道高屋村</v>
      </c>
      <c r="J1094" s="41" t="str">
        <f>VLOOKUP(B1094,辅助信息!E:I,4,FALSE)</f>
        <v>张瀚镭</v>
      </c>
      <c r="K1094" s="41">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190</v>
      </c>
      <c r="Q1094" s="30" t="str">
        <f>VLOOKUP(B1094,辅助信息!E:M,9,FALSE)</f>
        <v>ZTWM-CDGS-XS-2024-0030-华西集采-简州大道</v>
      </c>
      <c r="R1094" s="30" t="str">
        <f>_xlfn._xlws.FILTER(辅助信息!D:D,辅助信息!E:E=B1094)</f>
        <v>华西简阳西城嘉苑</v>
      </c>
    </row>
    <row r="1095" hidden="1" spans="2:18">
      <c r="B1095" s="41" t="s">
        <v>81</v>
      </c>
      <c r="C1095" s="71">
        <v>45770</v>
      </c>
      <c r="D1095" s="41" t="str">
        <f>VLOOKUP(B1095,辅助信息!E:K,7,FALSE)</f>
        <v>JWDDCD2025060900080</v>
      </c>
      <c r="E1095" s="41" t="str">
        <f>VLOOKUP(F1095,辅助信息!A:B,2,FALSE)</f>
        <v>螺纹钢</v>
      </c>
      <c r="F1095" s="41" t="s">
        <v>33</v>
      </c>
      <c r="G1095" s="37">
        <f>120-8</f>
        <v>112</v>
      </c>
      <c r="H1095" s="37">
        <v>92</v>
      </c>
      <c r="I1095" s="41" t="str">
        <f>VLOOKUP(B1095,辅助信息!E:I,3,FALSE)</f>
        <v>（华西简阳西城嘉苑）四川省成都市简阳市简城街道高屋村</v>
      </c>
      <c r="J1095" s="41" t="str">
        <f>VLOOKUP(B1095,辅助信息!E:I,4,FALSE)</f>
        <v>张瀚镭</v>
      </c>
      <c r="K1095" s="41">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190</v>
      </c>
      <c r="Q1095" s="30" t="str">
        <f>VLOOKUP(B1095,辅助信息!E:M,9,FALSE)</f>
        <v>ZTWM-CDGS-XS-2024-0030-华西集采-简州大道</v>
      </c>
      <c r="R1095" s="30" t="str">
        <f>_xlfn._xlws.FILTER(辅助信息!D:D,辅助信息!E:E=B1095)</f>
        <v>华西简阳西城嘉苑</v>
      </c>
    </row>
    <row r="1096" hidden="1" spans="2:18">
      <c r="B1096" s="41" t="s">
        <v>64</v>
      </c>
      <c r="C1096" s="71">
        <v>45770</v>
      </c>
      <c r="D1096" s="41" t="e">
        <f>VLOOKUP(B1096,辅助信息!E:K,7,FALSE)</f>
        <v>#N/A</v>
      </c>
      <c r="E1096" s="41" t="str">
        <f>VLOOKUP(F1096,辅助信息!A:B,2,FALSE)</f>
        <v>螺纹钢</v>
      </c>
      <c r="F1096" s="41" t="s">
        <v>65</v>
      </c>
      <c r="G1096" s="37">
        <v>21</v>
      </c>
      <c r="H1096" s="37" t="e">
        <f>_xlfn.XLOOKUP(C1096&amp;F1096&amp;I1096&amp;J1096,'[1]2025年已发货'!$F:$F&amp;'[1]2025年已发货'!$C:$C&amp;'[1]2025年已发货'!$G:$G&amp;'[1]2025年已发货'!$H:$H,'[1]2025年已发货'!$E:$E,"未发货")</f>
        <v>#N/A</v>
      </c>
      <c r="I1096" s="41" t="e">
        <f>VLOOKUP(B1096,辅助信息!E:I,3,FALSE)</f>
        <v>#N/A</v>
      </c>
      <c r="J1096" s="41" t="e">
        <f>VLOOKUP(B1096,辅助信息!E:I,4,FALSE)</f>
        <v>#N/A</v>
      </c>
      <c r="K1096" s="41" t="e">
        <f>VLOOKUP(J1096,辅助信息!H:I,2,FALSE)</f>
        <v>#N/A</v>
      </c>
      <c r="L1096" s="110" t="e">
        <f>VLOOKUP(B1096,辅助信息!E:J,6,FALSE)</f>
        <v>#N/A</v>
      </c>
      <c r="M1096" s="92">
        <v>45768</v>
      </c>
      <c r="O1096" s="63">
        <f ca="1" t="shared" si="40"/>
        <v>0</v>
      </c>
      <c r="P1096" s="63">
        <f ca="1" t="shared" si="39"/>
        <v>191</v>
      </c>
      <c r="Q1096" s="30" t="e">
        <f>VLOOKUP(B1096,辅助信息!E:M,9,FALSE)</f>
        <v>#N/A</v>
      </c>
      <c r="R1096" s="30" vm="1" t="e">
        <f>_xlfn._xlws.FILTER(辅助信息!D:D,辅助信息!E:E=B1096)</f>
        <v>#VALUE!</v>
      </c>
    </row>
    <row r="1097" hidden="1" spans="2:18">
      <c r="B1097" s="41" t="s">
        <v>47</v>
      </c>
      <c r="C1097" s="71">
        <v>45770</v>
      </c>
      <c r="D1097" s="41" t="str">
        <f>VLOOKUP(B1097,辅助信息!E:K,7,FALSE)</f>
        <v>JWDDCD2025052800131</v>
      </c>
      <c r="E1097" s="41" t="str">
        <f>VLOOKUP(F1097,辅助信息!A:B,2,FALSE)</f>
        <v>盘螺</v>
      </c>
      <c r="F1097" s="41" t="s">
        <v>49</v>
      </c>
      <c r="G1097" s="37">
        <v>2</v>
      </c>
      <c r="H1097" s="37">
        <f>_xlfn.XLOOKUP(C1097&amp;F1097&amp;I1097&amp;J1097,'[1]2025年已发货'!$F:$F&amp;'[1]2025年已发货'!$C:$C&amp;'[1]2025年已发货'!$G:$G&amp;'[1]2025年已发货'!$H:$H,'[1]2025年已发货'!$E:$E,"未发货")</f>
        <v>2</v>
      </c>
      <c r="I1097" s="41" t="str">
        <f>VLOOKUP(B1097,辅助信息!E:I,3,FALSE)</f>
        <v>（商投建工达州中医药科技园-1工区）达州市通川区达州中医药职业学院犀牛大道北段</v>
      </c>
      <c r="J1097" s="41" t="str">
        <f>VLOOKUP(B1097,辅助信息!E:I,4,FALSE)</f>
        <v>程黄刚</v>
      </c>
      <c r="K1097" s="41">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190</v>
      </c>
      <c r="Q1097" s="30" t="str">
        <f>VLOOKUP(B1097,辅助信息!E:M,9,FALSE)</f>
        <v>ZTWM-CDGS-XS-2024-0134-商投建工达州中医药科技成果示范园项目</v>
      </c>
      <c r="R1097" s="30" t="str">
        <f>_xlfn._xlws.FILTER(辅助信息!D:D,辅助信息!E:E=B1097)</f>
        <v>商投建工达州中医药科技园</v>
      </c>
    </row>
    <row r="1098" hidden="1" spans="2:18">
      <c r="B1098" s="41" t="s">
        <v>47</v>
      </c>
      <c r="C1098" s="71">
        <v>45770</v>
      </c>
      <c r="D1098" s="41" t="str">
        <f>VLOOKUP(B1098,辅助信息!E:K,7,FALSE)</f>
        <v>JWDDCD2025052800131</v>
      </c>
      <c r="E1098" s="41" t="str">
        <f>VLOOKUP(F1098,辅助信息!A:B,2,FALSE)</f>
        <v>盘螺</v>
      </c>
      <c r="F1098" s="41" t="s">
        <v>40</v>
      </c>
      <c r="G1098" s="37">
        <v>8</v>
      </c>
      <c r="H1098" s="37">
        <f>_xlfn.XLOOKUP(C1098&amp;F1098&amp;I1098&amp;J1098,'[1]2025年已发货'!$F:$F&amp;'[1]2025年已发货'!$C:$C&amp;'[1]2025年已发货'!$G:$G&amp;'[1]2025年已发货'!$H:$H,'[1]2025年已发货'!$E:$E,"未发货")</f>
        <v>8</v>
      </c>
      <c r="I1098" s="41" t="str">
        <f>VLOOKUP(B1098,辅助信息!E:I,3,FALSE)</f>
        <v>（商投建工达州中医药科技园-1工区）达州市通川区达州中医药职业学院犀牛大道北段</v>
      </c>
      <c r="J1098" s="41" t="str">
        <f>VLOOKUP(B1098,辅助信息!E:I,4,FALSE)</f>
        <v>程黄刚</v>
      </c>
      <c r="K1098" s="41">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190</v>
      </c>
      <c r="Q1098" s="30" t="str">
        <f>VLOOKUP(B1098,辅助信息!E:M,9,FALSE)</f>
        <v>ZTWM-CDGS-XS-2024-0134-商投建工达州中医药科技成果示范园项目</v>
      </c>
      <c r="R1098" s="30" t="str">
        <f>_xlfn._xlws.FILTER(辅助信息!D:D,辅助信息!E:E=B1098)</f>
        <v>商投建工达州中医药科技园</v>
      </c>
    </row>
    <row r="1099" hidden="1" spans="2:18">
      <c r="B1099" s="41" t="s">
        <v>47</v>
      </c>
      <c r="C1099" s="71">
        <v>45770</v>
      </c>
      <c r="D1099" s="41" t="str">
        <f>VLOOKUP(B1099,辅助信息!E:K,7,FALSE)</f>
        <v>JWDDCD2025052800131</v>
      </c>
      <c r="E1099" s="41" t="str">
        <f>VLOOKUP(F1099,辅助信息!A:B,2,FALSE)</f>
        <v>盘螺</v>
      </c>
      <c r="F1099" s="41" t="s">
        <v>41</v>
      </c>
      <c r="G1099" s="37">
        <v>8</v>
      </c>
      <c r="H1099" s="37">
        <f>_xlfn.XLOOKUP(C1099&amp;F1099&amp;I1099&amp;J1099,'[1]2025年已发货'!$F:$F&amp;'[1]2025年已发货'!$C:$C&amp;'[1]2025年已发货'!$G:$G&amp;'[1]2025年已发货'!$H:$H,'[1]2025年已发货'!$E:$E,"未发货")</f>
        <v>8</v>
      </c>
      <c r="I1099" s="41" t="str">
        <f>VLOOKUP(B1099,辅助信息!E:I,3,FALSE)</f>
        <v>（商投建工达州中医药科技园-1工区）达州市通川区达州中医药职业学院犀牛大道北段</v>
      </c>
      <c r="J1099" s="41" t="str">
        <f>VLOOKUP(B1099,辅助信息!E:I,4,FALSE)</f>
        <v>程黄刚</v>
      </c>
      <c r="K1099" s="41">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190</v>
      </c>
      <c r="Q1099" s="30" t="str">
        <f>VLOOKUP(B1099,辅助信息!E:M,9,FALSE)</f>
        <v>ZTWM-CDGS-XS-2024-0134-商投建工达州中医药科技成果示范园项目</v>
      </c>
      <c r="R1099" s="30" t="str">
        <f>_xlfn._xlws.FILTER(辅助信息!D:D,辅助信息!E:E=B1099)</f>
        <v>商投建工达州中医药科技园</v>
      </c>
    </row>
    <row r="1100" hidden="1" spans="2:18">
      <c r="B1100" s="41" t="s">
        <v>47</v>
      </c>
      <c r="C1100" s="71">
        <v>45770</v>
      </c>
      <c r="D1100" s="41" t="str">
        <f>VLOOKUP(B1100,辅助信息!E:K,7,FALSE)</f>
        <v>JWDDCD2025052800131</v>
      </c>
      <c r="E1100" s="41" t="str">
        <f>VLOOKUP(F1100,辅助信息!A:B,2,FALSE)</f>
        <v>螺纹钢</v>
      </c>
      <c r="F1100" s="41" t="s">
        <v>19</v>
      </c>
      <c r="G1100" s="37">
        <v>3</v>
      </c>
      <c r="H1100" s="37">
        <f>_xlfn.XLOOKUP(C1100&amp;F1100&amp;I1100&amp;J1100,'[1]2025年已发货'!$F:$F&amp;'[1]2025年已发货'!$C:$C&amp;'[1]2025年已发货'!$G:$G&amp;'[1]2025年已发货'!$H:$H,'[1]2025年已发货'!$E:$E,"未发货")</f>
        <v>3</v>
      </c>
      <c r="I1100" s="41" t="str">
        <f>VLOOKUP(B1100,辅助信息!E:I,3,FALSE)</f>
        <v>（商投建工达州中医药科技园-1工区）达州市通川区达州中医药职业学院犀牛大道北段</v>
      </c>
      <c r="J1100" s="41" t="str">
        <f>VLOOKUP(B1100,辅助信息!E:I,4,FALSE)</f>
        <v>程黄刚</v>
      </c>
      <c r="K1100" s="41">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190</v>
      </c>
      <c r="Q1100" s="30" t="str">
        <f>VLOOKUP(B1100,辅助信息!E:M,9,FALSE)</f>
        <v>ZTWM-CDGS-XS-2024-0134-商投建工达州中医药科技成果示范园项目</v>
      </c>
      <c r="R1100" s="30" t="str">
        <f>_xlfn._xlws.FILTER(辅助信息!D:D,辅助信息!E:E=B1100)</f>
        <v>商投建工达州中医药科技园</v>
      </c>
    </row>
    <row r="1101" hidden="1" spans="2:18">
      <c r="B1101" s="41" t="s">
        <v>47</v>
      </c>
      <c r="C1101" s="71">
        <v>45770</v>
      </c>
      <c r="D1101" s="41" t="str">
        <f>VLOOKUP(B1101,辅助信息!E:K,7,FALSE)</f>
        <v>JWDDCD2025052800131</v>
      </c>
      <c r="E1101" s="41" t="str">
        <f>VLOOKUP(F1101,辅助信息!A:B,2,FALSE)</f>
        <v>螺纹钢</v>
      </c>
      <c r="F1101" s="41" t="s">
        <v>30</v>
      </c>
      <c r="G1101" s="37">
        <v>6</v>
      </c>
      <c r="H1101" s="37">
        <f>_xlfn.XLOOKUP(C1101&amp;F1101&amp;I1101&amp;J1101,'[1]2025年已发货'!$F:$F&amp;'[1]2025年已发货'!$C:$C&amp;'[1]2025年已发货'!$G:$G&amp;'[1]2025年已发货'!$H:$H,'[1]2025年已发货'!$E:$E,"未发货")</f>
        <v>7</v>
      </c>
      <c r="I1101" s="41" t="str">
        <f>VLOOKUP(B1101,辅助信息!E:I,3,FALSE)</f>
        <v>（商投建工达州中医药科技园-1工区）达州市通川区达州中医药职业学院犀牛大道北段</v>
      </c>
      <c r="J1101" s="41" t="str">
        <f>VLOOKUP(B1101,辅助信息!E:I,4,FALSE)</f>
        <v>程黄刚</v>
      </c>
      <c r="K1101" s="41">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190</v>
      </c>
      <c r="Q1101" s="30" t="str">
        <f>VLOOKUP(B1101,辅助信息!E:M,9,FALSE)</f>
        <v>ZTWM-CDGS-XS-2024-0134-商投建工达州中医药科技成果示范园项目</v>
      </c>
      <c r="R1101" s="30" t="str">
        <f>_xlfn._xlws.FILTER(辅助信息!D:D,辅助信息!E:E=B1101)</f>
        <v>商投建工达州中医药科技园</v>
      </c>
    </row>
    <row r="1102" hidden="1" spans="2:18">
      <c r="B1102" s="41" t="s">
        <v>47</v>
      </c>
      <c r="C1102" s="71">
        <v>45770</v>
      </c>
      <c r="D1102" s="41" t="str">
        <f>VLOOKUP(B1102,辅助信息!E:K,7,FALSE)</f>
        <v>JWDDCD2025052800131</v>
      </c>
      <c r="E1102" s="41" t="str">
        <f>VLOOKUP(F1102,辅助信息!A:B,2,FALSE)</f>
        <v>螺纹钢</v>
      </c>
      <c r="F1102" s="41" t="s">
        <v>28</v>
      </c>
      <c r="G1102" s="37">
        <v>19</v>
      </c>
      <c r="H1102" s="37">
        <f>_xlfn.XLOOKUP(C1102&amp;F1102&amp;I1102&amp;J1102,'[1]2025年已发货'!$F:$F&amp;'[1]2025年已发货'!$C:$C&amp;'[1]2025年已发货'!$G:$G&amp;'[1]2025年已发货'!$H:$H,'[1]2025年已发货'!$E:$E,"未发货")</f>
        <v>8</v>
      </c>
      <c r="I1102" s="41" t="str">
        <f>VLOOKUP(B1102,辅助信息!E:I,3,FALSE)</f>
        <v>（商投建工达州中医药科技园-1工区）达州市通川区达州中医药职业学院犀牛大道北段</v>
      </c>
      <c r="J1102" s="41" t="str">
        <f>VLOOKUP(B1102,辅助信息!E:I,4,FALSE)</f>
        <v>程黄刚</v>
      </c>
      <c r="K1102" s="41">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190</v>
      </c>
      <c r="Q1102" s="30" t="str">
        <f>VLOOKUP(B1102,辅助信息!E:M,9,FALSE)</f>
        <v>ZTWM-CDGS-XS-2024-0134-商投建工达州中医药科技成果示范园项目</v>
      </c>
      <c r="R1102" s="30" t="str">
        <f>_xlfn._xlws.FILTER(辅助信息!D:D,辅助信息!E:E=B1102)</f>
        <v>商投建工达州中医药科技园</v>
      </c>
    </row>
    <row r="1103" hidden="1" spans="2:18">
      <c r="B1103" s="41" t="s">
        <v>75</v>
      </c>
      <c r="C1103" s="71">
        <v>45770</v>
      </c>
      <c r="D1103" s="41" t="e">
        <f>VLOOKUP(B1103,辅助信息!E:K,7,FALSE)</f>
        <v>#N/A</v>
      </c>
      <c r="E1103" s="41" t="str">
        <f>VLOOKUP(F1103,辅助信息!A:B,2,FALSE)</f>
        <v>高线</v>
      </c>
      <c r="F1103" s="41" t="s">
        <v>53</v>
      </c>
      <c r="G1103" s="37">
        <v>8</v>
      </c>
      <c r="H1103" s="37" t="e">
        <f>_xlfn.XLOOKUP(C1103&amp;F1103&amp;I1103&amp;J1103,'[1]2025年已发货'!$F:$F&amp;'[1]2025年已发货'!$C:$C&amp;'[1]2025年已发货'!$G:$G&amp;'[1]2025年已发货'!$H:$H,'[1]2025年已发货'!$E:$E,"未发货")</f>
        <v>#N/A</v>
      </c>
      <c r="I1103" s="41" t="e">
        <f>VLOOKUP(B1103,辅助信息!E:I,3,FALSE)</f>
        <v>#N/A</v>
      </c>
      <c r="J1103" s="41" t="e">
        <f>VLOOKUP(B1103,辅助信息!E:I,4,FALSE)</f>
        <v>#N/A</v>
      </c>
      <c r="K1103" s="41" t="e">
        <f>VLOOKUP(J1103,辅助信息!H:I,2,FALSE)</f>
        <v>#N/A</v>
      </c>
      <c r="L1103" s="110" t="e">
        <f>VLOOKUP(B1103,辅助信息!E:J,6,FALSE)</f>
        <v>#N/A</v>
      </c>
      <c r="M1103" s="92">
        <v>45772</v>
      </c>
      <c r="O1103" s="63">
        <f ca="1" t="shared" si="40"/>
        <v>0</v>
      </c>
      <c r="P1103" s="63">
        <f ca="1" t="shared" si="39"/>
        <v>187</v>
      </c>
      <c r="Q1103" s="30" t="e">
        <f>VLOOKUP(B1103,辅助信息!E:M,9,FALSE)</f>
        <v>#N/A</v>
      </c>
      <c r="R1103" s="30" vm="1" t="e">
        <f>_xlfn._xlws.FILTER(辅助信息!D:D,辅助信息!E:E=B1103)</f>
        <v>#VALUE!</v>
      </c>
    </row>
    <row r="1104" hidden="1" spans="2:18">
      <c r="B1104" s="41" t="s">
        <v>75</v>
      </c>
      <c r="C1104" s="71">
        <v>45770</v>
      </c>
      <c r="D1104" s="41" t="e">
        <f>VLOOKUP(B1104,辅助信息!E:K,7,FALSE)</f>
        <v>#N/A</v>
      </c>
      <c r="E1104" s="41" t="str">
        <f>VLOOKUP(F1104,辅助信息!A:B,2,FALSE)</f>
        <v>螺纹钢</v>
      </c>
      <c r="F1104" s="41" t="s">
        <v>27</v>
      </c>
      <c r="G1104" s="37">
        <v>9</v>
      </c>
      <c r="H1104" s="37" t="e">
        <f>_xlfn.XLOOKUP(C1104&amp;F1104&amp;I1104&amp;J1104,'[1]2025年已发货'!$F:$F&amp;'[1]2025年已发货'!$C:$C&amp;'[1]2025年已发货'!$G:$G&amp;'[1]2025年已发货'!$H:$H,'[1]2025年已发货'!$E:$E,"未发货")</f>
        <v>#N/A</v>
      </c>
      <c r="I1104" s="41" t="e">
        <f>VLOOKUP(B1104,辅助信息!E:I,3,FALSE)</f>
        <v>#N/A</v>
      </c>
      <c r="J1104" s="41" t="e">
        <f>VLOOKUP(B1104,辅助信息!E:I,4,FALSE)</f>
        <v>#N/A</v>
      </c>
      <c r="K1104" s="41" t="e">
        <f>VLOOKUP(J1104,辅助信息!H:I,2,FALSE)</f>
        <v>#N/A</v>
      </c>
      <c r="L1104" s="110" t="e">
        <f>VLOOKUP(B1104,辅助信息!E:J,6,FALSE)</f>
        <v>#N/A</v>
      </c>
      <c r="M1104" s="92">
        <v>45772</v>
      </c>
      <c r="O1104" s="63">
        <f ca="1" t="shared" si="40"/>
        <v>0</v>
      </c>
      <c r="P1104" s="63">
        <f ca="1" t="shared" si="39"/>
        <v>187</v>
      </c>
      <c r="Q1104" s="30" t="e">
        <f>VLOOKUP(B1104,辅助信息!E:M,9,FALSE)</f>
        <v>#N/A</v>
      </c>
      <c r="R1104" s="30" vm="1" t="e">
        <f>_xlfn._xlws.FILTER(辅助信息!D:D,辅助信息!E:E=B1104)</f>
        <v>#VALUE!</v>
      </c>
    </row>
    <row r="1105" hidden="1" spans="2:18">
      <c r="B1105" s="41" t="s">
        <v>75</v>
      </c>
      <c r="C1105" s="71">
        <v>45770</v>
      </c>
      <c r="D1105" s="41" t="e">
        <f>VLOOKUP(B1105,辅助信息!E:K,7,FALSE)</f>
        <v>#N/A</v>
      </c>
      <c r="E1105" s="41" t="str">
        <f>VLOOKUP(F1105,辅助信息!A:B,2,FALSE)</f>
        <v>螺纹钢</v>
      </c>
      <c r="F1105" s="41" t="s">
        <v>19</v>
      </c>
      <c r="G1105" s="37">
        <v>10</v>
      </c>
      <c r="H1105" s="37" t="e">
        <f>_xlfn.XLOOKUP(C1105&amp;F1105&amp;I1105&amp;J1105,'[1]2025年已发货'!$F:$F&amp;'[1]2025年已发货'!$C:$C&amp;'[1]2025年已发货'!$G:$G&amp;'[1]2025年已发货'!$H:$H,'[1]2025年已发货'!$E:$E,"未发货")</f>
        <v>#N/A</v>
      </c>
      <c r="I1105" s="41" t="e">
        <f>VLOOKUP(B1105,辅助信息!E:I,3,FALSE)</f>
        <v>#N/A</v>
      </c>
      <c r="J1105" s="41" t="e">
        <f>VLOOKUP(B1105,辅助信息!E:I,4,FALSE)</f>
        <v>#N/A</v>
      </c>
      <c r="K1105" s="41" t="e">
        <f>VLOOKUP(J1105,辅助信息!H:I,2,FALSE)</f>
        <v>#N/A</v>
      </c>
      <c r="L1105" s="110" t="e">
        <f>VLOOKUP(B1105,辅助信息!E:J,6,FALSE)</f>
        <v>#N/A</v>
      </c>
      <c r="M1105" s="92">
        <v>45772</v>
      </c>
      <c r="O1105" s="63">
        <f ca="1" t="shared" si="40"/>
        <v>0</v>
      </c>
      <c r="P1105" s="63">
        <f ca="1" t="shared" si="39"/>
        <v>187</v>
      </c>
      <c r="Q1105" s="30" t="e">
        <f>VLOOKUP(B1105,辅助信息!E:M,9,FALSE)</f>
        <v>#N/A</v>
      </c>
      <c r="R1105" s="30" vm="1" t="e">
        <f>_xlfn._xlws.FILTER(辅助信息!D:D,辅助信息!E:E=B1105)</f>
        <v>#VALUE!</v>
      </c>
    </row>
    <row r="1106" hidden="1" spans="2:18">
      <c r="B1106" s="41" t="s">
        <v>75</v>
      </c>
      <c r="C1106" s="71">
        <v>45770</v>
      </c>
      <c r="D1106" s="41" t="e">
        <f>VLOOKUP(B1106,辅助信息!E:K,7,FALSE)</f>
        <v>#N/A</v>
      </c>
      <c r="E1106" s="41" t="str">
        <f>VLOOKUP(F1106,辅助信息!A:B,2,FALSE)</f>
        <v>螺纹钢</v>
      </c>
      <c r="F1106" s="41" t="s">
        <v>32</v>
      </c>
      <c r="G1106" s="37">
        <v>3</v>
      </c>
      <c r="H1106" s="37" t="e">
        <f>_xlfn.XLOOKUP(C1106&amp;F1106&amp;I1106&amp;J1106,'[1]2025年已发货'!$F:$F&amp;'[1]2025年已发货'!$C:$C&amp;'[1]2025年已发货'!$G:$G&amp;'[1]2025年已发货'!$H:$H,'[1]2025年已发货'!$E:$E,"未发货")</f>
        <v>#N/A</v>
      </c>
      <c r="I1106" s="41" t="e">
        <f>VLOOKUP(B1106,辅助信息!E:I,3,FALSE)</f>
        <v>#N/A</v>
      </c>
      <c r="J1106" s="41" t="e">
        <f>VLOOKUP(B1106,辅助信息!E:I,4,FALSE)</f>
        <v>#N/A</v>
      </c>
      <c r="K1106" s="41" t="e">
        <f>VLOOKUP(J1106,辅助信息!H:I,2,FALSE)</f>
        <v>#N/A</v>
      </c>
      <c r="L1106" s="110" t="e">
        <f>VLOOKUP(B1106,辅助信息!E:J,6,FALSE)</f>
        <v>#N/A</v>
      </c>
      <c r="M1106" s="92">
        <v>45772</v>
      </c>
      <c r="O1106" s="63">
        <f ca="1" t="shared" si="40"/>
        <v>0</v>
      </c>
      <c r="P1106" s="63">
        <f ca="1" t="shared" si="39"/>
        <v>187</v>
      </c>
      <c r="Q1106" s="30" t="e">
        <f>VLOOKUP(B1106,辅助信息!E:M,9,FALSE)</f>
        <v>#N/A</v>
      </c>
      <c r="R1106" s="30" vm="1" t="e">
        <f>_xlfn._xlws.FILTER(辅助信息!D:D,辅助信息!E:E=B1106)</f>
        <v>#VALUE!</v>
      </c>
    </row>
    <row r="1107" hidden="1" spans="2:18">
      <c r="B1107" s="41" t="s">
        <v>75</v>
      </c>
      <c r="C1107" s="71">
        <v>45770</v>
      </c>
      <c r="D1107" s="41" t="e">
        <f>VLOOKUP(B1107,辅助信息!E:K,7,FALSE)</f>
        <v>#N/A</v>
      </c>
      <c r="E1107" s="41" t="str">
        <f>VLOOKUP(F1107,辅助信息!A:B,2,FALSE)</f>
        <v>螺纹钢</v>
      </c>
      <c r="F1107" s="41" t="s">
        <v>30</v>
      </c>
      <c r="G1107" s="37">
        <v>6</v>
      </c>
      <c r="H1107" s="37" t="e">
        <f>_xlfn.XLOOKUP(C1107&amp;F1107&amp;I1107&amp;J1107,'[1]2025年已发货'!$F:$F&amp;'[1]2025年已发货'!$C:$C&amp;'[1]2025年已发货'!$G:$G&amp;'[1]2025年已发货'!$H:$H,'[1]2025年已发货'!$E:$E,"未发货")</f>
        <v>#N/A</v>
      </c>
      <c r="I1107" s="41" t="e">
        <f>VLOOKUP(B1107,辅助信息!E:I,3,FALSE)</f>
        <v>#N/A</v>
      </c>
      <c r="J1107" s="41" t="e">
        <f>VLOOKUP(B1107,辅助信息!E:I,4,FALSE)</f>
        <v>#N/A</v>
      </c>
      <c r="K1107" s="41" t="e">
        <f>VLOOKUP(J1107,辅助信息!H:I,2,FALSE)</f>
        <v>#N/A</v>
      </c>
      <c r="L1107" s="110" t="e">
        <f>VLOOKUP(B1107,辅助信息!E:J,6,FALSE)</f>
        <v>#N/A</v>
      </c>
      <c r="M1107" s="92">
        <v>45772</v>
      </c>
      <c r="O1107" s="63">
        <f ca="1" t="shared" si="40"/>
        <v>0</v>
      </c>
      <c r="P1107" s="63">
        <f ca="1" t="shared" si="39"/>
        <v>187</v>
      </c>
      <c r="Q1107" s="30" t="e">
        <f>VLOOKUP(B1107,辅助信息!E:M,9,FALSE)</f>
        <v>#N/A</v>
      </c>
      <c r="R1107" s="30" vm="1" t="e">
        <f>_xlfn._xlws.FILTER(辅助信息!D:D,辅助信息!E:E=B1107)</f>
        <v>#VALUE!</v>
      </c>
    </row>
    <row r="1108" hidden="1" spans="2:18">
      <c r="B1108" s="41" t="s">
        <v>127</v>
      </c>
      <c r="C1108" s="71">
        <v>45770</v>
      </c>
      <c r="D1108" s="41" t="str">
        <f>VLOOKUP(B1108,辅助信息!E:K,7,FALSE)</f>
        <v>JWDDCD2025051000019</v>
      </c>
      <c r="E1108" s="41" t="str">
        <f>VLOOKUP(F1108,辅助信息!A:B,2,FALSE)</f>
        <v>盘螺</v>
      </c>
      <c r="F1108" s="41" t="s">
        <v>49</v>
      </c>
      <c r="G1108" s="37">
        <v>20</v>
      </c>
      <c r="H1108" s="37" t="str">
        <f>_xlfn.XLOOKUP(C1108&amp;F1108&amp;I1108&amp;J1108,'[1]2025年已发货'!$F:$F&amp;'[1]2025年已发货'!$C:$C&amp;'[1]2025年已发货'!$G:$G&amp;'[1]2025年已发货'!$H:$H,'[1]2025年已发货'!$E:$E,"未发货")</f>
        <v>未发货</v>
      </c>
      <c r="I1108" s="41" t="str">
        <f>VLOOKUP(B1108,辅助信息!E:I,3,FALSE)</f>
        <v>(五冶钢构医学科学产业园建设项目房建三部-管网总坪)四川省南充市顺庆区搬罾街道学府大道二段</v>
      </c>
      <c r="J1108" s="41" t="str">
        <f>VLOOKUP(B1108,辅助信息!E:I,4,FALSE)</f>
        <v>郑林</v>
      </c>
      <c r="K1108" s="41">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190</v>
      </c>
      <c r="Q1108" s="30" t="str">
        <f>VLOOKUP(B1108,辅助信息!E:M,9,FALSE)</f>
        <v>ZTWM-CDGS-XS-2024-0248-五冶钢构-南充市医学院项目</v>
      </c>
      <c r="R1108" s="30" t="str">
        <f>_xlfn._xlws.FILTER(辅助信息!D:D,辅助信息!E:E=B1108)</f>
        <v>五冶钢构南充医学科学产业园建设项目</v>
      </c>
    </row>
    <row r="1109" hidden="1" spans="2:18">
      <c r="B1109" s="41" t="s">
        <v>127</v>
      </c>
      <c r="C1109" s="71">
        <v>45770</v>
      </c>
      <c r="D1109" s="41" t="str">
        <f>VLOOKUP(B1109,辅助信息!E:K,7,FALSE)</f>
        <v>JWDDCD2025051000019</v>
      </c>
      <c r="E1109" s="41" t="str">
        <f>VLOOKUP(F1109,辅助信息!A:B,2,FALSE)</f>
        <v>盘螺</v>
      </c>
      <c r="F1109" s="41" t="s">
        <v>40</v>
      </c>
      <c r="G1109" s="37">
        <v>2</v>
      </c>
      <c r="H1109" s="37" t="str">
        <f>_xlfn.XLOOKUP(C1109&amp;F1109&amp;I1109&amp;J1109,'[1]2025年已发货'!$F:$F&amp;'[1]2025年已发货'!$C:$C&amp;'[1]2025年已发货'!$G:$G&amp;'[1]2025年已发货'!$H:$H,'[1]2025年已发货'!$E:$E,"未发货")</f>
        <v>未发货</v>
      </c>
      <c r="I1109" s="41" t="str">
        <f>VLOOKUP(B1109,辅助信息!E:I,3,FALSE)</f>
        <v>(五冶钢构医学科学产业园建设项目房建三部-管网总坪)四川省南充市顺庆区搬罾街道学府大道二段</v>
      </c>
      <c r="J1109" s="41" t="str">
        <f>VLOOKUP(B1109,辅助信息!E:I,4,FALSE)</f>
        <v>郑林</v>
      </c>
      <c r="K1109" s="41">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190</v>
      </c>
      <c r="Q1109" s="30" t="str">
        <f>VLOOKUP(B1109,辅助信息!E:M,9,FALSE)</f>
        <v>ZTWM-CDGS-XS-2024-0248-五冶钢构-南充市医学院项目</v>
      </c>
      <c r="R1109" s="30" t="str">
        <f>_xlfn._xlws.FILTER(辅助信息!D:D,辅助信息!E:E=B1109)</f>
        <v>五冶钢构南充医学科学产业园建设项目</v>
      </c>
    </row>
    <row r="1110" hidden="1" spans="2:18">
      <c r="B1110" s="41" t="s">
        <v>127</v>
      </c>
      <c r="C1110" s="71">
        <v>45770</v>
      </c>
      <c r="D1110" s="41" t="str">
        <f>VLOOKUP(B1110,辅助信息!E:K,7,FALSE)</f>
        <v>JWDDCD2025051000019</v>
      </c>
      <c r="E1110" s="41" t="str">
        <f>VLOOKUP(F1110,辅助信息!A:B,2,FALSE)</f>
        <v>盘螺</v>
      </c>
      <c r="F1110" s="41" t="s">
        <v>41</v>
      </c>
      <c r="G1110" s="37">
        <v>3</v>
      </c>
      <c r="H1110" s="37" t="str">
        <f>_xlfn.XLOOKUP(C1110&amp;F1110&amp;I1110&amp;J1110,'[1]2025年已发货'!$F:$F&amp;'[1]2025年已发货'!$C:$C&amp;'[1]2025年已发货'!$G:$G&amp;'[1]2025年已发货'!$H:$H,'[1]2025年已发货'!$E:$E,"未发货")</f>
        <v>未发货</v>
      </c>
      <c r="I1110" s="41" t="str">
        <f>VLOOKUP(B1110,辅助信息!E:I,3,FALSE)</f>
        <v>(五冶钢构医学科学产业园建设项目房建三部-管网总坪)四川省南充市顺庆区搬罾街道学府大道二段</v>
      </c>
      <c r="J1110" s="41" t="str">
        <f>VLOOKUP(B1110,辅助信息!E:I,4,FALSE)</f>
        <v>郑林</v>
      </c>
      <c r="K1110" s="41">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190</v>
      </c>
      <c r="Q1110" s="30" t="str">
        <f>VLOOKUP(B1110,辅助信息!E:M,9,FALSE)</f>
        <v>ZTWM-CDGS-XS-2024-0248-五冶钢构-南充市医学院项目</v>
      </c>
      <c r="R1110" s="30" t="str">
        <f>_xlfn._xlws.FILTER(辅助信息!D:D,辅助信息!E:E=B1110)</f>
        <v>五冶钢构南充医学科学产业园建设项目</v>
      </c>
    </row>
    <row r="1111" hidden="1" spans="2:18">
      <c r="B1111" s="41" t="s">
        <v>127</v>
      </c>
      <c r="C1111" s="71">
        <v>45770</v>
      </c>
      <c r="D1111" s="41" t="str">
        <f>VLOOKUP(B1111,辅助信息!E:K,7,FALSE)</f>
        <v>JWDDCD2025051000019</v>
      </c>
      <c r="E1111" s="41" t="str">
        <f>VLOOKUP(F1111,辅助信息!A:B,2,FALSE)</f>
        <v>螺纹钢</v>
      </c>
      <c r="F1111" s="41" t="s">
        <v>27</v>
      </c>
      <c r="G1111" s="37">
        <v>10</v>
      </c>
      <c r="H1111" s="37" t="str">
        <f>_xlfn.XLOOKUP(C1111&amp;F1111&amp;I1111&amp;J1111,'[1]2025年已发货'!$F:$F&amp;'[1]2025年已发货'!$C:$C&amp;'[1]2025年已发货'!$G:$G&amp;'[1]2025年已发货'!$H:$H,'[1]2025年已发货'!$E:$E,"未发货")</f>
        <v>未发货</v>
      </c>
      <c r="I1111" s="41" t="str">
        <f>VLOOKUP(B1111,辅助信息!E:I,3,FALSE)</f>
        <v>(五冶钢构医学科学产业园建设项目房建三部-管网总坪)四川省南充市顺庆区搬罾街道学府大道二段</v>
      </c>
      <c r="J1111" s="41" t="str">
        <f>VLOOKUP(B1111,辅助信息!E:I,4,FALSE)</f>
        <v>郑林</v>
      </c>
      <c r="K1111" s="41">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190</v>
      </c>
      <c r="Q1111" s="30" t="str">
        <f>VLOOKUP(B1111,辅助信息!E:M,9,FALSE)</f>
        <v>ZTWM-CDGS-XS-2024-0248-五冶钢构-南充市医学院项目</v>
      </c>
      <c r="R1111" s="30" t="str">
        <f>_xlfn._xlws.FILTER(辅助信息!D:D,辅助信息!E:E=B1111)</f>
        <v>五冶钢构南充医学科学产业园建设项目</v>
      </c>
    </row>
    <row r="1112" hidden="1" spans="2:18">
      <c r="B1112" s="41" t="s">
        <v>104</v>
      </c>
      <c r="C1112" s="71">
        <v>45770</v>
      </c>
      <c r="D1112" s="41" t="str">
        <f>VLOOKUP(B1112,辅助信息!E:K,7,FALSE)</f>
        <v>JWDDCD2024101600090</v>
      </c>
      <c r="E1112" s="41" t="str">
        <f>VLOOKUP(F1112,辅助信息!A:B,2,FALSE)</f>
        <v>盘螺</v>
      </c>
      <c r="F1112" s="41" t="s">
        <v>40</v>
      </c>
      <c r="G1112" s="37">
        <v>2.5</v>
      </c>
      <c r="H1112" s="37" t="str">
        <f>_xlfn.XLOOKUP(C1112&amp;F1112&amp;I1112&amp;J1112,'[1]2025年已发货'!$F:$F&amp;'[1]2025年已发货'!$C:$C&amp;'[1]2025年已发货'!$G:$G&amp;'[1]2025年已发货'!$H:$H,'[1]2025年已发货'!$E:$E,"未发货")</f>
        <v>未发货</v>
      </c>
      <c r="I1112" s="41" t="str">
        <f>VLOOKUP(B1112,辅助信息!E:I,3,FALSE)</f>
        <v>（达州市公共卫生医疗中心项目-二标-78号楼）达州市通川区西外复兴镇公共卫生临床医疗中心项目</v>
      </c>
      <c r="J1112" s="41" t="str">
        <f>VLOOKUP(B1112,辅助信息!E:I,4,FALSE)</f>
        <v>黄永林</v>
      </c>
      <c r="K1112" s="41">
        <f>VLOOKUP(J1112,辅助信息!H:I,2,FALSE)</f>
        <v>15982487227</v>
      </c>
      <c r="L1112" s="110" t="str">
        <f>VLOOKUP(B1112,辅助信息!E:J,6,FALSE)</f>
        <v>提前联系到场规格,一天到场车辆不低于2车</v>
      </c>
      <c r="M1112" s="92">
        <v>45769</v>
      </c>
      <c r="O1112" s="63">
        <f ca="1" t="shared" si="40"/>
        <v>0</v>
      </c>
      <c r="P1112" s="63">
        <f ca="1" t="shared" si="39"/>
        <v>190</v>
      </c>
      <c r="Q1112" s="30" t="str">
        <f>VLOOKUP(B1112,辅助信息!E:M,9,FALSE)</f>
        <v>ZTWM-CDGS-XS-2024-0205-五冶钢构-达州市通川区西外复兴镇及临近片区建设项目</v>
      </c>
      <c r="R1112" s="30" t="str">
        <f>_xlfn._xlws.FILTER(辅助信息!D:D,辅助信息!E:E=B1112)</f>
        <v>五冶钢构达州市公共卫生临床医疗中心项目</v>
      </c>
    </row>
    <row r="1113" hidden="1" spans="2:18">
      <c r="B1113" s="41" t="s">
        <v>104</v>
      </c>
      <c r="C1113" s="71">
        <v>45770</v>
      </c>
      <c r="D1113" s="41" t="str">
        <f>VLOOKUP(B1113,辅助信息!E:K,7,FALSE)</f>
        <v>JWDDCD2024101600090</v>
      </c>
      <c r="E1113" s="41" t="str">
        <f>VLOOKUP(F1113,辅助信息!A:B,2,FALSE)</f>
        <v>盘螺</v>
      </c>
      <c r="F1113" s="41" t="s">
        <v>41</v>
      </c>
      <c r="G1113" s="37">
        <v>2.5</v>
      </c>
      <c r="H1113" s="37" t="str">
        <f>_xlfn.XLOOKUP(C1113&amp;F1113&amp;I1113&amp;J1113,'[1]2025年已发货'!$F:$F&amp;'[1]2025年已发货'!$C:$C&amp;'[1]2025年已发货'!$G:$G&amp;'[1]2025年已发货'!$H:$H,'[1]2025年已发货'!$E:$E,"未发货")</f>
        <v>未发货</v>
      </c>
      <c r="I1113" s="41" t="str">
        <f>VLOOKUP(B1113,辅助信息!E:I,3,FALSE)</f>
        <v>（达州市公共卫生医疗中心项目-二标-78号楼）达州市通川区西外复兴镇公共卫生临床医疗中心项目</v>
      </c>
      <c r="J1113" s="41" t="str">
        <f>VLOOKUP(B1113,辅助信息!E:I,4,FALSE)</f>
        <v>黄永林</v>
      </c>
      <c r="K1113" s="41">
        <f>VLOOKUP(J1113,辅助信息!H:I,2,FALSE)</f>
        <v>15982487227</v>
      </c>
      <c r="L1113" s="110" t="str">
        <f>VLOOKUP(B1113,辅助信息!E:J,6,FALSE)</f>
        <v>提前联系到场规格,一天到场车辆不低于2车</v>
      </c>
      <c r="M1113" s="92">
        <v>45769</v>
      </c>
      <c r="O1113" s="63">
        <f ca="1" t="shared" si="40"/>
        <v>0</v>
      </c>
      <c r="P1113" s="63">
        <f ca="1" t="shared" si="39"/>
        <v>190</v>
      </c>
      <c r="Q1113" s="30" t="str">
        <f>VLOOKUP(B1113,辅助信息!E:M,9,FALSE)</f>
        <v>ZTWM-CDGS-XS-2024-0205-五冶钢构-达州市通川区西外复兴镇及临近片区建设项目</v>
      </c>
      <c r="R1113" s="30" t="str">
        <f>_xlfn._xlws.FILTER(辅助信息!D:D,辅助信息!E:E=B1113)</f>
        <v>五冶钢构达州市公共卫生临床医疗中心项目</v>
      </c>
    </row>
    <row r="1114" hidden="1" spans="2:18">
      <c r="B1114" s="41" t="s">
        <v>104</v>
      </c>
      <c r="C1114" s="71">
        <v>45770</v>
      </c>
      <c r="D1114" s="41" t="str">
        <f>VLOOKUP(B1114,辅助信息!E:K,7,FALSE)</f>
        <v>JWDDCD2024101600090</v>
      </c>
      <c r="E1114" s="41" t="str">
        <f>VLOOKUP(F1114,辅助信息!A:B,2,FALSE)</f>
        <v>螺纹钢</v>
      </c>
      <c r="F1114" s="41" t="s">
        <v>27</v>
      </c>
      <c r="G1114" s="37">
        <v>24</v>
      </c>
      <c r="H1114" s="37" t="str">
        <f>_xlfn.XLOOKUP(C1114&amp;F1114&amp;I1114&amp;J1114,'[1]2025年已发货'!$F:$F&amp;'[1]2025年已发货'!$C:$C&amp;'[1]2025年已发货'!$G:$G&amp;'[1]2025年已发货'!$H:$H,'[1]2025年已发货'!$E:$E,"未发货")</f>
        <v>未发货</v>
      </c>
      <c r="I1114" s="41" t="str">
        <f>VLOOKUP(B1114,辅助信息!E:I,3,FALSE)</f>
        <v>（达州市公共卫生医疗中心项目-二标-78号楼）达州市通川区西外复兴镇公共卫生临床医疗中心项目</v>
      </c>
      <c r="J1114" s="41" t="str">
        <f>VLOOKUP(B1114,辅助信息!E:I,4,FALSE)</f>
        <v>黄永林</v>
      </c>
      <c r="K1114" s="41">
        <f>VLOOKUP(J1114,辅助信息!H:I,2,FALSE)</f>
        <v>15982487227</v>
      </c>
      <c r="L1114" s="110" t="str">
        <f>VLOOKUP(B1114,辅助信息!E:J,6,FALSE)</f>
        <v>提前联系到场规格,一天到场车辆不低于2车</v>
      </c>
      <c r="M1114" s="92">
        <v>45769</v>
      </c>
      <c r="O1114" s="63">
        <f ca="1" t="shared" si="40"/>
        <v>0</v>
      </c>
      <c r="P1114" s="63">
        <f ca="1" t="shared" si="39"/>
        <v>190</v>
      </c>
      <c r="Q1114" s="30" t="str">
        <f>VLOOKUP(B1114,辅助信息!E:M,9,FALSE)</f>
        <v>ZTWM-CDGS-XS-2024-0205-五冶钢构-达州市通川区西外复兴镇及临近片区建设项目</v>
      </c>
      <c r="R1114" s="30" t="str">
        <f>_xlfn._xlws.FILTER(辅助信息!D:D,辅助信息!E:E=B1114)</f>
        <v>五冶钢构达州市公共卫生临床医疗中心项目</v>
      </c>
    </row>
    <row r="1115" hidden="1" spans="2:18">
      <c r="B1115" s="41" t="s">
        <v>104</v>
      </c>
      <c r="C1115" s="71">
        <v>45770</v>
      </c>
      <c r="D1115" s="41" t="str">
        <f>VLOOKUP(B1115,辅助信息!E:K,7,FALSE)</f>
        <v>JWDDCD2024101600090</v>
      </c>
      <c r="E1115" s="41" t="str">
        <f>VLOOKUP(F1115,辅助信息!A:B,2,FALSE)</f>
        <v>螺纹钢</v>
      </c>
      <c r="F1115" s="41" t="s">
        <v>19</v>
      </c>
      <c r="G1115" s="37">
        <v>6</v>
      </c>
      <c r="H1115" s="37" t="str">
        <f>_xlfn.XLOOKUP(C1115&amp;F1115&amp;I1115&amp;J1115,'[1]2025年已发货'!$F:$F&amp;'[1]2025年已发货'!$C:$C&amp;'[1]2025年已发货'!$G:$G&amp;'[1]2025年已发货'!$H:$H,'[1]2025年已发货'!$E:$E,"未发货")</f>
        <v>未发货</v>
      </c>
      <c r="I1115" s="41" t="str">
        <f>VLOOKUP(B1115,辅助信息!E:I,3,FALSE)</f>
        <v>（达州市公共卫生医疗中心项目-二标-78号楼）达州市通川区西外复兴镇公共卫生临床医疗中心项目</v>
      </c>
      <c r="J1115" s="41" t="str">
        <f>VLOOKUP(B1115,辅助信息!E:I,4,FALSE)</f>
        <v>黄永林</v>
      </c>
      <c r="K1115" s="41">
        <f>VLOOKUP(J1115,辅助信息!H:I,2,FALSE)</f>
        <v>15982487227</v>
      </c>
      <c r="L1115" s="110" t="str">
        <f>VLOOKUP(B1115,辅助信息!E:J,6,FALSE)</f>
        <v>提前联系到场规格,一天到场车辆不低于2车</v>
      </c>
      <c r="M1115" s="92">
        <v>45769</v>
      </c>
      <c r="O1115" s="63">
        <f ca="1" t="shared" si="40"/>
        <v>0</v>
      </c>
      <c r="P1115" s="63">
        <f ca="1" t="shared" si="39"/>
        <v>190</v>
      </c>
      <c r="Q1115" s="30" t="str">
        <f>VLOOKUP(B1115,辅助信息!E:M,9,FALSE)</f>
        <v>ZTWM-CDGS-XS-2024-0205-五冶钢构-达州市通川区西外复兴镇及临近片区建设项目</v>
      </c>
      <c r="R1115" s="30" t="str">
        <f>_xlfn._xlws.FILTER(辅助信息!D:D,辅助信息!E:E=B1115)</f>
        <v>五冶钢构达州市公共卫生临床医疗中心项目</v>
      </c>
    </row>
    <row r="1116" hidden="1" spans="1:18">
      <c r="A1116" s="63">
        <f t="shared" ref="A1116:A1122" si="41">G1116-H1116</f>
        <v>0</v>
      </c>
      <c r="B1116" s="41" t="s">
        <v>129</v>
      </c>
      <c r="C1116" s="71">
        <v>45770</v>
      </c>
      <c r="D1116" s="41" t="e">
        <f>VLOOKUP(B1116,辅助信息!E:K,7,FALSE)</f>
        <v>#N/A</v>
      </c>
      <c r="E1116" s="41" t="str">
        <f>VLOOKUP(F1116,辅助信息!A:B,2,FALSE)</f>
        <v>螺纹钢</v>
      </c>
      <c r="F1116" s="41" t="s">
        <v>32</v>
      </c>
      <c r="G1116" s="37">
        <v>35</v>
      </c>
      <c r="H1116" s="37">
        <v>35</v>
      </c>
      <c r="I1116" s="41" t="e">
        <f>VLOOKUP(B1116,辅助信息!E:I,3,FALSE)</f>
        <v>#N/A</v>
      </c>
      <c r="J1116" s="41" t="e">
        <f>VLOOKUP(B1116,辅助信息!E:I,4,FALSE)</f>
        <v>#N/A</v>
      </c>
      <c r="K1116" s="41" t="e">
        <f>VLOOKUP(J1116,辅助信息!H:I,2,FALSE)</f>
        <v>#N/A</v>
      </c>
      <c r="L1116" s="110" t="e">
        <f>VLOOKUP(B1116,辅助信息!E:J,6,FALSE)</f>
        <v>#N/A</v>
      </c>
      <c r="M1116" s="92">
        <v>45769</v>
      </c>
      <c r="O1116" s="63">
        <f ca="1" t="shared" si="40"/>
        <v>0</v>
      </c>
      <c r="P1116" s="63">
        <f ca="1" t="shared" si="39"/>
        <v>190</v>
      </c>
      <c r="Q1116" s="30" t="e">
        <f>VLOOKUP(B1116,辅助信息!E:M,9,FALSE)</f>
        <v>#N/A</v>
      </c>
      <c r="R1116" s="30" vm="1" t="e">
        <f>_xlfn._xlws.FILTER(辅助信息!D:D,辅助信息!E:E=B1116)</f>
        <v>#VALUE!</v>
      </c>
    </row>
    <row r="1117" hidden="1" spans="1:18">
      <c r="A1117" s="63">
        <f t="shared" si="41"/>
        <v>0</v>
      </c>
      <c r="B1117" s="41" t="s">
        <v>129</v>
      </c>
      <c r="C1117" s="71">
        <v>45770</v>
      </c>
      <c r="D1117" s="41" t="e">
        <f>VLOOKUP(B1117,辅助信息!E:K,7,FALSE)</f>
        <v>#N/A</v>
      </c>
      <c r="E1117" s="41" t="str">
        <f>VLOOKUP(F1117,辅助信息!A:B,2,FALSE)</f>
        <v>螺纹钢</v>
      </c>
      <c r="F1117" s="41" t="s">
        <v>90</v>
      </c>
      <c r="G1117" s="37">
        <v>70</v>
      </c>
      <c r="H1117" s="37">
        <v>70</v>
      </c>
      <c r="I1117" s="41" t="e">
        <f>VLOOKUP(B1117,辅助信息!E:I,3,FALSE)</f>
        <v>#N/A</v>
      </c>
      <c r="J1117" s="41" t="e">
        <f>VLOOKUP(B1117,辅助信息!E:I,4,FALSE)</f>
        <v>#N/A</v>
      </c>
      <c r="K1117" s="41" t="e">
        <f>VLOOKUP(J1117,辅助信息!H:I,2,FALSE)</f>
        <v>#N/A</v>
      </c>
      <c r="L1117" s="110" t="e">
        <f>VLOOKUP(B1117,辅助信息!E:J,6,FALSE)</f>
        <v>#N/A</v>
      </c>
      <c r="M1117" s="92">
        <v>45769</v>
      </c>
      <c r="O1117" s="63">
        <f ca="1" t="shared" si="40"/>
        <v>0</v>
      </c>
      <c r="P1117" s="63">
        <f ca="1" t="shared" si="39"/>
        <v>190</v>
      </c>
      <c r="Q1117" s="30" t="e">
        <f>VLOOKUP(B1117,辅助信息!E:M,9,FALSE)</f>
        <v>#N/A</v>
      </c>
      <c r="R1117" s="30" vm="1" t="e">
        <f>_xlfn._xlws.FILTER(辅助信息!D:D,辅助信息!E:E=B1117)</f>
        <v>#VALUE!</v>
      </c>
    </row>
    <row r="1118" hidden="1" spans="1:18">
      <c r="A1118" s="63">
        <f t="shared" si="41"/>
        <v>0</v>
      </c>
      <c r="B1118" s="41" t="s">
        <v>129</v>
      </c>
      <c r="C1118" s="71">
        <v>45770</v>
      </c>
      <c r="D1118" s="41" t="e">
        <f>VLOOKUP(B1118,辅助信息!E:K,7,FALSE)</f>
        <v>#N/A</v>
      </c>
      <c r="E1118" s="41" t="str">
        <f>VLOOKUP(F1118,辅助信息!A:B,2,FALSE)</f>
        <v>螺纹钢</v>
      </c>
      <c r="F1118" s="41" t="s">
        <v>130</v>
      </c>
      <c r="G1118" s="37">
        <v>35</v>
      </c>
      <c r="H1118" s="37">
        <v>35</v>
      </c>
      <c r="I1118" s="41" t="e">
        <f>VLOOKUP(B1118,辅助信息!E:I,3,FALSE)</f>
        <v>#N/A</v>
      </c>
      <c r="J1118" s="41" t="e">
        <f>VLOOKUP(B1118,辅助信息!E:I,4,FALSE)</f>
        <v>#N/A</v>
      </c>
      <c r="K1118" s="41" t="e">
        <f>VLOOKUP(J1118,辅助信息!H:I,2,FALSE)</f>
        <v>#N/A</v>
      </c>
      <c r="L1118" s="110" t="e">
        <f>VLOOKUP(B1118,辅助信息!E:J,6,FALSE)</f>
        <v>#N/A</v>
      </c>
      <c r="M1118" s="92">
        <v>45769</v>
      </c>
      <c r="O1118" s="63">
        <f ca="1" t="shared" si="40"/>
        <v>0</v>
      </c>
      <c r="P1118" s="63">
        <f ca="1" t="shared" si="39"/>
        <v>190</v>
      </c>
      <c r="Q1118" s="30" t="e">
        <f>VLOOKUP(B1118,辅助信息!E:M,9,FALSE)</f>
        <v>#N/A</v>
      </c>
      <c r="R1118" s="30" vm="1" t="e">
        <f>_xlfn._xlws.FILTER(辅助信息!D:D,辅助信息!E:E=B1118)</f>
        <v>#VALUE!</v>
      </c>
    </row>
    <row r="1119" hidden="1" spans="1:18">
      <c r="A1119" s="63">
        <f t="shared" si="41"/>
        <v>0</v>
      </c>
      <c r="B1119" s="41" t="s">
        <v>131</v>
      </c>
      <c r="C1119" s="71">
        <v>45770</v>
      </c>
      <c r="D1119" s="41" t="str">
        <f>VLOOKUP(B1119,辅助信息!E:K,7,FALSE)</f>
        <v>JWDDCD2025050800080</v>
      </c>
      <c r="E1119" s="41" t="str">
        <f>VLOOKUP(F1119,辅助信息!A:B,2,FALSE)</f>
        <v>螺纹钢</v>
      </c>
      <c r="F1119" s="41" t="s">
        <v>130</v>
      </c>
      <c r="G1119" s="37">
        <v>105</v>
      </c>
      <c r="H1119" s="37">
        <f>_xlfn.XLOOKUP(C1119&amp;F1119&amp;I1119&amp;J1119,'[1]2025年已发货'!$F:$F&amp;'[1]2025年已发货'!$C:$C&amp;'[1]2025年已发货'!$G:$G&amp;'[1]2025年已发货'!$H:$H,'[1]2025年已发货'!$E:$E,"未发货")</f>
        <v>105</v>
      </c>
      <c r="I1119" s="41" t="str">
        <f>VLOOKUP(B1119,辅助信息!E:I,3,FALSE)</f>
        <v>(宜宾兴港三江新区长江工业园建设项目-11#厂房)宜宾市翠屏区宜宾汽车零部件配套产业基地(纬五路南)</v>
      </c>
      <c r="J1119" s="41" t="str">
        <f>VLOOKUP(B1119,辅助信息!E:I,4,FALSE)</f>
        <v>严石林</v>
      </c>
      <c r="K1119" s="41">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190</v>
      </c>
      <c r="Q1119" s="30" t="str">
        <f>VLOOKUP(B1119,辅助信息!E:M,9,FALSE)</f>
        <v>ZTWM-CDGS-XS-2025-0059-宜宾兴港建材-宜宾冷链项目</v>
      </c>
      <c r="R1119" s="30" t="str">
        <f>_xlfn._xlws.FILTER(辅助信息!D:D,辅助信息!E:E=B1119)</f>
        <v>宜宾兴港三江新区长江工业园建设项目</v>
      </c>
    </row>
    <row r="1120" hidden="1" spans="1:18">
      <c r="A1120" s="63">
        <f t="shared" si="41"/>
        <v>0</v>
      </c>
      <c r="B1120" s="41" t="s">
        <v>132</v>
      </c>
      <c r="C1120" s="71">
        <v>45770</v>
      </c>
      <c r="D1120" s="41" t="str">
        <f>VLOOKUP(B1120,辅助信息!E:K,7,FALSE)</f>
        <v>JWDDCD2025050800080</v>
      </c>
      <c r="E1120" s="41" t="str">
        <f>VLOOKUP(F1120,辅助信息!A:B,2,FALSE)</f>
        <v>螺纹钢</v>
      </c>
      <c r="F1120" s="41" t="s">
        <v>76</v>
      </c>
      <c r="G1120" s="37">
        <v>12</v>
      </c>
      <c r="H1120" s="37">
        <f>_xlfn.XLOOKUP(C1120&amp;F1120&amp;I1120&amp;J1120,'[1]2025年已发货'!$F:$F&amp;'[1]2025年已发货'!$C:$C&amp;'[1]2025年已发货'!$G:$G&amp;'[1]2025年已发货'!$H:$H,'[1]2025年已发货'!$E:$E,"未发货")</f>
        <v>12</v>
      </c>
      <c r="I1120" s="41" t="str">
        <f>VLOOKUP(B1120,辅助信息!E:I,3,FALSE)</f>
        <v>(宜宾兴港三江新区长江工业园建设项目-9#厂房)宜宾市翠屏区宜宾汽车零部件配套产业基地(纬五路南)</v>
      </c>
      <c r="J1120" s="41" t="str">
        <f>VLOOKUP(B1120,辅助信息!E:I,4,FALSE)</f>
        <v>严石林</v>
      </c>
      <c r="K1120" s="41">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190</v>
      </c>
      <c r="Q1120" s="30" t="str">
        <f>VLOOKUP(B1120,辅助信息!E:M,9,FALSE)</f>
        <v>ZTWM-CDGS-XS-2025-0059-宜宾兴港建材-宜宾冷链项目</v>
      </c>
      <c r="R1120" s="30" t="str">
        <f>_xlfn._xlws.FILTER(辅助信息!D:D,辅助信息!E:E=B1120)</f>
        <v>宜宾兴港三江新区长江工业园建设项目</v>
      </c>
    </row>
    <row r="1121" hidden="1" spans="1:18">
      <c r="A1121" s="63">
        <f t="shared" si="41"/>
        <v>0</v>
      </c>
      <c r="B1121" s="41" t="s">
        <v>132</v>
      </c>
      <c r="C1121" s="71">
        <v>45770</v>
      </c>
      <c r="D1121" s="41" t="str">
        <f>VLOOKUP(B1121,辅助信息!E:K,7,FALSE)</f>
        <v>JWDDCD2025050800080</v>
      </c>
      <c r="E1121" s="41" t="str">
        <f>VLOOKUP(F1121,辅助信息!A:B,2,FALSE)</f>
        <v>螺纹钢</v>
      </c>
      <c r="F1121" s="41" t="s">
        <v>133</v>
      </c>
      <c r="G1121" s="37">
        <v>75</v>
      </c>
      <c r="H1121" s="37">
        <f>_xlfn.XLOOKUP(C1121&amp;F1121&amp;I1121&amp;J1121,'[1]2025年已发货'!$F:$F&amp;'[1]2025年已发货'!$C:$C&amp;'[1]2025年已发货'!$G:$G&amp;'[1]2025年已发货'!$H:$H,'[1]2025年已发货'!$E:$E,"未发货")</f>
        <v>75</v>
      </c>
      <c r="I1121" s="41" t="str">
        <f>VLOOKUP(B1121,辅助信息!E:I,3,FALSE)</f>
        <v>(宜宾兴港三江新区长江工业园建设项目-9#厂房)宜宾市翠屏区宜宾汽车零部件配套产业基地(纬五路南)</v>
      </c>
      <c r="J1121" s="41" t="str">
        <f>VLOOKUP(B1121,辅助信息!E:I,4,FALSE)</f>
        <v>严石林</v>
      </c>
      <c r="K1121" s="41">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190</v>
      </c>
      <c r="Q1121" s="30" t="str">
        <f>VLOOKUP(B1121,辅助信息!E:M,9,FALSE)</f>
        <v>ZTWM-CDGS-XS-2025-0059-宜宾兴港建材-宜宾冷链项目</v>
      </c>
      <c r="R1121" s="30" t="str">
        <f>_xlfn._xlws.FILTER(辅助信息!D:D,辅助信息!E:E=B1121)</f>
        <v>宜宾兴港三江新区长江工业园建设项目</v>
      </c>
    </row>
    <row r="1122" hidden="1" spans="1:18">
      <c r="A1122" s="63">
        <f t="shared" si="41"/>
        <v>0</v>
      </c>
      <c r="B1122" s="41" t="s">
        <v>132</v>
      </c>
      <c r="C1122" s="71">
        <v>45770</v>
      </c>
      <c r="D1122" s="41" t="str">
        <f>VLOOKUP(B1122,辅助信息!E:K,7,FALSE)</f>
        <v>JWDDCD2025050800080</v>
      </c>
      <c r="E1122" s="41" t="str">
        <f>VLOOKUP(F1122,辅助信息!A:B,2,FALSE)</f>
        <v>螺纹钢</v>
      </c>
      <c r="F1122" s="41" t="s">
        <v>91</v>
      </c>
      <c r="G1122" s="37">
        <v>18</v>
      </c>
      <c r="H1122" s="37">
        <f>_xlfn.XLOOKUP(C1122&amp;F1122&amp;I1122&amp;J1122,'[1]2025年已发货'!$F:$F&amp;'[1]2025年已发货'!$C:$C&amp;'[1]2025年已发货'!$G:$G&amp;'[1]2025年已发货'!$H:$H,'[1]2025年已发货'!$E:$E,"未发货")</f>
        <v>18</v>
      </c>
      <c r="I1122" s="41" t="str">
        <f>VLOOKUP(B1122,辅助信息!E:I,3,FALSE)</f>
        <v>(宜宾兴港三江新区长江工业园建设项目-9#厂房)宜宾市翠屏区宜宾汽车零部件配套产业基地(纬五路南)</v>
      </c>
      <c r="J1122" s="41" t="str">
        <f>VLOOKUP(B1122,辅助信息!E:I,4,FALSE)</f>
        <v>严石林</v>
      </c>
      <c r="K1122" s="41">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190</v>
      </c>
      <c r="Q1122" s="30" t="str">
        <f>VLOOKUP(B1122,辅助信息!E:M,9,FALSE)</f>
        <v>ZTWM-CDGS-XS-2025-0059-宜宾兴港建材-宜宾冷链项目</v>
      </c>
      <c r="R1122" s="30" t="str">
        <f>_xlfn._xlws.FILTER(辅助信息!D:D,辅助信息!E:E=B1122)</f>
        <v>宜宾兴港三江新区长江工业园建设项目</v>
      </c>
    </row>
    <row r="1123" hidden="1" spans="2:18">
      <c r="B1123" s="41" t="s">
        <v>31</v>
      </c>
      <c r="C1123" s="71">
        <v>45770</v>
      </c>
      <c r="D1123" s="41" t="str">
        <f>VLOOKUP(B1123,辅助信息!E:K,7,FALSE)</f>
        <v>JWDDCD2024121000136</v>
      </c>
      <c r="E1123" s="41" t="str">
        <f>VLOOKUP(F1123,辅助信息!A:B,2,FALSE)</f>
        <v>盘螺</v>
      </c>
      <c r="F1123" s="41" t="s">
        <v>40</v>
      </c>
      <c r="G1123" s="37">
        <v>24</v>
      </c>
      <c r="H1123" s="37">
        <f>_xlfn.XLOOKUP(C1123&amp;F1123&amp;I1123&amp;J1123,'[1]2025年已发货'!$F:$F&amp;'[1]2025年已发货'!$C:$C&amp;'[1]2025年已发货'!$G:$G&amp;'[1]2025年已发货'!$H:$H,'[1]2025年已发货'!$E:$E,"未发货")</f>
        <v>24</v>
      </c>
      <c r="I1123" s="41" t="str">
        <f>VLOOKUP(B1123,辅助信息!E:I,3,FALSE)</f>
        <v>（四川商建-射洪城乡一体化项目）遂宁市射洪市忠新幼儿园北侧约220米新溪小区</v>
      </c>
      <c r="J1123" s="41" t="str">
        <f>VLOOKUP(B1123,辅助信息!E:I,4,FALSE)</f>
        <v>柏子刚</v>
      </c>
      <c r="K1123" s="41">
        <f>VLOOKUP(J1123,辅助信息!H:I,2,FALSE)</f>
        <v>15692885305</v>
      </c>
      <c r="L1123" s="110" t="str">
        <f>VLOOKUP(B1123,辅助信息!E:J,6,FALSE)</f>
        <v>提前联系到场规格及数量</v>
      </c>
      <c r="M1123" s="92">
        <v>45769</v>
      </c>
      <c r="O1123" s="63">
        <f ca="1" t="shared" si="40"/>
        <v>0</v>
      </c>
      <c r="P1123" s="63">
        <f ca="1" t="shared" si="39"/>
        <v>190</v>
      </c>
      <c r="Q1123" s="30" t="str">
        <f>VLOOKUP(B1123,辅助信息!E:M,9,FALSE)</f>
        <v>ZTWM-CDGS-XS-2024-0179-四川商投-射洪城乡一体化建设项目</v>
      </c>
      <c r="R1123" s="30" t="str">
        <f>_xlfn._xlws.FILTER(辅助信息!D:D,辅助信息!E:E=B1123)</f>
        <v>四川商建
射洪城乡一体化项目</v>
      </c>
    </row>
    <row r="1124" hidden="1" spans="2:18">
      <c r="B1124" s="41" t="s">
        <v>31</v>
      </c>
      <c r="C1124" s="71">
        <v>45770</v>
      </c>
      <c r="D1124" s="41" t="str">
        <f>VLOOKUP(B1124,辅助信息!E:K,7,FALSE)</f>
        <v>JWDDCD2024121000136</v>
      </c>
      <c r="E1124" s="41" t="str">
        <f>VLOOKUP(F1124,辅助信息!A:B,2,FALSE)</f>
        <v>盘螺</v>
      </c>
      <c r="F1124" s="41" t="s">
        <v>41</v>
      </c>
      <c r="G1124" s="37">
        <v>9</v>
      </c>
      <c r="H1124" s="37">
        <f>_xlfn.XLOOKUP(C1124&amp;F1124&amp;I1124&amp;J1124,'[1]2025年已发货'!$F:$F&amp;'[1]2025年已发货'!$C:$C&amp;'[1]2025年已发货'!$G:$G&amp;'[1]2025年已发货'!$H:$H,'[1]2025年已发货'!$E:$E,"未发货")</f>
        <v>8</v>
      </c>
      <c r="I1124" s="41" t="str">
        <f>VLOOKUP(B1124,辅助信息!E:I,3,FALSE)</f>
        <v>（四川商建-射洪城乡一体化项目）遂宁市射洪市忠新幼儿园北侧约220米新溪小区</v>
      </c>
      <c r="J1124" s="41" t="str">
        <f>VLOOKUP(B1124,辅助信息!E:I,4,FALSE)</f>
        <v>柏子刚</v>
      </c>
      <c r="K1124" s="41">
        <f>VLOOKUP(J1124,辅助信息!H:I,2,FALSE)</f>
        <v>15692885305</v>
      </c>
      <c r="L1124" s="110" t="str">
        <f>VLOOKUP(B1124,辅助信息!E:J,6,FALSE)</f>
        <v>提前联系到场规格及数量</v>
      </c>
      <c r="M1124" s="92">
        <v>45769</v>
      </c>
      <c r="O1124" s="63">
        <f ca="1" t="shared" si="40"/>
        <v>0</v>
      </c>
      <c r="P1124" s="63">
        <f ca="1" t="shared" si="39"/>
        <v>190</v>
      </c>
      <c r="Q1124" s="30" t="str">
        <f>VLOOKUP(B1124,辅助信息!E:M,9,FALSE)</f>
        <v>ZTWM-CDGS-XS-2024-0179-四川商投-射洪城乡一体化建设项目</v>
      </c>
      <c r="R1124" s="30" t="str">
        <f>_xlfn._xlws.FILTER(辅助信息!D:D,辅助信息!E:E=B1124)</f>
        <v>四川商建
射洪城乡一体化项目</v>
      </c>
    </row>
    <row r="1125" hidden="1" spans="2:18">
      <c r="B1125" s="41" t="s">
        <v>31</v>
      </c>
      <c r="C1125" s="71">
        <v>45770</v>
      </c>
      <c r="D1125" s="41" t="str">
        <f>VLOOKUP(B1125,辅助信息!E:K,7,FALSE)</f>
        <v>JWDDCD2024121000136</v>
      </c>
      <c r="E1125" s="41" t="str">
        <f>VLOOKUP(F1125,辅助信息!A:B,2,FALSE)</f>
        <v>螺纹钢</v>
      </c>
      <c r="F1125" s="41" t="s">
        <v>32</v>
      </c>
      <c r="G1125" s="37">
        <v>70</v>
      </c>
      <c r="H1125" s="37">
        <f>_xlfn.XLOOKUP(C1125&amp;F1125&amp;I1125&amp;J1125,'[1]2025年已发货'!$F:$F&amp;'[1]2025年已发货'!$C:$C&amp;'[1]2025年已发货'!$G:$G&amp;'[1]2025年已发货'!$H:$H,'[1]2025年已发货'!$E:$E,"未发货")</f>
        <v>70</v>
      </c>
      <c r="I1125" s="41" t="str">
        <f>VLOOKUP(B1125,辅助信息!E:I,3,FALSE)</f>
        <v>（四川商建-射洪城乡一体化项目）遂宁市射洪市忠新幼儿园北侧约220米新溪小区</v>
      </c>
      <c r="J1125" s="41" t="str">
        <f>VLOOKUP(B1125,辅助信息!E:I,4,FALSE)</f>
        <v>柏子刚</v>
      </c>
      <c r="K1125" s="41">
        <f>VLOOKUP(J1125,辅助信息!H:I,2,FALSE)</f>
        <v>15692885305</v>
      </c>
      <c r="L1125" s="110" t="str">
        <f>VLOOKUP(B1125,辅助信息!E:J,6,FALSE)</f>
        <v>提前联系到场规格及数量</v>
      </c>
      <c r="M1125" s="92">
        <v>45769</v>
      </c>
      <c r="O1125" s="63">
        <f ca="1" t="shared" si="40"/>
        <v>0</v>
      </c>
      <c r="P1125" s="63">
        <f ca="1" t="shared" si="39"/>
        <v>190</v>
      </c>
      <c r="Q1125" s="30" t="str">
        <f>VLOOKUP(B1125,辅助信息!E:M,9,FALSE)</f>
        <v>ZTWM-CDGS-XS-2024-0179-四川商投-射洪城乡一体化建设项目</v>
      </c>
      <c r="R1125" s="30" t="str">
        <f>_xlfn._xlws.FILTER(辅助信息!D:D,辅助信息!E:E=B1125)</f>
        <v>四川商建
射洪城乡一体化项目</v>
      </c>
    </row>
    <row r="1126" hidden="1" spans="2:18">
      <c r="B1126" s="41" t="s">
        <v>31</v>
      </c>
      <c r="C1126" s="71">
        <v>45770</v>
      </c>
      <c r="D1126" s="41" t="str">
        <f>VLOOKUP(B1126,辅助信息!E:K,7,FALSE)</f>
        <v>JWDDCD2024121000136</v>
      </c>
      <c r="E1126" s="41" t="str">
        <f>VLOOKUP(F1126,辅助信息!A:B,2,FALSE)</f>
        <v>螺纹钢</v>
      </c>
      <c r="F1126" s="41" t="s">
        <v>30</v>
      </c>
      <c r="G1126" s="37">
        <v>9</v>
      </c>
      <c r="H1126" s="37">
        <f>_xlfn.XLOOKUP(C1126&amp;F1126&amp;I1126&amp;J1126,'[1]2025年已发货'!$F:$F&amp;'[1]2025年已发货'!$C:$C&amp;'[1]2025年已发货'!$G:$G&amp;'[1]2025年已发货'!$H:$H,'[1]2025年已发货'!$E:$E,"未发货")</f>
        <v>10</v>
      </c>
      <c r="I1126" s="41" t="str">
        <f>VLOOKUP(B1126,辅助信息!E:I,3,FALSE)</f>
        <v>（四川商建-射洪城乡一体化项目）遂宁市射洪市忠新幼儿园北侧约220米新溪小区</v>
      </c>
      <c r="J1126" s="41" t="str">
        <f>VLOOKUP(B1126,辅助信息!E:I,4,FALSE)</f>
        <v>柏子刚</v>
      </c>
      <c r="K1126" s="41">
        <f>VLOOKUP(J1126,辅助信息!H:I,2,FALSE)</f>
        <v>15692885305</v>
      </c>
      <c r="L1126" s="110" t="str">
        <f>VLOOKUP(B1126,辅助信息!E:J,6,FALSE)</f>
        <v>提前联系到场规格及数量</v>
      </c>
      <c r="M1126" s="92">
        <v>45769</v>
      </c>
      <c r="O1126" s="63">
        <f ca="1" t="shared" si="40"/>
        <v>0</v>
      </c>
      <c r="P1126" s="63">
        <f ca="1" t="shared" si="39"/>
        <v>190</v>
      </c>
      <c r="Q1126" s="30" t="str">
        <f>VLOOKUP(B1126,辅助信息!E:M,9,FALSE)</f>
        <v>ZTWM-CDGS-XS-2024-0179-四川商投-射洪城乡一体化建设项目</v>
      </c>
      <c r="R1126" s="30" t="str">
        <f>_xlfn._xlws.FILTER(辅助信息!D:D,辅助信息!E:E=B1126)</f>
        <v>四川商建
射洪城乡一体化项目</v>
      </c>
    </row>
    <row r="1127" hidden="1" spans="2:18">
      <c r="B1127" s="41" t="s">
        <v>31</v>
      </c>
      <c r="C1127" s="71">
        <v>45770</v>
      </c>
      <c r="D1127" s="41" t="str">
        <f>VLOOKUP(B1127,辅助信息!E:K,7,FALSE)</f>
        <v>JWDDCD2024121000136</v>
      </c>
      <c r="E1127" s="41" t="str">
        <f>VLOOKUP(F1127,辅助信息!A:B,2,FALSE)</f>
        <v>螺纹钢</v>
      </c>
      <c r="F1127" s="41" t="s">
        <v>28</v>
      </c>
      <c r="G1127" s="37">
        <v>48</v>
      </c>
      <c r="H1127" s="37">
        <f>_xlfn.XLOOKUP(C1127&amp;F1127&amp;I1127&amp;J1127,'[1]2025年已发货'!$F:$F&amp;'[1]2025年已发货'!$C:$C&amp;'[1]2025年已发货'!$G:$G&amp;'[1]2025年已发货'!$H:$H,'[1]2025年已发货'!$E:$E,"未发货")</f>
        <v>24</v>
      </c>
      <c r="I1127" s="41" t="str">
        <f>VLOOKUP(B1127,辅助信息!E:I,3,FALSE)</f>
        <v>（四川商建-射洪城乡一体化项目）遂宁市射洪市忠新幼儿园北侧约220米新溪小区</v>
      </c>
      <c r="J1127" s="41" t="str">
        <f>VLOOKUP(B1127,辅助信息!E:I,4,FALSE)</f>
        <v>柏子刚</v>
      </c>
      <c r="K1127" s="41">
        <f>VLOOKUP(J1127,辅助信息!H:I,2,FALSE)</f>
        <v>15692885305</v>
      </c>
      <c r="L1127" s="110" t="str">
        <f>VLOOKUP(B1127,辅助信息!E:J,6,FALSE)</f>
        <v>提前联系到场规格及数量</v>
      </c>
      <c r="M1127" s="92">
        <v>45769</v>
      </c>
      <c r="O1127" s="63">
        <f ca="1" t="shared" si="40"/>
        <v>0</v>
      </c>
      <c r="P1127" s="63">
        <f ca="1" t="shared" si="39"/>
        <v>190</v>
      </c>
      <c r="Q1127" s="30" t="str">
        <f>VLOOKUP(B1127,辅助信息!E:M,9,FALSE)</f>
        <v>ZTWM-CDGS-XS-2024-0179-四川商投-射洪城乡一体化建设项目</v>
      </c>
      <c r="R1127" s="30" t="str">
        <f>_xlfn._xlws.FILTER(辅助信息!D:D,辅助信息!E:E=B1127)</f>
        <v>四川商建
射洪城乡一体化项目</v>
      </c>
    </row>
    <row r="1128" hidden="1" spans="1:18">
      <c r="A1128" s="58" t="s">
        <v>134</v>
      </c>
      <c r="B1128" s="41" t="s">
        <v>69</v>
      </c>
      <c r="C1128" s="71">
        <v>45770</v>
      </c>
      <c r="D1128" s="41" t="str">
        <f>VLOOKUP(B1128,辅助信息!E:K,7,FALSE)</f>
        <v>JWDDCD2025052800131</v>
      </c>
      <c r="E1128" s="41" t="str">
        <f>VLOOKUP(F1128,辅助信息!A:B,2,FALSE)</f>
        <v>螺纹钢</v>
      </c>
      <c r="F1128" s="41" t="s">
        <v>45</v>
      </c>
      <c r="G1128" s="37">
        <v>3</v>
      </c>
      <c r="H1128" s="37" t="str">
        <f>_xlfn.XLOOKUP(C1128&amp;F1128&amp;I1128&amp;J1128,'[1]2025年已发货'!$F:$F&amp;'[1]2025年已发货'!$C:$C&amp;'[1]2025年已发货'!$G:$G&amp;'[1]2025年已发货'!$H:$H,'[1]2025年已发货'!$E:$E,"未发货")</f>
        <v>未发货</v>
      </c>
      <c r="I1128" s="41" t="str">
        <f>VLOOKUP(B1128,辅助信息!E:I,3,FALSE)</f>
        <v>（商投建工达州中医药科技园-4工区-2号楼）达州市通川区达州中医药职业学院犀牛大道北段</v>
      </c>
      <c r="J1128" s="41" t="str">
        <f>VLOOKUP(B1128,辅助信息!E:I,4,FALSE)</f>
        <v>张扬</v>
      </c>
      <c r="K1128" s="41">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196</v>
      </c>
      <c r="Q1128" s="30" t="str">
        <f>VLOOKUP(B1128,辅助信息!E:M,9,FALSE)</f>
        <v>ZTWM-CDGS-XS-2024-0134-商投建工达州中医药科技成果示范园项目</v>
      </c>
      <c r="R1128" s="30" t="str">
        <f>_xlfn._xlws.FILTER(辅助信息!D:D,辅助信息!E:E=B1128)</f>
        <v>商投建工达州中医药科技园</v>
      </c>
    </row>
    <row r="1129" hidden="1" spans="2:18">
      <c r="B1129" s="41" t="s">
        <v>69</v>
      </c>
      <c r="C1129" s="71">
        <v>45770</v>
      </c>
      <c r="D1129" s="41" t="str">
        <f>VLOOKUP(B1129,辅助信息!E:K,7,FALSE)</f>
        <v>JWDDCD2025052800131</v>
      </c>
      <c r="E1129" s="41" t="str">
        <f>VLOOKUP(F1129,辅助信息!A:B,2,FALSE)</f>
        <v>螺纹钢</v>
      </c>
      <c r="F1129" s="41" t="s">
        <v>21</v>
      </c>
      <c r="G1129" s="37">
        <v>12</v>
      </c>
      <c r="H1129" s="37" t="str">
        <f>_xlfn.XLOOKUP(C1129&amp;F1129&amp;I1129&amp;J1129,'[1]2025年已发货'!$F:$F&amp;'[1]2025年已发货'!$C:$C&amp;'[1]2025年已发货'!$G:$G&amp;'[1]2025年已发货'!$H:$H,'[1]2025年已发货'!$E:$E,"未发货")</f>
        <v>未发货</v>
      </c>
      <c r="I1129" s="41" t="str">
        <f>VLOOKUP(B1129,辅助信息!E:I,3,FALSE)</f>
        <v>（商投建工达州中医药科技园-4工区-2号楼）达州市通川区达州中医药职业学院犀牛大道北段</v>
      </c>
      <c r="J1129" s="41" t="str">
        <f>VLOOKUP(B1129,辅助信息!E:I,4,FALSE)</f>
        <v>张扬</v>
      </c>
      <c r="K1129" s="41">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196</v>
      </c>
      <c r="Q1129" s="30" t="str">
        <f>VLOOKUP(B1129,辅助信息!E:M,9,FALSE)</f>
        <v>ZTWM-CDGS-XS-2024-0134-商投建工达州中医药科技成果示范园项目</v>
      </c>
      <c r="R1129" s="30" t="str">
        <f>_xlfn._xlws.FILTER(辅助信息!D:D,辅助信息!E:E=B1129)</f>
        <v>商投建工达州中医药科技园</v>
      </c>
    </row>
    <row r="1130" hidden="1" spans="2:18">
      <c r="B1130" s="41" t="s">
        <v>69</v>
      </c>
      <c r="C1130" s="71">
        <v>45770</v>
      </c>
      <c r="D1130" s="41" t="str">
        <f>VLOOKUP(B1130,辅助信息!E:K,7,FALSE)</f>
        <v>JWDDCD2025052800131</v>
      </c>
      <c r="E1130" s="41" t="str">
        <f>VLOOKUP(F1130,辅助信息!A:B,2,FALSE)</f>
        <v>螺纹钢</v>
      </c>
      <c r="F1130" s="41" t="s">
        <v>58</v>
      </c>
      <c r="G1130" s="37">
        <v>9</v>
      </c>
      <c r="H1130" s="37" t="str">
        <f>_xlfn.XLOOKUP(C1130&amp;F1130&amp;I1130&amp;J1130,'[1]2025年已发货'!$F:$F&amp;'[1]2025年已发货'!$C:$C&amp;'[1]2025年已发货'!$G:$G&amp;'[1]2025年已发货'!$H:$H,'[1]2025年已发货'!$E:$E,"未发货")</f>
        <v>未发货</v>
      </c>
      <c r="I1130" s="41" t="str">
        <f>VLOOKUP(B1130,辅助信息!E:I,3,FALSE)</f>
        <v>（商投建工达州中医药科技园-4工区-2号楼）达州市通川区达州中医药职业学院犀牛大道北段</v>
      </c>
      <c r="J1130" s="41" t="str">
        <f>VLOOKUP(B1130,辅助信息!E:I,4,FALSE)</f>
        <v>张扬</v>
      </c>
      <c r="K1130" s="41">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196</v>
      </c>
      <c r="Q1130" s="30" t="str">
        <f>VLOOKUP(B1130,辅助信息!E:M,9,FALSE)</f>
        <v>ZTWM-CDGS-XS-2024-0134-商投建工达州中医药科技成果示范园项目</v>
      </c>
      <c r="R1130" s="30" t="str">
        <f>_xlfn._xlws.FILTER(辅助信息!D:D,辅助信息!E:E=B1130)</f>
        <v>商投建工达州中医药科技园</v>
      </c>
    </row>
    <row r="1131" hidden="1" spans="2:18">
      <c r="B1131" s="41" t="s">
        <v>69</v>
      </c>
      <c r="C1131" s="71">
        <v>45770</v>
      </c>
      <c r="D1131" s="41" t="str">
        <f>VLOOKUP(B1131,辅助信息!E:K,7,FALSE)</f>
        <v>JWDDCD2025052800131</v>
      </c>
      <c r="E1131" s="41" t="str">
        <f>VLOOKUP(F1131,辅助信息!A:B,2,FALSE)</f>
        <v>螺纹钢</v>
      </c>
      <c r="F1131" s="41" t="s">
        <v>46</v>
      </c>
      <c r="G1131" s="37">
        <v>9</v>
      </c>
      <c r="H1131" s="37" t="str">
        <f>_xlfn.XLOOKUP(C1131&amp;F1131&amp;I1131&amp;J1131,'[1]2025年已发货'!$F:$F&amp;'[1]2025年已发货'!$C:$C&amp;'[1]2025年已发货'!$G:$G&amp;'[1]2025年已发货'!$H:$H,'[1]2025年已发货'!$E:$E,"未发货")</f>
        <v>未发货</v>
      </c>
      <c r="I1131" s="41" t="str">
        <f>VLOOKUP(B1131,辅助信息!E:I,3,FALSE)</f>
        <v>（商投建工达州中医药科技园-4工区-2号楼）达州市通川区达州中医药职业学院犀牛大道北段</v>
      </c>
      <c r="J1131" s="41" t="str">
        <f>VLOOKUP(B1131,辅助信息!E:I,4,FALSE)</f>
        <v>张扬</v>
      </c>
      <c r="K1131" s="41">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196</v>
      </c>
      <c r="Q1131" s="30" t="str">
        <f>VLOOKUP(B1131,辅助信息!E:M,9,FALSE)</f>
        <v>ZTWM-CDGS-XS-2024-0134-商投建工达州中医药科技成果示范园项目</v>
      </c>
      <c r="R1131" s="30" t="str">
        <f>_xlfn._xlws.FILTER(辅助信息!D:D,辅助信息!E:E=B1131)</f>
        <v>商投建工达州中医药科技园</v>
      </c>
    </row>
    <row r="1132" hidden="1" spans="2:18">
      <c r="B1132" s="41" t="s">
        <v>56</v>
      </c>
      <c r="C1132" s="71">
        <v>45770</v>
      </c>
      <c r="D1132" s="41" t="str">
        <f>VLOOKUP(B1132,辅助信息!E:K,7,FALSE)</f>
        <v>JWDDCD2025052800131</v>
      </c>
      <c r="E1132" s="41" t="str">
        <f>VLOOKUP(F1132,辅助信息!A:B,2,FALSE)</f>
        <v>螺纹钢</v>
      </c>
      <c r="F1132" s="41" t="s">
        <v>46</v>
      </c>
      <c r="G1132" s="37">
        <v>21</v>
      </c>
      <c r="H1132" s="37" t="str">
        <f>_xlfn.XLOOKUP(C1132&amp;F1132&amp;I1132&amp;J1132,'[1]2025年已发货'!$F:$F&amp;'[1]2025年已发货'!$C:$C&amp;'[1]2025年已发货'!$G:$G&amp;'[1]2025年已发货'!$H:$H,'[1]2025年已发货'!$E:$E,"未发货")</f>
        <v>未发货</v>
      </c>
      <c r="I1132" s="41" t="str">
        <f>VLOOKUP(B1132,辅助信息!E:I,3,FALSE)</f>
        <v>（商投建工达州中医药科技园-4工区-7号楼）达州市通川区达州中医药职业学院犀牛大道北段</v>
      </c>
      <c r="J1132" s="41" t="str">
        <f>VLOOKUP(B1132,辅助信息!E:I,4,FALSE)</f>
        <v>张扬</v>
      </c>
      <c r="K1132" s="41">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187</v>
      </c>
      <c r="Q1132" s="30" t="str">
        <f>VLOOKUP(B1132,辅助信息!E:M,9,FALSE)</f>
        <v>ZTWM-CDGS-XS-2024-0134-商投建工达州中医药科技成果示范园项目</v>
      </c>
      <c r="R1132" s="30" t="str">
        <f>_xlfn._xlws.FILTER(辅助信息!D:D,辅助信息!E:E=B1132)</f>
        <v>商投建工达州中医药科技园</v>
      </c>
    </row>
    <row r="1133" hidden="1" spans="2:18">
      <c r="B1133" s="41" t="s">
        <v>56</v>
      </c>
      <c r="C1133" s="71">
        <v>45770</v>
      </c>
      <c r="D1133" s="41" t="str">
        <f>VLOOKUP(B1133,辅助信息!E:K,7,FALSE)</f>
        <v>JWDDCD2025052800131</v>
      </c>
      <c r="E1133" s="41" t="str">
        <f>VLOOKUP(F1133,辅助信息!A:B,2,FALSE)</f>
        <v>螺纹钢</v>
      </c>
      <c r="F1133" s="41" t="s">
        <v>22</v>
      </c>
      <c r="G1133" s="37">
        <v>30</v>
      </c>
      <c r="H1133" s="37" t="str">
        <f>_xlfn.XLOOKUP(C1133&amp;F1133&amp;I1133&amp;J1133,'[1]2025年已发货'!$F:$F&amp;'[1]2025年已发货'!$C:$C&amp;'[1]2025年已发货'!$G:$G&amp;'[1]2025年已发货'!$H:$H,'[1]2025年已发货'!$E:$E,"未发货")</f>
        <v>未发货</v>
      </c>
      <c r="I1133" s="41" t="str">
        <f>VLOOKUP(B1133,辅助信息!E:I,3,FALSE)</f>
        <v>（商投建工达州中医药科技园-4工区-7号楼）达州市通川区达州中医药职业学院犀牛大道北段</v>
      </c>
      <c r="J1133" s="41" t="str">
        <f>VLOOKUP(B1133,辅助信息!E:I,4,FALSE)</f>
        <v>张扬</v>
      </c>
      <c r="K1133" s="41">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187</v>
      </c>
      <c r="Q1133" s="30" t="str">
        <f>VLOOKUP(B1133,辅助信息!E:M,9,FALSE)</f>
        <v>ZTWM-CDGS-XS-2024-0134-商投建工达州中医药科技成果示范园项目</v>
      </c>
      <c r="R1133" s="30" t="str">
        <f>_xlfn._xlws.FILTER(辅助信息!D:D,辅助信息!E:E=B1133)</f>
        <v>商投建工达州中医药科技园</v>
      </c>
    </row>
    <row r="1134" hidden="1" spans="2:18">
      <c r="B1134" s="41" t="s">
        <v>87</v>
      </c>
      <c r="C1134" s="71">
        <v>45770</v>
      </c>
      <c r="D1134" s="41" t="e">
        <f>VLOOKUP(B1134,辅助信息!E:K,7,FALSE)</f>
        <v>#N/A</v>
      </c>
      <c r="E1134" s="41" t="str">
        <f>VLOOKUP(F1134,辅助信息!A:B,2,FALSE)</f>
        <v>盘螺</v>
      </c>
      <c r="F1134" s="41" t="s">
        <v>26</v>
      </c>
      <c r="G1134" s="37">
        <v>4</v>
      </c>
      <c r="H1134" s="37" t="e">
        <f>_xlfn.XLOOKUP(C1134&amp;F1134&amp;I1134&amp;J1134,'[1]2025年已发货'!$F:$F&amp;'[1]2025年已发货'!$C:$C&amp;'[1]2025年已发货'!$G:$G&amp;'[1]2025年已发货'!$H:$H,'[1]2025年已发货'!$E:$E,"未发货")</f>
        <v>#N/A</v>
      </c>
      <c r="I1134" s="41" t="e">
        <f>VLOOKUP(B1134,辅助信息!E:I,3,FALSE)</f>
        <v>#N/A</v>
      </c>
      <c r="J1134" s="41" t="e">
        <f>VLOOKUP(B1134,辅助信息!E:I,4,FALSE)</f>
        <v>#N/A</v>
      </c>
      <c r="K1134" s="41" t="e">
        <f>VLOOKUP(J1134,辅助信息!H:I,2,FALSE)</f>
        <v>#N/A</v>
      </c>
      <c r="L1134" s="110" t="e">
        <f>VLOOKUP(B1134,辅助信息!E:J,6,FALSE)</f>
        <v>#N/A</v>
      </c>
      <c r="M1134" s="92">
        <v>45772</v>
      </c>
      <c r="O1134" s="63">
        <f ca="1" t="shared" si="40"/>
        <v>0</v>
      </c>
      <c r="P1134" s="63">
        <f ca="1" t="shared" si="39"/>
        <v>187</v>
      </c>
      <c r="Q1134" s="30" t="e">
        <f>VLOOKUP(B1134,辅助信息!E:M,9,FALSE)</f>
        <v>#N/A</v>
      </c>
      <c r="R1134" s="30" vm="1" t="e">
        <f>_xlfn._xlws.FILTER(辅助信息!D:D,辅助信息!E:E=B1134)</f>
        <v>#VALUE!</v>
      </c>
    </row>
    <row r="1135" hidden="1" spans="2:18">
      <c r="B1135" s="41" t="s">
        <v>87</v>
      </c>
      <c r="C1135" s="71">
        <v>45770</v>
      </c>
      <c r="D1135" s="41" t="e">
        <f>VLOOKUP(B1135,辅助信息!E:K,7,FALSE)</f>
        <v>#N/A</v>
      </c>
      <c r="E1135" s="41" t="str">
        <f>VLOOKUP(F1135,辅助信息!A:B,2,FALSE)</f>
        <v>螺纹钢</v>
      </c>
      <c r="F1135" s="41" t="s">
        <v>27</v>
      </c>
      <c r="G1135" s="37">
        <v>12</v>
      </c>
      <c r="H1135" s="37" t="e">
        <f>_xlfn.XLOOKUP(C1135&amp;F1135&amp;I1135&amp;J1135,'[1]2025年已发货'!$F:$F&amp;'[1]2025年已发货'!$C:$C&amp;'[1]2025年已发货'!$G:$G&amp;'[1]2025年已发货'!$H:$H,'[1]2025年已发货'!$E:$E,"未发货")</f>
        <v>#N/A</v>
      </c>
      <c r="I1135" s="41" t="e">
        <f>VLOOKUP(B1135,辅助信息!E:I,3,FALSE)</f>
        <v>#N/A</v>
      </c>
      <c r="J1135" s="41" t="e">
        <f>VLOOKUP(B1135,辅助信息!E:I,4,FALSE)</f>
        <v>#N/A</v>
      </c>
      <c r="K1135" s="41" t="e">
        <f>VLOOKUP(J1135,辅助信息!H:I,2,FALSE)</f>
        <v>#N/A</v>
      </c>
      <c r="L1135" s="110" t="e">
        <f>VLOOKUP(B1135,辅助信息!E:J,6,FALSE)</f>
        <v>#N/A</v>
      </c>
      <c r="M1135" s="92">
        <v>45772</v>
      </c>
      <c r="O1135" s="63">
        <f ca="1" t="shared" si="40"/>
        <v>0</v>
      </c>
      <c r="P1135" s="63">
        <f ca="1" t="shared" si="39"/>
        <v>187</v>
      </c>
      <c r="Q1135" s="30" t="e">
        <f>VLOOKUP(B1135,辅助信息!E:M,9,FALSE)</f>
        <v>#N/A</v>
      </c>
      <c r="R1135" s="30" vm="1" t="e">
        <f>_xlfn._xlws.FILTER(辅助信息!D:D,辅助信息!E:E=B1135)</f>
        <v>#VALUE!</v>
      </c>
    </row>
    <row r="1136" hidden="1" spans="2:18">
      <c r="B1136" s="41" t="s">
        <v>87</v>
      </c>
      <c r="C1136" s="71">
        <v>45770</v>
      </c>
      <c r="D1136" s="41" t="e">
        <f>VLOOKUP(B1136,辅助信息!E:K,7,FALSE)</f>
        <v>#N/A</v>
      </c>
      <c r="E1136" s="41" t="str">
        <f>VLOOKUP(F1136,辅助信息!A:B,2,FALSE)</f>
        <v>螺纹钢</v>
      </c>
      <c r="F1136" s="41" t="s">
        <v>19</v>
      </c>
      <c r="G1136" s="37">
        <v>10</v>
      </c>
      <c r="H1136" s="37" t="e">
        <f>_xlfn.XLOOKUP(C1136&amp;F1136&amp;I1136&amp;J1136,'[1]2025年已发货'!$F:$F&amp;'[1]2025年已发货'!$C:$C&amp;'[1]2025年已发货'!$G:$G&amp;'[1]2025年已发货'!$H:$H,'[1]2025年已发货'!$E:$E,"未发货")</f>
        <v>#N/A</v>
      </c>
      <c r="I1136" s="41" t="e">
        <f>VLOOKUP(B1136,辅助信息!E:I,3,FALSE)</f>
        <v>#N/A</v>
      </c>
      <c r="J1136" s="41" t="e">
        <f>VLOOKUP(B1136,辅助信息!E:I,4,FALSE)</f>
        <v>#N/A</v>
      </c>
      <c r="K1136" s="41" t="e">
        <f>VLOOKUP(J1136,辅助信息!H:I,2,FALSE)</f>
        <v>#N/A</v>
      </c>
      <c r="L1136" s="110" t="e">
        <f>VLOOKUP(B1136,辅助信息!E:J,6,FALSE)</f>
        <v>#N/A</v>
      </c>
      <c r="M1136" s="92">
        <v>45772</v>
      </c>
      <c r="O1136" s="63">
        <f ca="1" t="shared" si="40"/>
        <v>0</v>
      </c>
      <c r="P1136" s="63">
        <f ca="1" t="shared" si="39"/>
        <v>187</v>
      </c>
      <c r="Q1136" s="30" t="e">
        <f>VLOOKUP(B1136,辅助信息!E:M,9,FALSE)</f>
        <v>#N/A</v>
      </c>
      <c r="R1136" s="30" vm="1" t="e">
        <f>_xlfn._xlws.FILTER(辅助信息!D:D,辅助信息!E:E=B1136)</f>
        <v>#VALUE!</v>
      </c>
    </row>
    <row r="1137" hidden="1" spans="2:18">
      <c r="B1137" s="41" t="s">
        <v>87</v>
      </c>
      <c r="C1137" s="71">
        <v>45770</v>
      </c>
      <c r="D1137" s="41" t="e">
        <f>VLOOKUP(B1137,辅助信息!E:K,7,FALSE)</f>
        <v>#N/A</v>
      </c>
      <c r="E1137" s="41" t="str">
        <f>VLOOKUP(F1137,辅助信息!A:B,2,FALSE)</f>
        <v>螺纹钢</v>
      </c>
      <c r="F1137" s="41" t="s">
        <v>18</v>
      </c>
      <c r="G1137" s="37">
        <v>25</v>
      </c>
      <c r="H1137" s="37" t="e">
        <f>_xlfn.XLOOKUP(C1137&amp;F1137&amp;I1137&amp;J1137,'[1]2025年已发货'!$F:$F&amp;'[1]2025年已发货'!$C:$C&amp;'[1]2025年已发货'!$G:$G&amp;'[1]2025年已发货'!$H:$H,'[1]2025年已发货'!$E:$E,"未发货")</f>
        <v>#N/A</v>
      </c>
      <c r="I1137" s="41" t="e">
        <f>VLOOKUP(B1137,辅助信息!E:I,3,FALSE)</f>
        <v>#N/A</v>
      </c>
      <c r="J1137" s="41" t="e">
        <f>VLOOKUP(B1137,辅助信息!E:I,4,FALSE)</f>
        <v>#N/A</v>
      </c>
      <c r="K1137" s="41" t="e">
        <f>VLOOKUP(J1137,辅助信息!H:I,2,FALSE)</f>
        <v>#N/A</v>
      </c>
      <c r="L1137" s="110" t="e">
        <f>VLOOKUP(B1137,辅助信息!E:J,6,FALSE)</f>
        <v>#N/A</v>
      </c>
      <c r="M1137" s="92">
        <v>45772</v>
      </c>
      <c r="O1137" s="63">
        <f ca="1" t="shared" si="40"/>
        <v>0</v>
      </c>
      <c r="P1137" s="63">
        <f ca="1" t="shared" si="39"/>
        <v>187</v>
      </c>
      <c r="Q1137" s="30" t="e">
        <f>VLOOKUP(B1137,辅助信息!E:M,9,FALSE)</f>
        <v>#N/A</v>
      </c>
      <c r="R1137" s="30" vm="1" t="e">
        <f>_xlfn._xlws.FILTER(辅助信息!D:D,辅助信息!E:E=B1137)</f>
        <v>#VALUE!</v>
      </c>
    </row>
    <row r="1138" hidden="1" spans="1:18">
      <c r="A1138" s="63"/>
      <c r="B1138" s="41" t="s">
        <v>81</v>
      </c>
      <c r="C1138" s="71">
        <v>45771</v>
      </c>
      <c r="D1138" s="41" t="str">
        <f>VLOOKUP(B1138,辅助信息!E:K,7,FALSE)</f>
        <v>JWDDCD2025060900080</v>
      </c>
      <c r="E1138" s="41" t="str">
        <f>VLOOKUP(F1138,辅助信息!A:B,2,FALSE)</f>
        <v>盘螺</v>
      </c>
      <c r="F1138" s="41" t="s">
        <v>26</v>
      </c>
      <c r="G1138" s="37">
        <v>22</v>
      </c>
      <c r="H1138" s="37" t="str">
        <f>_xlfn.XLOOKUP(C1138&amp;F1138&amp;I1138&amp;J1138,'[1]2025年已发货'!$F:$F&amp;'[1]2025年已发货'!$C:$C&amp;'[1]2025年已发货'!$G:$G&amp;'[1]2025年已发货'!$H:$H,'[1]2025年已发货'!$E:$E,"未发货")</f>
        <v>未发货</v>
      </c>
      <c r="I1138" s="41" t="str">
        <f>VLOOKUP(B1138,辅助信息!E:I,3,FALSE)</f>
        <v>（华西简阳西城嘉苑）四川省成都市简阳市简城街道高屋村</v>
      </c>
      <c r="J1138" s="41" t="str">
        <f>VLOOKUP(B1138,辅助信息!E:I,4,FALSE)</f>
        <v>张瀚镭</v>
      </c>
      <c r="K1138" s="41">
        <f>VLOOKUP(J1138,辅助信息!H:I,2,FALSE)</f>
        <v>15884666220</v>
      </c>
      <c r="L1138" s="40"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190</v>
      </c>
      <c r="Q1138" s="30" t="str">
        <f>VLOOKUP(B1138,辅助信息!E:M,9,FALSE)</f>
        <v>ZTWM-CDGS-XS-2024-0030-华西集采-简州大道</v>
      </c>
      <c r="R1138" s="30" t="str">
        <f>_xlfn._xlws.FILTER(辅助信息!D:D,辅助信息!E:E=B1138)</f>
        <v>华西简阳西城嘉苑</v>
      </c>
    </row>
    <row r="1139" hidden="1" spans="1:18">
      <c r="A1139" s="63"/>
      <c r="B1139" s="41" t="s">
        <v>81</v>
      </c>
      <c r="C1139" s="71">
        <v>45771</v>
      </c>
      <c r="D1139" s="41" t="str">
        <f>VLOOKUP(B1139,辅助信息!E:K,7,FALSE)</f>
        <v>JWDDCD2025060900080</v>
      </c>
      <c r="E1139" s="41" t="str">
        <f>VLOOKUP(F1139,辅助信息!A:B,2,FALSE)</f>
        <v>螺纹钢</v>
      </c>
      <c r="F1139" s="41" t="s">
        <v>33</v>
      </c>
      <c r="G1139" s="37">
        <f>120-8-92</f>
        <v>20</v>
      </c>
      <c r="H1139" s="37" t="str">
        <f>_xlfn.XLOOKUP(C1139&amp;F1139&amp;I1139&amp;J1139,'[1]2025年已发货'!$F:$F&amp;'[1]2025年已发货'!$C:$C&amp;'[1]2025年已发货'!$G:$G&amp;'[1]2025年已发货'!$H:$H,'[1]2025年已发货'!$E:$E,"未发货")</f>
        <v>未发货</v>
      </c>
      <c r="I1139" s="41" t="str">
        <f>VLOOKUP(B1139,辅助信息!E:I,3,FALSE)</f>
        <v>（华西简阳西城嘉苑）四川省成都市简阳市简城街道高屋村</v>
      </c>
      <c r="J1139" s="41" t="str">
        <f>VLOOKUP(B1139,辅助信息!E:I,4,FALSE)</f>
        <v>张瀚镭</v>
      </c>
      <c r="K1139" s="41">
        <f>VLOOKUP(J1139,辅助信息!H:I,2,FALSE)</f>
        <v>15884666220</v>
      </c>
      <c r="L1139" s="40"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190</v>
      </c>
      <c r="Q1139" s="30" t="str">
        <f>VLOOKUP(B1139,辅助信息!E:M,9,FALSE)</f>
        <v>ZTWM-CDGS-XS-2024-0030-华西集采-简州大道</v>
      </c>
      <c r="R1139" s="30" t="str">
        <f>_xlfn._xlws.FILTER(辅助信息!D:D,辅助信息!E:E=B1139)</f>
        <v>华西简阳西城嘉苑</v>
      </c>
    </row>
    <row r="1140" hidden="1" spans="1:18">
      <c r="A1140" s="63"/>
      <c r="B1140" s="41" t="s">
        <v>64</v>
      </c>
      <c r="C1140" s="71">
        <v>45774</v>
      </c>
      <c r="D1140" s="41" t="e">
        <f>VLOOKUP(B1140,辅助信息!E:K,7,FALSE)</f>
        <v>#N/A</v>
      </c>
      <c r="E1140" s="41" t="str">
        <f>VLOOKUP(F1140,辅助信息!A:B,2,FALSE)</f>
        <v>螺纹钢</v>
      </c>
      <c r="F1140" s="41" t="s">
        <v>65</v>
      </c>
      <c r="G1140" s="37">
        <v>27</v>
      </c>
      <c r="H1140" s="37" t="e">
        <f>_xlfn.XLOOKUP(C1140&amp;F1140&amp;I1140&amp;J1140,'[1]2025年已发货'!$F:$F&amp;'[1]2025年已发货'!$C:$C&amp;'[1]2025年已发货'!$G:$G&amp;'[1]2025年已发货'!$H:$H,'[1]2025年已发货'!$E:$E,"未发货")</f>
        <v>#N/A</v>
      </c>
      <c r="I1140" s="41" t="e">
        <f>VLOOKUP(B1140,辅助信息!E:I,3,FALSE)</f>
        <v>#N/A</v>
      </c>
      <c r="J1140" s="41" t="e">
        <f>VLOOKUP(B1140,辅助信息!E:I,4,FALSE)</f>
        <v>#N/A</v>
      </c>
      <c r="K1140" s="41" t="e">
        <f>VLOOKUP(J1140,辅助信息!H:I,2,FALSE)</f>
        <v>#N/A</v>
      </c>
      <c r="L1140" s="40" t="e">
        <f>VLOOKUP(B1140,辅助信息!E:J,6,FALSE)</f>
        <v>#N/A</v>
      </c>
      <c r="M1140" s="92">
        <v>45768</v>
      </c>
      <c r="O1140" s="63">
        <f ca="1" t="shared" si="40"/>
        <v>0</v>
      </c>
      <c r="P1140" s="63">
        <f ca="1" t="shared" ref="P1140:P1159" si="42">IF(M1140="","",IF(N1140&lt;&gt;"",MAX(N1140-M1140,0),IF(TODAY()&gt;M1140,TODAY()-M1140,0)))</f>
        <v>191</v>
      </c>
      <c r="Q1140" s="30" t="e">
        <f>VLOOKUP(B1140,辅助信息!E:M,9,FALSE)</f>
        <v>#N/A</v>
      </c>
      <c r="R1140" s="30" vm="1" t="e">
        <f>_xlfn._xlws.FILTER(辅助信息!D:D,辅助信息!E:E=B1140)</f>
        <v>#VALUE!</v>
      </c>
    </row>
    <row r="1141" hidden="1" spans="1:18">
      <c r="A1141" s="63"/>
      <c r="B1141" s="41" t="s">
        <v>75</v>
      </c>
      <c r="C1141" s="71">
        <v>45774</v>
      </c>
      <c r="D1141" s="41" t="e">
        <f>VLOOKUP(B1141,辅助信息!E:K,7,FALSE)</f>
        <v>#N/A</v>
      </c>
      <c r="E1141" s="41" t="str">
        <f>VLOOKUP(F1141,辅助信息!A:B,2,FALSE)</f>
        <v>高线</v>
      </c>
      <c r="F1141" s="41" t="s">
        <v>53</v>
      </c>
      <c r="G1141" s="37">
        <v>8</v>
      </c>
      <c r="H1141" s="37" t="e">
        <f>_xlfn.XLOOKUP(C1141&amp;F1141&amp;I1141&amp;J1141,'[1]2025年已发货'!$F:$F&amp;'[1]2025年已发货'!$C:$C&amp;'[1]2025年已发货'!$G:$G&amp;'[1]2025年已发货'!$H:$H,'[1]2025年已发货'!$E:$E,"未发货")</f>
        <v>#N/A</v>
      </c>
      <c r="I1141" s="41" t="e">
        <f>VLOOKUP(B1141,辅助信息!E:I,3,FALSE)</f>
        <v>#N/A</v>
      </c>
      <c r="J1141" s="41" t="e">
        <f>VLOOKUP(B1141,辅助信息!E:I,4,FALSE)</f>
        <v>#N/A</v>
      </c>
      <c r="K1141" s="41" t="e">
        <f>VLOOKUP(J1141,辅助信息!H:I,2,FALSE)</f>
        <v>#N/A</v>
      </c>
      <c r="L1141" s="40" t="e">
        <f>VLOOKUP(B1141,辅助信息!E:J,6,FALSE)</f>
        <v>#N/A</v>
      </c>
      <c r="M1141" s="92">
        <v>45772</v>
      </c>
      <c r="O1141" s="63">
        <f ca="1" t="shared" si="40"/>
        <v>0</v>
      </c>
      <c r="P1141" s="63">
        <f ca="1" t="shared" si="42"/>
        <v>187</v>
      </c>
      <c r="Q1141" s="30" t="e">
        <f>VLOOKUP(B1141,辅助信息!E:M,9,FALSE)</f>
        <v>#N/A</v>
      </c>
      <c r="R1141" s="30" vm="1" t="e">
        <f>_xlfn._xlws.FILTER(辅助信息!D:D,辅助信息!E:E=B1141)</f>
        <v>#VALUE!</v>
      </c>
    </row>
    <row r="1142" hidden="1" spans="1:18">
      <c r="A1142" s="63"/>
      <c r="B1142" s="41" t="s">
        <v>75</v>
      </c>
      <c r="C1142" s="71">
        <v>45774</v>
      </c>
      <c r="D1142" s="41" t="e">
        <f>VLOOKUP(B1142,辅助信息!E:K,7,FALSE)</f>
        <v>#N/A</v>
      </c>
      <c r="E1142" s="41" t="str">
        <f>VLOOKUP(F1142,辅助信息!A:B,2,FALSE)</f>
        <v>螺纹钢</v>
      </c>
      <c r="F1142" s="41" t="s">
        <v>27</v>
      </c>
      <c r="G1142" s="37">
        <v>9</v>
      </c>
      <c r="H1142" s="37" t="e">
        <f>_xlfn.XLOOKUP(C1142&amp;F1142&amp;I1142&amp;J1142,'[1]2025年已发货'!$F:$F&amp;'[1]2025年已发货'!$C:$C&amp;'[1]2025年已发货'!$G:$G&amp;'[1]2025年已发货'!$H:$H,'[1]2025年已发货'!$E:$E,"未发货")</f>
        <v>#N/A</v>
      </c>
      <c r="I1142" s="41" t="e">
        <f>VLOOKUP(B1142,辅助信息!E:I,3,FALSE)</f>
        <v>#N/A</v>
      </c>
      <c r="J1142" s="41" t="e">
        <f>VLOOKUP(B1142,辅助信息!E:I,4,FALSE)</f>
        <v>#N/A</v>
      </c>
      <c r="K1142" s="41" t="e">
        <f>VLOOKUP(J1142,辅助信息!H:I,2,FALSE)</f>
        <v>#N/A</v>
      </c>
      <c r="L1142" s="40" t="e">
        <f>VLOOKUP(B1142,辅助信息!E:J,6,FALSE)</f>
        <v>#N/A</v>
      </c>
      <c r="M1142" s="92">
        <v>45772</v>
      </c>
      <c r="O1142" s="63">
        <f ca="1" t="shared" si="40"/>
        <v>0</v>
      </c>
      <c r="P1142" s="63">
        <f ca="1" t="shared" si="42"/>
        <v>187</v>
      </c>
      <c r="Q1142" s="30" t="e">
        <f>VLOOKUP(B1142,辅助信息!E:M,9,FALSE)</f>
        <v>#N/A</v>
      </c>
      <c r="R1142" s="30" vm="1" t="e">
        <f>_xlfn._xlws.FILTER(辅助信息!D:D,辅助信息!E:E=B1142)</f>
        <v>#VALUE!</v>
      </c>
    </row>
    <row r="1143" hidden="1" spans="1:18">
      <c r="A1143" s="63"/>
      <c r="B1143" s="41" t="s">
        <v>75</v>
      </c>
      <c r="C1143" s="71">
        <v>45774</v>
      </c>
      <c r="D1143" s="41" t="e">
        <f>VLOOKUP(B1143,辅助信息!E:K,7,FALSE)</f>
        <v>#N/A</v>
      </c>
      <c r="E1143" s="41" t="str">
        <f>VLOOKUP(F1143,辅助信息!A:B,2,FALSE)</f>
        <v>螺纹钢</v>
      </c>
      <c r="F1143" s="41" t="s">
        <v>19</v>
      </c>
      <c r="G1143" s="37">
        <v>10</v>
      </c>
      <c r="H1143" s="37" t="e">
        <f>_xlfn.XLOOKUP(C1143&amp;F1143&amp;I1143&amp;J1143,'[1]2025年已发货'!$F:$F&amp;'[1]2025年已发货'!$C:$C&amp;'[1]2025年已发货'!$G:$G&amp;'[1]2025年已发货'!$H:$H,'[1]2025年已发货'!$E:$E,"未发货")</f>
        <v>#N/A</v>
      </c>
      <c r="I1143" s="41" t="e">
        <f>VLOOKUP(B1143,辅助信息!E:I,3,FALSE)</f>
        <v>#N/A</v>
      </c>
      <c r="J1143" s="41" t="e">
        <f>VLOOKUP(B1143,辅助信息!E:I,4,FALSE)</f>
        <v>#N/A</v>
      </c>
      <c r="K1143" s="41" t="e">
        <f>VLOOKUP(J1143,辅助信息!H:I,2,FALSE)</f>
        <v>#N/A</v>
      </c>
      <c r="L1143" s="40" t="e">
        <f>VLOOKUP(B1143,辅助信息!E:J,6,FALSE)</f>
        <v>#N/A</v>
      </c>
      <c r="M1143" s="92">
        <v>45772</v>
      </c>
      <c r="O1143" s="63">
        <f ca="1" t="shared" si="40"/>
        <v>0</v>
      </c>
      <c r="P1143" s="63">
        <f ca="1" t="shared" si="42"/>
        <v>187</v>
      </c>
      <c r="Q1143" s="30" t="e">
        <f>VLOOKUP(B1143,辅助信息!E:M,9,FALSE)</f>
        <v>#N/A</v>
      </c>
      <c r="R1143" s="30" vm="1" t="e">
        <f>_xlfn._xlws.FILTER(辅助信息!D:D,辅助信息!E:E=B1143)</f>
        <v>#VALUE!</v>
      </c>
    </row>
    <row r="1144" hidden="1" spans="1:18">
      <c r="A1144" s="63"/>
      <c r="B1144" s="41" t="s">
        <v>75</v>
      </c>
      <c r="C1144" s="71">
        <v>45774</v>
      </c>
      <c r="D1144" s="41" t="e">
        <f>VLOOKUP(B1144,辅助信息!E:K,7,FALSE)</f>
        <v>#N/A</v>
      </c>
      <c r="E1144" s="41" t="str">
        <f>VLOOKUP(F1144,辅助信息!A:B,2,FALSE)</f>
        <v>螺纹钢</v>
      </c>
      <c r="F1144" s="41" t="s">
        <v>32</v>
      </c>
      <c r="G1144" s="37">
        <v>3</v>
      </c>
      <c r="H1144" s="37" t="e">
        <f>_xlfn.XLOOKUP(C1144&amp;F1144&amp;I1144&amp;J1144,'[1]2025年已发货'!$F:$F&amp;'[1]2025年已发货'!$C:$C&amp;'[1]2025年已发货'!$G:$G&amp;'[1]2025年已发货'!$H:$H,'[1]2025年已发货'!$E:$E,"未发货")</f>
        <v>#N/A</v>
      </c>
      <c r="I1144" s="41" t="e">
        <f>VLOOKUP(B1144,辅助信息!E:I,3,FALSE)</f>
        <v>#N/A</v>
      </c>
      <c r="J1144" s="41" t="e">
        <f>VLOOKUP(B1144,辅助信息!E:I,4,FALSE)</f>
        <v>#N/A</v>
      </c>
      <c r="K1144" s="41" t="e">
        <f>VLOOKUP(J1144,辅助信息!H:I,2,FALSE)</f>
        <v>#N/A</v>
      </c>
      <c r="L1144" s="40" t="e">
        <f>VLOOKUP(B1144,辅助信息!E:J,6,FALSE)</f>
        <v>#N/A</v>
      </c>
      <c r="M1144" s="92">
        <v>45772</v>
      </c>
      <c r="O1144" s="63">
        <f ca="1" t="shared" si="40"/>
        <v>0</v>
      </c>
      <c r="P1144" s="63">
        <f ca="1" t="shared" si="42"/>
        <v>187</v>
      </c>
      <c r="Q1144" s="30" t="e">
        <f>VLOOKUP(B1144,辅助信息!E:M,9,FALSE)</f>
        <v>#N/A</v>
      </c>
      <c r="R1144" s="30" vm="1" t="e">
        <f>_xlfn._xlws.FILTER(辅助信息!D:D,辅助信息!E:E=B1144)</f>
        <v>#VALUE!</v>
      </c>
    </row>
    <row r="1145" hidden="1" spans="1:18">
      <c r="A1145" s="63"/>
      <c r="B1145" s="41" t="s">
        <v>75</v>
      </c>
      <c r="C1145" s="71">
        <v>45774</v>
      </c>
      <c r="D1145" s="41" t="e">
        <f>VLOOKUP(B1145,辅助信息!E:K,7,FALSE)</f>
        <v>#N/A</v>
      </c>
      <c r="E1145" s="41" t="str">
        <f>VLOOKUP(F1145,辅助信息!A:B,2,FALSE)</f>
        <v>螺纹钢</v>
      </c>
      <c r="F1145" s="41" t="s">
        <v>30</v>
      </c>
      <c r="G1145" s="37">
        <v>6</v>
      </c>
      <c r="H1145" s="37" t="e">
        <f>_xlfn.XLOOKUP(C1145&amp;F1145&amp;I1145&amp;J1145,'[1]2025年已发货'!$F:$F&amp;'[1]2025年已发货'!$C:$C&amp;'[1]2025年已发货'!$G:$G&amp;'[1]2025年已发货'!$H:$H,'[1]2025年已发货'!$E:$E,"未发货")</f>
        <v>#N/A</v>
      </c>
      <c r="I1145" s="41" t="e">
        <f>VLOOKUP(B1145,辅助信息!E:I,3,FALSE)</f>
        <v>#N/A</v>
      </c>
      <c r="J1145" s="41" t="e">
        <f>VLOOKUP(B1145,辅助信息!E:I,4,FALSE)</f>
        <v>#N/A</v>
      </c>
      <c r="K1145" s="41" t="e">
        <f>VLOOKUP(J1145,辅助信息!H:I,2,FALSE)</f>
        <v>#N/A</v>
      </c>
      <c r="L1145" s="40" t="e">
        <f>VLOOKUP(B1145,辅助信息!E:J,6,FALSE)</f>
        <v>#N/A</v>
      </c>
      <c r="M1145" s="92">
        <v>45772</v>
      </c>
      <c r="O1145" s="63">
        <f ca="1" t="shared" si="40"/>
        <v>0</v>
      </c>
      <c r="P1145" s="63">
        <f ca="1" t="shared" si="42"/>
        <v>187</v>
      </c>
      <c r="Q1145" s="30" t="e">
        <f>VLOOKUP(B1145,辅助信息!E:M,9,FALSE)</f>
        <v>#N/A</v>
      </c>
      <c r="R1145" s="30" vm="1" t="e">
        <f>_xlfn._xlws.FILTER(辅助信息!D:D,辅助信息!E:E=B1145)</f>
        <v>#VALUE!</v>
      </c>
    </row>
    <row r="1146" hidden="1" spans="1:18">
      <c r="A1146" s="109"/>
      <c r="B1146" s="68" t="s">
        <v>127</v>
      </c>
      <c r="C1146" s="69">
        <v>45771</v>
      </c>
      <c r="D1146" s="41" t="str">
        <f>VLOOKUP(B1146,辅助信息!E:K,7,FALSE)</f>
        <v>JWDDCD2025051000019</v>
      </c>
      <c r="E1146" s="41" t="str">
        <f>VLOOKUP(F1146,辅助信息!A:B,2,FALSE)</f>
        <v>盘螺</v>
      </c>
      <c r="F1146" s="41" t="s">
        <v>49</v>
      </c>
      <c r="G1146" s="37">
        <v>20</v>
      </c>
      <c r="H1146" s="37">
        <f>_xlfn.XLOOKUP(C1146&amp;F1146&amp;I1146&amp;J1146,'[1]2025年已发货'!$F:$F&amp;'[1]2025年已发货'!$C:$C&amp;'[1]2025年已发货'!$G:$G&amp;'[1]2025年已发货'!$H:$H,'[1]2025年已发货'!$E:$E,"未发货")</f>
        <v>20</v>
      </c>
      <c r="I1146" s="41" t="str">
        <f>VLOOKUP(B1146,辅助信息!E:I,3,FALSE)</f>
        <v>(五冶钢构医学科学产业园建设项目房建三部-管网总坪)四川省南充市顺庆区搬罾街道学府大道二段</v>
      </c>
      <c r="J1146" s="41" t="str">
        <f>VLOOKUP(B1146,辅助信息!E:I,4,FALSE)</f>
        <v>郑林</v>
      </c>
      <c r="K1146" s="41">
        <f>VLOOKUP(J1146,辅助信息!H:I,2,FALSE)</f>
        <v>18349955455</v>
      </c>
      <c r="L1146" s="40"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193</v>
      </c>
      <c r="Q1146" s="30" t="str">
        <f>VLOOKUP(B1146,辅助信息!E:M,9,FALSE)</f>
        <v>ZTWM-CDGS-XS-2024-0248-五冶钢构-南充市医学院项目</v>
      </c>
      <c r="R1146" s="30" t="str">
        <f>_xlfn._xlws.FILTER(辅助信息!D:D,辅助信息!E:E=B1146)</f>
        <v>五冶钢构南充医学科学产业园建设项目</v>
      </c>
    </row>
    <row r="1147" hidden="1" spans="1:18">
      <c r="A1147" s="109"/>
      <c r="B1147" s="41" t="s">
        <v>127</v>
      </c>
      <c r="C1147" s="71">
        <v>45771</v>
      </c>
      <c r="D1147" s="41" t="str">
        <f>VLOOKUP(B1147,辅助信息!E:K,7,FALSE)</f>
        <v>JWDDCD2025051000019</v>
      </c>
      <c r="E1147" s="41" t="str">
        <f>VLOOKUP(F1147,辅助信息!A:B,2,FALSE)</f>
        <v>盘螺</v>
      </c>
      <c r="F1147" s="41" t="s">
        <v>40</v>
      </c>
      <c r="G1147" s="37">
        <v>2</v>
      </c>
      <c r="H1147" s="37">
        <f>_xlfn.XLOOKUP(C1147&amp;F1147&amp;I1147&amp;J1147,'[1]2025年已发货'!$F:$F&amp;'[1]2025年已发货'!$C:$C&amp;'[1]2025年已发货'!$G:$G&amp;'[1]2025年已发货'!$H:$H,'[1]2025年已发货'!$E:$E,"未发货")</f>
        <v>2</v>
      </c>
      <c r="I1147" s="41" t="str">
        <f>VLOOKUP(B1147,辅助信息!E:I,3,FALSE)</f>
        <v>(五冶钢构医学科学产业园建设项目房建三部-管网总坪)四川省南充市顺庆区搬罾街道学府大道二段</v>
      </c>
      <c r="J1147" s="41" t="str">
        <f>VLOOKUP(B1147,辅助信息!E:I,4,FALSE)</f>
        <v>郑林</v>
      </c>
      <c r="K1147" s="41">
        <f>VLOOKUP(J1147,辅助信息!H:I,2,FALSE)</f>
        <v>18349955455</v>
      </c>
      <c r="L1147" s="40"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193</v>
      </c>
      <c r="Q1147" s="30" t="str">
        <f>VLOOKUP(B1147,辅助信息!E:M,9,FALSE)</f>
        <v>ZTWM-CDGS-XS-2024-0248-五冶钢构-南充市医学院项目</v>
      </c>
      <c r="R1147" s="30" t="str">
        <f>_xlfn._xlws.FILTER(辅助信息!D:D,辅助信息!E:E=B1147)</f>
        <v>五冶钢构南充医学科学产业园建设项目</v>
      </c>
    </row>
    <row r="1148" hidden="1" spans="1:18">
      <c r="A1148" s="109"/>
      <c r="B1148" s="41" t="s">
        <v>127</v>
      </c>
      <c r="C1148" s="71">
        <v>45771</v>
      </c>
      <c r="D1148" s="41" t="str">
        <f>VLOOKUP(B1148,辅助信息!E:K,7,FALSE)</f>
        <v>JWDDCD2025051000019</v>
      </c>
      <c r="E1148" s="41" t="str">
        <f>VLOOKUP(F1148,辅助信息!A:B,2,FALSE)</f>
        <v>盘螺</v>
      </c>
      <c r="F1148" s="41" t="s">
        <v>41</v>
      </c>
      <c r="G1148" s="37">
        <v>3</v>
      </c>
      <c r="H1148" s="37">
        <f>_xlfn.XLOOKUP(C1148&amp;F1148&amp;I1148&amp;J1148,'[1]2025年已发货'!$F:$F&amp;'[1]2025年已发货'!$C:$C&amp;'[1]2025年已发货'!$G:$G&amp;'[1]2025年已发货'!$H:$H,'[1]2025年已发货'!$E:$E,"未发货")</f>
        <v>3</v>
      </c>
      <c r="I1148" s="41" t="str">
        <f>VLOOKUP(B1148,辅助信息!E:I,3,FALSE)</f>
        <v>(五冶钢构医学科学产业园建设项目房建三部-管网总坪)四川省南充市顺庆区搬罾街道学府大道二段</v>
      </c>
      <c r="J1148" s="41" t="str">
        <f>VLOOKUP(B1148,辅助信息!E:I,4,FALSE)</f>
        <v>郑林</v>
      </c>
      <c r="K1148" s="41">
        <f>VLOOKUP(J1148,辅助信息!H:I,2,FALSE)</f>
        <v>18349955455</v>
      </c>
      <c r="L1148" s="40"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193</v>
      </c>
      <c r="Q1148" s="30" t="str">
        <f>VLOOKUP(B1148,辅助信息!E:M,9,FALSE)</f>
        <v>ZTWM-CDGS-XS-2024-0248-五冶钢构-南充市医学院项目</v>
      </c>
      <c r="R1148" s="30" t="str">
        <f>_xlfn._xlws.FILTER(辅助信息!D:D,辅助信息!E:E=B1148)</f>
        <v>五冶钢构南充医学科学产业园建设项目</v>
      </c>
    </row>
    <row r="1149" hidden="1" spans="1:18">
      <c r="A1149" s="109"/>
      <c r="B1149" s="41" t="s">
        <v>127</v>
      </c>
      <c r="C1149" s="71">
        <v>45771</v>
      </c>
      <c r="D1149" s="41" t="str">
        <f>VLOOKUP(B1149,辅助信息!E:K,7,FALSE)</f>
        <v>JWDDCD2025051000019</v>
      </c>
      <c r="E1149" s="41" t="str">
        <f>VLOOKUP(F1149,辅助信息!A:B,2,FALSE)</f>
        <v>螺纹钢</v>
      </c>
      <c r="F1149" s="41" t="s">
        <v>27</v>
      </c>
      <c r="G1149" s="37">
        <v>10</v>
      </c>
      <c r="H1149" s="37">
        <f>_xlfn.XLOOKUP(C1149&amp;F1149&amp;I1149&amp;J1149,'[1]2025年已发货'!$F:$F&amp;'[1]2025年已发货'!$C:$C&amp;'[1]2025年已发货'!$G:$G&amp;'[1]2025年已发货'!$H:$H,'[1]2025年已发货'!$E:$E,"未发货")</f>
        <v>10</v>
      </c>
      <c r="I1149" s="41" t="str">
        <f>VLOOKUP(B1149,辅助信息!E:I,3,FALSE)</f>
        <v>(五冶钢构医学科学产业园建设项目房建三部-管网总坪)四川省南充市顺庆区搬罾街道学府大道二段</v>
      </c>
      <c r="J1149" s="41" t="str">
        <f>VLOOKUP(B1149,辅助信息!E:I,4,FALSE)</f>
        <v>郑林</v>
      </c>
      <c r="K1149" s="41">
        <f>VLOOKUP(J1149,辅助信息!H:I,2,FALSE)</f>
        <v>18349955455</v>
      </c>
      <c r="L1149" s="40"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193</v>
      </c>
      <c r="Q1149" s="30" t="str">
        <f>VLOOKUP(B1149,辅助信息!E:M,9,FALSE)</f>
        <v>ZTWM-CDGS-XS-2024-0248-五冶钢构-南充市医学院项目</v>
      </c>
      <c r="R1149" s="30" t="str">
        <f>_xlfn._xlws.FILTER(辅助信息!D:D,辅助信息!E:E=B1149)</f>
        <v>五冶钢构南充医学科学产业园建设项目</v>
      </c>
    </row>
    <row r="1150" hidden="1" spans="1:18">
      <c r="A1150" s="109"/>
      <c r="B1150" s="41" t="s">
        <v>104</v>
      </c>
      <c r="C1150" s="71">
        <v>45771</v>
      </c>
      <c r="D1150" s="41" t="str">
        <f>VLOOKUP(B1150,辅助信息!E:K,7,FALSE)</f>
        <v>JWDDCD2024101600090</v>
      </c>
      <c r="E1150" s="41" t="str">
        <f>VLOOKUP(F1150,辅助信息!A:B,2,FALSE)</f>
        <v>盘螺</v>
      </c>
      <c r="F1150" s="41" t="s">
        <v>40</v>
      </c>
      <c r="G1150" s="37">
        <v>2.5</v>
      </c>
      <c r="H1150" s="37">
        <f>_xlfn.XLOOKUP(C1150&amp;F1150&amp;I1150&amp;J1150,'[1]2025年已发货'!$F:$F&amp;'[1]2025年已发货'!$C:$C&amp;'[1]2025年已发货'!$G:$G&amp;'[1]2025年已发货'!$H:$H,'[1]2025年已发货'!$E:$E,"未发货")</f>
        <v>2.5</v>
      </c>
      <c r="I1150" s="41" t="str">
        <f>VLOOKUP(B1150,辅助信息!E:I,3,FALSE)</f>
        <v>（达州市公共卫生医疗中心项目-二标-78号楼）达州市通川区西外复兴镇公共卫生临床医疗中心项目</v>
      </c>
      <c r="J1150" s="41" t="str">
        <f>VLOOKUP(B1150,辅助信息!E:I,4,FALSE)</f>
        <v>黄永林</v>
      </c>
      <c r="K1150" s="41">
        <f>VLOOKUP(J1150,辅助信息!H:I,2,FALSE)</f>
        <v>15982487227</v>
      </c>
      <c r="L1150" s="40" t="str">
        <f>VLOOKUP(B1150,辅助信息!E:J,6,FALSE)</f>
        <v>提前联系到场规格,一天到场车辆不低于2车</v>
      </c>
      <c r="M1150" s="92">
        <v>45769</v>
      </c>
      <c r="O1150" s="63">
        <f ca="1" t="shared" si="40"/>
        <v>0</v>
      </c>
      <c r="P1150" s="63">
        <f ca="1" t="shared" si="42"/>
        <v>190</v>
      </c>
      <c r="Q1150" s="30" t="str">
        <f>VLOOKUP(B1150,辅助信息!E:M,9,FALSE)</f>
        <v>ZTWM-CDGS-XS-2024-0205-五冶钢构-达州市通川区西外复兴镇及临近片区建设项目</v>
      </c>
      <c r="R1150" s="30" t="str">
        <f>_xlfn._xlws.FILTER(辅助信息!D:D,辅助信息!E:E=B1150)</f>
        <v>五冶钢构达州市公共卫生临床医疗中心项目</v>
      </c>
    </row>
    <row r="1151" hidden="1" spans="1:18">
      <c r="A1151" s="109"/>
      <c r="B1151" s="41" t="s">
        <v>104</v>
      </c>
      <c r="C1151" s="71">
        <v>45771</v>
      </c>
      <c r="D1151" s="41" t="str">
        <f>VLOOKUP(B1151,辅助信息!E:K,7,FALSE)</f>
        <v>JWDDCD2024101600090</v>
      </c>
      <c r="E1151" s="41" t="str">
        <f>VLOOKUP(F1151,辅助信息!A:B,2,FALSE)</f>
        <v>盘螺</v>
      </c>
      <c r="F1151" s="41" t="s">
        <v>41</v>
      </c>
      <c r="G1151" s="37">
        <v>2.5</v>
      </c>
      <c r="H1151" s="37">
        <f>_xlfn.XLOOKUP(C1151&amp;F1151&amp;I1151&amp;J1151,'[1]2025年已发货'!$F:$F&amp;'[1]2025年已发货'!$C:$C&amp;'[1]2025年已发货'!$G:$G&amp;'[1]2025年已发货'!$H:$H,'[1]2025年已发货'!$E:$E,"未发货")</f>
        <v>2.5</v>
      </c>
      <c r="I1151" s="41" t="str">
        <f>VLOOKUP(B1151,辅助信息!E:I,3,FALSE)</f>
        <v>（达州市公共卫生医疗中心项目-二标-78号楼）达州市通川区西外复兴镇公共卫生临床医疗中心项目</v>
      </c>
      <c r="J1151" s="41" t="str">
        <f>VLOOKUP(B1151,辅助信息!E:I,4,FALSE)</f>
        <v>黄永林</v>
      </c>
      <c r="K1151" s="41">
        <f>VLOOKUP(J1151,辅助信息!H:I,2,FALSE)</f>
        <v>15982487227</v>
      </c>
      <c r="L1151" s="40" t="str">
        <f>VLOOKUP(B1151,辅助信息!E:J,6,FALSE)</f>
        <v>提前联系到场规格,一天到场车辆不低于2车</v>
      </c>
      <c r="M1151" s="92">
        <v>45769</v>
      </c>
      <c r="O1151" s="63">
        <f ca="1" t="shared" ref="O1151:O1162" si="43">IF(OR(M1151="",N1151&lt;&gt;""),"",MAX(M1151-TODAY(),0))</f>
        <v>0</v>
      </c>
      <c r="P1151" s="63">
        <f ca="1" t="shared" si="42"/>
        <v>190</v>
      </c>
      <c r="Q1151" s="30" t="str">
        <f>VLOOKUP(B1151,辅助信息!E:M,9,FALSE)</f>
        <v>ZTWM-CDGS-XS-2024-0205-五冶钢构-达州市通川区西外复兴镇及临近片区建设项目</v>
      </c>
      <c r="R1151" s="30" t="str">
        <f>_xlfn._xlws.FILTER(辅助信息!D:D,辅助信息!E:E=B1151)</f>
        <v>五冶钢构达州市公共卫生临床医疗中心项目</v>
      </c>
    </row>
    <row r="1152" hidden="1" spans="1:18">
      <c r="A1152" s="109"/>
      <c r="B1152" s="41" t="s">
        <v>104</v>
      </c>
      <c r="C1152" s="71">
        <v>45771</v>
      </c>
      <c r="D1152" s="41" t="str">
        <f>VLOOKUP(B1152,辅助信息!E:K,7,FALSE)</f>
        <v>JWDDCD2024101600090</v>
      </c>
      <c r="E1152" s="41" t="str">
        <f>VLOOKUP(F1152,辅助信息!A:B,2,FALSE)</f>
        <v>螺纹钢</v>
      </c>
      <c r="F1152" s="41" t="s">
        <v>27</v>
      </c>
      <c r="G1152" s="37">
        <v>24</v>
      </c>
      <c r="H1152" s="37">
        <f>_xlfn.XLOOKUP(C1152&amp;F1152&amp;I1152&amp;J1152,'[1]2025年已发货'!$F:$F&amp;'[1]2025年已发货'!$C:$C&amp;'[1]2025年已发货'!$G:$G&amp;'[1]2025年已发货'!$H:$H,'[1]2025年已发货'!$E:$E,"未发货")</f>
        <v>24</v>
      </c>
      <c r="I1152" s="41" t="str">
        <f>VLOOKUP(B1152,辅助信息!E:I,3,FALSE)</f>
        <v>（达州市公共卫生医疗中心项目-二标-78号楼）达州市通川区西外复兴镇公共卫生临床医疗中心项目</v>
      </c>
      <c r="J1152" s="41" t="str">
        <f>VLOOKUP(B1152,辅助信息!E:I,4,FALSE)</f>
        <v>黄永林</v>
      </c>
      <c r="K1152" s="41">
        <f>VLOOKUP(J1152,辅助信息!H:I,2,FALSE)</f>
        <v>15982487227</v>
      </c>
      <c r="L1152" s="40" t="str">
        <f>VLOOKUP(B1152,辅助信息!E:J,6,FALSE)</f>
        <v>提前联系到场规格,一天到场车辆不低于2车</v>
      </c>
      <c r="M1152" s="92">
        <v>45769</v>
      </c>
      <c r="O1152" s="63">
        <f ca="1" t="shared" si="43"/>
        <v>0</v>
      </c>
      <c r="P1152" s="63">
        <f ca="1" t="shared" si="42"/>
        <v>190</v>
      </c>
      <c r="Q1152" s="30" t="str">
        <f>VLOOKUP(B1152,辅助信息!E:M,9,FALSE)</f>
        <v>ZTWM-CDGS-XS-2024-0205-五冶钢构-达州市通川区西外复兴镇及临近片区建设项目</v>
      </c>
      <c r="R1152" s="30" t="str">
        <f>_xlfn._xlws.FILTER(辅助信息!D:D,辅助信息!E:E=B1152)</f>
        <v>五冶钢构达州市公共卫生临床医疗中心项目</v>
      </c>
    </row>
    <row r="1153" hidden="1" spans="1:18">
      <c r="A1153" s="109"/>
      <c r="B1153" s="41" t="s">
        <v>104</v>
      </c>
      <c r="C1153" s="71">
        <v>45771</v>
      </c>
      <c r="D1153" s="41" t="str">
        <f>VLOOKUP(B1153,辅助信息!E:K,7,FALSE)</f>
        <v>JWDDCD2024101600090</v>
      </c>
      <c r="E1153" s="41" t="str">
        <f>VLOOKUP(F1153,辅助信息!A:B,2,FALSE)</f>
        <v>螺纹钢</v>
      </c>
      <c r="F1153" s="41" t="s">
        <v>19</v>
      </c>
      <c r="G1153" s="37">
        <v>6</v>
      </c>
      <c r="H1153" s="37">
        <f>_xlfn.XLOOKUP(C1153&amp;F1153&amp;I1153&amp;J1153,'[1]2025年已发货'!$F:$F&amp;'[1]2025年已发货'!$C:$C&amp;'[1]2025年已发货'!$G:$G&amp;'[1]2025年已发货'!$H:$H,'[1]2025年已发货'!$E:$E,"未发货")</f>
        <v>6</v>
      </c>
      <c r="I1153" s="41" t="str">
        <f>VLOOKUP(B1153,辅助信息!E:I,3,FALSE)</f>
        <v>（达州市公共卫生医疗中心项目-二标-78号楼）达州市通川区西外复兴镇公共卫生临床医疗中心项目</v>
      </c>
      <c r="J1153" s="41" t="str">
        <f>VLOOKUP(B1153,辅助信息!E:I,4,FALSE)</f>
        <v>黄永林</v>
      </c>
      <c r="K1153" s="41">
        <f>VLOOKUP(J1153,辅助信息!H:I,2,FALSE)</f>
        <v>15982487227</v>
      </c>
      <c r="L1153" s="40" t="str">
        <f>VLOOKUP(B1153,辅助信息!E:J,6,FALSE)</f>
        <v>提前联系到场规格,一天到场车辆不低于2车</v>
      </c>
      <c r="M1153" s="92">
        <v>45769</v>
      </c>
      <c r="O1153" s="63">
        <f ca="1" t="shared" si="43"/>
        <v>0</v>
      </c>
      <c r="P1153" s="63">
        <f ca="1" t="shared" si="42"/>
        <v>190</v>
      </c>
      <c r="Q1153" s="30" t="str">
        <f>VLOOKUP(B1153,辅助信息!E:M,9,FALSE)</f>
        <v>ZTWM-CDGS-XS-2024-0205-五冶钢构-达州市通川区西外复兴镇及临近片区建设项目</v>
      </c>
      <c r="R1153" s="30" t="str">
        <f>_xlfn._xlws.FILTER(辅助信息!D:D,辅助信息!E:E=B1153)</f>
        <v>五冶钢构达州市公共卫生临床医疗中心项目</v>
      </c>
    </row>
    <row r="1154" hidden="1" spans="1:18">
      <c r="A1154" s="109"/>
      <c r="B1154" s="41" t="s">
        <v>69</v>
      </c>
      <c r="C1154" s="71">
        <v>45771</v>
      </c>
      <c r="D1154" s="41" t="str">
        <f>VLOOKUP(B1154,辅助信息!E:K,7,FALSE)</f>
        <v>JWDDCD2025052800131</v>
      </c>
      <c r="E1154" s="41" t="str">
        <f>VLOOKUP(F1154,辅助信息!A:B,2,FALSE)</f>
        <v>螺纹钢</v>
      </c>
      <c r="F1154" s="41" t="s">
        <v>45</v>
      </c>
      <c r="G1154" s="37">
        <v>3</v>
      </c>
      <c r="H1154" s="37" t="str">
        <f>_xlfn.XLOOKUP(C1154&amp;F1154&amp;I1154&amp;J1154,'[1]2025年已发货'!$F:$F&amp;'[1]2025年已发货'!$C:$C&amp;'[1]2025年已发货'!$G:$G&amp;'[1]2025年已发货'!$H:$H,'[1]2025年已发货'!$E:$E,"未发货")</f>
        <v>未发货</v>
      </c>
      <c r="I1154" s="41" t="str">
        <f>VLOOKUP(B1154,辅助信息!E:I,3,FALSE)</f>
        <v>（商投建工达州中医药科技园-4工区-2号楼）达州市通川区达州中医药职业学院犀牛大道北段</v>
      </c>
      <c r="J1154" s="41" t="str">
        <f>VLOOKUP(B1154,辅助信息!E:I,4,FALSE)</f>
        <v>张扬</v>
      </c>
      <c r="K1154" s="41">
        <f>VLOOKUP(J1154,辅助信息!H:I,2,FALSE)</f>
        <v>18381904567</v>
      </c>
      <c r="L1154" s="40" t="str">
        <f>VLOOKUP(B1154,辅助信息!E:J,6,FALSE)</f>
        <v>控制炉批号！多了现场不收！,优先安排达钢,提前联系到场规格及数量</v>
      </c>
      <c r="M1154" s="92">
        <v>45763</v>
      </c>
      <c r="O1154" s="63">
        <f ca="1" t="shared" si="43"/>
        <v>0</v>
      </c>
      <c r="P1154" s="63">
        <f ca="1" t="shared" si="42"/>
        <v>196</v>
      </c>
      <c r="Q1154" s="30" t="str">
        <f>VLOOKUP(B1154,辅助信息!E:M,9,FALSE)</f>
        <v>ZTWM-CDGS-XS-2024-0134-商投建工达州中医药科技成果示范园项目</v>
      </c>
      <c r="R1154" s="30" t="str">
        <f>_xlfn._xlws.FILTER(辅助信息!D:D,辅助信息!E:E=B1154)</f>
        <v>商投建工达州中医药科技园</v>
      </c>
    </row>
    <row r="1155" hidden="1" spans="1:18">
      <c r="A1155" s="109"/>
      <c r="B1155" s="41" t="s">
        <v>69</v>
      </c>
      <c r="C1155" s="71">
        <v>45771</v>
      </c>
      <c r="D1155" s="41" t="str">
        <f>VLOOKUP(B1155,辅助信息!E:K,7,FALSE)</f>
        <v>JWDDCD2025052800131</v>
      </c>
      <c r="E1155" s="41" t="str">
        <f>VLOOKUP(F1155,辅助信息!A:B,2,FALSE)</f>
        <v>螺纹钢</v>
      </c>
      <c r="F1155" s="41" t="s">
        <v>21</v>
      </c>
      <c r="G1155" s="37">
        <v>12</v>
      </c>
      <c r="H1155" s="37" t="str">
        <f>_xlfn.XLOOKUP(C1155&amp;F1155&amp;I1155&amp;J1155,'[1]2025年已发货'!$F:$F&amp;'[1]2025年已发货'!$C:$C&amp;'[1]2025年已发货'!$G:$G&amp;'[1]2025年已发货'!$H:$H,'[1]2025年已发货'!$E:$E,"未发货")</f>
        <v>未发货</v>
      </c>
      <c r="I1155" s="41" t="str">
        <f>VLOOKUP(B1155,辅助信息!E:I,3,FALSE)</f>
        <v>（商投建工达州中医药科技园-4工区-2号楼）达州市通川区达州中医药职业学院犀牛大道北段</v>
      </c>
      <c r="J1155" s="41" t="str">
        <f>VLOOKUP(B1155,辅助信息!E:I,4,FALSE)</f>
        <v>张扬</v>
      </c>
      <c r="K1155" s="41">
        <f>VLOOKUP(J1155,辅助信息!H:I,2,FALSE)</f>
        <v>18381904567</v>
      </c>
      <c r="L1155" s="40" t="str">
        <f>VLOOKUP(B1155,辅助信息!E:J,6,FALSE)</f>
        <v>控制炉批号！多了现场不收！,优先安排达钢,提前联系到场规格及数量</v>
      </c>
      <c r="M1155" s="92">
        <v>45763</v>
      </c>
      <c r="O1155" s="63">
        <f ca="1" t="shared" si="43"/>
        <v>0</v>
      </c>
      <c r="P1155" s="63">
        <f ca="1" t="shared" si="42"/>
        <v>196</v>
      </c>
      <c r="Q1155" s="30" t="str">
        <f>VLOOKUP(B1155,辅助信息!E:M,9,FALSE)</f>
        <v>ZTWM-CDGS-XS-2024-0134-商投建工达州中医药科技成果示范园项目</v>
      </c>
      <c r="R1155" s="30" t="str">
        <f>_xlfn._xlws.FILTER(辅助信息!D:D,辅助信息!E:E=B1155)</f>
        <v>商投建工达州中医药科技园</v>
      </c>
    </row>
    <row r="1156" hidden="1" spans="1:18">
      <c r="A1156" s="109"/>
      <c r="B1156" s="41" t="s">
        <v>69</v>
      </c>
      <c r="C1156" s="71">
        <v>45771</v>
      </c>
      <c r="D1156" s="41" t="str">
        <f>VLOOKUP(B1156,辅助信息!E:K,7,FALSE)</f>
        <v>JWDDCD2025052800131</v>
      </c>
      <c r="E1156" s="41" t="str">
        <f>VLOOKUP(F1156,辅助信息!A:B,2,FALSE)</f>
        <v>螺纹钢</v>
      </c>
      <c r="F1156" s="41" t="s">
        <v>58</v>
      </c>
      <c r="G1156" s="37">
        <v>9</v>
      </c>
      <c r="H1156" s="37" t="str">
        <f>_xlfn.XLOOKUP(C1156&amp;F1156&amp;I1156&amp;J1156,'[1]2025年已发货'!$F:$F&amp;'[1]2025年已发货'!$C:$C&amp;'[1]2025年已发货'!$G:$G&amp;'[1]2025年已发货'!$H:$H,'[1]2025年已发货'!$E:$E,"未发货")</f>
        <v>未发货</v>
      </c>
      <c r="I1156" s="41" t="str">
        <f>VLOOKUP(B1156,辅助信息!E:I,3,FALSE)</f>
        <v>（商投建工达州中医药科技园-4工区-2号楼）达州市通川区达州中医药职业学院犀牛大道北段</v>
      </c>
      <c r="J1156" s="41" t="str">
        <f>VLOOKUP(B1156,辅助信息!E:I,4,FALSE)</f>
        <v>张扬</v>
      </c>
      <c r="K1156" s="41">
        <f>VLOOKUP(J1156,辅助信息!H:I,2,FALSE)</f>
        <v>18381904567</v>
      </c>
      <c r="L1156" s="40" t="str">
        <f>VLOOKUP(B1156,辅助信息!E:J,6,FALSE)</f>
        <v>控制炉批号！多了现场不收！,优先安排达钢,提前联系到场规格及数量</v>
      </c>
      <c r="M1156" s="92">
        <v>45763</v>
      </c>
      <c r="O1156" s="63">
        <f ca="1" t="shared" si="43"/>
        <v>0</v>
      </c>
      <c r="P1156" s="63">
        <f ca="1" t="shared" si="42"/>
        <v>196</v>
      </c>
      <c r="Q1156" s="30" t="str">
        <f>VLOOKUP(B1156,辅助信息!E:M,9,FALSE)</f>
        <v>ZTWM-CDGS-XS-2024-0134-商投建工达州中医药科技成果示范园项目</v>
      </c>
      <c r="R1156" s="30" t="str">
        <f>_xlfn._xlws.FILTER(辅助信息!D:D,辅助信息!E:E=B1156)</f>
        <v>商投建工达州中医药科技园</v>
      </c>
    </row>
    <row r="1157" hidden="1" spans="1:18">
      <c r="A1157" s="109"/>
      <c r="B1157" s="41" t="s">
        <v>69</v>
      </c>
      <c r="C1157" s="71">
        <v>45771</v>
      </c>
      <c r="D1157" s="41" t="str">
        <f>VLOOKUP(B1157,辅助信息!E:K,7,FALSE)</f>
        <v>JWDDCD2025052800131</v>
      </c>
      <c r="E1157" s="41" t="str">
        <f>VLOOKUP(F1157,辅助信息!A:B,2,FALSE)</f>
        <v>螺纹钢</v>
      </c>
      <c r="F1157" s="41" t="s">
        <v>46</v>
      </c>
      <c r="G1157" s="37">
        <v>9</v>
      </c>
      <c r="H1157" s="37" t="str">
        <f>_xlfn.XLOOKUP(C1157&amp;F1157&amp;I1157&amp;J1157,'[1]2025年已发货'!$F:$F&amp;'[1]2025年已发货'!$C:$C&amp;'[1]2025年已发货'!$G:$G&amp;'[1]2025年已发货'!$H:$H,'[1]2025年已发货'!$E:$E,"未发货")</f>
        <v>未发货</v>
      </c>
      <c r="I1157" s="41" t="str">
        <f>VLOOKUP(B1157,辅助信息!E:I,3,FALSE)</f>
        <v>（商投建工达州中医药科技园-4工区-2号楼）达州市通川区达州中医药职业学院犀牛大道北段</v>
      </c>
      <c r="J1157" s="41" t="str">
        <f>VLOOKUP(B1157,辅助信息!E:I,4,FALSE)</f>
        <v>张扬</v>
      </c>
      <c r="K1157" s="41">
        <f>VLOOKUP(J1157,辅助信息!H:I,2,FALSE)</f>
        <v>18381904567</v>
      </c>
      <c r="L1157" s="40" t="str">
        <f>VLOOKUP(B1157,辅助信息!E:J,6,FALSE)</f>
        <v>控制炉批号！多了现场不收！,优先安排达钢,提前联系到场规格及数量</v>
      </c>
      <c r="M1157" s="92">
        <v>45763</v>
      </c>
      <c r="O1157" s="63">
        <f ca="1" t="shared" si="43"/>
        <v>0</v>
      </c>
      <c r="P1157" s="63">
        <f ca="1" t="shared" si="42"/>
        <v>196</v>
      </c>
      <c r="Q1157" s="30" t="str">
        <f>VLOOKUP(B1157,辅助信息!E:M,9,FALSE)</f>
        <v>ZTWM-CDGS-XS-2024-0134-商投建工达州中医药科技成果示范园项目</v>
      </c>
      <c r="R1157" s="30" t="str">
        <f>_xlfn._xlws.FILTER(辅助信息!D:D,辅助信息!E:E=B1157)</f>
        <v>商投建工达州中医药科技园</v>
      </c>
    </row>
    <row r="1158" hidden="1" spans="1:18">
      <c r="A1158" s="109"/>
      <c r="B1158" s="41" t="s">
        <v>56</v>
      </c>
      <c r="C1158" s="71">
        <v>45771</v>
      </c>
      <c r="D1158" s="41" t="str">
        <f>VLOOKUP(B1158,辅助信息!E:K,7,FALSE)</f>
        <v>JWDDCD2025052800131</v>
      </c>
      <c r="E1158" s="41" t="str">
        <f>VLOOKUP(F1158,辅助信息!A:B,2,FALSE)</f>
        <v>螺纹钢</v>
      </c>
      <c r="F1158" s="41" t="s">
        <v>46</v>
      </c>
      <c r="G1158" s="37">
        <v>21</v>
      </c>
      <c r="H1158" s="37" t="str">
        <f>_xlfn.XLOOKUP(C1158&amp;F1158&amp;I1158&amp;J1158,'[1]2025年已发货'!$F:$F&amp;'[1]2025年已发货'!$C:$C&amp;'[1]2025年已发货'!$G:$G&amp;'[1]2025年已发货'!$H:$H,'[1]2025年已发货'!$E:$E,"未发货")</f>
        <v>未发货</v>
      </c>
      <c r="I1158" s="41" t="str">
        <f>VLOOKUP(B1158,辅助信息!E:I,3,FALSE)</f>
        <v>（商投建工达州中医药科技园-4工区-7号楼）达州市通川区达州中医药职业学院犀牛大道北段</v>
      </c>
      <c r="J1158" s="41" t="str">
        <f>VLOOKUP(B1158,辅助信息!E:I,4,FALSE)</f>
        <v>张扬</v>
      </c>
      <c r="K1158" s="41">
        <f>VLOOKUP(J1158,辅助信息!H:I,2,FALSE)</f>
        <v>18381904567</v>
      </c>
      <c r="L1158" s="40" t="str">
        <f>VLOOKUP(B1158,辅助信息!E:J,6,FALSE)</f>
        <v>控制炉批号！多了现场不收！,优先安排达钢,提前联系到场规格及数量</v>
      </c>
      <c r="M1158" s="92">
        <v>45768</v>
      </c>
      <c r="O1158" s="63">
        <f ca="1" t="shared" si="43"/>
        <v>0</v>
      </c>
      <c r="P1158" s="63">
        <f ca="1" t="shared" si="42"/>
        <v>191</v>
      </c>
      <c r="Q1158" s="30" t="str">
        <f>VLOOKUP(B1158,辅助信息!E:M,9,FALSE)</f>
        <v>ZTWM-CDGS-XS-2024-0134-商投建工达州中医药科技成果示范园项目</v>
      </c>
      <c r="R1158" s="30" t="str">
        <f>_xlfn._xlws.FILTER(辅助信息!D:D,辅助信息!E:E=B1158)</f>
        <v>商投建工达州中医药科技园</v>
      </c>
    </row>
    <row r="1159" hidden="1" spans="1:18">
      <c r="A1159" s="109"/>
      <c r="B1159" s="84" t="s">
        <v>56</v>
      </c>
      <c r="C1159" s="85">
        <v>45771</v>
      </c>
      <c r="D1159" s="41" t="str">
        <f>VLOOKUP(B1159,辅助信息!E:K,7,FALSE)</f>
        <v>JWDDCD2025052800131</v>
      </c>
      <c r="E1159" s="41" t="str">
        <f>VLOOKUP(F1159,辅助信息!A:B,2,FALSE)</f>
        <v>螺纹钢</v>
      </c>
      <c r="F1159" s="41" t="s">
        <v>22</v>
      </c>
      <c r="G1159" s="37">
        <v>30</v>
      </c>
      <c r="H1159" s="37" t="str">
        <f>_xlfn.XLOOKUP(C1159&amp;F1159&amp;I1159&amp;J1159,'[1]2025年已发货'!$F:$F&amp;'[1]2025年已发货'!$C:$C&amp;'[1]2025年已发货'!$G:$G&amp;'[1]2025年已发货'!$H:$H,'[1]2025年已发货'!$E:$E,"未发货")</f>
        <v>未发货</v>
      </c>
      <c r="I1159" s="41" t="str">
        <f>VLOOKUP(B1159,辅助信息!E:I,3,FALSE)</f>
        <v>（商投建工达州中医药科技园-4工区-7号楼）达州市通川区达州中医药职业学院犀牛大道北段</v>
      </c>
      <c r="J1159" s="41" t="str">
        <f>VLOOKUP(B1159,辅助信息!E:I,4,FALSE)</f>
        <v>张扬</v>
      </c>
      <c r="K1159" s="41">
        <f>VLOOKUP(J1159,辅助信息!H:I,2,FALSE)</f>
        <v>18381904567</v>
      </c>
      <c r="L1159" s="40" t="str">
        <f>VLOOKUP(B1159,辅助信息!E:J,6,FALSE)</f>
        <v>控制炉批号！多了现场不收！,优先安排达钢,提前联系到场规格及数量</v>
      </c>
      <c r="M1159" s="92">
        <v>45768</v>
      </c>
      <c r="O1159" s="63">
        <f ca="1" t="shared" si="43"/>
        <v>0</v>
      </c>
      <c r="P1159" s="63">
        <f ca="1" t="shared" si="42"/>
        <v>191</v>
      </c>
      <c r="Q1159" s="30" t="str">
        <f>VLOOKUP(B1159,辅助信息!E:M,9,FALSE)</f>
        <v>ZTWM-CDGS-XS-2024-0134-商投建工达州中医药科技成果示范园项目</v>
      </c>
      <c r="R1159" s="30" t="str">
        <f>_xlfn._xlws.FILTER(辅助信息!D:D,辅助信息!E:E=B1159)</f>
        <v>商投建工达州中医药科技园</v>
      </c>
    </row>
    <row r="1160" hidden="1" spans="1:18">
      <c r="A1160" s="63"/>
      <c r="B1160" s="41" t="s">
        <v>87</v>
      </c>
      <c r="C1160" s="71">
        <v>45774</v>
      </c>
      <c r="D1160" s="41" t="e">
        <f>VLOOKUP(B1160,辅助信息!E:K,7,FALSE)</f>
        <v>#N/A</v>
      </c>
      <c r="E1160" s="41" t="str">
        <f>VLOOKUP(F1160,辅助信息!A:B,2,FALSE)</f>
        <v>螺纹钢</v>
      </c>
      <c r="F1160" s="41" t="s">
        <v>27</v>
      </c>
      <c r="G1160" s="37">
        <f>12+6</f>
        <v>18</v>
      </c>
      <c r="H1160" s="37" t="e">
        <f>_xlfn.XLOOKUP(C1160&amp;F1160&amp;I1160&amp;J1160,'[1]2025年已发货'!$F:$F&amp;'[1]2025年已发货'!$C:$C&amp;'[1]2025年已发货'!$G:$G&amp;'[1]2025年已发货'!$H:$H,'[1]2025年已发货'!$E:$E,"未发货")</f>
        <v>#N/A</v>
      </c>
      <c r="I1160" s="41" t="e">
        <f>VLOOKUP(B1160,辅助信息!E:I,3,FALSE)</f>
        <v>#N/A</v>
      </c>
      <c r="J1160" s="41" t="e">
        <f>VLOOKUP(B1160,辅助信息!E:I,4,FALSE)</f>
        <v>#N/A</v>
      </c>
      <c r="K1160" s="41" t="e">
        <f>VLOOKUP(J1160,辅助信息!H:I,2,FALSE)</f>
        <v>#N/A</v>
      </c>
      <c r="L1160" s="40" t="e">
        <f>VLOOKUP(B1160,辅助信息!E:J,6,FALSE)</f>
        <v>#N/A</v>
      </c>
      <c r="M1160" s="92">
        <v>45772</v>
      </c>
      <c r="O1160" s="63">
        <f ca="1" t="shared" si="43"/>
        <v>0</v>
      </c>
      <c r="P1160" s="63">
        <f ca="1" t="shared" ref="P1160:P1208" si="44">IF(M1160="","",IF(N1160&lt;&gt;"",MAX(N1160-M1160,0),IF(TODAY()&gt;M1160,TODAY()-M1160,0)))</f>
        <v>187</v>
      </c>
      <c r="Q1160" s="30" t="e">
        <f>VLOOKUP(B1160,辅助信息!E:M,9,FALSE)</f>
        <v>#N/A</v>
      </c>
      <c r="R1160" s="30" vm="1" t="e">
        <f>_xlfn._xlws.FILTER(辅助信息!D:D,辅助信息!E:E=B1160)</f>
        <v>#VALUE!</v>
      </c>
    </row>
    <row r="1161" hidden="1" spans="1:18">
      <c r="A1161" s="63"/>
      <c r="B1161" s="41" t="s">
        <v>87</v>
      </c>
      <c r="C1161" s="71">
        <v>45774</v>
      </c>
      <c r="D1161" s="41" t="e">
        <f>VLOOKUP(B1161,辅助信息!E:K,7,FALSE)</f>
        <v>#N/A</v>
      </c>
      <c r="E1161" s="41" t="str">
        <f>VLOOKUP(F1161,辅助信息!A:B,2,FALSE)</f>
        <v>螺纹钢</v>
      </c>
      <c r="F1161" s="41" t="s">
        <v>19</v>
      </c>
      <c r="G1161" s="37">
        <f>10+6</f>
        <v>16</v>
      </c>
      <c r="H1161" s="37" t="e">
        <f>_xlfn.XLOOKUP(C1161&amp;F1161&amp;I1161&amp;J1161,'[1]2025年已发货'!$F:$F&amp;'[1]2025年已发货'!$C:$C&amp;'[1]2025年已发货'!$G:$G&amp;'[1]2025年已发货'!$H:$H,'[1]2025年已发货'!$E:$E,"未发货")</f>
        <v>#N/A</v>
      </c>
      <c r="I1161" s="41" t="e">
        <f>VLOOKUP(B1161,辅助信息!E:I,3,FALSE)</f>
        <v>#N/A</v>
      </c>
      <c r="J1161" s="41" t="e">
        <f>VLOOKUP(B1161,辅助信息!E:I,4,FALSE)</f>
        <v>#N/A</v>
      </c>
      <c r="K1161" s="41" t="e">
        <f>VLOOKUP(J1161,辅助信息!H:I,2,FALSE)</f>
        <v>#N/A</v>
      </c>
      <c r="L1161" s="40" t="e">
        <f>VLOOKUP(B1161,辅助信息!E:J,6,FALSE)</f>
        <v>#N/A</v>
      </c>
      <c r="M1161" s="92">
        <v>45772</v>
      </c>
      <c r="O1161" s="63">
        <f ca="1" t="shared" si="43"/>
        <v>0</v>
      </c>
      <c r="P1161" s="63">
        <f ca="1" t="shared" si="44"/>
        <v>187</v>
      </c>
      <c r="Q1161" s="30" t="e">
        <f>VLOOKUP(B1161,辅助信息!E:M,9,FALSE)</f>
        <v>#N/A</v>
      </c>
      <c r="R1161" s="30" vm="1" t="e">
        <f>_xlfn._xlws.FILTER(辅助信息!D:D,辅助信息!E:E=B1161)</f>
        <v>#VALUE!</v>
      </c>
    </row>
    <row r="1162" hidden="1" spans="1:18">
      <c r="A1162" s="63"/>
      <c r="B1162" s="41" t="s">
        <v>87</v>
      </c>
      <c r="C1162" s="71">
        <v>45774</v>
      </c>
      <c r="D1162" s="41" t="e">
        <f>VLOOKUP(B1162,辅助信息!E:K,7,FALSE)</f>
        <v>#N/A</v>
      </c>
      <c r="E1162" s="41" t="str">
        <f>VLOOKUP(F1162,辅助信息!A:B,2,FALSE)</f>
        <v>螺纹钢</v>
      </c>
      <c r="F1162" s="41" t="s">
        <v>18</v>
      </c>
      <c r="G1162" s="37">
        <v>6</v>
      </c>
      <c r="H1162" s="37" t="e">
        <f>_xlfn.XLOOKUP(C1162&amp;F1162&amp;I1162&amp;J1162,'[1]2025年已发货'!$F:$F&amp;'[1]2025年已发货'!$C:$C&amp;'[1]2025年已发货'!$G:$G&amp;'[1]2025年已发货'!$H:$H,'[1]2025年已发货'!$E:$E,"未发货")</f>
        <v>#N/A</v>
      </c>
      <c r="I1162" s="41" t="e">
        <f>VLOOKUP(B1162,辅助信息!E:I,3,FALSE)</f>
        <v>#N/A</v>
      </c>
      <c r="J1162" s="41" t="e">
        <f>VLOOKUP(B1162,辅助信息!E:I,4,FALSE)</f>
        <v>#N/A</v>
      </c>
      <c r="K1162" s="41" t="e">
        <f>VLOOKUP(J1162,辅助信息!H:I,2,FALSE)</f>
        <v>#N/A</v>
      </c>
      <c r="L1162" s="40" t="e">
        <f>VLOOKUP(B1162,辅助信息!E:J,6,FALSE)</f>
        <v>#N/A</v>
      </c>
      <c r="M1162" s="92">
        <v>45772</v>
      </c>
      <c r="O1162" s="63">
        <f ca="1" t="shared" si="43"/>
        <v>0</v>
      </c>
      <c r="P1162" s="63">
        <f ca="1" t="shared" si="44"/>
        <v>187</v>
      </c>
      <c r="Q1162" s="30" t="e">
        <f>VLOOKUP(B1162,辅助信息!E:M,9,FALSE)</f>
        <v>#N/A</v>
      </c>
      <c r="R1162" s="30" vm="1" t="e">
        <f>_xlfn._xlws.FILTER(辅助信息!D:D,辅助信息!E:E=B1162)</f>
        <v>#VALUE!</v>
      </c>
    </row>
    <row r="1163" hidden="1" spans="2:18">
      <c r="B1163" s="41" t="s">
        <v>68</v>
      </c>
      <c r="C1163" s="71">
        <v>45771</v>
      </c>
      <c r="D1163" s="41" t="str">
        <f>VLOOKUP(B1163,辅助信息!E:K,7,FALSE)</f>
        <v>JWDDCD2025052800131</v>
      </c>
      <c r="E1163" s="41" t="str">
        <f>VLOOKUP(F1163,辅助信息!A:B,2,FALSE)</f>
        <v>高线</v>
      </c>
      <c r="F1163" s="41" t="s">
        <v>51</v>
      </c>
      <c r="G1163" s="37">
        <v>3</v>
      </c>
      <c r="H1163" s="37" t="str">
        <f>_xlfn.XLOOKUP(C1163&amp;F1163&amp;I1163&amp;J1163,'[1]2025年已发货'!$F:$F&amp;'[1]2025年已发货'!$C:$C&amp;'[1]2025年已发货'!$G:$G&amp;'[1]2025年已发货'!$H:$H,'[1]2025年已发货'!$E:$E,"未发货")</f>
        <v>未发货</v>
      </c>
      <c r="I1163" s="41" t="str">
        <f>VLOOKUP(B1163,辅助信息!E:I,3,FALSE)</f>
        <v>（商投建工达州中医药科技园-2工区-景观桥）达州市通川区达州中医药职业学院犀牛大道北段</v>
      </c>
      <c r="J1163" s="41" t="str">
        <f>VLOOKUP(B1163,辅助信息!E:I,4,FALSE)</f>
        <v>李波</v>
      </c>
      <c r="K1163" s="41">
        <f>VLOOKUP(J1163,辅助信息!H:I,2,FALSE)</f>
        <v>18381899787</v>
      </c>
      <c r="L1163" s="40" t="str">
        <f>VLOOKUP(B1163,辅助信息!E:J,6,FALSE)</f>
        <v>控制炉批号！多了现场不收！,优先安排达钢,提前联系到场规格及数量</v>
      </c>
      <c r="M1163" s="92">
        <v>45772</v>
      </c>
      <c r="O1163" s="63">
        <f ca="1" t="shared" ref="O1163:O1193" si="45">IF(OR(M1163="",N1163&lt;&gt;""),"",MAX(M1163-TODAY(),0))</f>
        <v>0</v>
      </c>
      <c r="P1163" s="63">
        <f ca="1" t="shared" si="44"/>
        <v>187</v>
      </c>
      <c r="Q1163" s="30" t="str">
        <f>VLOOKUP(B1163,辅助信息!E:M,9,FALSE)</f>
        <v>ZTWM-CDGS-XS-2024-0134-商投建工达州中医药科技成果示范园项目</v>
      </c>
      <c r="R1163" s="30" t="str">
        <f>_xlfn._xlws.FILTER(辅助信息!D:D,辅助信息!E:E=B1163)</f>
        <v>商投建工达州中医药科技园</v>
      </c>
    </row>
    <row r="1164" hidden="1" spans="2:18">
      <c r="B1164" s="41" t="s">
        <v>68</v>
      </c>
      <c r="C1164" s="71">
        <v>45771</v>
      </c>
      <c r="D1164" s="41" t="str">
        <f>VLOOKUP(B1164,辅助信息!E:K,7,FALSE)</f>
        <v>JWDDCD2025052800131</v>
      </c>
      <c r="E1164" s="41" t="str">
        <f>VLOOKUP(F1164,辅助信息!A:B,2,FALSE)</f>
        <v>盘螺</v>
      </c>
      <c r="F1164" s="41" t="s">
        <v>41</v>
      </c>
      <c r="G1164" s="37">
        <v>3</v>
      </c>
      <c r="H1164" s="37" t="str">
        <f>_xlfn.XLOOKUP(C1164&amp;F1164&amp;I1164&amp;J1164,'[1]2025年已发货'!$F:$F&amp;'[1]2025年已发货'!$C:$C&amp;'[1]2025年已发货'!$G:$G&amp;'[1]2025年已发货'!$H:$H,'[1]2025年已发货'!$E:$E,"未发货")</f>
        <v>未发货</v>
      </c>
      <c r="I1164" s="41" t="str">
        <f>VLOOKUP(B1164,辅助信息!E:I,3,FALSE)</f>
        <v>（商投建工达州中医药科技园-2工区-景观桥）达州市通川区达州中医药职业学院犀牛大道北段</v>
      </c>
      <c r="J1164" s="41" t="str">
        <f>VLOOKUP(B1164,辅助信息!E:I,4,FALSE)</f>
        <v>李波</v>
      </c>
      <c r="K1164" s="41">
        <f>VLOOKUP(J1164,辅助信息!H:I,2,FALSE)</f>
        <v>18381899787</v>
      </c>
      <c r="L1164" s="40" t="str">
        <f>VLOOKUP(B1164,辅助信息!E:J,6,FALSE)</f>
        <v>控制炉批号！多了现场不收！,优先安排达钢,提前联系到场规格及数量</v>
      </c>
      <c r="M1164" s="92">
        <v>45772</v>
      </c>
      <c r="O1164" s="63">
        <f ca="1" t="shared" si="45"/>
        <v>0</v>
      </c>
      <c r="P1164" s="63">
        <f ca="1" t="shared" si="44"/>
        <v>187</v>
      </c>
      <c r="Q1164" s="30" t="str">
        <f>VLOOKUP(B1164,辅助信息!E:M,9,FALSE)</f>
        <v>ZTWM-CDGS-XS-2024-0134-商投建工达州中医药科技成果示范园项目</v>
      </c>
      <c r="R1164" s="30" t="str">
        <f>_xlfn._xlws.FILTER(辅助信息!D:D,辅助信息!E:E=B1164)</f>
        <v>商投建工达州中医药科技园</v>
      </c>
    </row>
    <row r="1165" hidden="1" spans="2:18">
      <c r="B1165" s="41" t="s">
        <v>68</v>
      </c>
      <c r="C1165" s="71">
        <v>45771</v>
      </c>
      <c r="D1165" s="41" t="str">
        <f>VLOOKUP(B1165,辅助信息!E:K,7,FALSE)</f>
        <v>JWDDCD2025052800131</v>
      </c>
      <c r="E1165" s="41" t="str">
        <f>VLOOKUP(F1165,辅助信息!A:B,2,FALSE)</f>
        <v>螺纹钢</v>
      </c>
      <c r="F1165" s="41" t="s">
        <v>27</v>
      </c>
      <c r="G1165" s="37">
        <v>24</v>
      </c>
      <c r="H1165" s="37">
        <f>_xlfn.XLOOKUP(C1165&amp;F1165&amp;I1165&amp;J1165,'[1]2025年已发货'!$F:$F&amp;'[1]2025年已发货'!$C:$C&amp;'[1]2025年已发货'!$G:$G&amp;'[1]2025年已发货'!$H:$H,'[1]2025年已发货'!$E:$E,"未发货")</f>
        <v>24</v>
      </c>
      <c r="I1165" s="41" t="str">
        <f>VLOOKUP(B1165,辅助信息!E:I,3,FALSE)</f>
        <v>（商投建工达州中医药科技园-2工区-景观桥）达州市通川区达州中医药职业学院犀牛大道北段</v>
      </c>
      <c r="J1165" s="41" t="str">
        <f>VLOOKUP(B1165,辅助信息!E:I,4,FALSE)</f>
        <v>李波</v>
      </c>
      <c r="K1165" s="41">
        <f>VLOOKUP(J1165,辅助信息!H:I,2,FALSE)</f>
        <v>18381899787</v>
      </c>
      <c r="L1165" s="40" t="str">
        <f>VLOOKUP(B1165,辅助信息!E:J,6,FALSE)</f>
        <v>控制炉批号！多了现场不收！,优先安排达钢,提前联系到场规格及数量</v>
      </c>
      <c r="M1165" s="92">
        <v>45772</v>
      </c>
      <c r="O1165" s="63">
        <f ca="1" t="shared" si="45"/>
        <v>0</v>
      </c>
      <c r="P1165" s="63">
        <f ca="1" t="shared" si="44"/>
        <v>187</v>
      </c>
      <c r="Q1165" s="30" t="str">
        <f>VLOOKUP(B1165,辅助信息!E:M,9,FALSE)</f>
        <v>ZTWM-CDGS-XS-2024-0134-商投建工达州中医药科技成果示范园项目</v>
      </c>
      <c r="R1165" s="30" t="str">
        <f>_xlfn._xlws.FILTER(辅助信息!D:D,辅助信息!E:E=B1165)</f>
        <v>商投建工达州中医药科技园</v>
      </c>
    </row>
    <row r="1166" hidden="1" spans="2:18">
      <c r="B1166" s="41" t="s">
        <v>68</v>
      </c>
      <c r="C1166" s="71">
        <v>45771</v>
      </c>
      <c r="D1166" s="41" t="str">
        <f>VLOOKUP(B1166,辅助信息!E:K,7,FALSE)</f>
        <v>JWDDCD2025052800131</v>
      </c>
      <c r="E1166" s="41" t="str">
        <f>VLOOKUP(F1166,辅助信息!A:B,2,FALSE)</f>
        <v>螺纹钢</v>
      </c>
      <c r="F1166" s="41" t="s">
        <v>32</v>
      </c>
      <c r="G1166" s="37">
        <v>17</v>
      </c>
      <c r="H1166" s="37" t="str">
        <f>_xlfn.XLOOKUP(C1166&amp;F1166&amp;I1166&amp;J1166,'[1]2025年已发货'!$F:$F&amp;'[1]2025年已发货'!$C:$C&amp;'[1]2025年已发货'!$G:$G&amp;'[1]2025年已发货'!$H:$H,'[1]2025年已发货'!$E:$E,"未发货")</f>
        <v>未发货</v>
      </c>
      <c r="I1166" s="41" t="str">
        <f>VLOOKUP(B1166,辅助信息!E:I,3,FALSE)</f>
        <v>（商投建工达州中医药科技园-2工区-景观桥）达州市通川区达州中医药职业学院犀牛大道北段</v>
      </c>
      <c r="J1166" s="41" t="str">
        <f>VLOOKUP(B1166,辅助信息!E:I,4,FALSE)</f>
        <v>李波</v>
      </c>
      <c r="K1166" s="41">
        <f>VLOOKUP(J1166,辅助信息!H:I,2,FALSE)</f>
        <v>18381899787</v>
      </c>
      <c r="L1166" s="40" t="str">
        <f>VLOOKUP(B1166,辅助信息!E:J,6,FALSE)</f>
        <v>控制炉批号！多了现场不收！,优先安排达钢,提前联系到场规格及数量</v>
      </c>
      <c r="M1166" s="92">
        <v>45772</v>
      </c>
      <c r="O1166" s="63">
        <f ca="1" t="shared" si="45"/>
        <v>0</v>
      </c>
      <c r="P1166" s="63">
        <f ca="1" t="shared" si="44"/>
        <v>187</v>
      </c>
      <c r="Q1166" s="30" t="str">
        <f>VLOOKUP(B1166,辅助信息!E:M,9,FALSE)</f>
        <v>ZTWM-CDGS-XS-2024-0134-商投建工达州中医药科技成果示范园项目</v>
      </c>
      <c r="R1166" s="30" t="str">
        <f>_xlfn._xlws.FILTER(辅助信息!D:D,辅助信息!E:E=B1166)</f>
        <v>商投建工达州中医药科技园</v>
      </c>
    </row>
    <row r="1167" hidden="1" spans="2:18">
      <c r="B1167" s="41" t="s">
        <v>68</v>
      </c>
      <c r="C1167" s="71">
        <v>45771</v>
      </c>
      <c r="D1167" s="41" t="str">
        <f>VLOOKUP(B1167,辅助信息!E:K,7,FALSE)</f>
        <v>JWDDCD2025052800131</v>
      </c>
      <c r="E1167" s="41" t="str">
        <f>VLOOKUP(F1167,辅助信息!A:B,2,FALSE)</f>
        <v>螺纹钢</v>
      </c>
      <c r="F1167" s="41" t="s">
        <v>33</v>
      </c>
      <c r="G1167" s="37">
        <v>21</v>
      </c>
      <c r="H1167" s="37">
        <f>_xlfn.XLOOKUP(C1167&amp;F1167&amp;I1167&amp;J1167,'[1]2025年已发货'!$F:$F&amp;'[1]2025年已发货'!$C:$C&amp;'[1]2025年已发货'!$G:$G&amp;'[1]2025年已发货'!$H:$H,'[1]2025年已发货'!$E:$E,"未发货")</f>
        <v>21</v>
      </c>
      <c r="I1167" s="41" t="str">
        <f>VLOOKUP(B1167,辅助信息!E:I,3,FALSE)</f>
        <v>（商投建工达州中医药科技园-2工区-景观桥）达州市通川区达州中医药职业学院犀牛大道北段</v>
      </c>
      <c r="J1167" s="41" t="str">
        <f>VLOOKUP(B1167,辅助信息!E:I,4,FALSE)</f>
        <v>李波</v>
      </c>
      <c r="K1167" s="41">
        <f>VLOOKUP(J1167,辅助信息!H:I,2,FALSE)</f>
        <v>18381899787</v>
      </c>
      <c r="L1167" s="40" t="str">
        <f>VLOOKUP(B1167,辅助信息!E:J,6,FALSE)</f>
        <v>控制炉批号！多了现场不收！,优先安排达钢,提前联系到场规格及数量</v>
      </c>
      <c r="M1167" s="92">
        <v>45772</v>
      </c>
      <c r="O1167" s="63">
        <f ca="1" t="shared" si="45"/>
        <v>0</v>
      </c>
      <c r="P1167" s="63">
        <f ca="1" t="shared" si="44"/>
        <v>187</v>
      </c>
      <c r="Q1167" s="30" t="str">
        <f>VLOOKUP(B1167,辅助信息!E:M,9,FALSE)</f>
        <v>ZTWM-CDGS-XS-2024-0134-商投建工达州中医药科技成果示范园项目</v>
      </c>
      <c r="R1167" s="30" t="str">
        <f>_xlfn._xlws.FILTER(辅助信息!D:D,辅助信息!E:E=B1167)</f>
        <v>商投建工达州中医药科技园</v>
      </c>
    </row>
    <row r="1168" hidden="1" spans="2:18">
      <c r="B1168" s="41" t="s">
        <v>68</v>
      </c>
      <c r="C1168" s="71">
        <v>45771</v>
      </c>
      <c r="D1168" s="41" t="str">
        <f>VLOOKUP(B1168,辅助信息!E:K,7,FALSE)</f>
        <v>JWDDCD2025052800131</v>
      </c>
      <c r="E1168" s="41" t="str">
        <f>VLOOKUP(F1168,辅助信息!A:B,2,FALSE)</f>
        <v>螺纹钢</v>
      </c>
      <c r="F1168" s="41" t="s">
        <v>18</v>
      </c>
      <c r="G1168" s="37">
        <v>12</v>
      </c>
      <c r="H1168" s="37" t="str">
        <f>_xlfn.XLOOKUP(C1168&amp;F1168&amp;I1168&amp;J1168,'[1]2025年已发货'!$F:$F&amp;'[1]2025年已发货'!$C:$C&amp;'[1]2025年已发货'!$G:$G&amp;'[1]2025年已发货'!$H:$H,'[1]2025年已发货'!$E:$E,"未发货")</f>
        <v>未发货</v>
      </c>
      <c r="I1168" s="41" t="str">
        <f>VLOOKUP(B1168,辅助信息!E:I,3,FALSE)</f>
        <v>（商投建工达州中医药科技园-2工区-景观桥）达州市通川区达州中医药职业学院犀牛大道北段</v>
      </c>
      <c r="J1168" s="41" t="str">
        <f>VLOOKUP(B1168,辅助信息!E:I,4,FALSE)</f>
        <v>李波</v>
      </c>
      <c r="K1168" s="41">
        <f>VLOOKUP(J1168,辅助信息!H:I,2,FALSE)</f>
        <v>18381899787</v>
      </c>
      <c r="L1168" s="40" t="str">
        <f>VLOOKUP(B1168,辅助信息!E:J,6,FALSE)</f>
        <v>控制炉批号！多了现场不收！,优先安排达钢,提前联系到场规格及数量</v>
      </c>
      <c r="M1168" s="92">
        <v>45772</v>
      </c>
      <c r="O1168" s="63">
        <f ca="1" t="shared" si="45"/>
        <v>0</v>
      </c>
      <c r="P1168" s="63">
        <f ca="1" t="shared" si="44"/>
        <v>187</v>
      </c>
      <c r="Q1168" s="30" t="str">
        <f>VLOOKUP(B1168,辅助信息!E:M,9,FALSE)</f>
        <v>ZTWM-CDGS-XS-2024-0134-商投建工达州中医药科技成果示范园项目</v>
      </c>
      <c r="R1168" s="30" t="str">
        <f>_xlfn._xlws.FILTER(辅助信息!D:D,辅助信息!E:E=B1168)</f>
        <v>商投建工达州中医药科技园</v>
      </c>
    </row>
    <row r="1169" hidden="1" spans="2:18">
      <c r="B1169" s="41" t="s">
        <v>68</v>
      </c>
      <c r="C1169" s="71">
        <v>45771</v>
      </c>
      <c r="D1169" s="41" t="str">
        <f>VLOOKUP(B1169,辅助信息!E:K,7,FALSE)</f>
        <v>JWDDCD2025052800131</v>
      </c>
      <c r="E1169" s="41" t="str">
        <f>VLOOKUP(F1169,辅助信息!A:B,2,FALSE)</f>
        <v>螺纹钢</v>
      </c>
      <c r="F1169" s="41" t="s">
        <v>52</v>
      </c>
      <c r="G1169" s="37">
        <v>80</v>
      </c>
      <c r="H1169" s="37">
        <f>_xlfn.XLOOKUP(C1169&amp;F1169&amp;I1169&amp;J1169,'[1]2025年已发货'!$F:$F&amp;'[1]2025年已发货'!$C:$C&amp;'[1]2025年已发货'!$G:$G&amp;'[1]2025年已发货'!$H:$H,'[1]2025年已发货'!$E:$E,"未发货")</f>
        <v>65</v>
      </c>
      <c r="I1169" s="41" t="str">
        <f>VLOOKUP(B1169,辅助信息!E:I,3,FALSE)</f>
        <v>（商投建工达州中医药科技园-2工区-景观桥）达州市通川区达州中医药职业学院犀牛大道北段</v>
      </c>
      <c r="J1169" s="41" t="str">
        <f>VLOOKUP(B1169,辅助信息!E:I,4,FALSE)</f>
        <v>李波</v>
      </c>
      <c r="K1169" s="41">
        <f>VLOOKUP(J1169,辅助信息!H:I,2,FALSE)</f>
        <v>18381899787</v>
      </c>
      <c r="L1169" s="40" t="str">
        <f>VLOOKUP(B1169,辅助信息!E:J,6,FALSE)</f>
        <v>控制炉批号！多了现场不收！,优先安排达钢,提前联系到场规格及数量</v>
      </c>
      <c r="M1169" s="92">
        <v>45772</v>
      </c>
      <c r="O1169" s="63">
        <f ca="1" t="shared" si="45"/>
        <v>0</v>
      </c>
      <c r="P1169" s="63">
        <f ca="1" t="shared" si="44"/>
        <v>187</v>
      </c>
      <c r="Q1169" s="30" t="str">
        <f>VLOOKUP(B1169,辅助信息!E:M,9,FALSE)</f>
        <v>ZTWM-CDGS-XS-2024-0134-商投建工达州中医药科技成果示范园项目</v>
      </c>
      <c r="R1169" s="30" t="str">
        <f>_xlfn._xlws.FILTER(辅助信息!D:D,辅助信息!E:E=B1169)</f>
        <v>商投建工达州中医药科技园</v>
      </c>
    </row>
    <row r="1170" hidden="1" spans="1:18">
      <c r="A1170" s="63" t="e">
        <f t="shared" ref="A1170:A1202" si="46">G1170-H1170</f>
        <v>#VALUE!</v>
      </c>
      <c r="B1170" s="41" t="s">
        <v>135</v>
      </c>
      <c r="C1170" s="71">
        <v>45771</v>
      </c>
      <c r="D1170" s="41" t="str">
        <f>VLOOKUP(B1170,辅助信息!E:K,7,FALSE)</f>
        <v>JWDDCD2025050800080</v>
      </c>
      <c r="E1170" s="41" t="str">
        <f>VLOOKUP(F1170,辅助信息!A:B,2,FALSE)</f>
        <v>盘螺</v>
      </c>
      <c r="F1170" s="41" t="s">
        <v>49</v>
      </c>
      <c r="G1170" s="37">
        <v>10</v>
      </c>
      <c r="H1170" s="37" t="str">
        <f>_xlfn.XLOOKUP(C1170&amp;F1170&amp;I1170&amp;J1170,'[1]2025年已发货'!$F:$F&amp;'[1]2025年已发货'!$C:$C&amp;'[1]2025年已发货'!$G:$G&amp;'[1]2025年已发货'!$H:$H,'[1]2025年已发货'!$E:$E,"未发货")</f>
        <v>未发货</v>
      </c>
      <c r="I1170" s="41" t="str">
        <f>VLOOKUP(B1170,辅助信息!E:I,3,FALSE)</f>
        <v>(宜宾兴港三江新区长江工业园建设项目-M2-2#厂房)宜宾市翠屏区宜宾汽车零部件配套产业基地(纬五路南)</v>
      </c>
      <c r="J1170" s="41" t="str">
        <f>VLOOKUP(B1170,辅助信息!E:I,4,FALSE)</f>
        <v>李国享</v>
      </c>
      <c r="K1170" s="41">
        <f>VLOOKUP(J1170,辅助信息!H:I,2,FALSE)</f>
        <v>17713876279</v>
      </c>
      <c r="L1170" s="40" t="str">
        <f>VLOOKUP(B1170,辅助信息!E:J,6,FALSE)</f>
        <v>装货前联系收货人核实到场规格，货物最下面用方木垫下方便卸货</v>
      </c>
      <c r="M1170" s="92">
        <v>45773</v>
      </c>
      <c r="O1170" s="63">
        <f ca="1" t="shared" si="45"/>
        <v>0</v>
      </c>
      <c r="P1170" s="63">
        <f ca="1" t="shared" si="44"/>
        <v>186</v>
      </c>
      <c r="Q1170" s="30" t="str">
        <f>VLOOKUP(B1170,辅助信息!E:M,9,FALSE)</f>
        <v>ZTWM-CDGS-XS-2025-0059-宜宾兴港建材-宜宾冷链项目</v>
      </c>
      <c r="R1170" s="30" t="str">
        <f>_xlfn._xlws.FILTER(辅助信息!D:D,辅助信息!E:E=B1170)</f>
        <v>宜宾兴港三江新区长江工业园建设项目</v>
      </c>
    </row>
    <row r="1171" hidden="1" spans="1:18">
      <c r="A1171" s="63" t="e">
        <f t="shared" si="46"/>
        <v>#VALUE!</v>
      </c>
      <c r="B1171" s="41" t="s">
        <v>135</v>
      </c>
      <c r="C1171" s="71">
        <v>45771</v>
      </c>
      <c r="D1171" s="41" t="str">
        <f>VLOOKUP(B1171,辅助信息!E:K,7,FALSE)</f>
        <v>JWDDCD2025050800080</v>
      </c>
      <c r="E1171" s="41" t="str">
        <f>VLOOKUP(F1171,辅助信息!A:B,2,FALSE)</f>
        <v>盘螺</v>
      </c>
      <c r="F1171" s="41" t="s">
        <v>40</v>
      </c>
      <c r="G1171" s="37">
        <v>20</v>
      </c>
      <c r="H1171" s="37" t="str">
        <f>_xlfn.XLOOKUP(C1171&amp;F1171&amp;I1171&amp;J1171,'[1]2025年已发货'!$F:$F&amp;'[1]2025年已发货'!$C:$C&amp;'[1]2025年已发货'!$G:$G&amp;'[1]2025年已发货'!$H:$H,'[1]2025年已发货'!$E:$E,"未发货")</f>
        <v>未发货</v>
      </c>
      <c r="I1171" s="41" t="str">
        <f>VLOOKUP(B1171,辅助信息!E:I,3,FALSE)</f>
        <v>(宜宾兴港三江新区长江工业园建设项目-M2-2#厂房)宜宾市翠屏区宜宾汽车零部件配套产业基地(纬五路南)</v>
      </c>
      <c r="J1171" s="41" t="str">
        <f>VLOOKUP(B1171,辅助信息!E:I,4,FALSE)</f>
        <v>李国享</v>
      </c>
      <c r="K1171" s="41">
        <f>VLOOKUP(J1171,辅助信息!H:I,2,FALSE)</f>
        <v>17713876279</v>
      </c>
      <c r="L1171" s="40" t="str">
        <f>VLOOKUP(B1171,辅助信息!E:J,6,FALSE)</f>
        <v>装货前联系收货人核实到场规格，货物最下面用方木垫下方便卸货</v>
      </c>
      <c r="M1171" s="92">
        <v>45773</v>
      </c>
      <c r="O1171" s="63">
        <f ca="1" t="shared" si="45"/>
        <v>0</v>
      </c>
      <c r="P1171" s="63">
        <f ca="1" t="shared" si="44"/>
        <v>186</v>
      </c>
      <c r="Q1171" s="30" t="str">
        <f>VLOOKUP(B1171,辅助信息!E:M,9,FALSE)</f>
        <v>ZTWM-CDGS-XS-2025-0059-宜宾兴港建材-宜宾冷链项目</v>
      </c>
      <c r="R1171" s="30" t="str">
        <f>_xlfn._xlws.FILTER(辅助信息!D:D,辅助信息!E:E=B1171)</f>
        <v>宜宾兴港三江新区长江工业园建设项目</v>
      </c>
    </row>
    <row r="1172" hidden="1" spans="1:18">
      <c r="A1172" s="63" t="e">
        <f t="shared" si="46"/>
        <v>#VALUE!</v>
      </c>
      <c r="B1172" s="41" t="s">
        <v>135</v>
      </c>
      <c r="C1172" s="71">
        <v>45771</v>
      </c>
      <c r="D1172" s="41" t="str">
        <f>VLOOKUP(B1172,辅助信息!E:K,7,FALSE)</f>
        <v>JWDDCD2025050800080</v>
      </c>
      <c r="E1172" s="41" t="str">
        <f>VLOOKUP(F1172,辅助信息!A:B,2,FALSE)</f>
        <v>盘螺</v>
      </c>
      <c r="F1172" s="41" t="s">
        <v>41</v>
      </c>
      <c r="G1172" s="37">
        <v>30</v>
      </c>
      <c r="H1172" s="37" t="str">
        <f>_xlfn.XLOOKUP(C1172&amp;F1172&amp;I1172&amp;J1172,'[1]2025年已发货'!$F:$F&amp;'[1]2025年已发货'!$C:$C&amp;'[1]2025年已发货'!$G:$G&amp;'[1]2025年已发货'!$H:$H,'[1]2025年已发货'!$E:$E,"未发货")</f>
        <v>未发货</v>
      </c>
      <c r="I1172" s="41" t="str">
        <f>VLOOKUP(B1172,辅助信息!E:I,3,FALSE)</f>
        <v>(宜宾兴港三江新区长江工业园建设项目-M2-2#厂房)宜宾市翠屏区宜宾汽车零部件配套产业基地(纬五路南)</v>
      </c>
      <c r="J1172" s="41" t="str">
        <f>VLOOKUP(B1172,辅助信息!E:I,4,FALSE)</f>
        <v>李国享</v>
      </c>
      <c r="K1172" s="41">
        <f>VLOOKUP(J1172,辅助信息!H:I,2,FALSE)</f>
        <v>17713876279</v>
      </c>
      <c r="L1172" s="40" t="str">
        <f>VLOOKUP(B1172,辅助信息!E:J,6,FALSE)</f>
        <v>装货前联系收货人核实到场规格，货物最下面用方木垫下方便卸货</v>
      </c>
      <c r="M1172" s="92">
        <v>45773</v>
      </c>
      <c r="O1172" s="63">
        <f ca="1" t="shared" si="45"/>
        <v>0</v>
      </c>
      <c r="P1172" s="63">
        <f ca="1" t="shared" si="44"/>
        <v>186</v>
      </c>
      <c r="Q1172" s="30" t="str">
        <f>VLOOKUP(B1172,辅助信息!E:M,9,FALSE)</f>
        <v>ZTWM-CDGS-XS-2025-0059-宜宾兴港建材-宜宾冷链项目</v>
      </c>
      <c r="R1172" s="30" t="str">
        <f>_xlfn._xlws.FILTER(辅助信息!D:D,辅助信息!E:E=B1172)</f>
        <v>宜宾兴港三江新区长江工业园建设项目</v>
      </c>
    </row>
    <row r="1173" hidden="1" spans="1:18">
      <c r="A1173" s="63" t="e">
        <f t="shared" si="46"/>
        <v>#VALUE!</v>
      </c>
      <c r="B1173" s="41" t="s">
        <v>135</v>
      </c>
      <c r="C1173" s="71">
        <v>45771</v>
      </c>
      <c r="D1173" s="41" t="str">
        <f>VLOOKUP(B1173,辅助信息!E:K,7,FALSE)</f>
        <v>JWDDCD2025050800080</v>
      </c>
      <c r="E1173" s="41" t="str">
        <f>VLOOKUP(F1173,辅助信息!A:B,2,FALSE)</f>
        <v>螺纹钢</v>
      </c>
      <c r="F1173" s="41" t="s">
        <v>27</v>
      </c>
      <c r="G1173" s="37">
        <v>60</v>
      </c>
      <c r="H1173" s="37" t="str">
        <f>_xlfn.XLOOKUP(C1173&amp;F1173&amp;I1173&amp;J1173,'[1]2025年已发货'!$F:$F&amp;'[1]2025年已发货'!$C:$C&amp;'[1]2025年已发货'!$G:$G&amp;'[1]2025年已发货'!$H:$H,'[1]2025年已发货'!$E:$E,"未发货")</f>
        <v>未发货</v>
      </c>
      <c r="I1173" s="41" t="str">
        <f>VLOOKUP(B1173,辅助信息!E:I,3,FALSE)</f>
        <v>(宜宾兴港三江新区长江工业园建设项目-M2-2#厂房)宜宾市翠屏区宜宾汽车零部件配套产业基地(纬五路南)</v>
      </c>
      <c r="J1173" s="41" t="str">
        <f>VLOOKUP(B1173,辅助信息!E:I,4,FALSE)</f>
        <v>李国享</v>
      </c>
      <c r="K1173" s="41">
        <f>VLOOKUP(J1173,辅助信息!H:I,2,FALSE)</f>
        <v>17713876279</v>
      </c>
      <c r="L1173" s="40" t="str">
        <f>VLOOKUP(B1173,辅助信息!E:J,6,FALSE)</f>
        <v>装货前联系收货人核实到场规格，货物最下面用方木垫下方便卸货</v>
      </c>
      <c r="M1173" s="92">
        <v>45773</v>
      </c>
      <c r="O1173" s="63">
        <f ca="1" t="shared" si="45"/>
        <v>0</v>
      </c>
      <c r="P1173" s="63">
        <f ca="1" t="shared" si="44"/>
        <v>186</v>
      </c>
      <c r="Q1173" s="30" t="str">
        <f>VLOOKUP(B1173,辅助信息!E:M,9,FALSE)</f>
        <v>ZTWM-CDGS-XS-2025-0059-宜宾兴港建材-宜宾冷链项目</v>
      </c>
      <c r="R1173" s="30" t="str">
        <f>_xlfn._xlws.FILTER(辅助信息!D:D,辅助信息!E:E=B1173)</f>
        <v>宜宾兴港三江新区长江工业园建设项目</v>
      </c>
    </row>
    <row r="1174" hidden="1" spans="1:18">
      <c r="A1174" s="63" t="e">
        <f t="shared" si="46"/>
        <v>#VALUE!</v>
      </c>
      <c r="B1174" s="41" t="s">
        <v>135</v>
      </c>
      <c r="C1174" s="71">
        <v>45771</v>
      </c>
      <c r="D1174" s="41" t="str">
        <f>VLOOKUP(B1174,辅助信息!E:K,7,FALSE)</f>
        <v>JWDDCD2025050800080</v>
      </c>
      <c r="E1174" s="41" t="str">
        <f>VLOOKUP(F1174,辅助信息!A:B,2,FALSE)</f>
        <v>螺纹钢</v>
      </c>
      <c r="F1174" s="41" t="s">
        <v>19</v>
      </c>
      <c r="G1174" s="37">
        <v>20</v>
      </c>
      <c r="H1174" s="37" t="str">
        <f>_xlfn.XLOOKUP(C1174&amp;F1174&amp;I1174&amp;J1174,'[1]2025年已发货'!$F:$F&amp;'[1]2025年已发货'!$C:$C&amp;'[1]2025年已发货'!$G:$G&amp;'[1]2025年已发货'!$H:$H,'[1]2025年已发货'!$E:$E,"未发货")</f>
        <v>未发货</v>
      </c>
      <c r="I1174" s="41" t="str">
        <f>VLOOKUP(B1174,辅助信息!E:I,3,FALSE)</f>
        <v>(宜宾兴港三江新区长江工业园建设项目-M2-2#厂房)宜宾市翠屏区宜宾汽车零部件配套产业基地(纬五路南)</v>
      </c>
      <c r="J1174" s="41" t="str">
        <f>VLOOKUP(B1174,辅助信息!E:I,4,FALSE)</f>
        <v>李国享</v>
      </c>
      <c r="K1174" s="41">
        <f>VLOOKUP(J1174,辅助信息!H:I,2,FALSE)</f>
        <v>17713876279</v>
      </c>
      <c r="L1174" s="40" t="str">
        <f>VLOOKUP(B1174,辅助信息!E:J,6,FALSE)</f>
        <v>装货前联系收货人核实到场规格，货物最下面用方木垫下方便卸货</v>
      </c>
      <c r="M1174" s="92">
        <v>45773</v>
      </c>
      <c r="O1174" s="63">
        <f ca="1" t="shared" si="45"/>
        <v>0</v>
      </c>
      <c r="P1174" s="63">
        <f ca="1" t="shared" si="44"/>
        <v>186</v>
      </c>
      <c r="Q1174" s="30" t="str">
        <f>VLOOKUP(B1174,辅助信息!E:M,9,FALSE)</f>
        <v>ZTWM-CDGS-XS-2025-0059-宜宾兴港建材-宜宾冷链项目</v>
      </c>
      <c r="R1174" s="30" t="str">
        <f>_xlfn._xlws.FILTER(辅助信息!D:D,辅助信息!E:E=B1174)</f>
        <v>宜宾兴港三江新区长江工业园建设项目</v>
      </c>
    </row>
    <row r="1175" hidden="1" spans="1:18">
      <c r="A1175" s="63" t="e">
        <f t="shared" si="46"/>
        <v>#VALUE!</v>
      </c>
      <c r="B1175" s="41" t="s">
        <v>135</v>
      </c>
      <c r="C1175" s="71">
        <v>45771</v>
      </c>
      <c r="D1175" s="41" t="str">
        <f>VLOOKUP(B1175,辅助信息!E:K,7,FALSE)</f>
        <v>JWDDCD2025050800080</v>
      </c>
      <c r="E1175" s="41" t="str">
        <f>VLOOKUP(F1175,辅助信息!A:B,2,FALSE)</f>
        <v>螺纹钢</v>
      </c>
      <c r="F1175" s="41" t="s">
        <v>32</v>
      </c>
      <c r="G1175" s="37">
        <v>20</v>
      </c>
      <c r="H1175" s="37" t="str">
        <f>_xlfn.XLOOKUP(C1175&amp;F1175&amp;I1175&amp;J1175,'[1]2025年已发货'!$F:$F&amp;'[1]2025年已发货'!$C:$C&amp;'[1]2025年已发货'!$G:$G&amp;'[1]2025年已发货'!$H:$H,'[1]2025年已发货'!$E:$E,"未发货")</f>
        <v>未发货</v>
      </c>
      <c r="I1175" s="41" t="str">
        <f>VLOOKUP(B1175,辅助信息!E:I,3,FALSE)</f>
        <v>(宜宾兴港三江新区长江工业园建设项目-M2-2#厂房)宜宾市翠屏区宜宾汽车零部件配套产业基地(纬五路南)</v>
      </c>
      <c r="J1175" s="41" t="str">
        <f>VLOOKUP(B1175,辅助信息!E:I,4,FALSE)</f>
        <v>李国享</v>
      </c>
      <c r="K1175" s="41">
        <f>VLOOKUP(J1175,辅助信息!H:I,2,FALSE)</f>
        <v>17713876279</v>
      </c>
      <c r="L1175" s="40" t="str">
        <f>VLOOKUP(B1175,辅助信息!E:J,6,FALSE)</f>
        <v>装货前联系收货人核实到场规格，货物最下面用方木垫下方便卸货</v>
      </c>
      <c r="M1175" s="92">
        <v>45773</v>
      </c>
      <c r="O1175" s="63">
        <f ca="1" t="shared" si="45"/>
        <v>0</v>
      </c>
      <c r="P1175" s="63">
        <f ca="1" t="shared" si="44"/>
        <v>186</v>
      </c>
      <c r="Q1175" s="30" t="str">
        <f>VLOOKUP(B1175,辅助信息!E:M,9,FALSE)</f>
        <v>ZTWM-CDGS-XS-2025-0059-宜宾兴港建材-宜宾冷链项目</v>
      </c>
      <c r="R1175" s="30" t="str">
        <f>_xlfn._xlws.FILTER(辅助信息!D:D,辅助信息!E:E=B1175)</f>
        <v>宜宾兴港三江新区长江工业园建设项目</v>
      </c>
    </row>
    <row r="1176" hidden="1" spans="1:18">
      <c r="A1176" s="63" t="e">
        <f t="shared" si="46"/>
        <v>#VALUE!</v>
      </c>
      <c r="B1176" s="41" t="s">
        <v>135</v>
      </c>
      <c r="C1176" s="71">
        <v>45771</v>
      </c>
      <c r="D1176" s="41" t="str">
        <f>VLOOKUP(B1176,辅助信息!E:K,7,FALSE)</f>
        <v>JWDDCD2025050800080</v>
      </c>
      <c r="E1176" s="41" t="str">
        <f>VLOOKUP(F1176,辅助信息!A:B,2,FALSE)</f>
        <v>螺纹钢</v>
      </c>
      <c r="F1176" s="41" t="s">
        <v>30</v>
      </c>
      <c r="G1176" s="37">
        <v>100</v>
      </c>
      <c r="H1176" s="37" t="str">
        <f>_xlfn.XLOOKUP(C1176&amp;F1176&amp;I1176&amp;J1176,'[1]2025年已发货'!$F:$F&amp;'[1]2025年已发货'!$C:$C&amp;'[1]2025年已发货'!$G:$G&amp;'[1]2025年已发货'!$H:$H,'[1]2025年已发货'!$E:$E,"未发货")</f>
        <v>未发货</v>
      </c>
      <c r="I1176" s="41" t="str">
        <f>VLOOKUP(B1176,辅助信息!E:I,3,FALSE)</f>
        <v>(宜宾兴港三江新区长江工业园建设项目-M2-2#厂房)宜宾市翠屏区宜宾汽车零部件配套产业基地(纬五路南)</v>
      </c>
      <c r="J1176" s="41" t="str">
        <f>VLOOKUP(B1176,辅助信息!E:I,4,FALSE)</f>
        <v>李国享</v>
      </c>
      <c r="K1176" s="41">
        <f>VLOOKUP(J1176,辅助信息!H:I,2,FALSE)</f>
        <v>17713876279</v>
      </c>
      <c r="L1176" s="40" t="str">
        <f>VLOOKUP(B1176,辅助信息!E:J,6,FALSE)</f>
        <v>装货前联系收货人核实到场规格，货物最下面用方木垫下方便卸货</v>
      </c>
      <c r="M1176" s="92">
        <v>45773</v>
      </c>
      <c r="O1176" s="63">
        <f ca="1" t="shared" si="45"/>
        <v>0</v>
      </c>
      <c r="P1176" s="63">
        <f ca="1" t="shared" si="44"/>
        <v>186</v>
      </c>
      <c r="Q1176" s="30" t="str">
        <f>VLOOKUP(B1176,辅助信息!E:M,9,FALSE)</f>
        <v>ZTWM-CDGS-XS-2025-0059-宜宾兴港建材-宜宾冷链项目</v>
      </c>
      <c r="R1176" s="30" t="str">
        <f>_xlfn._xlws.FILTER(辅助信息!D:D,辅助信息!E:E=B1176)</f>
        <v>宜宾兴港三江新区长江工业园建设项目</v>
      </c>
    </row>
    <row r="1177" hidden="1" spans="1:18">
      <c r="A1177" s="63" t="e">
        <f t="shared" si="46"/>
        <v>#VALUE!</v>
      </c>
      <c r="B1177" s="41" t="s">
        <v>135</v>
      </c>
      <c r="C1177" s="71">
        <v>45771</v>
      </c>
      <c r="D1177" s="41" t="str">
        <f>VLOOKUP(B1177,辅助信息!E:K,7,FALSE)</f>
        <v>JWDDCD2025050800080</v>
      </c>
      <c r="E1177" s="41" t="str">
        <f>VLOOKUP(F1177,辅助信息!A:B,2,FALSE)</f>
        <v>螺纹钢</v>
      </c>
      <c r="F1177" s="41" t="s">
        <v>33</v>
      </c>
      <c r="G1177" s="37">
        <v>20</v>
      </c>
      <c r="H1177" s="37" t="str">
        <f>_xlfn.XLOOKUP(C1177&amp;F1177&amp;I1177&amp;J1177,'[1]2025年已发货'!$F:$F&amp;'[1]2025年已发货'!$C:$C&amp;'[1]2025年已发货'!$G:$G&amp;'[1]2025年已发货'!$H:$H,'[1]2025年已发货'!$E:$E,"未发货")</f>
        <v>未发货</v>
      </c>
      <c r="I1177" s="41" t="str">
        <f>VLOOKUP(B1177,辅助信息!E:I,3,FALSE)</f>
        <v>(宜宾兴港三江新区长江工业园建设项目-M2-2#厂房)宜宾市翠屏区宜宾汽车零部件配套产业基地(纬五路南)</v>
      </c>
      <c r="J1177" s="41" t="str">
        <f>VLOOKUP(B1177,辅助信息!E:I,4,FALSE)</f>
        <v>李国享</v>
      </c>
      <c r="K1177" s="41">
        <f>VLOOKUP(J1177,辅助信息!H:I,2,FALSE)</f>
        <v>17713876279</v>
      </c>
      <c r="L1177" s="40" t="str">
        <f>VLOOKUP(B1177,辅助信息!E:J,6,FALSE)</f>
        <v>装货前联系收货人核实到场规格，货物最下面用方木垫下方便卸货</v>
      </c>
      <c r="M1177" s="92">
        <v>45773</v>
      </c>
      <c r="O1177" s="63">
        <f ca="1" t="shared" si="45"/>
        <v>0</v>
      </c>
      <c r="P1177" s="63">
        <f ca="1" t="shared" si="44"/>
        <v>186</v>
      </c>
      <c r="Q1177" s="30" t="str">
        <f>VLOOKUP(B1177,辅助信息!E:M,9,FALSE)</f>
        <v>ZTWM-CDGS-XS-2025-0059-宜宾兴港建材-宜宾冷链项目</v>
      </c>
      <c r="R1177" s="30" t="str">
        <f>_xlfn._xlws.FILTER(辅助信息!D:D,辅助信息!E:E=B1177)</f>
        <v>宜宾兴港三江新区长江工业园建设项目</v>
      </c>
    </row>
    <row r="1178" hidden="1" spans="1:18">
      <c r="A1178" s="63" t="e">
        <f t="shared" si="46"/>
        <v>#VALUE!</v>
      </c>
      <c r="B1178" s="41" t="s">
        <v>135</v>
      </c>
      <c r="C1178" s="71">
        <v>45771</v>
      </c>
      <c r="D1178" s="41" t="str">
        <f>VLOOKUP(B1178,辅助信息!E:K,7,FALSE)</f>
        <v>JWDDCD2025050800080</v>
      </c>
      <c r="E1178" s="41" t="str">
        <f>VLOOKUP(F1178,辅助信息!A:B,2,FALSE)</f>
        <v>螺纹钢</v>
      </c>
      <c r="F1178" s="41" t="s">
        <v>28</v>
      </c>
      <c r="G1178" s="37">
        <v>20</v>
      </c>
      <c r="H1178" s="37" t="str">
        <f>_xlfn.XLOOKUP(C1178&amp;F1178&amp;I1178&amp;J1178,'[1]2025年已发货'!$F:$F&amp;'[1]2025年已发货'!$C:$C&amp;'[1]2025年已发货'!$G:$G&amp;'[1]2025年已发货'!$H:$H,'[1]2025年已发货'!$E:$E,"未发货")</f>
        <v>未发货</v>
      </c>
      <c r="I1178" s="41" t="str">
        <f>VLOOKUP(B1178,辅助信息!E:I,3,FALSE)</f>
        <v>(宜宾兴港三江新区长江工业园建设项目-M2-2#厂房)宜宾市翠屏区宜宾汽车零部件配套产业基地(纬五路南)</v>
      </c>
      <c r="J1178" s="41" t="str">
        <f>VLOOKUP(B1178,辅助信息!E:I,4,FALSE)</f>
        <v>李国享</v>
      </c>
      <c r="K1178" s="41">
        <f>VLOOKUP(J1178,辅助信息!H:I,2,FALSE)</f>
        <v>17713876279</v>
      </c>
      <c r="L1178" s="40" t="str">
        <f>VLOOKUP(B1178,辅助信息!E:J,6,FALSE)</f>
        <v>装货前联系收货人核实到场规格，货物最下面用方木垫下方便卸货</v>
      </c>
      <c r="M1178" s="92">
        <v>45773</v>
      </c>
      <c r="O1178" s="63">
        <f ca="1" t="shared" si="45"/>
        <v>0</v>
      </c>
      <c r="P1178" s="63">
        <f ca="1" t="shared" si="44"/>
        <v>186</v>
      </c>
      <c r="Q1178" s="30" t="str">
        <f>VLOOKUP(B1178,辅助信息!E:M,9,FALSE)</f>
        <v>ZTWM-CDGS-XS-2025-0059-宜宾兴港建材-宜宾冷链项目</v>
      </c>
      <c r="R1178" s="30" t="str">
        <f>_xlfn._xlws.FILTER(辅助信息!D:D,辅助信息!E:E=B1178)</f>
        <v>宜宾兴港三江新区长江工业园建设项目</v>
      </c>
    </row>
    <row r="1179" hidden="1" spans="1:18">
      <c r="A1179" s="63" t="e">
        <f t="shared" si="46"/>
        <v>#VALUE!</v>
      </c>
      <c r="B1179" s="41" t="s">
        <v>135</v>
      </c>
      <c r="C1179" s="71">
        <v>45771</v>
      </c>
      <c r="D1179" s="41" t="str">
        <f>VLOOKUP(B1179,辅助信息!E:K,7,FALSE)</f>
        <v>JWDDCD2025050800080</v>
      </c>
      <c r="E1179" s="41" t="str">
        <f>VLOOKUP(F1179,辅助信息!A:B,2,FALSE)</f>
        <v>螺纹钢</v>
      </c>
      <c r="F1179" s="41" t="s">
        <v>18</v>
      </c>
      <c r="G1179" s="37">
        <v>10</v>
      </c>
      <c r="H1179" s="37" t="str">
        <f>_xlfn.XLOOKUP(C1179&amp;F1179&amp;I1179&amp;J1179,'[1]2025年已发货'!$F:$F&amp;'[1]2025年已发货'!$C:$C&amp;'[1]2025年已发货'!$G:$G&amp;'[1]2025年已发货'!$H:$H,'[1]2025年已发货'!$E:$E,"未发货")</f>
        <v>未发货</v>
      </c>
      <c r="I1179" s="41" t="str">
        <f>VLOOKUP(B1179,辅助信息!E:I,3,FALSE)</f>
        <v>(宜宾兴港三江新区长江工业园建设项目-M2-2#厂房)宜宾市翠屏区宜宾汽车零部件配套产业基地(纬五路南)</v>
      </c>
      <c r="J1179" s="41" t="str">
        <f>VLOOKUP(B1179,辅助信息!E:I,4,FALSE)</f>
        <v>李国享</v>
      </c>
      <c r="K1179" s="41">
        <f>VLOOKUP(J1179,辅助信息!H:I,2,FALSE)</f>
        <v>17713876279</v>
      </c>
      <c r="L1179" s="40" t="str">
        <f>VLOOKUP(B1179,辅助信息!E:J,6,FALSE)</f>
        <v>装货前联系收货人核实到场规格，货物最下面用方木垫下方便卸货</v>
      </c>
      <c r="M1179" s="92">
        <v>45773</v>
      </c>
      <c r="O1179" s="63">
        <f ca="1" t="shared" si="45"/>
        <v>0</v>
      </c>
      <c r="P1179" s="63">
        <f ca="1" t="shared" si="44"/>
        <v>186</v>
      </c>
      <c r="Q1179" s="30" t="str">
        <f>VLOOKUP(B1179,辅助信息!E:M,9,FALSE)</f>
        <v>ZTWM-CDGS-XS-2025-0059-宜宾兴港建材-宜宾冷链项目</v>
      </c>
      <c r="R1179" s="30" t="str">
        <f>_xlfn._xlws.FILTER(辅助信息!D:D,辅助信息!E:E=B1179)</f>
        <v>宜宾兴港三江新区长江工业园建设项目</v>
      </c>
    </row>
    <row r="1180" hidden="1" spans="1:18">
      <c r="A1180" s="63" t="e">
        <f t="shared" si="46"/>
        <v>#VALUE!</v>
      </c>
      <c r="B1180" s="41" t="s">
        <v>136</v>
      </c>
      <c r="C1180" s="71">
        <v>45771</v>
      </c>
      <c r="D1180" s="41" t="str">
        <f>VLOOKUP(B1180,辅助信息!E:K,7,FALSE)</f>
        <v>JWDDCD2025050800080</v>
      </c>
      <c r="E1180" s="41" t="str">
        <f>VLOOKUP(F1180,辅助信息!A:B,2,FALSE)</f>
        <v>盘螺</v>
      </c>
      <c r="F1180" s="41" t="s">
        <v>41</v>
      </c>
      <c r="G1180" s="37">
        <v>35</v>
      </c>
      <c r="H1180" s="37" t="str">
        <f>_xlfn.XLOOKUP(C1180&amp;F1180&amp;I1180&amp;J1180,'[1]2025年已发货'!$F:$F&amp;'[1]2025年已发货'!$C:$C&amp;'[1]2025年已发货'!$G:$G&amp;'[1]2025年已发货'!$H:$H,'[1]2025年已发货'!$E:$E,"未发货")</f>
        <v>未发货</v>
      </c>
      <c r="I1180" s="41" t="str">
        <f>VLOOKUP(B1180,辅助信息!E:I,3,FALSE)</f>
        <v>(宜宾兴港三江新区长江工业园建设项目-M2-00-04桩)宜宾市翠屏区宜宾汽车零部件配套产业基地(纬五路南)</v>
      </c>
      <c r="J1180" s="41" t="str">
        <f>VLOOKUP(B1180,辅助信息!E:I,4,FALSE)</f>
        <v>李国享</v>
      </c>
      <c r="K1180" s="41">
        <f>VLOOKUP(J1180,辅助信息!H:I,2,FALSE)</f>
        <v>17713876279</v>
      </c>
      <c r="L1180" s="40" t="str">
        <f>VLOOKUP(B1180,辅助信息!E:J,6,FALSE)</f>
        <v>装货前联系收货人核实到场规格，货物最下面用方木垫下方便卸货</v>
      </c>
      <c r="M1180" s="92">
        <v>45773</v>
      </c>
      <c r="O1180" s="63">
        <f ca="1" t="shared" si="45"/>
        <v>0</v>
      </c>
      <c r="P1180" s="63">
        <f ca="1" t="shared" si="44"/>
        <v>186</v>
      </c>
      <c r="Q1180" s="30" t="str">
        <f>VLOOKUP(B1180,辅助信息!E:M,9,FALSE)</f>
        <v>ZTWM-CDGS-XS-2025-0059-宜宾兴港建材-宜宾冷链项目</v>
      </c>
      <c r="R1180" s="30" t="str">
        <f>_xlfn._xlws.FILTER(辅助信息!D:D,辅助信息!E:E=B1180)</f>
        <v>宜宾兴港三江新区长江工业园建设项目</v>
      </c>
    </row>
    <row r="1181" hidden="1" spans="1:18">
      <c r="A1181" s="63" t="e">
        <f t="shared" si="46"/>
        <v>#VALUE!</v>
      </c>
      <c r="B1181" s="41" t="s">
        <v>136</v>
      </c>
      <c r="C1181" s="71">
        <v>45771</v>
      </c>
      <c r="D1181" s="41" t="str">
        <f>VLOOKUP(B1181,辅助信息!E:K,7,FALSE)</f>
        <v>JWDDCD2025050800080</v>
      </c>
      <c r="E1181" s="41" t="str">
        <f>VLOOKUP(F1181,辅助信息!A:B,2,FALSE)</f>
        <v>螺纹钢</v>
      </c>
      <c r="F1181" s="41" t="s">
        <v>32</v>
      </c>
      <c r="G1181" s="37">
        <v>35</v>
      </c>
      <c r="H1181" s="37" t="str">
        <f>_xlfn.XLOOKUP(C1181&amp;F1181&amp;I1181&amp;J1181,'[1]2025年已发货'!$F:$F&amp;'[1]2025年已发货'!$C:$C&amp;'[1]2025年已发货'!$G:$G&amp;'[1]2025年已发货'!$H:$H,'[1]2025年已发货'!$E:$E,"未发货")</f>
        <v>未发货</v>
      </c>
      <c r="I1181" s="41" t="str">
        <f>VLOOKUP(B1181,辅助信息!E:I,3,FALSE)</f>
        <v>(宜宾兴港三江新区长江工业园建设项目-M2-00-04桩)宜宾市翠屏区宜宾汽车零部件配套产业基地(纬五路南)</v>
      </c>
      <c r="J1181" s="41" t="str">
        <f>VLOOKUP(B1181,辅助信息!E:I,4,FALSE)</f>
        <v>李国享</v>
      </c>
      <c r="K1181" s="41">
        <f>VLOOKUP(J1181,辅助信息!H:I,2,FALSE)</f>
        <v>17713876279</v>
      </c>
      <c r="L1181" s="40" t="str">
        <f>VLOOKUP(B1181,辅助信息!E:J,6,FALSE)</f>
        <v>装货前联系收货人核实到场规格，货物最下面用方木垫下方便卸货</v>
      </c>
      <c r="M1181" s="92">
        <v>45773</v>
      </c>
      <c r="O1181" s="63">
        <f ca="1" t="shared" si="45"/>
        <v>0</v>
      </c>
      <c r="P1181" s="63">
        <f ca="1" t="shared" si="44"/>
        <v>186</v>
      </c>
      <c r="Q1181" s="30" t="str">
        <f>VLOOKUP(B1181,辅助信息!E:M,9,FALSE)</f>
        <v>ZTWM-CDGS-XS-2025-0059-宜宾兴港建材-宜宾冷链项目</v>
      </c>
      <c r="R1181" s="30" t="str">
        <f>_xlfn._xlws.FILTER(辅助信息!D:D,辅助信息!E:E=B1181)</f>
        <v>宜宾兴港三江新区长江工业园建设项目</v>
      </c>
    </row>
    <row r="1182" hidden="1" spans="1:18">
      <c r="A1182" s="63" t="e">
        <f t="shared" si="46"/>
        <v>#VALUE!</v>
      </c>
      <c r="B1182" s="41" t="s">
        <v>136</v>
      </c>
      <c r="C1182" s="71">
        <v>45771</v>
      </c>
      <c r="D1182" s="41" t="str">
        <f>VLOOKUP(B1182,辅助信息!E:K,7,FALSE)</f>
        <v>JWDDCD2025050800080</v>
      </c>
      <c r="E1182" s="41" t="str">
        <f>VLOOKUP(F1182,辅助信息!A:B,2,FALSE)</f>
        <v>螺纹钢</v>
      </c>
      <c r="F1182" s="41" t="s">
        <v>30</v>
      </c>
      <c r="G1182" s="37">
        <v>35</v>
      </c>
      <c r="H1182" s="37" t="str">
        <f>_xlfn.XLOOKUP(C1182&amp;F1182&amp;I1182&amp;J1182,'[1]2025年已发货'!$F:$F&amp;'[1]2025年已发货'!$C:$C&amp;'[1]2025年已发货'!$G:$G&amp;'[1]2025年已发货'!$H:$H,'[1]2025年已发货'!$E:$E,"未发货")</f>
        <v>未发货</v>
      </c>
      <c r="I1182" s="41" t="str">
        <f>VLOOKUP(B1182,辅助信息!E:I,3,FALSE)</f>
        <v>(宜宾兴港三江新区长江工业园建设项目-M2-00-04桩)宜宾市翠屏区宜宾汽车零部件配套产业基地(纬五路南)</v>
      </c>
      <c r="J1182" s="41" t="str">
        <f>VLOOKUP(B1182,辅助信息!E:I,4,FALSE)</f>
        <v>李国享</v>
      </c>
      <c r="K1182" s="41">
        <f>VLOOKUP(J1182,辅助信息!H:I,2,FALSE)</f>
        <v>17713876279</v>
      </c>
      <c r="L1182" s="40" t="str">
        <f>VLOOKUP(B1182,辅助信息!E:J,6,FALSE)</f>
        <v>装货前联系收货人核实到场规格，货物最下面用方木垫下方便卸货</v>
      </c>
      <c r="M1182" s="92">
        <v>45773</v>
      </c>
      <c r="O1182" s="63">
        <f ca="1" t="shared" si="45"/>
        <v>0</v>
      </c>
      <c r="P1182" s="63">
        <f ca="1" t="shared" si="44"/>
        <v>186</v>
      </c>
      <c r="Q1182" s="30" t="str">
        <f>VLOOKUP(B1182,辅助信息!E:M,9,FALSE)</f>
        <v>ZTWM-CDGS-XS-2025-0059-宜宾兴港建材-宜宾冷链项目</v>
      </c>
      <c r="R1182" s="30" t="str">
        <f>_xlfn._xlws.FILTER(辅助信息!D:D,辅助信息!E:E=B1182)</f>
        <v>宜宾兴港三江新区长江工业园建设项目</v>
      </c>
    </row>
    <row r="1183" hidden="1" spans="1:18">
      <c r="A1183" s="63" t="e">
        <f t="shared" si="46"/>
        <v>#VALUE!</v>
      </c>
      <c r="B1183" s="41" t="s">
        <v>136</v>
      </c>
      <c r="C1183" s="71">
        <v>45771</v>
      </c>
      <c r="D1183" s="41" t="str">
        <f>VLOOKUP(B1183,辅助信息!E:K,7,FALSE)</f>
        <v>JWDDCD2025050800080</v>
      </c>
      <c r="E1183" s="41" t="str">
        <f>VLOOKUP(F1183,辅助信息!A:B,2,FALSE)</f>
        <v>螺纹钢</v>
      </c>
      <c r="F1183" s="41" t="s">
        <v>90</v>
      </c>
      <c r="G1183" s="37">
        <v>175</v>
      </c>
      <c r="H1183" s="37" t="str">
        <f>_xlfn.XLOOKUP(C1183&amp;F1183&amp;I1183&amp;J1183,'[1]2025年已发货'!$F:$F&amp;'[1]2025年已发货'!$C:$C&amp;'[1]2025年已发货'!$G:$G&amp;'[1]2025年已发货'!$H:$H,'[1]2025年已发货'!$E:$E,"未发货")</f>
        <v>未发货</v>
      </c>
      <c r="I1183" s="41" t="str">
        <f>VLOOKUP(B1183,辅助信息!E:I,3,FALSE)</f>
        <v>(宜宾兴港三江新区长江工业园建设项目-M2-00-04桩)宜宾市翠屏区宜宾汽车零部件配套产业基地(纬五路南)</v>
      </c>
      <c r="J1183" s="41" t="str">
        <f>VLOOKUP(B1183,辅助信息!E:I,4,FALSE)</f>
        <v>李国享</v>
      </c>
      <c r="K1183" s="41">
        <f>VLOOKUP(J1183,辅助信息!H:I,2,FALSE)</f>
        <v>17713876279</v>
      </c>
      <c r="L1183" s="40" t="str">
        <f>VLOOKUP(B1183,辅助信息!E:J,6,FALSE)</f>
        <v>装货前联系收货人核实到场规格，货物最下面用方木垫下方便卸货</v>
      </c>
      <c r="M1183" s="92">
        <v>45773</v>
      </c>
      <c r="O1183" s="63">
        <f ca="1" t="shared" si="45"/>
        <v>0</v>
      </c>
      <c r="P1183" s="63">
        <f ca="1" t="shared" si="44"/>
        <v>186</v>
      </c>
      <c r="Q1183" s="30" t="str">
        <f>VLOOKUP(B1183,辅助信息!E:M,9,FALSE)</f>
        <v>ZTWM-CDGS-XS-2025-0059-宜宾兴港建材-宜宾冷链项目</v>
      </c>
      <c r="R1183" s="30" t="str">
        <f>_xlfn._xlws.FILTER(辅助信息!D:D,辅助信息!E:E=B1183)</f>
        <v>宜宾兴港三江新区长江工业园建设项目</v>
      </c>
    </row>
    <row r="1184" hidden="1" spans="1:18">
      <c r="A1184" s="63" t="e">
        <f t="shared" si="46"/>
        <v>#VALUE!</v>
      </c>
      <c r="B1184" s="41" t="s">
        <v>136</v>
      </c>
      <c r="C1184" s="71">
        <v>45771</v>
      </c>
      <c r="D1184" s="41" t="str">
        <f>VLOOKUP(B1184,辅助信息!E:K,7,FALSE)</f>
        <v>JWDDCD2025050800080</v>
      </c>
      <c r="E1184" s="41" t="str">
        <f>VLOOKUP(F1184,辅助信息!A:B,2,FALSE)</f>
        <v>螺纹钢</v>
      </c>
      <c r="F1184" s="41" t="s">
        <v>130</v>
      </c>
      <c r="G1184" s="37">
        <v>35</v>
      </c>
      <c r="H1184" s="37" t="str">
        <f>_xlfn.XLOOKUP(C1184&amp;F1184&amp;I1184&amp;J1184,'[1]2025年已发货'!$F:$F&amp;'[1]2025年已发货'!$C:$C&amp;'[1]2025年已发货'!$G:$G&amp;'[1]2025年已发货'!$H:$H,'[1]2025年已发货'!$E:$E,"未发货")</f>
        <v>未发货</v>
      </c>
      <c r="I1184" s="41" t="str">
        <f>VLOOKUP(B1184,辅助信息!E:I,3,FALSE)</f>
        <v>(宜宾兴港三江新区长江工业园建设项目-M2-00-04桩)宜宾市翠屏区宜宾汽车零部件配套产业基地(纬五路南)</v>
      </c>
      <c r="J1184" s="41" t="str">
        <f>VLOOKUP(B1184,辅助信息!E:I,4,FALSE)</f>
        <v>李国享</v>
      </c>
      <c r="K1184" s="41">
        <f>VLOOKUP(J1184,辅助信息!H:I,2,FALSE)</f>
        <v>17713876279</v>
      </c>
      <c r="L1184" s="40" t="str">
        <f>VLOOKUP(B1184,辅助信息!E:J,6,FALSE)</f>
        <v>装货前联系收货人核实到场规格，货物最下面用方木垫下方便卸货</v>
      </c>
      <c r="M1184" s="92">
        <v>45773</v>
      </c>
      <c r="O1184" s="63">
        <f ca="1" t="shared" si="45"/>
        <v>0</v>
      </c>
      <c r="P1184" s="63">
        <f ca="1" t="shared" si="44"/>
        <v>186</v>
      </c>
      <c r="Q1184" s="30" t="str">
        <f>VLOOKUP(B1184,辅助信息!E:M,9,FALSE)</f>
        <v>ZTWM-CDGS-XS-2025-0059-宜宾兴港建材-宜宾冷链项目</v>
      </c>
      <c r="R1184" s="30" t="str">
        <f>_xlfn._xlws.FILTER(辅助信息!D:D,辅助信息!E:E=B1184)</f>
        <v>宜宾兴港三江新区长江工业园建设项目</v>
      </c>
    </row>
    <row r="1185" hidden="1" spans="1:18">
      <c r="A1185" s="63" t="e">
        <f t="shared" si="46"/>
        <v>#VALUE!</v>
      </c>
      <c r="B1185" s="41" t="s">
        <v>137</v>
      </c>
      <c r="C1185" s="71">
        <v>45771</v>
      </c>
      <c r="D1185" s="41" t="str">
        <f>VLOOKUP(B1185,辅助信息!E:K,7,FALSE)</f>
        <v>JWDDCD2025050800080</v>
      </c>
      <c r="E1185" s="41" t="str">
        <f>VLOOKUP(F1185,辅助信息!A:B,2,FALSE)</f>
        <v>盘螺</v>
      </c>
      <c r="F1185" s="41" t="s">
        <v>40</v>
      </c>
      <c r="G1185" s="37">
        <v>10</v>
      </c>
      <c r="H1185" s="37" t="str">
        <f>_xlfn.XLOOKUP(C1185&amp;F1185&amp;I1185&amp;J1185,'[1]2025年已发货'!$F:$F&amp;'[1]2025年已发货'!$C:$C&amp;'[1]2025年已发货'!$G:$G&amp;'[1]2025年已发货'!$H:$H,'[1]2025年已发货'!$E:$E,"未发货")</f>
        <v>未发货</v>
      </c>
      <c r="I1185" s="41" t="str">
        <f>VLOOKUP(B1185,辅助信息!E:I,3,FALSE)</f>
        <v>(宜宾兴港三江新区长江工业园建设项目-M2-6#厂房)宜宾市翠屏区宜宾汽车零部件配套产业基地(纬五路南)</v>
      </c>
      <c r="J1185" s="41" t="str">
        <f>VLOOKUP(B1185,辅助信息!E:I,4,FALSE)</f>
        <v>李国享</v>
      </c>
      <c r="K1185" s="41">
        <f>VLOOKUP(J1185,辅助信息!H:I,2,FALSE)</f>
        <v>17713876279</v>
      </c>
      <c r="L1185" s="40" t="str">
        <f>VLOOKUP(B1185,辅助信息!E:J,6,FALSE)</f>
        <v>装货前联系收货人核实到场规格，货物最下面用方木垫下方便卸货</v>
      </c>
      <c r="M1185" s="92">
        <v>45773</v>
      </c>
      <c r="O1185" s="63">
        <f ca="1" t="shared" si="45"/>
        <v>0</v>
      </c>
      <c r="P1185" s="63">
        <f ca="1" t="shared" si="44"/>
        <v>186</v>
      </c>
      <c r="Q1185" s="30" t="str">
        <f>VLOOKUP(B1185,辅助信息!E:M,9,FALSE)</f>
        <v>ZTWM-CDGS-XS-2025-0059-宜宾兴港建材-宜宾冷链项目</v>
      </c>
      <c r="R1185" s="30" t="str">
        <f>_xlfn._xlws.FILTER(辅助信息!D:D,辅助信息!E:E=B1185)</f>
        <v>宜宾兴港三江新区长江工业园建设项目</v>
      </c>
    </row>
    <row r="1186" hidden="1" spans="1:18">
      <c r="A1186" s="63" t="e">
        <f t="shared" si="46"/>
        <v>#VALUE!</v>
      </c>
      <c r="B1186" s="41" t="s">
        <v>137</v>
      </c>
      <c r="C1186" s="71">
        <v>45771</v>
      </c>
      <c r="D1186" s="41" t="str">
        <f>VLOOKUP(B1186,辅助信息!E:K,7,FALSE)</f>
        <v>JWDDCD2025050800080</v>
      </c>
      <c r="E1186" s="41" t="str">
        <f>VLOOKUP(F1186,辅助信息!A:B,2,FALSE)</f>
        <v>盘螺</v>
      </c>
      <c r="F1186" s="41" t="s">
        <v>41</v>
      </c>
      <c r="G1186" s="37">
        <v>30</v>
      </c>
      <c r="H1186" s="37" t="str">
        <f>_xlfn.XLOOKUP(C1186&amp;F1186&amp;I1186&amp;J1186,'[1]2025年已发货'!$F:$F&amp;'[1]2025年已发货'!$C:$C&amp;'[1]2025年已发货'!$G:$G&amp;'[1]2025年已发货'!$H:$H,'[1]2025年已发货'!$E:$E,"未发货")</f>
        <v>未发货</v>
      </c>
      <c r="I1186" s="41" t="str">
        <f>VLOOKUP(B1186,辅助信息!E:I,3,FALSE)</f>
        <v>(宜宾兴港三江新区长江工业园建设项目-M2-6#厂房)宜宾市翠屏区宜宾汽车零部件配套产业基地(纬五路南)</v>
      </c>
      <c r="J1186" s="41" t="str">
        <f>VLOOKUP(B1186,辅助信息!E:I,4,FALSE)</f>
        <v>李国享</v>
      </c>
      <c r="K1186" s="41">
        <f>VLOOKUP(J1186,辅助信息!H:I,2,FALSE)</f>
        <v>17713876279</v>
      </c>
      <c r="L1186" s="40" t="str">
        <f>VLOOKUP(B1186,辅助信息!E:J,6,FALSE)</f>
        <v>装货前联系收货人核实到场规格，货物最下面用方木垫下方便卸货</v>
      </c>
      <c r="M1186" s="92">
        <v>45773</v>
      </c>
      <c r="O1186" s="63">
        <f ca="1" t="shared" si="45"/>
        <v>0</v>
      </c>
      <c r="P1186" s="63">
        <f ca="1" t="shared" si="44"/>
        <v>186</v>
      </c>
      <c r="Q1186" s="30" t="str">
        <f>VLOOKUP(B1186,辅助信息!E:M,9,FALSE)</f>
        <v>ZTWM-CDGS-XS-2025-0059-宜宾兴港建材-宜宾冷链项目</v>
      </c>
      <c r="R1186" s="30" t="str">
        <f>_xlfn._xlws.FILTER(辅助信息!D:D,辅助信息!E:E=B1186)</f>
        <v>宜宾兴港三江新区长江工业园建设项目</v>
      </c>
    </row>
    <row r="1187" hidden="1" spans="1:18">
      <c r="A1187" s="63" t="e">
        <f t="shared" si="46"/>
        <v>#VALUE!</v>
      </c>
      <c r="B1187" s="41" t="s">
        <v>137</v>
      </c>
      <c r="C1187" s="71">
        <v>45771</v>
      </c>
      <c r="D1187" s="41" t="str">
        <f>VLOOKUP(B1187,辅助信息!E:K,7,FALSE)</f>
        <v>JWDDCD2025050800080</v>
      </c>
      <c r="E1187" s="41" t="str">
        <f>VLOOKUP(F1187,辅助信息!A:B,2,FALSE)</f>
        <v>螺纹钢</v>
      </c>
      <c r="F1187" s="41" t="s">
        <v>27</v>
      </c>
      <c r="G1187" s="37">
        <v>10</v>
      </c>
      <c r="H1187" s="37" t="str">
        <f>_xlfn.XLOOKUP(C1187&amp;F1187&amp;I1187&amp;J1187,'[1]2025年已发货'!$F:$F&amp;'[1]2025年已发货'!$C:$C&amp;'[1]2025年已发货'!$G:$G&amp;'[1]2025年已发货'!$H:$H,'[1]2025年已发货'!$E:$E,"未发货")</f>
        <v>未发货</v>
      </c>
      <c r="I1187" s="41" t="str">
        <f>VLOOKUP(B1187,辅助信息!E:I,3,FALSE)</f>
        <v>(宜宾兴港三江新区长江工业园建设项目-M2-6#厂房)宜宾市翠屏区宜宾汽车零部件配套产业基地(纬五路南)</v>
      </c>
      <c r="J1187" s="41" t="str">
        <f>VLOOKUP(B1187,辅助信息!E:I,4,FALSE)</f>
        <v>李国享</v>
      </c>
      <c r="K1187" s="41">
        <f>VLOOKUP(J1187,辅助信息!H:I,2,FALSE)</f>
        <v>17713876279</v>
      </c>
      <c r="L1187" s="40" t="str">
        <f>VLOOKUP(B1187,辅助信息!E:J,6,FALSE)</f>
        <v>装货前联系收货人核实到场规格，货物最下面用方木垫下方便卸货</v>
      </c>
      <c r="M1187" s="92">
        <v>45773</v>
      </c>
      <c r="O1187" s="63">
        <f ca="1" t="shared" si="45"/>
        <v>0</v>
      </c>
      <c r="P1187" s="63">
        <f ca="1" t="shared" si="44"/>
        <v>186</v>
      </c>
      <c r="Q1187" s="30" t="str">
        <f>VLOOKUP(B1187,辅助信息!E:M,9,FALSE)</f>
        <v>ZTWM-CDGS-XS-2025-0059-宜宾兴港建材-宜宾冷链项目</v>
      </c>
      <c r="R1187" s="30" t="str">
        <f>_xlfn._xlws.FILTER(辅助信息!D:D,辅助信息!E:E=B1187)</f>
        <v>宜宾兴港三江新区长江工业园建设项目</v>
      </c>
    </row>
    <row r="1188" hidden="1" spans="1:18">
      <c r="A1188" s="63" t="e">
        <f t="shared" si="46"/>
        <v>#VALUE!</v>
      </c>
      <c r="B1188" s="41" t="s">
        <v>137</v>
      </c>
      <c r="C1188" s="71">
        <v>45771</v>
      </c>
      <c r="D1188" s="41" t="str">
        <f>VLOOKUP(B1188,辅助信息!E:K,7,FALSE)</f>
        <v>JWDDCD2025050800080</v>
      </c>
      <c r="E1188" s="41" t="str">
        <f>VLOOKUP(F1188,辅助信息!A:B,2,FALSE)</f>
        <v>螺纹钢</v>
      </c>
      <c r="F1188" s="41" t="s">
        <v>32</v>
      </c>
      <c r="G1188" s="37">
        <v>6</v>
      </c>
      <c r="H1188" s="37" t="str">
        <f>_xlfn.XLOOKUP(C1188&amp;F1188&amp;I1188&amp;J1188,'[1]2025年已发货'!$F:$F&amp;'[1]2025年已发货'!$C:$C&amp;'[1]2025年已发货'!$G:$G&amp;'[1]2025年已发货'!$H:$H,'[1]2025年已发货'!$E:$E,"未发货")</f>
        <v>未发货</v>
      </c>
      <c r="I1188" s="41" t="str">
        <f>VLOOKUP(B1188,辅助信息!E:I,3,FALSE)</f>
        <v>(宜宾兴港三江新区长江工业园建设项目-M2-6#厂房)宜宾市翠屏区宜宾汽车零部件配套产业基地(纬五路南)</v>
      </c>
      <c r="J1188" s="41" t="str">
        <f>VLOOKUP(B1188,辅助信息!E:I,4,FALSE)</f>
        <v>李国享</v>
      </c>
      <c r="K1188" s="41">
        <f>VLOOKUP(J1188,辅助信息!H:I,2,FALSE)</f>
        <v>17713876279</v>
      </c>
      <c r="L1188" s="40" t="str">
        <f>VLOOKUP(B1188,辅助信息!E:J,6,FALSE)</f>
        <v>装货前联系收货人核实到场规格，货物最下面用方木垫下方便卸货</v>
      </c>
      <c r="M1188" s="92">
        <v>45773</v>
      </c>
      <c r="O1188" s="63">
        <f ca="1" t="shared" si="45"/>
        <v>0</v>
      </c>
      <c r="P1188" s="63">
        <f ca="1" t="shared" si="44"/>
        <v>186</v>
      </c>
      <c r="Q1188" s="30" t="str">
        <f>VLOOKUP(B1188,辅助信息!E:M,9,FALSE)</f>
        <v>ZTWM-CDGS-XS-2025-0059-宜宾兴港建材-宜宾冷链项目</v>
      </c>
      <c r="R1188" s="30" t="str">
        <f>_xlfn._xlws.FILTER(辅助信息!D:D,辅助信息!E:E=B1188)</f>
        <v>宜宾兴港三江新区长江工业园建设项目</v>
      </c>
    </row>
    <row r="1189" hidden="1" spans="1:18">
      <c r="A1189" s="63" t="e">
        <f t="shared" si="46"/>
        <v>#VALUE!</v>
      </c>
      <c r="B1189" s="41" t="s">
        <v>137</v>
      </c>
      <c r="C1189" s="71">
        <v>45771</v>
      </c>
      <c r="D1189" s="41" t="str">
        <f>VLOOKUP(B1189,辅助信息!E:K,7,FALSE)</f>
        <v>JWDDCD2025050800080</v>
      </c>
      <c r="E1189" s="41" t="str">
        <f>VLOOKUP(F1189,辅助信息!A:B,2,FALSE)</f>
        <v>螺纹钢</v>
      </c>
      <c r="F1189" s="41" t="s">
        <v>33</v>
      </c>
      <c r="G1189" s="37">
        <v>20</v>
      </c>
      <c r="H1189" s="37" t="str">
        <f>_xlfn.XLOOKUP(C1189&amp;F1189&amp;I1189&amp;J1189,'[1]2025年已发货'!$F:$F&amp;'[1]2025年已发货'!$C:$C&amp;'[1]2025年已发货'!$G:$G&amp;'[1]2025年已发货'!$H:$H,'[1]2025年已发货'!$E:$E,"未发货")</f>
        <v>未发货</v>
      </c>
      <c r="I1189" s="41" t="str">
        <f>VLOOKUP(B1189,辅助信息!E:I,3,FALSE)</f>
        <v>(宜宾兴港三江新区长江工业园建设项目-M2-6#厂房)宜宾市翠屏区宜宾汽车零部件配套产业基地(纬五路南)</v>
      </c>
      <c r="J1189" s="41" t="str">
        <f>VLOOKUP(B1189,辅助信息!E:I,4,FALSE)</f>
        <v>李国享</v>
      </c>
      <c r="K1189" s="41">
        <f>VLOOKUP(J1189,辅助信息!H:I,2,FALSE)</f>
        <v>17713876279</v>
      </c>
      <c r="L1189" s="40" t="str">
        <f>VLOOKUP(B1189,辅助信息!E:J,6,FALSE)</f>
        <v>装货前联系收货人核实到场规格，货物最下面用方木垫下方便卸货</v>
      </c>
      <c r="M1189" s="92">
        <v>45773</v>
      </c>
      <c r="O1189" s="63">
        <f ca="1" t="shared" si="45"/>
        <v>0</v>
      </c>
      <c r="P1189" s="63">
        <f ca="1" t="shared" si="44"/>
        <v>186</v>
      </c>
      <c r="Q1189" s="30" t="str">
        <f>VLOOKUP(B1189,辅助信息!E:M,9,FALSE)</f>
        <v>ZTWM-CDGS-XS-2025-0059-宜宾兴港建材-宜宾冷链项目</v>
      </c>
      <c r="R1189" s="30" t="str">
        <f>_xlfn._xlws.FILTER(辅助信息!D:D,辅助信息!E:E=B1189)</f>
        <v>宜宾兴港三江新区长江工业园建设项目</v>
      </c>
    </row>
    <row r="1190" hidden="1" spans="1:18">
      <c r="A1190" s="63" t="e">
        <f t="shared" si="46"/>
        <v>#VALUE!</v>
      </c>
      <c r="B1190" s="41" t="s">
        <v>137</v>
      </c>
      <c r="C1190" s="71">
        <v>45771</v>
      </c>
      <c r="D1190" s="41" t="str">
        <f>VLOOKUP(B1190,辅助信息!E:K,7,FALSE)</f>
        <v>JWDDCD2025050800080</v>
      </c>
      <c r="E1190" s="41" t="str">
        <f>VLOOKUP(F1190,辅助信息!A:B,2,FALSE)</f>
        <v>螺纹钢</v>
      </c>
      <c r="F1190" s="41" t="s">
        <v>28</v>
      </c>
      <c r="G1190" s="37">
        <v>5</v>
      </c>
      <c r="H1190" s="37" t="str">
        <f>_xlfn.XLOOKUP(C1190&amp;F1190&amp;I1190&amp;J1190,'[1]2025年已发货'!$F:$F&amp;'[1]2025年已发货'!$C:$C&amp;'[1]2025年已发货'!$G:$G&amp;'[1]2025年已发货'!$H:$H,'[1]2025年已发货'!$E:$E,"未发货")</f>
        <v>未发货</v>
      </c>
      <c r="I1190" s="41" t="str">
        <f>VLOOKUP(B1190,辅助信息!E:I,3,FALSE)</f>
        <v>(宜宾兴港三江新区长江工业园建设项目-M2-6#厂房)宜宾市翠屏区宜宾汽车零部件配套产业基地(纬五路南)</v>
      </c>
      <c r="J1190" s="41" t="str">
        <f>VLOOKUP(B1190,辅助信息!E:I,4,FALSE)</f>
        <v>李国享</v>
      </c>
      <c r="K1190" s="41">
        <f>VLOOKUP(J1190,辅助信息!H:I,2,FALSE)</f>
        <v>17713876279</v>
      </c>
      <c r="L1190" s="40" t="str">
        <f>VLOOKUP(B1190,辅助信息!E:J,6,FALSE)</f>
        <v>装货前联系收货人核实到场规格，货物最下面用方木垫下方便卸货</v>
      </c>
      <c r="M1190" s="92">
        <v>45773</v>
      </c>
      <c r="O1190" s="63">
        <f ca="1" t="shared" si="45"/>
        <v>0</v>
      </c>
      <c r="P1190" s="63">
        <f ca="1" t="shared" si="44"/>
        <v>186</v>
      </c>
      <c r="Q1190" s="30" t="str">
        <f>VLOOKUP(B1190,辅助信息!E:M,9,FALSE)</f>
        <v>ZTWM-CDGS-XS-2025-0059-宜宾兴港建材-宜宾冷链项目</v>
      </c>
      <c r="R1190" s="30" t="str">
        <f>_xlfn._xlws.FILTER(辅助信息!D:D,辅助信息!E:E=B1190)</f>
        <v>宜宾兴港三江新区长江工业园建设项目</v>
      </c>
    </row>
    <row r="1191" hidden="1" spans="1:18">
      <c r="A1191" s="63" t="e">
        <f t="shared" si="46"/>
        <v>#VALUE!</v>
      </c>
      <c r="B1191" s="41" t="s">
        <v>137</v>
      </c>
      <c r="C1191" s="71">
        <v>45771</v>
      </c>
      <c r="D1191" s="41" t="str">
        <f>VLOOKUP(B1191,辅助信息!E:K,7,FALSE)</f>
        <v>JWDDCD2025050800080</v>
      </c>
      <c r="E1191" s="41" t="str">
        <f>VLOOKUP(F1191,辅助信息!A:B,2,FALSE)</f>
        <v>螺纹钢</v>
      </c>
      <c r="F1191" s="41" t="s">
        <v>18</v>
      </c>
      <c r="G1191" s="37">
        <v>6</v>
      </c>
      <c r="H1191" s="37" t="str">
        <f>_xlfn.XLOOKUP(C1191&amp;F1191&amp;I1191&amp;J1191,'[1]2025年已发货'!$F:$F&amp;'[1]2025年已发货'!$C:$C&amp;'[1]2025年已发货'!$G:$G&amp;'[1]2025年已发货'!$H:$H,'[1]2025年已发货'!$E:$E,"未发货")</f>
        <v>未发货</v>
      </c>
      <c r="I1191" s="41" t="str">
        <f>VLOOKUP(B1191,辅助信息!E:I,3,FALSE)</f>
        <v>(宜宾兴港三江新区长江工业园建设项目-M2-6#厂房)宜宾市翠屏区宜宾汽车零部件配套产业基地(纬五路南)</v>
      </c>
      <c r="J1191" s="41" t="str">
        <f>VLOOKUP(B1191,辅助信息!E:I,4,FALSE)</f>
        <v>李国享</v>
      </c>
      <c r="K1191" s="41">
        <f>VLOOKUP(J1191,辅助信息!H:I,2,FALSE)</f>
        <v>17713876279</v>
      </c>
      <c r="L1191" s="40" t="str">
        <f>VLOOKUP(B1191,辅助信息!E:J,6,FALSE)</f>
        <v>装货前联系收货人核实到场规格，货物最下面用方木垫下方便卸货</v>
      </c>
      <c r="M1191" s="92">
        <v>45773</v>
      </c>
      <c r="O1191" s="63">
        <f ca="1" t="shared" si="45"/>
        <v>0</v>
      </c>
      <c r="P1191" s="63">
        <f ca="1" t="shared" si="44"/>
        <v>186</v>
      </c>
      <c r="Q1191" s="30" t="str">
        <f>VLOOKUP(B1191,辅助信息!E:M,9,FALSE)</f>
        <v>ZTWM-CDGS-XS-2025-0059-宜宾兴港建材-宜宾冷链项目</v>
      </c>
      <c r="R1191" s="30" t="str">
        <f>_xlfn._xlws.FILTER(辅助信息!D:D,辅助信息!E:E=B1191)</f>
        <v>宜宾兴港三江新区长江工业园建设项目</v>
      </c>
    </row>
    <row r="1192" hidden="1" spans="1:18">
      <c r="A1192" s="63" t="e">
        <f t="shared" si="46"/>
        <v>#VALUE!</v>
      </c>
      <c r="B1192" s="41" t="s">
        <v>137</v>
      </c>
      <c r="C1192" s="71">
        <v>45771</v>
      </c>
      <c r="D1192" s="41" t="str">
        <f>VLOOKUP(B1192,辅助信息!E:K,7,FALSE)</f>
        <v>JWDDCD2025050800080</v>
      </c>
      <c r="E1192" s="41" t="str">
        <f>VLOOKUP(F1192,辅助信息!A:B,2,FALSE)</f>
        <v>螺纹钢</v>
      </c>
      <c r="F1192" s="41" t="s">
        <v>138</v>
      </c>
      <c r="G1192" s="37">
        <v>80</v>
      </c>
      <c r="H1192" s="37" t="str">
        <f>_xlfn.XLOOKUP(C1192&amp;F1192&amp;I1192&amp;J1192,'[1]2025年已发货'!$F:$F&amp;'[1]2025年已发货'!$C:$C&amp;'[1]2025年已发货'!$G:$G&amp;'[1]2025年已发货'!$H:$H,'[1]2025年已发货'!$E:$E,"未发货")</f>
        <v>未发货</v>
      </c>
      <c r="I1192" s="41" t="str">
        <f>VLOOKUP(B1192,辅助信息!E:I,3,FALSE)</f>
        <v>(宜宾兴港三江新区长江工业园建设项目-M2-6#厂房)宜宾市翠屏区宜宾汽车零部件配套产业基地(纬五路南)</v>
      </c>
      <c r="J1192" s="41" t="str">
        <f>VLOOKUP(B1192,辅助信息!E:I,4,FALSE)</f>
        <v>李国享</v>
      </c>
      <c r="K1192" s="41">
        <f>VLOOKUP(J1192,辅助信息!H:I,2,FALSE)</f>
        <v>17713876279</v>
      </c>
      <c r="L1192" s="40" t="str">
        <f>VLOOKUP(B1192,辅助信息!E:J,6,FALSE)</f>
        <v>装货前联系收货人核实到场规格，货物最下面用方木垫下方便卸货</v>
      </c>
      <c r="M1192" s="92">
        <v>45773</v>
      </c>
      <c r="O1192" s="63">
        <f ca="1" t="shared" si="45"/>
        <v>0</v>
      </c>
      <c r="P1192" s="63">
        <f ca="1" t="shared" si="44"/>
        <v>186</v>
      </c>
      <c r="Q1192" s="30" t="str">
        <f>VLOOKUP(B1192,辅助信息!E:M,9,FALSE)</f>
        <v>ZTWM-CDGS-XS-2025-0059-宜宾兴港建材-宜宾冷链项目</v>
      </c>
      <c r="R1192" s="30" t="str">
        <f>_xlfn._xlws.FILTER(辅助信息!D:D,辅助信息!E:E=B1192)</f>
        <v>宜宾兴港三江新区长江工业园建设项目</v>
      </c>
    </row>
    <row r="1193" hidden="1" spans="1:18">
      <c r="A1193" s="63" t="e">
        <f t="shared" si="46"/>
        <v>#VALUE!</v>
      </c>
      <c r="B1193" s="41" t="s">
        <v>137</v>
      </c>
      <c r="C1193" s="71">
        <v>45771</v>
      </c>
      <c r="D1193" s="41" t="str">
        <f>VLOOKUP(B1193,辅助信息!E:K,7,FALSE)</f>
        <v>JWDDCD2025050800080</v>
      </c>
      <c r="E1193" s="41" t="str">
        <f>VLOOKUP(F1193,辅助信息!A:B,2,FALSE)</f>
        <v>螺纹钢</v>
      </c>
      <c r="F1193" s="41" t="s">
        <v>133</v>
      </c>
      <c r="G1193" s="37">
        <v>20</v>
      </c>
      <c r="H1193" s="37" t="str">
        <f>_xlfn.XLOOKUP(C1193&amp;F1193&amp;I1193&amp;J1193,'[1]2025年已发货'!$F:$F&amp;'[1]2025年已发货'!$C:$C&amp;'[1]2025年已发货'!$G:$G&amp;'[1]2025年已发货'!$H:$H,'[1]2025年已发货'!$E:$E,"未发货")</f>
        <v>未发货</v>
      </c>
      <c r="I1193" s="41" t="str">
        <f>VLOOKUP(B1193,辅助信息!E:I,3,FALSE)</f>
        <v>(宜宾兴港三江新区长江工业园建设项目-M2-6#厂房)宜宾市翠屏区宜宾汽车零部件配套产业基地(纬五路南)</v>
      </c>
      <c r="J1193" s="41" t="str">
        <f>VLOOKUP(B1193,辅助信息!E:I,4,FALSE)</f>
        <v>李国享</v>
      </c>
      <c r="K1193" s="41">
        <f>VLOOKUP(J1193,辅助信息!H:I,2,FALSE)</f>
        <v>17713876279</v>
      </c>
      <c r="L1193" s="40" t="str">
        <f>VLOOKUP(B1193,辅助信息!E:J,6,FALSE)</f>
        <v>装货前联系收货人核实到场规格，货物最下面用方木垫下方便卸货</v>
      </c>
      <c r="M1193" s="92">
        <v>45773</v>
      </c>
      <c r="O1193" s="63">
        <f ca="1" t="shared" si="45"/>
        <v>0</v>
      </c>
      <c r="P1193" s="63">
        <f ca="1" t="shared" si="44"/>
        <v>186</v>
      </c>
      <c r="Q1193" s="30" t="str">
        <f>VLOOKUP(B1193,辅助信息!E:M,9,FALSE)</f>
        <v>ZTWM-CDGS-XS-2025-0059-宜宾兴港建材-宜宾冷链项目</v>
      </c>
      <c r="R1193" s="30" t="str">
        <f>_xlfn._xlws.FILTER(辅助信息!D:D,辅助信息!E:E=B1193)</f>
        <v>宜宾兴港三江新区长江工业园建设项目</v>
      </c>
    </row>
    <row r="1194" hidden="1" spans="1:18">
      <c r="A1194" s="63" t="e">
        <f t="shared" si="46"/>
        <v>#VALUE!</v>
      </c>
      <c r="B1194" s="41" t="s">
        <v>139</v>
      </c>
      <c r="C1194" s="71">
        <v>45771</v>
      </c>
      <c r="D1194" s="41" t="str">
        <f>VLOOKUP(B1194,辅助信息!E:K,7,FALSE)</f>
        <v>JWDDCD2025050800080</v>
      </c>
      <c r="E1194" s="41" t="str">
        <f>VLOOKUP(F1194,辅助信息!A:B,2,FALSE)</f>
        <v>盘螺</v>
      </c>
      <c r="F1194" s="41" t="s">
        <v>40</v>
      </c>
      <c r="G1194" s="37">
        <v>6</v>
      </c>
      <c r="H1194" s="37" t="str">
        <f>_xlfn.XLOOKUP(C1194&amp;F1194&amp;I1194&amp;J1194,'[1]2025年已发货'!$F:$F&amp;'[1]2025年已发货'!$C:$C&amp;'[1]2025年已发货'!$G:$G&amp;'[1]2025年已发货'!$H:$H,'[1]2025年已发货'!$E:$E,"未发货")</f>
        <v>未发货</v>
      </c>
      <c r="I1194" s="41" t="str">
        <f>VLOOKUP(B1194,辅助信息!E:I,3,FALSE)</f>
        <v>(宜宾兴港三江新区长江工业园建设项目-M2-7#厂房)宜宾市翠屏区宜宾汽车零部件配套产业基地(纬五路南)</v>
      </c>
      <c r="J1194" s="41" t="str">
        <f>VLOOKUP(B1194,辅助信息!E:I,4,FALSE)</f>
        <v>李国享</v>
      </c>
      <c r="K1194" s="41">
        <f>VLOOKUP(J1194,辅助信息!H:I,2,FALSE)</f>
        <v>17713876279</v>
      </c>
      <c r="L1194" s="40" t="str">
        <f>VLOOKUP(B1194,辅助信息!E:J,6,FALSE)</f>
        <v>装货前联系收货人核实到场规格，货物最下面用方木垫下方便卸货</v>
      </c>
      <c r="M1194" s="92">
        <v>45773</v>
      </c>
      <c r="O1194" s="63">
        <f ca="1" t="shared" ref="O1194:O1203" si="47">IF(OR(M1194="",N1194&lt;&gt;""),"",MAX(M1194-TODAY(),0))</f>
        <v>0</v>
      </c>
      <c r="P1194" s="63">
        <f ca="1" t="shared" si="44"/>
        <v>186</v>
      </c>
      <c r="Q1194" s="30" t="str">
        <f>VLOOKUP(B1194,辅助信息!E:M,9,FALSE)</f>
        <v>ZTWM-CDGS-XS-2025-0059-宜宾兴港建材-宜宾冷链项目</v>
      </c>
      <c r="R1194" s="30" t="str">
        <f>_xlfn._xlws.FILTER(辅助信息!D:D,辅助信息!E:E=B1194)</f>
        <v>宜宾兴港三江新区长江工业园建设项目</v>
      </c>
    </row>
    <row r="1195" hidden="1" spans="1:18">
      <c r="A1195" s="63" t="e">
        <f t="shared" si="46"/>
        <v>#VALUE!</v>
      </c>
      <c r="B1195" s="41" t="s">
        <v>139</v>
      </c>
      <c r="C1195" s="71">
        <v>45771</v>
      </c>
      <c r="D1195" s="41" t="str">
        <f>VLOOKUP(B1195,辅助信息!E:K,7,FALSE)</f>
        <v>JWDDCD2025050800080</v>
      </c>
      <c r="E1195" s="41" t="str">
        <f>VLOOKUP(F1195,辅助信息!A:B,2,FALSE)</f>
        <v>盘螺</v>
      </c>
      <c r="F1195" s="41" t="s">
        <v>41</v>
      </c>
      <c r="G1195" s="37">
        <v>40</v>
      </c>
      <c r="H1195" s="37" t="str">
        <f>_xlfn.XLOOKUP(C1195&amp;F1195&amp;I1195&amp;J1195,'[1]2025年已发货'!$F:$F&amp;'[1]2025年已发货'!$C:$C&amp;'[1]2025年已发货'!$G:$G&amp;'[1]2025年已发货'!$H:$H,'[1]2025年已发货'!$E:$E,"未发货")</f>
        <v>未发货</v>
      </c>
      <c r="I1195" s="41" t="str">
        <f>VLOOKUP(B1195,辅助信息!E:I,3,FALSE)</f>
        <v>(宜宾兴港三江新区长江工业园建设项目-M2-7#厂房)宜宾市翠屏区宜宾汽车零部件配套产业基地(纬五路南)</v>
      </c>
      <c r="J1195" s="41" t="str">
        <f>VLOOKUP(B1195,辅助信息!E:I,4,FALSE)</f>
        <v>李国享</v>
      </c>
      <c r="K1195" s="41">
        <f>VLOOKUP(J1195,辅助信息!H:I,2,FALSE)</f>
        <v>17713876279</v>
      </c>
      <c r="L1195" s="40" t="str">
        <f>VLOOKUP(B1195,辅助信息!E:J,6,FALSE)</f>
        <v>装货前联系收货人核实到场规格，货物最下面用方木垫下方便卸货</v>
      </c>
      <c r="M1195" s="92">
        <v>45773</v>
      </c>
      <c r="O1195" s="63">
        <f ca="1" t="shared" si="47"/>
        <v>0</v>
      </c>
      <c r="P1195" s="63">
        <f ca="1" t="shared" si="44"/>
        <v>186</v>
      </c>
      <c r="Q1195" s="30" t="str">
        <f>VLOOKUP(B1195,辅助信息!E:M,9,FALSE)</f>
        <v>ZTWM-CDGS-XS-2025-0059-宜宾兴港建材-宜宾冷链项目</v>
      </c>
      <c r="R1195" s="30" t="str">
        <f>_xlfn._xlws.FILTER(辅助信息!D:D,辅助信息!E:E=B1195)</f>
        <v>宜宾兴港三江新区长江工业园建设项目</v>
      </c>
    </row>
    <row r="1196" hidden="1" spans="1:18">
      <c r="A1196" s="63" t="e">
        <f t="shared" si="46"/>
        <v>#VALUE!</v>
      </c>
      <c r="B1196" s="41" t="s">
        <v>139</v>
      </c>
      <c r="C1196" s="71">
        <v>45771</v>
      </c>
      <c r="D1196" s="41" t="str">
        <f>VLOOKUP(B1196,辅助信息!E:K,7,FALSE)</f>
        <v>JWDDCD2025050800080</v>
      </c>
      <c r="E1196" s="41" t="str">
        <f>VLOOKUP(F1196,辅助信息!A:B,2,FALSE)</f>
        <v>螺纹钢</v>
      </c>
      <c r="F1196" s="41" t="s">
        <v>27</v>
      </c>
      <c r="G1196" s="37">
        <v>10</v>
      </c>
      <c r="H1196" s="37" t="str">
        <f>_xlfn.XLOOKUP(C1196&amp;F1196&amp;I1196&amp;J1196,'[1]2025年已发货'!$F:$F&amp;'[1]2025年已发货'!$C:$C&amp;'[1]2025年已发货'!$G:$G&amp;'[1]2025年已发货'!$H:$H,'[1]2025年已发货'!$E:$E,"未发货")</f>
        <v>未发货</v>
      </c>
      <c r="I1196" s="41" t="str">
        <f>VLOOKUP(B1196,辅助信息!E:I,3,FALSE)</f>
        <v>(宜宾兴港三江新区长江工业园建设项目-M2-7#厂房)宜宾市翠屏区宜宾汽车零部件配套产业基地(纬五路南)</v>
      </c>
      <c r="J1196" s="41" t="str">
        <f>VLOOKUP(B1196,辅助信息!E:I,4,FALSE)</f>
        <v>李国享</v>
      </c>
      <c r="K1196" s="41">
        <f>VLOOKUP(J1196,辅助信息!H:I,2,FALSE)</f>
        <v>17713876279</v>
      </c>
      <c r="L1196" s="40" t="str">
        <f>VLOOKUP(B1196,辅助信息!E:J,6,FALSE)</f>
        <v>装货前联系收货人核实到场规格，货物最下面用方木垫下方便卸货</v>
      </c>
      <c r="M1196" s="92">
        <v>45773</v>
      </c>
      <c r="O1196" s="63">
        <f ca="1" t="shared" si="47"/>
        <v>0</v>
      </c>
      <c r="P1196" s="63">
        <f ca="1" t="shared" si="44"/>
        <v>186</v>
      </c>
      <c r="Q1196" s="30" t="str">
        <f>VLOOKUP(B1196,辅助信息!E:M,9,FALSE)</f>
        <v>ZTWM-CDGS-XS-2025-0059-宜宾兴港建材-宜宾冷链项目</v>
      </c>
      <c r="R1196" s="30" t="str">
        <f>_xlfn._xlws.FILTER(辅助信息!D:D,辅助信息!E:E=B1196)</f>
        <v>宜宾兴港三江新区长江工业园建设项目</v>
      </c>
    </row>
    <row r="1197" hidden="1" spans="1:18">
      <c r="A1197" s="63" t="e">
        <f t="shared" si="46"/>
        <v>#VALUE!</v>
      </c>
      <c r="B1197" s="41" t="s">
        <v>139</v>
      </c>
      <c r="C1197" s="71">
        <v>45771</v>
      </c>
      <c r="D1197" s="41" t="str">
        <f>VLOOKUP(B1197,辅助信息!E:K,7,FALSE)</f>
        <v>JWDDCD2025050800080</v>
      </c>
      <c r="E1197" s="41" t="str">
        <f>VLOOKUP(F1197,辅助信息!A:B,2,FALSE)</f>
        <v>螺纹钢</v>
      </c>
      <c r="F1197" s="41" t="s">
        <v>32</v>
      </c>
      <c r="G1197" s="37">
        <v>6</v>
      </c>
      <c r="H1197" s="37" t="str">
        <f>_xlfn.XLOOKUP(C1197&amp;F1197&amp;I1197&amp;J1197,'[1]2025年已发货'!$F:$F&amp;'[1]2025年已发货'!$C:$C&amp;'[1]2025年已发货'!$G:$G&amp;'[1]2025年已发货'!$H:$H,'[1]2025年已发货'!$E:$E,"未发货")</f>
        <v>未发货</v>
      </c>
      <c r="I1197" s="41" t="str">
        <f>VLOOKUP(B1197,辅助信息!E:I,3,FALSE)</f>
        <v>(宜宾兴港三江新区长江工业园建设项目-M2-7#厂房)宜宾市翠屏区宜宾汽车零部件配套产业基地(纬五路南)</v>
      </c>
      <c r="J1197" s="41" t="str">
        <f>VLOOKUP(B1197,辅助信息!E:I,4,FALSE)</f>
        <v>李国享</v>
      </c>
      <c r="K1197" s="41">
        <f>VLOOKUP(J1197,辅助信息!H:I,2,FALSE)</f>
        <v>17713876279</v>
      </c>
      <c r="L1197" s="40" t="str">
        <f>VLOOKUP(B1197,辅助信息!E:J,6,FALSE)</f>
        <v>装货前联系收货人核实到场规格，货物最下面用方木垫下方便卸货</v>
      </c>
      <c r="M1197" s="92">
        <v>45773</v>
      </c>
      <c r="O1197" s="63">
        <f ca="1" t="shared" si="47"/>
        <v>0</v>
      </c>
      <c r="P1197" s="63">
        <f ca="1" t="shared" si="44"/>
        <v>186</v>
      </c>
      <c r="Q1197" s="30" t="str">
        <f>VLOOKUP(B1197,辅助信息!E:M,9,FALSE)</f>
        <v>ZTWM-CDGS-XS-2025-0059-宜宾兴港建材-宜宾冷链项目</v>
      </c>
      <c r="R1197" s="30" t="str">
        <f>_xlfn._xlws.FILTER(辅助信息!D:D,辅助信息!E:E=B1197)</f>
        <v>宜宾兴港三江新区长江工业园建设项目</v>
      </c>
    </row>
    <row r="1198" hidden="1" spans="1:18">
      <c r="A1198" s="63" t="e">
        <f t="shared" si="46"/>
        <v>#VALUE!</v>
      </c>
      <c r="B1198" s="41" t="s">
        <v>139</v>
      </c>
      <c r="C1198" s="71">
        <v>45771</v>
      </c>
      <c r="D1198" s="41" t="str">
        <f>VLOOKUP(B1198,辅助信息!E:K,7,FALSE)</f>
        <v>JWDDCD2025050800080</v>
      </c>
      <c r="E1198" s="41" t="str">
        <f>VLOOKUP(F1198,辅助信息!A:B,2,FALSE)</f>
        <v>螺纹钢</v>
      </c>
      <c r="F1198" s="41" t="s">
        <v>33</v>
      </c>
      <c r="G1198" s="37">
        <v>17</v>
      </c>
      <c r="H1198" s="37" t="str">
        <f>_xlfn.XLOOKUP(C1198&amp;F1198&amp;I1198&amp;J1198,'[1]2025年已发货'!$F:$F&amp;'[1]2025年已发货'!$C:$C&amp;'[1]2025年已发货'!$G:$G&amp;'[1]2025年已发货'!$H:$H,'[1]2025年已发货'!$E:$E,"未发货")</f>
        <v>未发货</v>
      </c>
      <c r="I1198" s="41" t="str">
        <f>VLOOKUP(B1198,辅助信息!E:I,3,FALSE)</f>
        <v>(宜宾兴港三江新区长江工业园建设项目-M2-7#厂房)宜宾市翠屏区宜宾汽车零部件配套产业基地(纬五路南)</v>
      </c>
      <c r="J1198" s="41" t="str">
        <f>VLOOKUP(B1198,辅助信息!E:I,4,FALSE)</f>
        <v>李国享</v>
      </c>
      <c r="K1198" s="41">
        <f>VLOOKUP(J1198,辅助信息!H:I,2,FALSE)</f>
        <v>17713876279</v>
      </c>
      <c r="L1198" s="40" t="str">
        <f>VLOOKUP(B1198,辅助信息!E:J,6,FALSE)</f>
        <v>装货前联系收货人核实到场规格，货物最下面用方木垫下方便卸货</v>
      </c>
      <c r="M1198" s="92">
        <v>45773</v>
      </c>
      <c r="O1198" s="63">
        <f ca="1" t="shared" si="47"/>
        <v>0</v>
      </c>
      <c r="P1198" s="63">
        <f ca="1" t="shared" si="44"/>
        <v>186</v>
      </c>
      <c r="Q1198" s="30" t="str">
        <f>VLOOKUP(B1198,辅助信息!E:M,9,FALSE)</f>
        <v>ZTWM-CDGS-XS-2025-0059-宜宾兴港建材-宜宾冷链项目</v>
      </c>
      <c r="R1198" s="30" t="str">
        <f>_xlfn._xlws.FILTER(辅助信息!D:D,辅助信息!E:E=B1198)</f>
        <v>宜宾兴港三江新区长江工业园建设项目</v>
      </c>
    </row>
    <row r="1199" hidden="1" spans="1:18">
      <c r="A1199" s="63" t="e">
        <f t="shared" si="46"/>
        <v>#VALUE!</v>
      </c>
      <c r="B1199" s="41" t="s">
        <v>139</v>
      </c>
      <c r="C1199" s="71">
        <v>45771</v>
      </c>
      <c r="D1199" s="41" t="str">
        <f>VLOOKUP(B1199,辅助信息!E:K,7,FALSE)</f>
        <v>JWDDCD2025050800080</v>
      </c>
      <c r="E1199" s="41" t="str">
        <f>VLOOKUP(F1199,辅助信息!A:B,2,FALSE)</f>
        <v>螺纹钢</v>
      </c>
      <c r="F1199" s="41" t="s">
        <v>28</v>
      </c>
      <c r="G1199" s="37">
        <v>20</v>
      </c>
      <c r="H1199" s="37" t="str">
        <f>_xlfn.XLOOKUP(C1199&amp;F1199&amp;I1199&amp;J1199,'[1]2025年已发货'!$F:$F&amp;'[1]2025年已发货'!$C:$C&amp;'[1]2025年已发货'!$G:$G&amp;'[1]2025年已发货'!$H:$H,'[1]2025年已发货'!$E:$E,"未发货")</f>
        <v>未发货</v>
      </c>
      <c r="I1199" s="41" t="str">
        <f>VLOOKUP(B1199,辅助信息!E:I,3,FALSE)</f>
        <v>(宜宾兴港三江新区长江工业园建设项目-M2-7#厂房)宜宾市翠屏区宜宾汽车零部件配套产业基地(纬五路南)</v>
      </c>
      <c r="J1199" s="41" t="str">
        <f>VLOOKUP(B1199,辅助信息!E:I,4,FALSE)</f>
        <v>李国享</v>
      </c>
      <c r="K1199" s="41">
        <f>VLOOKUP(J1199,辅助信息!H:I,2,FALSE)</f>
        <v>17713876279</v>
      </c>
      <c r="L1199" s="40" t="str">
        <f>VLOOKUP(B1199,辅助信息!E:J,6,FALSE)</f>
        <v>装货前联系收货人核实到场规格，货物最下面用方木垫下方便卸货</v>
      </c>
      <c r="M1199" s="92">
        <v>45773</v>
      </c>
      <c r="O1199" s="63">
        <f ca="1" t="shared" si="47"/>
        <v>0</v>
      </c>
      <c r="P1199" s="63">
        <f ca="1" t="shared" si="44"/>
        <v>186</v>
      </c>
      <c r="Q1199" s="30" t="str">
        <f>VLOOKUP(B1199,辅助信息!E:M,9,FALSE)</f>
        <v>ZTWM-CDGS-XS-2025-0059-宜宾兴港建材-宜宾冷链项目</v>
      </c>
      <c r="R1199" s="30" t="str">
        <f>_xlfn._xlws.FILTER(辅助信息!D:D,辅助信息!E:E=B1199)</f>
        <v>宜宾兴港三江新区长江工业园建设项目</v>
      </c>
    </row>
    <row r="1200" hidden="1" spans="1:18">
      <c r="A1200" s="63" t="e">
        <f t="shared" si="46"/>
        <v>#VALUE!</v>
      </c>
      <c r="B1200" s="41" t="s">
        <v>139</v>
      </c>
      <c r="C1200" s="71">
        <v>45771</v>
      </c>
      <c r="D1200" s="41" t="str">
        <f>VLOOKUP(B1200,辅助信息!E:K,7,FALSE)</f>
        <v>JWDDCD2025050800080</v>
      </c>
      <c r="E1200" s="41" t="str">
        <f>VLOOKUP(F1200,辅助信息!A:B,2,FALSE)</f>
        <v>螺纹钢</v>
      </c>
      <c r="F1200" s="41" t="s">
        <v>18</v>
      </c>
      <c r="G1200" s="37">
        <v>6</v>
      </c>
      <c r="H1200" s="37" t="str">
        <f>_xlfn.XLOOKUP(C1200&amp;F1200&amp;I1200&amp;J1200,'[1]2025年已发货'!$F:$F&amp;'[1]2025年已发货'!$C:$C&amp;'[1]2025年已发货'!$G:$G&amp;'[1]2025年已发货'!$H:$H,'[1]2025年已发货'!$E:$E,"未发货")</f>
        <v>未发货</v>
      </c>
      <c r="I1200" s="41" t="str">
        <f>VLOOKUP(B1200,辅助信息!E:I,3,FALSE)</f>
        <v>(宜宾兴港三江新区长江工业园建设项目-M2-7#厂房)宜宾市翠屏区宜宾汽车零部件配套产业基地(纬五路南)</v>
      </c>
      <c r="J1200" s="41" t="str">
        <f>VLOOKUP(B1200,辅助信息!E:I,4,FALSE)</f>
        <v>李国享</v>
      </c>
      <c r="K1200" s="41">
        <f>VLOOKUP(J1200,辅助信息!H:I,2,FALSE)</f>
        <v>17713876279</v>
      </c>
      <c r="L1200" s="40" t="str">
        <f>VLOOKUP(B1200,辅助信息!E:J,6,FALSE)</f>
        <v>装货前联系收货人核实到场规格，货物最下面用方木垫下方便卸货</v>
      </c>
      <c r="M1200" s="92">
        <v>45773</v>
      </c>
      <c r="O1200" s="63">
        <f ca="1" t="shared" si="47"/>
        <v>0</v>
      </c>
      <c r="P1200" s="63">
        <f ca="1" t="shared" si="44"/>
        <v>186</v>
      </c>
      <c r="Q1200" s="30" t="str">
        <f>VLOOKUP(B1200,辅助信息!E:M,9,FALSE)</f>
        <v>ZTWM-CDGS-XS-2025-0059-宜宾兴港建材-宜宾冷链项目</v>
      </c>
      <c r="R1200" s="30" t="str">
        <f>_xlfn._xlws.FILTER(辅助信息!D:D,辅助信息!E:E=B1200)</f>
        <v>宜宾兴港三江新区长江工业园建设项目</v>
      </c>
    </row>
    <row r="1201" hidden="1" spans="1:18">
      <c r="A1201" s="63" t="e">
        <f t="shared" si="46"/>
        <v>#VALUE!</v>
      </c>
      <c r="B1201" s="41" t="s">
        <v>139</v>
      </c>
      <c r="C1201" s="71">
        <v>45771</v>
      </c>
      <c r="D1201" s="41" t="str">
        <f>VLOOKUP(B1201,辅助信息!E:K,7,FALSE)</f>
        <v>JWDDCD2025050800080</v>
      </c>
      <c r="E1201" s="41" t="str">
        <f>VLOOKUP(F1201,辅助信息!A:B,2,FALSE)</f>
        <v>螺纹钢</v>
      </c>
      <c r="F1201" s="41" t="s">
        <v>76</v>
      </c>
      <c r="G1201" s="37">
        <v>22</v>
      </c>
      <c r="H1201" s="37" t="str">
        <f>_xlfn.XLOOKUP(C1201&amp;F1201&amp;I1201&amp;J1201,'[1]2025年已发货'!$F:$F&amp;'[1]2025年已发货'!$C:$C&amp;'[1]2025年已发货'!$G:$G&amp;'[1]2025年已发货'!$H:$H,'[1]2025年已发货'!$E:$E,"未发货")</f>
        <v>未发货</v>
      </c>
      <c r="I1201" s="41" t="str">
        <f>VLOOKUP(B1201,辅助信息!E:I,3,FALSE)</f>
        <v>(宜宾兴港三江新区长江工业园建设项目-M2-7#厂房)宜宾市翠屏区宜宾汽车零部件配套产业基地(纬五路南)</v>
      </c>
      <c r="J1201" s="41" t="str">
        <f>VLOOKUP(B1201,辅助信息!E:I,4,FALSE)</f>
        <v>李国享</v>
      </c>
      <c r="K1201" s="41">
        <f>VLOOKUP(J1201,辅助信息!H:I,2,FALSE)</f>
        <v>17713876279</v>
      </c>
      <c r="L1201" s="40" t="str">
        <f>VLOOKUP(B1201,辅助信息!E:J,6,FALSE)</f>
        <v>装货前联系收货人核实到场规格，货物最下面用方木垫下方便卸货</v>
      </c>
      <c r="M1201" s="92">
        <v>45773</v>
      </c>
      <c r="O1201" s="63">
        <f ca="1" t="shared" si="47"/>
        <v>0</v>
      </c>
      <c r="P1201" s="63">
        <f ca="1" t="shared" si="44"/>
        <v>186</v>
      </c>
      <c r="Q1201" s="30" t="str">
        <f>VLOOKUP(B1201,辅助信息!E:M,9,FALSE)</f>
        <v>ZTWM-CDGS-XS-2025-0059-宜宾兴港建材-宜宾冷链项目</v>
      </c>
      <c r="R1201" s="30" t="str">
        <f>_xlfn._xlws.FILTER(辅助信息!D:D,辅助信息!E:E=B1201)</f>
        <v>宜宾兴港三江新区长江工业园建设项目</v>
      </c>
    </row>
    <row r="1202" hidden="1" spans="1:18">
      <c r="A1202" s="63" t="e">
        <f t="shared" si="46"/>
        <v>#VALUE!</v>
      </c>
      <c r="B1202" s="41" t="s">
        <v>139</v>
      </c>
      <c r="C1202" s="71">
        <v>45771</v>
      </c>
      <c r="D1202" s="41" t="str">
        <f>VLOOKUP(B1202,辅助信息!E:K,7,FALSE)</f>
        <v>JWDDCD2025050800080</v>
      </c>
      <c r="E1202" s="41" t="str">
        <f>VLOOKUP(F1202,辅助信息!A:B,2,FALSE)</f>
        <v>螺纹钢</v>
      </c>
      <c r="F1202" s="41" t="s">
        <v>133</v>
      </c>
      <c r="G1202" s="37">
        <v>90</v>
      </c>
      <c r="H1202" s="37" t="str">
        <f>_xlfn.XLOOKUP(C1202&amp;F1202&amp;I1202&amp;J1202,'[1]2025年已发货'!$F:$F&amp;'[1]2025年已发货'!$C:$C&amp;'[1]2025年已发货'!$G:$G&amp;'[1]2025年已发货'!$H:$H,'[1]2025年已发货'!$E:$E,"未发货")</f>
        <v>未发货</v>
      </c>
      <c r="I1202" s="41" t="str">
        <f>VLOOKUP(B1202,辅助信息!E:I,3,FALSE)</f>
        <v>(宜宾兴港三江新区长江工业园建设项目-M2-7#厂房)宜宾市翠屏区宜宾汽车零部件配套产业基地(纬五路南)</v>
      </c>
      <c r="J1202" s="41" t="str">
        <f>VLOOKUP(B1202,辅助信息!E:I,4,FALSE)</f>
        <v>李国享</v>
      </c>
      <c r="K1202" s="41">
        <f>VLOOKUP(J1202,辅助信息!H:I,2,FALSE)</f>
        <v>17713876279</v>
      </c>
      <c r="L1202" s="40" t="str">
        <f>VLOOKUP(B1202,辅助信息!E:J,6,FALSE)</f>
        <v>装货前联系收货人核实到场规格，货物最下面用方木垫下方便卸货</v>
      </c>
      <c r="M1202" s="92">
        <v>45773</v>
      </c>
      <c r="O1202" s="63">
        <f ca="1" t="shared" si="47"/>
        <v>0</v>
      </c>
      <c r="P1202" s="63">
        <f ca="1" t="shared" si="44"/>
        <v>186</v>
      </c>
      <c r="Q1202" s="30" t="str">
        <f>VLOOKUP(B1202,辅助信息!E:M,9,FALSE)</f>
        <v>ZTWM-CDGS-XS-2025-0059-宜宾兴港建材-宜宾冷链项目</v>
      </c>
      <c r="R1202" s="30" t="str">
        <f>_xlfn._xlws.FILTER(辅助信息!D:D,辅助信息!E:E=B1202)</f>
        <v>宜宾兴港三江新区长江工业园建设项目</v>
      </c>
    </row>
    <row r="1203" hidden="1" spans="2:18">
      <c r="B1203" s="41" t="s">
        <v>99</v>
      </c>
      <c r="C1203" s="71">
        <v>45771</v>
      </c>
      <c r="D1203" s="41" t="e">
        <f>VLOOKUP(B1203,辅助信息!E:K,7,FALSE)</f>
        <v>#N/A</v>
      </c>
      <c r="E1203" s="41" t="str">
        <f>VLOOKUP(F1203,辅助信息!A:B,2,FALSE)</f>
        <v>螺纹钢</v>
      </c>
      <c r="F1203" s="41" t="s">
        <v>27</v>
      </c>
      <c r="G1203" s="37">
        <v>35</v>
      </c>
      <c r="H1203" s="37" t="e">
        <f>_xlfn.XLOOKUP(C1203&amp;F1203&amp;I1203&amp;J1203,'[1]2025年已发货'!$F:$F&amp;'[1]2025年已发货'!$C:$C&amp;'[1]2025年已发货'!$G:$G&amp;'[1]2025年已发货'!$H:$H,'[1]2025年已发货'!$E:$E,"未发货")</f>
        <v>#N/A</v>
      </c>
      <c r="I1203" s="41" t="e">
        <f>VLOOKUP(B1203,辅助信息!E:I,3,FALSE)</f>
        <v>#N/A</v>
      </c>
      <c r="J1203" s="41" t="e">
        <f>VLOOKUP(B1203,辅助信息!E:I,4,FALSE)</f>
        <v>#N/A</v>
      </c>
      <c r="K1203" s="41" t="e">
        <f>VLOOKUP(J1203,辅助信息!H:I,2,FALSE)</f>
        <v>#N/A</v>
      </c>
      <c r="L1203" s="40" t="e">
        <f>VLOOKUP(B1203,辅助信息!E:J,6,FALSE)</f>
        <v>#N/A</v>
      </c>
      <c r="M1203" s="92">
        <v>45773</v>
      </c>
      <c r="O1203" s="63">
        <f ca="1" t="shared" si="47"/>
        <v>0</v>
      </c>
      <c r="P1203" s="63">
        <f ca="1" t="shared" si="44"/>
        <v>186</v>
      </c>
      <c r="Q1203" s="30" t="e">
        <f>VLOOKUP(B1203,辅助信息!E:M,9,FALSE)</f>
        <v>#N/A</v>
      </c>
      <c r="R1203" s="30" vm="1" t="e">
        <f>_xlfn._xlws.FILTER(辅助信息!D:D,辅助信息!E:E=B1203)</f>
        <v>#VALUE!</v>
      </c>
    </row>
    <row r="1204" hidden="1" spans="1:16">
      <c r="A1204" s="63" t="e">
        <f t="shared" ref="A1204:A1206" si="48">G1204-H1204</f>
        <v>#VALUE!</v>
      </c>
      <c r="B1204" s="97" t="s">
        <v>132</v>
      </c>
      <c r="C1204" s="71">
        <v>45771</v>
      </c>
      <c r="D1204" s="41" t="str">
        <f>VLOOKUP(B1204,辅助信息!E:K,7,FALSE)</f>
        <v>JWDDCD2025050800080</v>
      </c>
      <c r="E1204" s="41" t="str">
        <f>VLOOKUP(F1204,辅助信息!A:B,2,FALSE)</f>
        <v>螺纹钢</v>
      </c>
      <c r="F1204" s="27" t="s">
        <v>140</v>
      </c>
      <c r="G1204" s="37">
        <v>35</v>
      </c>
      <c r="H1204" s="37" t="str">
        <f>_xlfn.XLOOKUP(C1204&amp;F1204&amp;I1204&amp;J1204,'[1]2025年已发货'!$F:$F&amp;'[1]2025年已发货'!$C:$C&amp;'[1]2025年已发货'!$G:$G&amp;'[1]2025年已发货'!$H:$H,'[1]2025年已发货'!$E:$E,"未发货")</f>
        <v>未发货</v>
      </c>
      <c r="I1204" s="41" t="str">
        <f>VLOOKUP(B1204,辅助信息!E:I,3,FALSE)</f>
        <v>(宜宾兴港三江新区长江工业园建设项目-9#厂房)宜宾市翠屏区宜宾汽车零部件配套产业基地(纬五路南)</v>
      </c>
      <c r="J1204" s="41" t="str">
        <f>VLOOKUP(B1204,辅助信息!E:I,4,FALSE)</f>
        <v>严石林</v>
      </c>
      <c r="K1204" s="41">
        <f>VLOOKUP(J1204,辅助信息!H:I,2,FALSE)</f>
        <v>15924731822</v>
      </c>
      <c r="L1204" s="40"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1" t="str">
        <f>VLOOKUP(B1205,辅助信息!E:K,7,FALSE)</f>
        <v>JWDDCD2025050800080</v>
      </c>
      <c r="E1205" s="41" t="str">
        <f>VLOOKUP(F1205,辅助信息!A:B,2,FALSE)</f>
        <v>螺纹钢</v>
      </c>
      <c r="F1205" s="27" t="s">
        <v>141</v>
      </c>
      <c r="G1205" s="37">
        <v>35</v>
      </c>
      <c r="H1205" s="37" t="str">
        <f>_xlfn.XLOOKUP(C1205&amp;F1205&amp;I1205&amp;J1205,'[1]2025年已发货'!$F:$F&amp;'[1]2025年已发货'!$C:$C&amp;'[1]2025年已发货'!$G:$G&amp;'[1]2025年已发货'!$H:$H,'[1]2025年已发货'!$E:$E,"未发货")</f>
        <v>未发货</v>
      </c>
      <c r="I1205" s="41" t="str">
        <f>VLOOKUP(B1205,辅助信息!E:I,3,FALSE)</f>
        <v>(宜宾兴港三江新区长江工业园建设项目-9#厂房)宜宾市翠屏区宜宾汽车零部件配套产业基地(纬五路南)</v>
      </c>
      <c r="J1205" s="41" t="str">
        <f>VLOOKUP(B1205,辅助信息!E:I,4,FALSE)</f>
        <v>严石林</v>
      </c>
      <c r="K1205" s="41">
        <f>VLOOKUP(J1205,辅助信息!H:I,2,FALSE)</f>
        <v>15924731822</v>
      </c>
      <c r="L1205" s="40"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7"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1" t="s">
        <v>81</v>
      </c>
      <c r="C1207" s="71">
        <v>45774</v>
      </c>
      <c r="D1207" s="41" t="str">
        <f>VLOOKUP(B1207,辅助信息!E:K,7,FALSE)</f>
        <v>JWDDCD2025060900080</v>
      </c>
      <c r="E1207" s="41" t="str">
        <f>VLOOKUP(F1207,辅助信息!A:B,2,FALSE)</f>
        <v>盘螺</v>
      </c>
      <c r="F1207" s="41" t="s">
        <v>26</v>
      </c>
      <c r="G1207" s="41">
        <v>22</v>
      </c>
      <c r="H1207" s="41" t="str">
        <f>_xlfn.XLOOKUP(C1207&amp;F1207&amp;I1207&amp;J1207,'[1]2025年已发货'!$F:$F&amp;'[1]2025年已发货'!$C:$C&amp;'[1]2025年已发货'!$G:$G&amp;'[1]2025年已发货'!$H:$H,'[1]2025年已发货'!$E:$E,"未发货")</f>
        <v>未发货</v>
      </c>
      <c r="I1207" s="41" t="str">
        <f>VLOOKUP(B1207,辅助信息!E:I,3,FALSE)</f>
        <v>（华西简阳西城嘉苑）四川省成都市简阳市简城街道高屋村</v>
      </c>
      <c r="J1207" s="41" t="str">
        <f>VLOOKUP(B1207,辅助信息!E:I,4,FALSE)</f>
        <v>张瀚镭</v>
      </c>
      <c r="K1207" s="41">
        <f>VLOOKUP(J1207,辅助信息!H:I,2,FALSE)</f>
        <v>15884666220</v>
      </c>
      <c r="L1207" s="41" t="str">
        <f>VLOOKUP(B1207,辅助信息!E:J,6,FALSE)</f>
        <v>现场禁止使用氢能源挂车！优先威钢发货,我方卸车,新老国标钢厂不加价可直发，因陕钢多次出现磅差，项目拒绝使用</v>
      </c>
      <c r="M1207" s="96">
        <v>45769</v>
      </c>
      <c r="N1207" s="27"/>
      <c r="O1207" s="27">
        <f ca="1">IF(OR(M1207="",N1207&lt;&gt;""),"",MAX(M1207-TODAY(),0))</f>
        <v>0</v>
      </c>
      <c r="P1207" s="63">
        <f ca="1" t="shared" si="44"/>
        <v>190</v>
      </c>
      <c r="Q1207" s="27" t="str">
        <f>VLOOKUP(B1207,辅助信息!E:M,9,FALSE)</f>
        <v>ZTWM-CDGS-XS-2024-0030-华西集采-简州大道</v>
      </c>
      <c r="R1207" s="27" t="str">
        <f>_xlfn._xlws.FILTER(辅助信息!D:D,辅助信息!E:E=B1207)</f>
        <v>华西简阳西城嘉苑</v>
      </c>
    </row>
    <row r="1208" hidden="1" spans="1:18">
      <c r="A1208" s="63"/>
      <c r="B1208" s="41" t="s">
        <v>81</v>
      </c>
      <c r="C1208" s="71">
        <v>45774</v>
      </c>
      <c r="D1208" s="41" t="str">
        <f>VLOOKUP(B1208,辅助信息!E:K,7,FALSE)</f>
        <v>JWDDCD2025060900080</v>
      </c>
      <c r="E1208" s="41" t="str">
        <f>VLOOKUP(F1208,辅助信息!A:B,2,FALSE)</f>
        <v>螺纹钢</v>
      </c>
      <c r="F1208" s="41" t="s">
        <v>33</v>
      </c>
      <c r="G1208" s="41">
        <v>20</v>
      </c>
      <c r="H1208" s="41" t="str">
        <f>_xlfn.XLOOKUP(C1208&amp;F1208&amp;I1208&amp;J1208,'[1]2025年已发货'!$F:$F&amp;'[1]2025年已发货'!$C:$C&amp;'[1]2025年已发货'!$G:$G&amp;'[1]2025年已发货'!$H:$H,'[1]2025年已发货'!$E:$E,"未发货")</f>
        <v>未发货</v>
      </c>
      <c r="I1208" s="41" t="str">
        <f>VLOOKUP(B1208,辅助信息!E:I,3,FALSE)</f>
        <v>（华西简阳西城嘉苑）四川省成都市简阳市简城街道高屋村</v>
      </c>
      <c r="J1208" s="41" t="str">
        <f>VLOOKUP(B1208,辅助信息!E:I,4,FALSE)</f>
        <v>张瀚镭</v>
      </c>
      <c r="K1208" s="41">
        <f>VLOOKUP(J1208,辅助信息!H:I,2,FALSE)</f>
        <v>15884666220</v>
      </c>
      <c r="L1208" s="41" t="str">
        <f>VLOOKUP(B1208,辅助信息!E:J,6,FALSE)</f>
        <v>现场禁止使用氢能源挂车！优先威钢发货,我方卸车,新老国标钢厂不加价可直发，因陕钢多次出现磅差，项目拒绝使用</v>
      </c>
      <c r="M1208" s="96">
        <v>45769</v>
      </c>
      <c r="N1208" s="27"/>
      <c r="O1208" s="27">
        <f ca="1">IF(OR(M1208="",N1208&lt;&gt;""),"",MAX(M1208-TODAY(),0))</f>
        <v>0</v>
      </c>
      <c r="P1208" s="63">
        <f ca="1" t="shared" si="44"/>
        <v>190</v>
      </c>
      <c r="Q1208" s="27" t="str">
        <f>VLOOKUP(B1208,辅助信息!E:M,9,FALSE)</f>
        <v>ZTWM-CDGS-XS-2024-0030-华西集采-简州大道</v>
      </c>
      <c r="R1208" s="27" t="str">
        <f>_xlfn._xlws.FILTER(辅助信息!D:D,辅助信息!E:E=B1208)</f>
        <v>华西简阳西城嘉苑</v>
      </c>
    </row>
    <row r="1209" hidden="1" spans="1:18">
      <c r="A1209" s="27"/>
      <c r="B1209" s="41" t="s">
        <v>69</v>
      </c>
      <c r="C1209" s="71">
        <v>45772</v>
      </c>
      <c r="D1209" s="41" t="str">
        <f>VLOOKUP(B1209,辅助信息!E:K,7,FALSE)</f>
        <v>JWDDCD2025052800131</v>
      </c>
      <c r="E1209" s="41" t="str">
        <f>VLOOKUP(F1209,辅助信息!A:B,2,FALSE)</f>
        <v>螺纹钢</v>
      </c>
      <c r="F1209" s="41" t="s">
        <v>45</v>
      </c>
      <c r="G1209" s="41">
        <v>3</v>
      </c>
      <c r="H1209" s="41">
        <f>_xlfn.XLOOKUP(C1209&amp;F1209&amp;I1209&amp;J1209,'[1]2025年已发货'!$F:$F&amp;'[1]2025年已发货'!$C:$C&amp;'[1]2025年已发货'!$G:$G&amp;'[1]2025年已发货'!$H:$H,'[1]2025年已发货'!$E:$E,"未发货")</f>
        <v>3</v>
      </c>
      <c r="I1209" s="41" t="str">
        <f>VLOOKUP(B1209,辅助信息!E:I,3,FALSE)</f>
        <v>（商投建工达州中医药科技园-4工区-2号楼）达州市通川区达州中医药职业学院犀牛大道北段</v>
      </c>
      <c r="J1209" s="41" t="str">
        <f>VLOOKUP(B1209,辅助信息!E:I,4,FALSE)</f>
        <v>张扬</v>
      </c>
      <c r="K1209" s="41">
        <f>VLOOKUP(J1209,辅助信息!H:I,2,FALSE)</f>
        <v>18381904567</v>
      </c>
      <c r="L1209" s="41" t="str">
        <f>VLOOKUP(B1209,辅助信息!E:J,6,FALSE)</f>
        <v>控制炉批号！多了现场不收！,优先安排达钢,提前联系到场规格及数量</v>
      </c>
      <c r="M1209" s="96">
        <v>45763</v>
      </c>
      <c r="N1209" s="27"/>
      <c r="O1209" s="27">
        <f ca="1" t="shared" ref="O1209:O1225" si="49">IF(OR(M1209="",N1209&lt;&gt;""),"",MAX(M1209-TODAY(),0))</f>
        <v>0</v>
      </c>
      <c r="P1209" s="63">
        <f ca="1" t="shared" ref="P1209:P1225" si="50">IF(M1209="","",IF(N1209&lt;&gt;"",MAX(N1209-M1209,0),IF(TODAY()&gt;M1209,TODAY()-M1209,0)))</f>
        <v>196</v>
      </c>
      <c r="Q1209" s="27" t="str">
        <f>VLOOKUP(B1209,辅助信息!E:M,9,FALSE)</f>
        <v>ZTWM-CDGS-XS-2024-0134-商投建工达州中医药科技成果示范园项目</v>
      </c>
      <c r="R1209" s="27" t="str">
        <f>_xlfn._xlws.FILTER(辅助信息!D:D,辅助信息!E:E=B1209)</f>
        <v>商投建工达州中医药科技园</v>
      </c>
    </row>
    <row r="1210" hidden="1" spans="1:18">
      <c r="A1210" s="27"/>
      <c r="B1210" s="41" t="s">
        <v>69</v>
      </c>
      <c r="C1210" s="71">
        <v>45772</v>
      </c>
      <c r="D1210" s="41" t="str">
        <f>VLOOKUP(B1210,辅助信息!E:K,7,FALSE)</f>
        <v>JWDDCD2025052800131</v>
      </c>
      <c r="E1210" s="41" t="str">
        <f>VLOOKUP(F1210,辅助信息!A:B,2,FALSE)</f>
        <v>螺纹钢</v>
      </c>
      <c r="F1210" s="41" t="s">
        <v>21</v>
      </c>
      <c r="G1210" s="41">
        <v>12</v>
      </c>
      <c r="H1210" s="41">
        <f>_xlfn.XLOOKUP(C1210&amp;F1210&amp;I1210&amp;J1210,'[1]2025年已发货'!$F:$F&amp;'[1]2025年已发货'!$C:$C&amp;'[1]2025年已发货'!$G:$G&amp;'[1]2025年已发货'!$H:$H,'[1]2025年已发货'!$E:$E,"未发货")</f>
        <v>12</v>
      </c>
      <c r="I1210" s="41" t="str">
        <f>VLOOKUP(B1210,辅助信息!E:I,3,FALSE)</f>
        <v>（商投建工达州中医药科技园-4工区-2号楼）达州市通川区达州中医药职业学院犀牛大道北段</v>
      </c>
      <c r="J1210" s="41" t="str">
        <f>VLOOKUP(B1210,辅助信息!E:I,4,FALSE)</f>
        <v>张扬</v>
      </c>
      <c r="K1210" s="41">
        <f>VLOOKUP(J1210,辅助信息!H:I,2,FALSE)</f>
        <v>18381904567</v>
      </c>
      <c r="L1210" s="41" t="str">
        <f>VLOOKUP(B1210,辅助信息!E:J,6,FALSE)</f>
        <v>控制炉批号！多了现场不收！,优先安排达钢,提前联系到场规格及数量</v>
      </c>
      <c r="M1210" s="96">
        <v>45763</v>
      </c>
      <c r="N1210" s="27"/>
      <c r="O1210" s="27">
        <f ca="1" t="shared" si="49"/>
        <v>0</v>
      </c>
      <c r="P1210" s="63">
        <f ca="1" t="shared" si="50"/>
        <v>196</v>
      </c>
      <c r="Q1210" s="27" t="str">
        <f>VLOOKUP(B1210,辅助信息!E:M,9,FALSE)</f>
        <v>ZTWM-CDGS-XS-2024-0134-商投建工达州中医药科技成果示范园项目</v>
      </c>
      <c r="R1210" s="27" t="str">
        <f>_xlfn._xlws.FILTER(辅助信息!D:D,辅助信息!E:E=B1210)</f>
        <v>商投建工达州中医药科技园</v>
      </c>
    </row>
    <row r="1211" hidden="1" spans="1:18">
      <c r="A1211" s="27"/>
      <c r="B1211" s="41" t="s">
        <v>69</v>
      </c>
      <c r="C1211" s="71">
        <v>45772</v>
      </c>
      <c r="D1211" s="41" t="str">
        <f>VLOOKUP(B1211,辅助信息!E:K,7,FALSE)</f>
        <v>JWDDCD2025052800131</v>
      </c>
      <c r="E1211" s="41" t="str">
        <f>VLOOKUP(F1211,辅助信息!A:B,2,FALSE)</f>
        <v>螺纹钢</v>
      </c>
      <c r="F1211" s="41" t="s">
        <v>58</v>
      </c>
      <c r="G1211" s="41">
        <v>9</v>
      </c>
      <c r="H1211" s="41">
        <f>_xlfn.XLOOKUP(C1211&amp;F1211&amp;I1211&amp;J1211,'[1]2025年已发货'!$F:$F&amp;'[1]2025年已发货'!$C:$C&amp;'[1]2025年已发货'!$G:$G&amp;'[1]2025年已发货'!$H:$H,'[1]2025年已发货'!$E:$E,"未发货")</f>
        <v>9</v>
      </c>
      <c r="I1211" s="41" t="str">
        <f>VLOOKUP(B1211,辅助信息!E:I,3,FALSE)</f>
        <v>（商投建工达州中医药科技园-4工区-2号楼）达州市通川区达州中医药职业学院犀牛大道北段</v>
      </c>
      <c r="J1211" s="41" t="str">
        <f>VLOOKUP(B1211,辅助信息!E:I,4,FALSE)</f>
        <v>张扬</v>
      </c>
      <c r="K1211" s="41">
        <f>VLOOKUP(J1211,辅助信息!H:I,2,FALSE)</f>
        <v>18381904567</v>
      </c>
      <c r="L1211" s="41" t="str">
        <f>VLOOKUP(B1211,辅助信息!E:J,6,FALSE)</f>
        <v>控制炉批号！多了现场不收！,优先安排达钢,提前联系到场规格及数量</v>
      </c>
      <c r="M1211" s="96">
        <v>45763</v>
      </c>
      <c r="N1211" s="27"/>
      <c r="O1211" s="27">
        <f ca="1" t="shared" si="49"/>
        <v>0</v>
      </c>
      <c r="P1211" s="63">
        <f ca="1" t="shared" si="50"/>
        <v>196</v>
      </c>
      <c r="Q1211" s="27" t="str">
        <f>VLOOKUP(B1211,辅助信息!E:M,9,FALSE)</f>
        <v>ZTWM-CDGS-XS-2024-0134-商投建工达州中医药科技成果示范园项目</v>
      </c>
      <c r="R1211" s="27" t="str">
        <f>_xlfn._xlws.FILTER(辅助信息!D:D,辅助信息!E:E=B1211)</f>
        <v>商投建工达州中医药科技园</v>
      </c>
    </row>
    <row r="1212" hidden="1" spans="1:18">
      <c r="A1212" s="27"/>
      <c r="B1212" s="41" t="s">
        <v>69</v>
      </c>
      <c r="C1212" s="71">
        <v>45772</v>
      </c>
      <c r="D1212" s="41" t="str">
        <f>VLOOKUP(B1212,辅助信息!E:K,7,FALSE)</f>
        <v>JWDDCD2025052800131</v>
      </c>
      <c r="E1212" s="41" t="str">
        <f>VLOOKUP(F1212,辅助信息!A:B,2,FALSE)</f>
        <v>螺纹钢</v>
      </c>
      <c r="F1212" s="41" t="s">
        <v>46</v>
      </c>
      <c r="G1212" s="41">
        <v>9</v>
      </c>
      <c r="H1212" s="41">
        <f>_xlfn.XLOOKUP(C1212&amp;F1212&amp;I1212&amp;J1212,'[1]2025年已发货'!$F:$F&amp;'[1]2025年已发货'!$C:$C&amp;'[1]2025年已发货'!$G:$G&amp;'[1]2025年已发货'!$H:$H,'[1]2025年已发货'!$E:$E,"未发货")</f>
        <v>9</v>
      </c>
      <c r="I1212" s="41" t="str">
        <f>VLOOKUP(B1212,辅助信息!E:I,3,FALSE)</f>
        <v>（商投建工达州中医药科技园-4工区-2号楼）达州市通川区达州中医药职业学院犀牛大道北段</v>
      </c>
      <c r="J1212" s="41" t="str">
        <f>VLOOKUP(B1212,辅助信息!E:I,4,FALSE)</f>
        <v>张扬</v>
      </c>
      <c r="K1212" s="41">
        <f>VLOOKUP(J1212,辅助信息!H:I,2,FALSE)</f>
        <v>18381904567</v>
      </c>
      <c r="L1212" s="41" t="str">
        <f>VLOOKUP(B1212,辅助信息!E:J,6,FALSE)</f>
        <v>控制炉批号！多了现场不收！,优先安排达钢,提前联系到场规格及数量</v>
      </c>
      <c r="M1212" s="96">
        <v>45763</v>
      </c>
      <c r="N1212" s="27"/>
      <c r="O1212" s="27">
        <f ca="1" t="shared" si="49"/>
        <v>0</v>
      </c>
      <c r="P1212" s="63">
        <f ca="1" t="shared" si="50"/>
        <v>196</v>
      </c>
      <c r="Q1212" s="27" t="str">
        <f>VLOOKUP(B1212,辅助信息!E:M,9,FALSE)</f>
        <v>ZTWM-CDGS-XS-2024-0134-商投建工达州中医药科技成果示范园项目</v>
      </c>
      <c r="R1212" s="27" t="str">
        <f>_xlfn._xlws.FILTER(辅助信息!D:D,辅助信息!E:E=B1212)</f>
        <v>商投建工达州中医药科技园</v>
      </c>
    </row>
    <row r="1213" hidden="1" spans="1:18">
      <c r="A1213" s="27"/>
      <c r="B1213" s="41" t="s">
        <v>56</v>
      </c>
      <c r="C1213" s="71">
        <v>45772</v>
      </c>
      <c r="D1213" s="41" t="str">
        <f>VLOOKUP(B1213,辅助信息!E:K,7,FALSE)</f>
        <v>JWDDCD2025052800131</v>
      </c>
      <c r="E1213" s="41" t="str">
        <f>VLOOKUP(F1213,辅助信息!A:B,2,FALSE)</f>
        <v>螺纹钢</v>
      </c>
      <c r="F1213" s="41" t="s">
        <v>46</v>
      </c>
      <c r="G1213" s="41">
        <v>21</v>
      </c>
      <c r="H1213" s="41">
        <f>_xlfn.XLOOKUP(C1213&amp;F1213&amp;I1213&amp;J1213,'[1]2025年已发货'!$F:$F&amp;'[1]2025年已发货'!$C:$C&amp;'[1]2025年已发货'!$G:$G&amp;'[1]2025年已发货'!$H:$H,'[1]2025年已发货'!$E:$E,"未发货")</f>
        <v>21</v>
      </c>
      <c r="I1213" s="41" t="str">
        <f>VLOOKUP(B1213,辅助信息!E:I,3,FALSE)</f>
        <v>（商投建工达州中医药科技园-4工区-7号楼）达州市通川区达州中医药职业学院犀牛大道北段</v>
      </c>
      <c r="J1213" s="41" t="str">
        <f>VLOOKUP(B1213,辅助信息!E:I,4,FALSE)</f>
        <v>张扬</v>
      </c>
      <c r="K1213" s="41">
        <f>VLOOKUP(J1213,辅助信息!H:I,2,FALSE)</f>
        <v>18381904567</v>
      </c>
      <c r="L1213" s="41" t="str">
        <f>VLOOKUP(B1213,辅助信息!E:J,6,FALSE)</f>
        <v>控制炉批号！多了现场不收！,优先安排达钢,提前联系到场规格及数量</v>
      </c>
      <c r="M1213" s="96">
        <v>45768</v>
      </c>
      <c r="N1213" s="27"/>
      <c r="O1213" s="27">
        <f ca="1" t="shared" si="49"/>
        <v>0</v>
      </c>
      <c r="P1213" s="63">
        <f ca="1" t="shared" si="50"/>
        <v>191</v>
      </c>
      <c r="Q1213" s="27" t="str">
        <f>VLOOKUP(B1213,辅助信息!E:M,9,FALSE)</f>
        <v>ZTWM-CDGS-XS-2024-0134-商投建工达州中医药科技成果示范园项目</v>
      </c>
      <c r="R1213" s="27" t="str">
        <f>_xlfn._xlws.FILTER(辅助信息!D:D,辅助信息!E:E=B1213)</f>
        <v>商投建工达州中医药科技园</v>
      </c>
    </row>
    <row r="1214" hidden="1" spans="1:18">
      <c r="A1214" s="27"/>
      <c r="B1214" s="41" t="s">
        <v>56</v>
      </c>
      <c r="C1214" s="71">
        <v>45772</v>
      </c>
      <c r="D1214" s="41" t="str">
        <f>VLOOKUP(B1214,辅助信息!E:K,7,FALSE)</f>
        <v>JWDDCD2025052800131</v>
      </c>
      <c r="E1214" s="41" t="str">
        <f>VLOOKUP(F1214,辅助信息!A:B,2,FALSE)</f>
        <v>螺纹钢</v>
      </c>
      <c r="F1214" s="41" t="s">
        <v>22</v>
      </c>
      <c r="G1214" s="41">
        <v>30</v>
      </c>
      <c r="H1214" s="41">
        <f>_xlfn.XLOOKUP(C1214&amp;F1214&amp;I1214&amp;J1214,'[1]2025年已发货'!$F:$F&amp;'[1]2025年已发货'!$C:$C&amp;'[1]2025年已发货'!$G:$G&amp;'[1]2025年已发货'!$H:$H,'[1]2025年已发货'!$E:$E,"未发货")</f>
        <v>30</v>
      </c>
      <c r="I1214" s="41" t="str">
        <f>VLOOKUP(B1214,辅助信息!E:I,3,FALSE)</f>
        <v>（商投建工达州中医药科技园-4工区-7号楼）达州市通川区达州中医药职业学院犀牛大道北段</v>
      </c>
      <c r="J1214" s="41" t="str">
        <f>VLOOKUP(B1214,辅助信息!E:I,4,FALSE)</f>
        <v>张扬</v>
      </c>
      <c r="K1214" s="41">
        <f>VLOOKUP(J1214,辅助信息!H:I,2,FALSE)</f>
        <v>18381904567</v>
      </c>
      <c r="L1214" s="41" t="str">
        <f>VLOOKUP(B1214,辅助信息!E:J,6,FALSE)</f>
        <v>控制炉批号！多了现场不收！,优先安排达钢,提前联系到场规格及数量</v>
      </c>
      <c r="M1214" s="96">
        <v>45768</v>
      </c>
      <c r="N1214" s="27"/>
      <c r="O1214" s="27">
        <f ca="1" t="shared" si="49"/>
        <v>0</v>
      </c>
      <c r="P1214" s="63">
        <f ca="1" t="shared" si="50"/>
        <v>191</v>
      </c>
      <c r="Q1214" s="27" t="str">
        <f>VLOOKUP(B1214,辅助信息!E:M,9,FALSE)</f>
        <v>ZTWM-CDGS-XS-2024-0134-商投建工达州中医药科技成果示范园项目</v>
      </c>
      <c r="R1214" s="27" t="str">
        <f>_xlfn._xlws.FILTER(辅助信息!D:D,辅助信息!E:E=B1214)</f>
        <v>商投建工达州中医药科技园</v>
      </c>
    </row>
    <row r="1215" hidden="1" spans="1:18">
      <c r="A1215" s="63"/>
      <c r="B1215" s="41" t="s">
        <v>68</v>
      </c>
      <c r="C1215" s="71">
        <v>45772</v>
      </c>
      <c r="D1215" s="41" t="str">
        <f>VLOOKUP(B1215,辅助信息!E:K,7,FALSE)</f>
        <v>JWDDCD2025052800131</v>
      </c>
      <c r="E1215" s="41" t="str">
        <f>VLOOKUP(F1215,辅助信息!A:B,2,FALSE)</f>
        <v>高线</v>
      </c>
      <c r="F1215" s="41" t="s">
        <v>51</v>
      </c>
      <c r="G1215" s="37">
        <v>3</v>
      </c>
      <c r="H1215" s="37">
        <f>_xlfn.XLOOKUP(C1215&amp;F1215&amp;I1215&amp;J1215,'[1]2025年已发货'!$F:$F&amp;'[1]2025年已发货'!$C:$C&amp;'[1]2025年已发货'!$G:$G&amp;'[1]2025年已发货'!$H:$H,'[1]2025年已发货'!$E:$E,"未发货")</f>
        <v>3</v>
      </c>
      <c r="I1215" s="41" t="str">
        <f>VLOOKUP(B1215,辅助信息!E:I,3,FALSE)</f>
        <v>（商投建工达州中医药科技园-2工区-景观桥）达州市通川区达州中医药职业学院犀牛大道北段</v>
      </c>
      <c r="J1215" s="41" t="str">
        <f>VLOOKUP(B1215,辅助信息!E:I,4,FALSE)</f>
        <v>李波</v>
      </c>
      <c r="K1215" s="41">
        <f>VLOOKUP(J1215,辅助信息!H:I,2,FALSE)</f>
        <v>18381899787</v>
      </c>
      <c r="L1215" s="41" t="str">
        <f>VLOOKUP(B1215,辅助信息!E:J,6,FALSE)</f>
        <v>控制炉批号！多了现场不收！,优先安排达钢,提前联系到场规格及数量</v>
      </c>
      <c r="M1215" s="92">
        <v>45772</v>
      </c>
      <c r="O1215" s="63">
        <f ca="1" t="shared" si="49"/>
        <v>0</v>
      </c>
      <c r="P1215" s="63">
        <f ca="1" t="shared" si="50"/>
        <v>187</v>
      </c>
      <c r="Q1215" s="27" t="str">
        <f>VLOOKUP(B1215,辅助信息!E:M,9,FALSE)</f>
        <v>ZTWM-CDGS-XS-2024-0134-商投建工达州中医药科技成果示范园项目</v>
      </c>
      <c r="R1215" s="27" t="str">
        <f>_xlfn._xlws.FILTER(辅助信息!D:D,辅助信息!E:E=B1215)</f>
        <v>商投建工达州中医药科技园</v>
      </c>
    </row>
    <row r="1216" hidden="1" spans="1:18">
      <c r="A1216" s="63"/>
      <c r="B1216" s="41" t="s">
        <v>68</v>
      </c>
      <c r="C1216" s="71">
        <v>45772</v>
      </c>
      <c r="D1216" s="41" t="str">
        <f>VLOOKUP(B1216,辅助信息!E:K,7,FALSE)</f>
        <v>JWDDCD2025052800131</v>
      </c>
      <c r="E1216" s="41" t="str">
        <f>VLOOKUP(F1216,辅助信息!A:B,2,FALSE)</f>
        <v>盘螺</v>
      </c>
      <c r="F1216" s="41" t="s">
        <v>41</v>
      </c>
      <c r="G1216" s="37">
        <v>3</v>
      </c>
      <c r="H1216" s="37">
        <f>_xlfn.XLOOKUP(C1216&amp;F1216&amp;I1216&amp;J1216,'[1]2025年已发货'!$F:$F&amp;'[1]2025年已发货'!$C:$C&amp;'[1]2025年已发货'!$G:$G&amp;'[1]2025年已发货'!$H:$H,'[1]2025年已发货'!$E:$E,"未发货")</f>
        <v>3</v>
      </c>
      <c r="I1216" s="41" t="str">
        <f>VLOOKUP(B1216,辅助信息!E:I,3,FALSE)</f>
        <v>（商投建工达州中医药科技园-2工区-景观桥）达州市通川区达州中医药职业学院犀牛大道北段</v>
      </c>
      <c r="J1216" s="41" t="str">
        <f>VLOOKUP(B1216,辅助信息!E:I,4,FALSE)</f>
        <v>李波</v>
      </c>
      <c r="K1216" s="41">
        <f>VLOOKUP(J1216,辅助信息!H:I,2,FALSE)</f>
        <v>18381899787</v>
      </c>
      <c r="L1216" s="41" t="str">
        <f>VLOOKUP(B1216,辅助信息!E:J,6,FALSE)</f>
        <v>控制炉批号！多了现场不收！,优先安排达钢,提前联系到场规格及数量</v>
      </c>
      <c r="M1216" s="92">
        <v>45772</v>
      </c>
      <c r="O1216" s="63">
        <f ca="1" t="shared" si="49"/>
        <v>0</v>
      </c>
      <c r="P1216" s="63">
        <f ca="1" t="shared" si="50"/>
        <v>187</v>
      </c>
      <c r="Q1216" s="27" t="str">
        <f>VLOOKUP(B1216,辅助信息!E:M,9,FALSE)</f>
        <v>ZTWM-CDGS-XS-2024-0134-商投建工达州中医药科技成果示范园项目</v>
      </c>
      <c r="R1216" s="27" t="str">
        <f>_xlfn._xlws.FILTER(辅助信息!D:D,辅助信息!E:E=B1216)</f>
        <v>商投建工达州中医药科技园</v>
      </c>
    </row>
    <row r="1217" hidden="1" spans="1:18">
      <c r="A1217" s="63"/>
      <c r="B1217" s="41" t="s">
        <v>68</v>
      </c>
      <c r="C1217" s="71">
        <v>45772</v>
      </c>
      <c r="D1217" s="41" t="str">
        <f>VLOOKUP(B1217,辅助信息!E:K,7,FALSE)</f>
        <v>JWDDCD2025052800131</v>
      </c>
      <c r="E1217" s="41" t="str">
        <f>VLOOKUP(F1217,辅助信息!A:B,2,FALSE)</f>
        <v>螺纹钢</v>
      </c>
      <c r="F1217" s="41" t="s">
        <v>32</v>
      </c>
      <c r="G1217" s="37">
        <v>17</v>
      </c>
      <c r="H1217" s="37">
        <f>_xlfn.XLOOKUP(C1217&amp;F1217&amp;I1217&amp;J1217,'[1]2025年已发货'!$F:$F&amp;'[1]2025年已发货'!$C:$C&amp;'[1]2025年已发货'!$G:$G&amp;'[1]2025年已发货'!$H:$H,'[1]2025年已发货'!$E:$E,"未发货")</f>
        <v>17</v>
      </c>
      <c r="I1217" s="41" t="str">
        <f>VLOOKUP(B1217,辅助信息!E:I,3,FALSE)</f>
        <v>（商投建工达州中医药科技园-2工区-景观桥）达州市通川区达州中医药职业学院犀牛大道北段</v>
      </c>
      <c r="J1217" s="41" t="str">
        <f>VLOOKUP(B1217,辅助信息!E:I,4,FALSE)</f>
        <v>李波</v>
      </c>
      <c r="K1217" s="41">
        <f>VLOOKUP(J1217,辅助信息!H:I,2,FALSE)</f>
        <v>18381899787</v>
      </c>
      <c r="L1217" s="41" t="str">
        <f>VLOOKUP(B1217,辅助信息!E:J,6,FALSE)</f>
        <v>控制炉批号！多了现场不收！,优先安排达钢,提前联系到场规格及数量</v>
      </c>
      <c r="M1217" s="92">
        <v>45772</v>
      </c>
      <c r="O1217" s="63">
        <f ca="1" t="shared" si="49"/>
        <v>0</v>
      </c>
      <c r="P1217" s="63">
        <f ca="1" t="shared" si="50"/>
        <v>187</v>
      </c>
      <c r="Q1217" s="27" t="str">
        <f>VLOOKUP(B1217,辅助信息!E:M,9,FALSE)</f>
        <v>ZTWM-CDGS-XS-2024-0134-商投建工达州中医药科技成果示范园项目</v>
      </c>
      <c r="R1217" s="27" t="str">
        <f>_xlfn._xlws.FILTER(辅助信息!D:D,辅助信息!E:E=B1217)</f>
        <v>商投建工达州中医药科技园</v>
      </c>
    </row>
    <row r="1218" hidden="1" spans="1:18">
      <c r="A1218" s="63"/>
      <c r="B1218" s="41" t="s">
        <v>68</v>
      </c>
      <c r="C1218" s="71">
        <v>45772</v>
      </c>
      <c r="D1218" s="41" t="str">
        <f>VLOOKUP(B1218,辅助信息!E:K,7,FALSE)</f>
        <v>JWDDCD2025052800131</v>
      </c>
      <c r="E1218" s="41" t="str">
        <f>VLOOKUP(F1218,辅助信息!A:B,2,FALSE)</f>
        <v>螺纹钢</v>
      </c>
      <c r="F1218" s="41" t="s">
        <v>18</v>
      </c>
      <c r="G1218" s="37">
        <v>12</v>
      </c>
      <c r="H1218" s="37">
        <f>_xlfn.XLOOKUP(C1218&amp;F1218&amp;I1218&amp;J1218,'[1]2025年已发货'!$F:$F&amp;'[1]2025年已发货'!$C:$C&amp;'[1]2025年已发货'!$G:$G&amp;'[1]2025年已发货'!$H:$H,'[1]2025年已发货'!$E:$E,"未发货")</f>
        <v>12</v>
      </c>
      <c r="I1218" s="41" t="str">
        <f>VLOOKUP(B1218,辅助信息!E:I,3,FALSE)</f>
        <v>（商投建工达州中医药科技园-2工区-景观桥）达州市通川区达州中医药职业学院犀牛大道北段</v>
      </c>
      <c r="J1218" s="41" t="str">
        <f>VLOOKUP(B1218,辅助信息!E:I,4,FALSE)</f>
        <v>李波</v>
      </c>
      <c r="K1218" s="41">
        <f>VLOOKUP(J1218,辅助信息!H:I,2,FALSE)</f>
        <v>18381899787</v>
      </c>
      <c r="L1218" s="41" t="str">
        <f>VLOOKUP(B1218,辅助信息!E:J,6,FALSE)</f>
        <v>控制炉批号！多了现场不收！,优先安排达钢,提前联系到场规格及数量</v>
      </c>
      <c r="M1218" s="92">
        <v>45772</v>
      </c>
      <c r="O1218" s="63">
        <f ca="1" t="shared" si="49"/>
        <v>0</v>
      </c>
      <c r="P1218" s="63">
        <f ca="1" t="shared" si="50"/>
        <v>187</v>
      </c>
      <c r="Q1218" s="27" t="str">
        <f>VLOOKUP(B1218,辅助信息!E:M,9,FALSE)</f>
        <v>ZTWM-CDGS-XS-2024-0134-商投建工达州中医药科技成果示范园项目</v>
      </c>
      <c r="R1218" s="27" t="str">
        <f>_xlfn._xlws.FILTER(辅助信息!D:D,辅助信息!E:E=B1218)</f>
        <v>商投建工达州中医药科技园</v>
      </c>
    </row>
    <row r="1219" hidden="1" spans="1:18">
      <c r="A1219" s="63"/>
      <c r="B1219" s="41" t="s">
        <v>68</v>
      </c>
      <c r="C1219" s="71">
        <v>45774</v>
      </c>
      <c r="D1219" s="41" t="str">
        <f>VLOOKUP(B1219,辅助信息!E:K,7,FALSE)</f>
        <v>JWDDCD2025052800131</v>
      </c>
      <c r="E1219" s="41" t="str">
        <f>VLOOKUP(F1219,辅助信息!A:B,2,FALSE)</f>
        <v>螺纹钢</v>
      </c>
      <c r="F1219" s="41" t="s">
        <v>52</v>
      </c>
      <c r="G1219" s="37">
        <v>15</v>
      </c>
      <c r="H1219" s="37" t="str">
        <f>_xlfn.XLOOKUP(C1219&amp;F1219&amp;I1219&amp;J1219,'[1]2025年已发货'!$F:$F&amp;'[1]2025年已发货'!$C:$C&amp;'[1]2025年已发货'!$G:$G&amp;'[1]2025年已发货'!$H:$H,'[1]2025年已发货'!$E:$E,"未发货")</f>
        <v>未发货</v>
      </c>
      <c r="I1219" s="41" t="str">
        <f>VLOOKUP(B1219,辅助信息!E:I,3,FALSE)</f>
        <v>（商投建工达州中医药科技园-2工区-景观桥）达州市通川区达州中医药职业学院犀牛大道北段</v>
      </c>
      <c r="J1219" s="41" t="str">
        <f>VLOOKUP(B1219,辅助信息!E:I,4,FALSE)</f>
        <v>李波</v>
      </c>
      <c r="K1219" s="41">
        <f>VLOOKUP(J1219,辅助信息!H:I,2,FALSE)</f>
        <v>18381899787</v>
      </c>
      <c r="L1219" s="41" t="str">
        <f>VLOOKUP(B1219,辅助信息!E:J,6,FALSE)</f>
        <v>控制炉批号！多了现场不收！,优先安排达钢,提前联系到场规格及数量</v>
      </c>
      <c r="M1219" s="92">
        <v>45772</v>
      </c>
      <c r="O1219" s="63">
        <f ca="1" t="shared" si="49"/>
        <v>0</v>
      </c>
      <c r="P1219" s="63">
        <f ca="1" t="shared" si="50"/>
        <v>187</v>
      </c>
      <c r="Q1219" s="27" t="str">
        <f>VLOOKUP(B1219,辅助信息!E:M,9,FALSE)</f>
        <v>ZTWM-CDGS-XS-2024-0134-商投建工达州中医药科技成果示范园项目</v>
      </c>
      <c r="R1219" s="27" t="str">
        <f>_xlfn._xlws.FILTER(辅助信息!D:D,辅助信息!E:E=B1219)</f>
        <v>商投建工达州中医药科技园</v>
      </c>
    </row>
    <row r="1220" hidden="1" spans="1:18">
      <c r="A1220" s="63"/>
      <c r="B1220" s="41" t="s">
        <v>136</v>
      </c>
      <c r="C1220" s="71">
        <v>45774</v>
      </c>
      <c r="D1220" s="41" t="str">
        <f>VLOOKUP(B1220,辅助信息!E:K,7,FALSE)</f>
        <v>JWDDCD2025050800080</v>
      </c>
      <c r="E1220" s="41" t="str">
        <f>VLOOKUP(F1220,辅助信息!A:B,2,FALSE)</f>
        <v>螺纹钢</v>
      </c>
      <c r="F1220" s="41" t="s">
        <v>90</v>
      </c>
      <c r="G1220" s="37">
        <v>70</v>
      </c>
      <c r="H1220" s="37" t="str">
        <f>_xlfn.XLOOKUP(C1220&amp;F1220&amp;I1220&amp;J1220,'[1]2025年已发货'!$F:$F&amp;'[1]2025年已发货'!$C:$C&amp;'[1]2025年已发货'!$G:$G&amp;'[1]2025年已发货'!$H:$H,'[1]2025年已发货'!$E:$E,"未发货")</f>
        <v>未发货</v>
      </c>
      <c r="I1220" s="41" t="str">
        <f>VLOOKUP(B1220,辅助信息!E:I,3,FALSE)</f>
        <v>(宜宾兴港三江新区长江工业园建设项目-M2-00-04桩)宜宾市翠屏区宜宾汽车零部件配套产业基地(纬五路南)</v>
      </c>
      <c r="J1220" s="41" t="str">
        <f>VLOOKUP(B1220,辅助信息!E:I,4,FALSE)</f>
        <v>李国享</v>
      </c>
      <c r="K1220" s="41">
        <f>VLOOKUP(J1220,辅助信息!H:I,2,FALSE)</f>
        <v>17713876279</v>
      </c>
      <c r="L1220" s="41" t="str">
        <f>VLOOKUP(B1220,辅助信息!E:J,6,FALSE)</f>
        <v>装货前联系收货人核实到场规格，货物最下面用方木垫下方便卸货</v>
      </c>
      <c r="M1220" s="92">
        <v>45773</v>
      </c>
      <c r="O1220" s="63">
        <f ca="1" t="shared" si="49"/>
        <v>0</v>
      </c>
      <c r="P1220" s="63">
        <f ca="1" t="shared" si="50"/>
        <v>186</v>
      </c>
      <c r="Q1220" s="27" t="str">
        <f>VLOOKUP(B1220,辅助信息!E:M,9,FALSE)</f>
        <v>ZTWM-CDGS-XS-2025-0059-宜宾兴港建材-宜宾冷链项目</v>
      </c>
      <c r="R1220" s="27" t="str">
        <f>_xlfn._xlws.FILTER(辅助信息!D:D,辅助信息!E:E=B1220)</f>
        <v>宜宾兴港三江新区长江工业园建设项目</v>
      </c>
    </row>
    <row r="1221" hidden="1" spans="1:18">
      <c r="A1221" s="63"/>
      <c r="B1221" s="41" t="s">
        <v>139</v>
      </c>
      <c r="C1221" s="71">
        <v>45774</v>
      </c>
      <c r="D1221" s="41" t="str">
        <f>VLOOKUP(B1221,辅助信息!E:K,7,FALSE)</f>
        <v>JWDDCD2025050800080</v>
      </c>
      <c r="E1221" s="41" t="str">
        <f>VLOOKUP(F1221,辅助信息!A:B,2,FALSE)</f>
        <v>盘螺</v>
      </c>
      <c r="F1221" s="41" t="s">
        <v>41</v>
      </c>
      <c r="G1221" s="37">
        <v>25</v>
      </c>
      <c r="H1221" s="37" t="str">
        <f>_xlfn.XLOOKUP(C1221&amp;F1221&amp;I1221&amp;J1221,'[1]2025年已发货'!$F:$F&amp;'[1]2025年已发货'!$C:$C&amp;'[1]2025年已发货'!$G:$G&amp;'[1]2025年已发货'!$H:$H,'[1]2025年已发货'!$E:$E,"未发货")</f>
        <v>未发货</v>
      </c>
      <c r="I1221" s="41" t="str">
        <f>VLOOKUP(B1221,辅助信息!E:I,3,FALSE)</f>
        <v>(宜宾兴港三江新区长江工业园建设项目-M2-7#厂房)宜宾市翠屏区宜宾汽车零部件配套产业基地(纬五路南)</v>
      </c>
      <c r="J1221" s="41" t="str">
        <f>VLOOKUP(B1221,辅助信息!E:I,4,FALSE)</f>
        <v>李国享</v>
      </c>
      <c r="K1221" s="41">
        <f>VLOOKUP(J1221,辅助信息!H:I,2,FALSE)</f>
        <v>17713876279</v>
      </c>
      <c r="L1221" s="41" t="str">
        <f>VLOOKUP(B1221,辅助信息!E:J,6,FALSE)</f>
        <v>装货前联系收货人核实到场规格，货物最下面用方木垫下方便卸货</v>
      </c>
      <c r="M1221" s="92">
        <v>45773</v>
      </c>
      <c r="O1221" s="63">
        <f ca="1" t="shared" si="49"/>
        <v>0</v>
      </c>
      <c r="P1221" s="63">
        <f ca="1" t="shared" si="50"/>
        <v>186</v>
      </c>
      <c r="Q1221" s="27" t="str">
        <f>VLOOKUP(B1221,辅助信息!E:M,9,FALSE)</f>
        <v>ZTWM-CDGS-XS-2025-0059-宜宾兴港建材-宜宾冷链项目</v>
      </c>
      <c r="R1221" s="27" t="str">
        <f>_xlfn._xlws.FILTER(辅助信息!D:D,辅助信息!E:E=B1221)</f>
        <v>宜宾兴港三江新区长江工业园建设项目</v>
      </c>
    </row>
    <row r="1222" hidden="1" spans="1:18">
      <c r="A1222" s="63"/>
      <c r="B1222" s="41" t="s">
        <v>139</v>
      </c>
      <c r="C1222" s="71">
        <v>45774</v>
      </c>
      <c r="D1222" s="41" t="str">
        <f>VLOOKUP(B1222,辅助信息!E:K,7,FALSE)</f>
        <v>JWDDCD2025050800080</v>
      </c>
      <c r="E1222" s="41" t="str">
        <f>VLOOKUP(F1222,辅助信息!A:B,2,FALSE)</f>
        <v>螺纹钢</v>
      </c>
      <c r="F1222" s="41" t="s">
        <v>133</v>
      </c>
      <c r="G1222" s="37">
        <v>30</v>
      </c>
      <c r="H1222" s="37" t="str">
        <f>_xlfn.XLOOKUP(C1222&amp;F1222&amp;I1222&amp;J1222,'[1]2025年已发货'!$F:$F&amp;'[1]2025年已发货'!$C:$C&amp;'[1]2025年已发货'!$G:$G&amp;'[1]2025年已发货'!$H:$H,'[1]2025年已发货'!$E:$E,"未发货")</f>
        <v>未发货</v>
      </c>
      <c r="I1222" s="41" t="str">
        <f>VLOOKUP(B1222,辅助信息!E:I,3,FALSE)</f>
        <v>(宜宾兴港三江新区长江工业园建设项目-M2-7#厂房)宜宾市翠屏区宜宾汽车零部件配套产业基地(纬五路南)</v>
      </c>
      <c r="J1222" s="41" t="str">
        <f>VLOOKUP(B1222,辅助信息!E:I,4,FALSE)</f>
        <v>李国享</v>
      </c>
      <c r="K1222" s="41">
        <f>VLOOKUP(J1222,辅助信息!H:I,2,FALSE)</f>
        <v>17713876279</v>
      </c>
      <c r="L1222" s="41" t="str">
        <f>VLOOKUP(B1222,辅助信息!E:J,6,FALSE)</f>
        <v>装货前联系收货人核实到场规格，货物最下面用方木垫下方便卸货</v>
      </c>
      <c r="M1222" s="92">
        <v>45773</v>
      </c>
      <c r="O1222" s="63">
        <f ca="1" t="shared" si="49"/>
        <v>0</v>
      </c>
      <c r="P1222" s="63">
        <f ca="1" t="shared" si="50"/>
        <v>186</v>
      </c>
      <c r="Q1222" s="27" t="str">
        <f>VLOOKUP(B1222,辅助信息!E:M,9,FALSE)</f>
        <v>ZTWM-CDGS-XS-2025-0059-宜宾兴港建材-宜宾冷链项目</v>
      </c>
      <c r="R1222" s="27" t="str">
        <f>_xlfn._xlws.FILTER(辅助信息!D:D,辅助信息!E:E=B1222)</f>
        <v>宜宾兴港三江新区长江工业园建设项目</v>
      </c>
    </row>
    <row r="1223" hidden="1" spans="1:18">
      <c r="A1223" s="63"/>
      <c r="B1223" s="41" t="s">
        <v>132</v>
      </c>
      <c r="C1223" s="71">
        <v>45772</v>
      </c>
      <c r="D1223" s="41" t="str">
        <f>VLOOKUP(B1223,辅助信息!E:K,7,FALSE)</f>
        <v>JWDDCD2025050800080</v>
      </c>
      <c r="E1223" s="41" t="e">
        <f>VLOOKUP(F1223,辅助信息!A:B,2,FALSE)</f>
        <v>#N/A</v>
      </c>
      <c r="F1223" s="41" t="s">
        <v>143</v>
      </c>
      <c r="G1223" s="37">
        <v>12</v>
      </c>
      <c r="H1223" s="37">
        <f>_xlfn.XLOOKUP(C1223&amp;F1223&amp;I1223&amp;J1223,'[1]2025年已发货'!$F:$F&amp;'[1]2025年已发货'!$C:$C&amp;'[1]2025年已发货'!$G:$G&amp;'[1]2025年已发货'!$H:$H,'[1]2025年已发货'!$E:$E,"未发货")</f>
        <v>12</v>
      </c>
      <c r="I1223" s="41" t="str">
        <f>VLOOKUP(B1223,辅助信息!E:I,3,FALSE)</f>
        <v>(宜宾兴港三江新区长江工业园建设项目-9#厂房)宜宾市翠屏区宜宾汽车零部件配套产业基地(纬五路南)</v>
      </c>
      <c r="J1223" s="41" t="str">
        <f>VLOOKUP(B1223,辅助信息!E:I,4,FALSE)</f>
        <v>严石林</v>
      </c>
      <c r="K1223" s="41">
        <f>VLOOKUP(J1223,辅助信息!H:I,2,FALSE)</f>
        <v>15924731822</v>
      </c>
      <c r="L1223" s="41" t="str">
        <f>VLOOKUP(B1223,辅助信息!E:J,6,FALSE)</f>
        <v>装货前联系收货人核实到场规格，货物最下面用方木垫下方便卸货</v>
      </c>
      <c r="M1223" s="92">
        <v>45773</v>
      </c>
      <c r="O1223" s="63">
        <f ca="1" t="shared" si="49"/>
        <v>0</v>
      </c>
      <c r="P1223" s="63">
        <f ca="1" t="shared" si="50"/>
        <v>186</v>
      </c>
      <c r="Q1223" s="27" t="str">
        <f>VLOOKUP(B1223,辅助信息!E:M,9,FALSE)</f>
        <v>ZTWM-CDGS-XS-2025-0059-宜宾兴港建材-宜宾冷链项目</v>
      </c>
      <c r="R1223" s="27" t="str">
        <f>_xlfn._xlws.FILTER(辅助信息!D:D,辅助信息!E:E=B1223)</f>
        <v>宜宾兴港三江新区长江工业园建设项目</v>
      </c>
    </row>
    <row r="1224" hidden="1" spans="1:18">
      <c r="A1224" s="63"/>
      <c r="B1224" s="41" t="s">
        <v>132</v>
      </c>
      <c r="C1224" s="71">
        <v>45772</v>
      </c>
      <c r="D1224" s="41" t="str">
        <f>VLOOKUP(B1224,辅助信息!E:K,7,FALSE)</f>
        <v>JWDDCD2025050800080</v>
      </c>
      <c r="E1224" s="41" t="str">
        <f>VLOOKUP(F1224,辅助信息!A:B,2,FALSE)</f>
        <v>螺纹钢</v>
      </c>
      <c r="F1224" s="41" t="s">
        <v>141</v>
      </c>
      <c r="G1224" s="37">
        <v>75</v>
      </c>
      <c r="H1224" s="37">
        <f>_xlfn.XLOOKUP(C1224&amp;F1224&amp;I1224&amp;J1224,'[1]2025年已发货'!$F:$F&amp;'[1]2025年已发货'!$C:$C&amp;'[1]2025年已发货'!$G:$G&amp;'[1]2025年已发货'!$H:$H,'[1]2025年已发货'!$E:$E,"未发货")</f>
        <v>75</v>
      </c>
      <c r="I1224" s="41" t="str">
        <f>VLOOKUP(B1224,辅助信息!E:I,3,FALSE)</f>
        <v>(宜宾兴港三江新区长江工业园建设项目-9#厂房)宜宾市翠屏区宜宾汽车零部件配套产业基地(纬五路南)</v>
      </c>
      <c r="J1224" s="41" t="str">
        <f>VLOOKUP(B1224,辅助信息!E:I,4,FALSE)</f>
        <v>严石林</v>
      </c>
      <c r="K1224" s="41">
        <f>VLOOKUP(J1224,辅助信息!H:I,2,FALSE)</f>
        <v>15924731822</v>
      </c>
      <c r="L1224" s="41" t="str">
        <f>VLOOKUP(B1224,辅助信息!E:J,6,FALSE)</f>
        <v>装货前联系收货人核实到场规格，货物最下面用方木垫下方便卸货</v>
      </c>
      <c r="M1224" s="92">
        <v>45773</v>
      </c>
      <c r="O1224" s="63">
        <f ca="1" t="shared" si="49"/>
        <v>0</v>
      </c>
      <c r="P1224" s="63">
        <f ca="1" t="shared" si="50"/>
        <v>186</v>
      </c>
      <c r="Q1224" s="27" t="str">
        <f>VLOOKUP(B1224,辅助信息!E:M,9,FALSE)</f>
        <v>ZTWM-CDGS-XS-2025-0059-宜宾兴港建材-宜宾冷链项目</v>
      </c>
      <c r="R1224" s="27" t="str">
        <f>_xlfn._xlws.FILTER(辅助信息!D:D,辅助信息!E:E=B1224)</f>
        <v>宜宾兴港三江新区长江工业园建设项目</v>
      </c>
    </row>
    <row r="1225" hidden="1" spans="1:18">
      <c r="A1225" s="63"/>
      <c r="B1225" s="41" t="s">
        <v>132</v>
      </c>
      <c r="C1225" s="71">
        <v>45772</v>
      </c>
      <c r="D1225" s="41" t="str">
        <f>VLOOKUP(B1225,辅助信息!E:K,7,FALSE)</f>
        <v>JWDDCD2025050800080</v>
      </c>
      <c r="E1225" s="41" t="str">
        <f>VLOOKUP(F1225,辅助信息!A:B,2,FALSE)</f>
        <v>螺纹钢</v>
      </c>
      <c r="F1225" s="41" t="s">
        <v>142</v>
      </c>
      <c r="G1225" s="37">
        <v>18</v>
      </c>
      <c r="H1225" s="37">
        <f>_xlfn.XLOOKUP(C1225&amp;F1225&amp;I1225&amp;J1225,'[1]2025年已发货'!$F:$F&amp;'[1]2025年已发货'!$C:$C&amp;'[1]2025年已发货'!$G:$G&amp;'[1]2025年已发货'!$H:$H,'[1]2025年已发货'!$E:$E,"未发货")</f>
        <v>18</v>
      </c>
      <c r="I1225" s="41" t="str">
        <f>VLOOKUP(B1225,辅助信息!E:I,3,FALSE)</f>
        <v>(宜宾兴港三江新区长江工业园建设项目-9#厂房)宜宾市翠屏区宜宾汽车零部件配套产业基地(纬五路南)</v>
      </c>
      <c r="J1225" s="41" t="str">
        <f>VLOOKUP(B1225,辅助信息!E:I,4,FALSE)</f>
        <v>严石林</v>
      </c>
      <c r="K1225" s="41">
        <f>VLOOKUP(J1225,辅助信息!H:I,2,FALSE)</f>
        <v>15924731822</v>
      </c>
      <c r="L1225" s="41" t="str">
        <f>VLOOKUP(B1225,辅助信息!E:J,6,FALSE)</f>
        <v>装货前联系收货人核实到场规格，货物最下面用方木垫下方便卸货</v>
      </c>
      <c r="M1225" s="92">
        <v>45773</v>
      </c>
      <c r="O1225" s="63">
        <f ca="1" t="shared" si="49"/>
        <v>0</v>
      </c>
      <c r="P1225" s="63">
        <f ca="1" t="shared" si="50"/>
        <v>186</v>
      </c>
      <c r="Q1225" s="27" t="str">
        <f>VLOOKUP(B1225,辅助信息!E:M,9,FALSE)</f>
        <v>ZTWM-CDGS-XS-2025-0059-宜宾兴港建材-宜宾冷链项目</v>
      </c>
      <c r="R1225" s="27" t="str">
        <f>_xlfn._xlws.FILTER(辅助信息!D:D,辅助信息!E:E=B1225)</f>
        <v>宜宾兴港三江新区长江工业园建设项目</v>
      </c>
    </row>
    <row r="1226" hidden="1" spans="2:18">
      <c r="B1226" s="41" t="s">
        <v>47</v>
      </c>
      <c r="C1226" s="71">
        <v>45774</v>
      </c>
      <c r="D1226" s="41" t="str">
        <f>VLOOKUP(B1226,辅助信息!E:K,7,FALSE)</f>
        <v>JWDDCD2025052800131</v>
      </c>
      <c r="E1226" s="41" t="str">
        <f>VLOOKUP(F1226,辅助信息!A:B,2,FALSE)</f>
        <v>盘螺</v>
      </c>
      <c r="F1226" s="41" t="s">
        <v>49</v>
      </c>
      <c r="G1226" s="37">
        <v>6</v>
      </c>
      <c r="H1226" s="37">
        <f>_xlfn.XLOOKUP(C1226&amp;F1226&amp;I1226&amp;J1226,'[1]2025年已发货'!$F:$F&amp;'[1]2025年已发货'!$C:$C&amp;'[1]2025年已发货'!$G:$G&amp;'[1]2025年已发货'!$H:$H,'[1]2025年已发货'!$E:$E,"未发货")</f>
        <v>6</v>
      </c>
      <c r="I1226" s="41" t="str">
        <f>VLOOKUP(B1226,辅助信息!E:I,3,FALSE)</f>
        <v>（商投建工达州中医药科技园-1工区）达州市通川区达州中医药职业学院犀牛大道北段</v>
      </c>
      <c r="J1226" s="41" t="str">
        <f>VLOOKUP(B1226,辅助信息!E:I,4,FALSE)</f>
        <v>程黄刚</v>
      </c>
      <c r="K1226" s="41">
        <f>VLOOKUP(J1226,辅助信息!H:I,2,FALSE)</f>
        <v>15108211617</v>
      </c>
      <c r="L1226" s="41"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180</v>
      </c>
      <c r="Q1226" s="27" t="str">
        <f>VLOOKUP(B1226,辅助信息!E:M,9,FALSE)</f>
        <v>ZTWM-CDGS-XS-2024-0134-商投建工达州中医药科技成果示范园项目</v>
      </c>
      <c r="R1226" s="27" t="str">
        <f>_xlfn._xlws.FILTER(辅助信息!D:D,辅助信息!E:E=B1226)</f>
        <v>商投建工达州中医药科技园</v>
      </c>
    </row>
    <row r="1227" hidden="1" spans="2:18">
      <c r="B1227" s="41" t="s">
        <v>47</v>
      </c>
      <c r="C1227" s="71">
        <v>45774</v>
      </c>
      <c r="D1227" s="41" t="str">
        <f>VLOOKUP(B1227,辅助信息!E:K,7,FALSE)</f>
        <v>JWDDCD2025052800131</v>
      </c>
      <c r="E1227" s="41" t="str">
        <f>VLOOKUP(F1227,辅助信息!A:B,2,FALSE)</f>
        <v>盘螺</v>
      </c>
      <c r="F1227" s="41" t="s">
        <v>40</v>
      </c>
      <c r="G1227" s="37">
        <v>15</v>
      </c>
      <c r="H1227" s="37">
        <f>_xlfn.XLOOKUP(C1227&amp;F1227&amp;I1227&amp;J1227,'[1]2025年已发货'!$F:$F&amp;'[1]2025年已发货'!$C:$C&amp;'[1]2025年已发货'!$G:$G&amp;'[1]2025年已发货'!$H:$H,'[1]2025年已发货'!$E:$E,"未发货")</f>
        <v>15</v>
      </c>
      <c r="I1227" s="41" t="str">
        <f>VLOOKUP(B1227,辅助信息!E:I,3,FALSE)</f>
        <v>（商投建工达州中医药科技园-1工区）达州市通川区达州中医药职业学院犀牛大道北段</v>
      </c>
      <c r="J1227" s="41" t="str">
        <f>VLOOKUP(B1227,辅助信息!E:I,4,FALSE)</f>
        <v>程黄刚</v>
      </c>
      <c r="K1227" s="41">
        <f>VLOOKUP(J1227,辅助信息!H:I,2,FALSE)</f>
        <v>15108211617</v>
      </c>
      <c r="L1227" s="41" t="str">
        <f>VLOOKUP(B1227,辅助信息!E:J,6,FALSE)</f>
        <v>控制炉批号！多了现场不收！,优先安排达钢,提前联系到场规格及数量</v>
      </c>
      <c r="M1227" s="92">
        <v>45779</v>
      </c>
      <c r="O1227" s="63">
        <f ca="1" t="shared" si="51"/>
        <v>0</v>
      </c>
      <c r="P1227" s="63">
        <f ca="1" t="shared" si="52"/>
        <v>180</v>
      </c>
      <c r="Q1227" s="27" t="str">
        <f>VLOOKUP(B1227,辅助信息!E:M,9,FALSE)</f>
        <v>ZTWM-CDGS-XS-2024-0134-商投建工达州中医药科技成果示范园项目</v>
      </c>
      <c r="R1227" s="27" t="str">
        <f>_xlfn._xlws.FILTER(辅助信息!D:D,辅助信息!E:E=B1227)</f>
        <v>商投建工达州中医药科技园</v>
      </c>
    </row>
    <row r="1228" hidden="1" spans="2:18">
      <c r="B1228" s="41" t="s">
        <v>47</v>
      </c>
      <c r="C1228" s="71">
        <v>45774</v>
      </c>
      <c r="D1228" s="41" t="str">
        <f>VLOOKUP(B1228,辅助信息!E:K,7,FALSE)</f>
        <v>JWDDCD2025052800131</v>
      </c>
      <c r="E1228" s="41" t="str">
        <f>VLOOKUP(F1228,辅助信息!A:B,2,FALSE)</f>
        <v>盘螺</v>
      </c>
      <c r="F1228" s="41" t="s">
        <v>41</v>
      </c>
      <c r="G1228" s="37">
        <v>3</v>
      </c>
      <c r="H1228" s="37">
        <f>_xlfn.XLOOKUP(C1228&amp;F1228&amp;I1228&amp;J1228,'[1]2025年已发货'!$F:$F&amp;'[1]2025年已发货'!$C:$C&amp;'[1]2025年已发货'!$G:$G&amp;'[1]2025年已发货'!$H:$H,'[1]2025年已发货'!$E:$E,"未发货")</f>
        <v>3</v>
      </c>
      <c r="I1228" s="41" t="str">
        <f>VLOOKUP(B1228,辅助信息!E:I,3,FALSE)</f>
        <v>（商投建工达州中医药科技园-1工区）达州市通川区达州中医药职业学院犀牛大道北段</v>
      </c>
      <c r="J1228" s="41" t="str">
        <f>VLOOKUP(B1228,辅助信息!E:I,4,FALSE)</f>
        <v>程黄刚</v>
      </c>
      <c r="K1228" s="41">
        <f>VLOOKUP(J1228,辅助信息!H:I,2,FALSE)</f>
        <v>15108211617</v>
      </c>
      <c r="L1228" s="41" t="str">
        <f>VLOOKUP(B1228,辅助信息!E:J,6,FALSE)</f>
        <v>控制炉批号！多了现场不收！,优先安排达钢,提前联系到场规格及数量</v>
      </c>
      <c r="M1228" s="92">
        <v>45779</v>
      </c>
      <c r="O1228" s="63">
        <f ca="1" t="shared" si="51"/>
        <v>0</v>
      </c>
      <c r="P1228" s="63">
        <f ca="1" t="shared" si="52"/>
        <v>180</v>
      </c>
      <c r="Q1228" s="27" t="str">
        <f>VLOOKUP(B1228,辅助信息!E:M,9,FALSE)</f>
        <v>ZTWM-CDGS-XS-2024-0134-商投建工达州中医药科技成果示范园项目</v>
      </c>
      <c r="R1228" s="27" t="str">
        <f>_xlfn._xlws.FILTER(辅助信息!D:D,辅助信息!E:E=B1228)</f>
        <v>商投建工达州中医药科技园</v>
      </c>
    </row>
    <row r="1229" hidden="1" spans="2:18">
      <c r="B1229" s="41" t="s">
        <v>47</v>
      </c>
      <c r="C1229" s="71">
        <v>45774</v>
      </c>
      <c r="D1229" s="41" t="str">
        <f>VLOOKUP(B1229,辅助信息!E:K,7,FALSE)</f>
        <v>JWDDCD2025052800131</v>
      </c>
      <c r="E1229" s="41" t="str">
        <f>VLOOKUP(F1229,辅助信息!A:B,2,FALSE)</f>
        <v>螺纹钢</v>
      </c>
      <c r="F1229" s="41" t="s">
        <v>27</v>
      </c>
      <c r="G1229" s="37">
        <v>21</v>
      </c>
      <c r="H1229" s="37">
        <f>_xlfn.XLOOKUP(C1229&amp;F1229&amp;I1229&amp;J1229,'[1]2025年已发货'!$F:$F&amp;'[1]2025年已发货'!$C:$C&amp;'[1]2025年已发货'!$G:$G&amp;'[1]2025年已发货'!$H:$H,'[1]2025年已发货'!$E:$E,"未发货")</f>
        <v>21</v>
      </c>
      <c r="I1229" s="41" t="str">
        <f>VLOOKUP(B1229,辅助信息!E:I,3,FALSE)</f>
        <v>（商投建工达州中医药科技园-1工区）达州市通川区达州中医药职业学院犀牛大道北段</v>
      </c>
      <c r="J1229" s="41" t="str">
        <f>VLOOKUP(B1229,辅助信息!E:I,4,FALSE)</f>
        <v>程黄刚</v>
      </c>
      <c r="K1229" s="41">
        <f>VLOOKUP(J1229,辅助信息!H:I,2,FALSE)</f>
        <v>15108211617</v>
      </c>
      <c r="L1229" s="41" t="str">
        <f>VLOOKUP(B1229,辅助信息!E:J,6,FALSE)</f>
        <v>控制炉批号！多了现场不收！,优先安排达钢,提前联系到场规格及数量</v>
      </c>
      <c r="M1229" s="92">
        <v>45779</v>
      </c>
      <c r="O1229" s="63">
        <f ca="1" t="shared" si="51"/>
        <v>0</v>
      </c>
      <c r="P1229" s="63">
        <f ca="1" t="shared" si="52"/>
        <v>180</v>
      </c>
      <c r="Q1229" s="27" t="str">
        <f>VLOOKUP(B1229,辅助信息!E:M,9,FALSE)</f>
        <v>ZTWM-CDGS-XS-2024-0134-商投建工达州中医药科技成果示范园项目</v>
      </c>
      <c r="R1229" s="27" t="str">
        <f>_xlfn._xlws.FILTER(辅助信息!D:D,辅助信息!E:E=B1229)</f>
        <v>商投建工达州中医药科技园</v>
      </c>
    </row>
    <row r="1230" hidden="1" spans="2:18">
      <c r="B1230" s="41" t="s">
        <v>47</v>
      </c>
      <c r="C1230" s="71">
        <v>45774</v>
      </c>
      <c r="D1230" s="41" t="str">
        <f>VLOOKUP(B1230,辅助信息!E:K,7,FALSE)</f>
        <v>JWDDCD2025052800131</v>
      </c>
      <c r="E1230" s="41" t="str">
        <f>VLOOKUP(F1230,辅助信息!A:B,2,FALSE)</f>
        <v>螺纹钢</v>
      </c>
      <c r="F1230" s="41" t="s">
        <v>32</v>
      </c>
      <c r="G1230" s="37">
        <v>18</v>
      </c>
      <c r="H1230" s="37">
        <f>_xlfn.XLOOKUP(C1230&amp;F1230&amp;I1230&amp;J1230,'[1]2025年已发货'!$F:$F&amp;'[1]2025年已发货'!$C:$C&amp;'[1]2025年已发货'!$G:$G&amp;'[1]2025年已发货'!$H:$H,'[1]2025年已发货'!$E:$E,"未发货")</f>
        <v>13</v>
      </c>
      <c r="I1230" s="41" t="str">
        <f>VLOOKUP(B1230,辅助信息!E:I,3,FALSE)</f>
        <v>（商投建工达州中医药科技园-1工区）达州市通川区达州中医药职业学院犀牛大道北段</v>
      </c>
      <c r="J1230" s="41" t="str">
        <f>VLOOKUP(B1230,辅助信息!E:I,4,FALSE)</f>
        <v>程黄刚</v>
      </c>
      <c r="K1230" s="41">
        <f>VLOOKUP(J1230,辅助信息!H:I,2,FALSE)</f>
        <v>15108211617</v>
      </c>
      <c r="L1230" s="41" t="str">
        <f>VLOOKUP(B1230,辅助信息!E:J,6,FALSE)</f>
        <v>控制炉批号！多了现场不收！,优先安排达钢,提前联系到场规格及数量</v>
      </c>
      <c r="M1230" s="92">
        <v>45779</v>
      </c>
      <c r="O1230" s="63">
        <f ca="1" t="shared" si="51"/>
        <v>0</v>
      </c>
      <c r="P1230" s="63">
        <f ca="1" t="shared" si="52"/>
        <v>180</v>
      </c>
      <c r="Q1230" s="27" t="str">
        <f>VLOOKUP(B1230,辅助信息!E:M,9,FALSE)</f>
        <v>ZTWM-CDGS-XS-2024-0134-商投建工达州中医药科技成果示范园项目</v>
      </c>
      <c r="R1230" s="27" t="str">
        <f>_xlfn._xlws.FILTER(辅助信息!D:D,辅助信息!E:E=B1230)</f>
        <v>商投建工达州中医药科技园</v>
      </c>
    </row>
    <row r="1231" hidden="1" spans="2:18">
      <c r="B1231" s="41" t="s">
        <v>47</v>
      </c>
      <c r="C1231" s="71">
        <v>45774</v>
      </c>
      <c r="D1231" s="41" t="str">
        <f>VLOOKUP(B1231,辅助信息!E:K,7,FALSE)</f>
        <v>JWDDCD2025052800131</v>
      </c>
      <c r="E1231" s="41" t="str">
        <f>VLOOKUP(F1231,辅助信息!A:B,2,FALSE)</f>
        <v>螺纹钢</v>
      </c>
      <c r="F1231" s="41" t="s">
        <v>130</v>
      </c>
      <c r="G1231" s="37">
        <v>3</v>
      </c>
      <c r="H1231" s="37">
        <f>_xlfn.XLOOKUP(C1231&amp;F1231&amp;I1231&amp;J1231,'[1]2025年已发货'!$F:$F&amp;'[1]2025年已发货'!$C:$C&amp;'[1]2025年已发货'!$G:$G&amp;'[1]2025年已发货'!$H:$H,'[1]2025年已发货'!$E:$E,"未发货")</f>
        <v>3</v>
      </c>
      <c r="I1231" s="41" t="str">
        <f>VLOOKUP(B1231,辅助信息!E:I,3,FALSE)</f>
        <v>（商投建工达州中医药科技园-1工区）达州市通川区达州中医药职业学院犀牛大道北段</v>
      </c>
      <c r="J1231" s="41" t="str">
        <f>VLOOKUP(B1231,辅助信息!E:I,4,FALSE)</f>
        <v>程黄刚</v>
      </c>
      <c r="K1231" s="41">
        <f>VLOOKUP(J1231,辅助信息!H:I,2,FALSE)</f>
        <v>15108211617</v>
      </c>
      <c r="L1231" s="41" t="str">
        <f>VLOOKUP(B1231,辅助信息!E:J,6,FALSE)</f>
        <v>控制炉批号！多了现场不收！,优先安排达钢,提前联系到场规格及数量</v>
      </c>
      <c r="M1231" s="92">
        <v>45779</v>
      </c>
      <c r="O1231" s="63">
        <f ca="1" t="shared" si="51"/>
        <v>0</v>
      </c>
      <c r="P1231" s="63">
        <f ca="1" t="shared" si="52"/>
        <v>180</v>
      </c>
      <c r="Q1231" s="27" t="str">
        <f>VLOOKUP(B1231,辅助信息!E:M,9,FALSE)</f>
        <v>ZTWM-CDGS-XS-2024-0134-商投建工达州中医药科技成果示范园项目</v>
      </c>
      <c r="R1231" s="27" t="str">
        <f>_xlfn._xlws.FILTER(辅助信息!D:D,辅助信息!E:E=B1231)</f>
        <v>商投建工达州中医药科技园</v>
      </c>
    </row>
    <row r="1232" hidden="1" spans="2:18">
      <c r="B1232" s="41" t="s">
        <v>47</v>
      </c>
      <c r="C1232" s="71">
        <v>45774</v>
      </c>
      <c r="D1232" s="41" t="str">
        <f>VLOOKUP(B1232,辅助信息!E:K,7,FALSE)</f>
        <v>JWDDCD2025052800131</v>
      </c>
      <c r="E1232" s="41" t="str">
        <f>VLOOKUP(F1232,辅助信息!A:B,2,FALSE)</f>
        <v>螺纹钢</v>
      </c>
      <c r="F1232" s="41" t="s">
        <v>33</v>
      </c>
      <c r="G1232" s="37">
        <v>15</v>
      </c>
      <c r="H1232" s="37">
        <f>_xlfn.XLOOKUP(C1232&amp;F1232&amp;I1232&amp;J1232,'[1]2025年已发货'!$F:$F&amp;'[1]2025年已发货'!$C:$C&amp;'[1]2025年已发货'!$G:$G&amp;'[1]2025年已发货'!$H:$H,'[1]2025年已发货'!$E:$E,"未发货")</f>
        <v>13</v>
      </c>
      <c r="I1232" s="41" t="str">
        <f>VLOOKUP(B1232,辅助信息!E:I,3,FALSE)</f>
        <v>（商投建工达州中医药科技园-1工区）达州市通川区达州中医药职业学院犀牛大道北段</v>
      </c>
      <c r="J1232" s="41" t="str">
        <f>VLOOKUP(B1232,辅助信息!E:I,4,FALSE)</f>
        <v>程黄刚</v>
      </c>
      <c r="K1232" s="41">
        <f>VLOOKUP(J1232,辅助信息!H:I,2,FALSE)</f>
        <v>15108211617</v>
      </c>
      <c r="L1232" s="41" t="str">
        <f>VLOOKUP(B1232,辅助信息!E:J,6,FALSE)</f>
        <v>控制炉批号！多了现场不收！,优先安排达钢,提前联系到场规格及数量</v>
      </c>
      <c r="M1232" s="92">
        <v>45779</v>
      </c>
      <c r="O1232" s="63">
        <f ca="1" t="shared" si="51"/>
        <v>0</v>
      </c>
      <c r="P1232" s="63">
        <f ca="1" t="shared" si="52"/>
        <v>180</v>
      </c>
      <c r="Q1232" s="27" t="str">
        <f>VLOOKUP(B1232,辅助信息!E:M,9,FALSE)</f>
        <v>ZTWM-CDGS-XS-2024-0134-商投建工达州中医药科技成果示范园项目</v>
      </c>
      <c r="R1232" s="27" t="str">
        <f>_xlfn._xlws.FILTER(辅助信息!D:D,辅助信息!E:E=B1232)</f>
        <v>商投建工达州中医药科技园</v>
      </c>
    </row>
    <row r="1233" hidden="1" spans="2:18">
      <c r="B1233" s="41" t="s">
        <v>47</v>
      </c>
      <c r="C1233" s="71">
        <v>45774</v>
      </c>
      <c r="D1233" s="41" t="str">
        <f>VLOOKUP(B1233,辅助信息!E:K,7,FALSE)</f>
        <v>JWDDCD2025052800131</v>
      </c>
      <c r="E1233" s="41" t="str">
        <f>VLOOKUP(F1233,辅助信息!A:B,2,FALSE)</f>
        <v>螺纹钢</v>
      </c>
      <c r="F1233" s="41" t="s">
        <v>28</v>
      </c>
      <c r="G1233" s="37">
        <v>9</v>
      </c>
      <c r="H1233" s="37">
        <f>_xlfn.XLOOKUP(C1233&amp;F1233&amp;I1233&amp;J1233,'[1]2025年已发货'!$F:$F&amp;'[1]2025年已发货'!$C:$C&amp;'[1]2025年已发货'!$G:$G&amp;'[1]2025年已发货'!$H:$H,'[1]2025年已发货'!$E:$E,"未发货")</f>
        <v>9</v>
      </c>
      <c r="I1233" s="41" t="str">
        <f>VLOOKUP(B1233,辅助信息!E:I,3,FALSE)</f>
        <v>（商投建工达州中医药科技园-1工区）达州市通川区达州中医药职业学院犀牛大道北段</v>
      </c>
      <c r="J1233" s="41" t="str">
        <f>VLOOKUP(B1233,辅助信息!E:I,4,FALSE)</f>
        <v>程黄刚</v>
      </c>
      <c r="K1233" s="41">
        <f>VLOOKUP(J1233,辅助信息!H:I,2,FALSE)</f>
        <v>15108211617</v>
      </c>
      <c r="L1233" s="41" t="str">
        <f>VLOOKUP(B1233,辅助信息!E:J,6,FALSE)</f>
        <v>控制炉批号！多了现场不收！,优先安排达钢,提前联系到场规格及数量</v>
      </c>
      <c r="M1233" s="92">
        <v>45779</v>
      </c>
      <c r="O1233" s="63">
        <f ca="1" t="shared" si="51"/>
        <v>0</v>
      </c>
      <c r="P1233" s="63">
        <f ca="1" t="shared" si="52"/>
        <v>180</v>
      </c>
      <c r="Q1233" s="27" t="str">
        <f>VLOOKUP(B1233,辅助信息!E:M,9,FALSE)</f>
        <v>ZTWM-CDGS-XS-2024-0134-商投建工达州中医药科技成果示范园项目</v>
      </c>
      <c r="R1233" s="27"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7" t="str">
        <f>_xlfn.XLOOKUP(C1234&amp;F1234&amp;I1234&amp;J1234,'[1]2025年已发货'!$F:$F&amp;'[1]2025年已发货'!$C:$C&amp;'[1]2025年已发货'!$G:$G&amp;'[1]2025年已发货'!$H:$H,'[1]2025年已发货'!$E:$E,"未发货")</f>
        <v>未发货</v>
      </c>
      <c r="I1234" s="41" t="str">
        <f>VLOOKUP(B1234,辅助信息!E:I,3,FALSE)</f>
        <v>（商投建工达州中医药科技园-1工区）达州市通川区达州中医药职业学院犀牛大道北段</v>
      </c>
      <c r="J1234" s="41" t="str">
        <f>VLOOKUP(B1234,辅助信息!E:I,4,FALSE)</f>
        <v>程黄刚</v>
      </c>
      <c r="K1234" s="41">
        <f>VLOOKUP(J1234,辅助信息!H:I,2,FALSE)</f>
        <v>15108211617</v>
      </c>
      <c r="L1234" s="41" t="str">
        <f>VLOOKUP(B1234,辅助信息!E:J,6,FALSE)</f>
        <v>控制炉批号！多了现场不收！,优先安排达钢,提前联系到场规格及数量</v>
      </c>
      <c r="M1234" s="92">
        <v>45779</v>
      </c>
      <c r="O1234" s="63">
        <f ca="1" t="shared" si="51"/>
        <v>0</v>
      </c>
      <c r="P1234" s="63">
        <f ca="1" t="shared" si="52"/>
        <v>180</v>
      </c>
      <c r="Q1234" s="27" t="str">
        <f>VLOOKUP(B1234,辅助信息!E:M,9,FALSE)</f>
        <v>ZTWM-CDGS-XS-2024-0134-商投建工达州中医药科技成果示范园项目</v>
      </c>
      <c r="R1234" s="27" t="str">
        <f>_xlfn._xlws.FILTER(辅助信息!D:D,辅助信息!E:E=B1234)</f>
        <v>商投建工达州中医药科技园</v>
      </c>
    </row>
    <row r="1235" hidden="1" spans="1:18">
      <c r="A1235" s="87"/>
      <c r="B1235" s="41" t="s">
        <v>64</v>
      </c>
      <c r="C1235" s="71">
        <v>45773</v>
      </c>
      <c r="D1235" s="112" t="e">
        <f>VLOOKUP(B1235,辅助信息!E:K,7,FALSE)</f>
        <v>#N/A</v>
      </c>
      <c r="E1235" s="41" t="str">
        <f>VLOOKUP(F1235,辅助信息!A:B,2,FALSE)</f>
        <v>盘螺</v>
      </c>
      <c r="F1235" s="41" t="s">
        <v>26</v>
      </c>
      <c r="G1235" s="37">
        <v>9</v>
      </c>
      <c r="H1235" s="113" t="e">
        <f>_xlfn.XLOOKUP(C1235&amp;F1235&amp;I1235&amp;J1235,'[1]2025年已发货'!$F:$F&amp;'[1]2025年已发货'!$C:$C&amp;'[1]2025年已发货'!$G:$G&amp;'[1]2025年已发货'!$H:$H,'[1]2025年已发货'!$E:$E,"未发货")</f>
        <v>#N/A</v>
      </c>
      <c r="I1235" s="41" t="e">
        <f>VLOOKUP(B1235,辅助信息!E:I,3,FALSE)</f>
        <v>#N/A</v>
      </c>
      <c r="J1235" s="41" t="e">
        <f>VLOOKUP(B1235,辅助信息!E:I,4,FALSE)</f>
        <v>#N/A</v>
      </c>
      <c r="K1235" s="41" t="e">
        <f>VLOOKUP(J1235,辅助信息!H:I,2,FALSE)</f>
        <v>#N/A</v>
      </c>
      <c r="L1235" s="40" t="e">
        <f>VLOOKUP(B1235,辅助信息!E:J,6,FALSE)</f>
        <v>#N/A</v>
      </c>
      <c r="M1235" s="92">
        <v>45773</v>
      </c>
      <c r="O1235" s="63">
        <f ca="1" t="shared" ref="O1235:O1270" si="53">IF(OR(M1235="",N1235&lt;&gt;""),"",MAX(M1235-TODAY(),0))</f>
        <v>0</v>
      </c>
      <c r="P1235" s="63">
        <f ca="1" t="shared" si="52"/>
        <v>186</v>
      </c>
      <c r="Q1235" s="30" t="e">
        <f>VLOOKUP(B1235,辅助信息!E:M,9,FALSE)</f>
        <v>#N/A</v>
      </c>
      <c r="R1235" s="27" vm="1" t="e">
        <f>_xlfn._xlws.FILTER(辅助信息!D:D,辅助信息!E:E=B1235)</f>
        <v>#VALUE!</v>
      </c>
    </row>
    <row r="1236" hidden="1" spans="1:18">
      <c r="A1236" s="87"/>
      <c r="B1236" s="41" t="s">
        <v>64</v>
      </c>
      <c r="C1236" s="71">
        <v>45773</v>
      </c>
      <c r="D1236" s="114" t="e">
        <f>VLOOKUP(B1236,辅助信息!E:K,7,FALSE)</f>
        <v>#N/A</v>
      </c>
      <c r="E1236" s="41" t="str">
        <f>VLOOKUP(F1236,辅助信息!A:B,2,FALSE)</f>
        <v>螺纹钢</v>
      </c>
      <c r="F1236" s="41" t="s">
        <v>27</v>
      </c>
      <c r="G1236" s="37">
        <v>6</v>
      </c>
      <c r="H1236" s="113" t="e">
        <f>_xlfn.XLOOKUP(C1236&amp;F1236&amp;I1236&amp;J1236,'[1]2025年已发货'!$F:$F&amp;'[1]2025年已发货'!$C:$C&amp;'[1]2025年已发货'!$G:$G&amp;'[1]2025年已发货'!$H:$H,'[1]2025年已发货'!$E:$E,"未发货")</f>
        <v>#N/A</v>
      </c>
      <c r="I1236" s="41" t="e">
        <f>VLOOKUP(B1236,辅助信息!E:I,3,FALSE)</f>
        <v>#N/A</v>
      </c>
      <c r="J1236" s="41" t="e">
        <f>VLOOKUP(B1236,辅助信息!E:I,4,FALSE)</f>
        <v>#N/A</v>
      </c>
      <c r="K1236" s="41" t="e">
        <f>VLOOKUP(J1236,辅助信息!H:I,2,FALSE)</f>
        <v>#N/A</v>
      </c>
      <c r="L1236" s="40" t="e">
        <f>VLOOKUP(B1236,辅助信息!E:J,6,FALSE)</f>
        <v>#N/A</v>
      </c>
      <c r="M1236" s="92">
        <v>45773</v>
      </c>
      <c r="O1236" s="63">
        <f ca="1" t="shared" si="53"/>
        <v>0</v>
      </c>
      <c r="P1236" s="63">
        <f ca="1" t="shared" si="52"/>
        <v>186</v>
      </c>
      <c r="Q1236" s="30" t="e">
        <f>VLOOKUP(B1236,辅助信息!E:M,9,FALSE)</f>
        <v>#N/A</v>
      </c>
      <c r="R1236" s="27" vm="1" t="e">
        <f>_xlfn._xlws.FILTER(辅助信息!D:D,辅助信息!E:E=B1236)</f>
        <v>#VALUE!</v>
      </c>
    </row>
    <row r="1237" hidden="1" spans="1:18">
      <c r="A1237" s="87"/>
      <c r="B1237" s="41" t="s">
        <v>64</v>
      </c>
      <c r="C1237" s="71">
        <v>45773</v>
      </c>
      <c r="D1237" s="114" t="e">
        <f>VLOOKUP(B1237,辅助信息!E:K,7,FALSE)</f>
        <v>#N/A</v>
      </c>
      <c r="E1237" s="41" t="str">
        <f>VLOOKUP(F1237,辅助信息!A:B,2,FALSE)</f>
        <v>螺纹钢</v>
      </c>
      <c r="F1237" s="41" t="s">
        <v>19</v>
      </c>
      <c r="G1237" s="37">
        <v>21</v>
      </c>
      <c r="H1237" s="113" t="e">
        <f>_xlfn.XLOOKUP(C1237&amp;F1237&amp;I1237&amp;J1237,'[1]2025年已发货'!$F:$F&amp;'[1]2025年已发货'!$C:$C&amp;'[1]2025年已发货'!$G:$G&amp;'[1]2025年已发货'!$H:$H,'[1]2025年已发货'!$E:$E,"未发货")</f>
        <v>#N/A</v>
      </c>
      <c r="I1237" s="41" t="e">
        <f>VLOOKUP(B1237,辅助信息!E:I,3,FALSE)</f>
        <v>#N/A</v>
      </c>
      <c r="J1237" s="41" t="e">
        <f>VLOOKUP(B1237,辅助信息!E:I,4,FALSE)</f>
        <v>#N/A</v>
      </c>
      <c r="K1237" s="41" t="e">
        <f>VLOOKUP(J1237,辅助信息!H:I,2,FALSE)</f>
        <v>#N/A</v>
      </c>
      <c r="L1237" s="40" t="e">
        <f>VLOOKUP(B1237,辅助信息!E:J,6,FALSE)</f>
        <v>#N/A</v>
      </c>
      <c r="M1237" s="92">
        <v>45773</v>
      </c>
      <c r="O1237" s="63">
        <f ca="1" t="shared" si="53"/>
        <v>0</v>
      </c>
      <c r="P1237" s="63">
        <f ca="1" t="shared" si="52"/>
        <v>186</v>
      </c>
      <c r="Q1237" s="30" t="e">
        <f>VLOOKUP(B1237,辅助信息!E:M,9,FALSE)</f>
        <v>#N/A</v>
      </c>
      <c r="R1237" s="27" vm="1" t="e">
        <f>_xlfn._xlws.FILTER(辅助信息!D:D,辅助信息!E:E=B1237)</f>
        <v>#VALUE!</v>
      </c>
    </row>
    <row r="1238" hidden="1" spans="1:18">
      <c r="A1238" s="87"/>
      <c r="B1238" s="41" t="s">
        <v>64</v>
      </c>
      <c r="C1238" s="71">
        <v>45773</v>
      </c>
      <c r="D1238" s="114" t="e">
        <f>VLOOKUP(B1238,辅助信息!E:K,7,FALSE)</f>
        <v>#N/A</v>
      </c>
      <c r="E1238" s="41" t="str">
        <f>VLOOKUP(F1238,辅助信息!A:B,2,FALSE)</f>
        <v>螺纹钢</v>
      </c>
      <c r="F1238" s="41" t="s">
        <v>65</v>
      </c>
      <c r="G1238" s="37">
        <v>12</v>
      </c>
      <c r="H1238" s="113" t="e">
        <f>_xlfn.XLOOKUP(C1238&amp;F1238&amp;I1238&amp;J1238,'[1]2025年已发货'!$F:$F&amp;'[1]2025年已发货'!$C:$C&amp;'[1]2025年已发货'!$G:$G&amp;'[1]2025年已发货'!$H:$H,'[1]2025年已发货'!$E:$E,"未发货")</f>
        <v>#N/A</v>
      </c>
      <c r="I1238" s="41" t="e">
        <f>VLOOKUP(B1238,辅助信息!E:I,3,FALSE)</f>
        <v>#N/A</v>
      </c>
      <c r="J1238" s="41" t="e">
        <f>VLOOKUP(B1238,辅助信息!E:I,4,FALSE)</f>
        <v>#N/A</v>
      </c>
      <c r="K1238" s="41" t="e">
        <f>VLOOKUP(J1238,辅助信息!H:I,2,FALSE)</f>
        <v>#N/A</v>
      </c>
      <c r="L1238" s="40" t="e">
        <f>VLOOKUP(B1238,辅助信息!E:J,6,FALSE)</f>
        <v>#N/A</v>
      </c>
      <c r="M1238" s="92">
        <v>45773</v>
      </c>
      <c r="O1238" s="63">
        <f ca="1" t="shared" si="53"/>
        <v>0</v>
      </c>
      <c r="P1238" s="63">
        <f ca="1" t="shared" si="52"/>
        <v>186</v>
      </c>
      <c r="Q1238" s="30" t="e">
        <f>VLOOKUP(B1238,辅助信息!E:M,9,FALSE)</f>
        <v>#N/A</v>
      </c>
      <c r="R1238" s="27" vm="1" t="e">
        <f>_xlfn._xlws.FILTER(辅助信息!D:D,辅助信息!E:E=B1238)</f>
        <v>#VALUE!</v>
      </c>
    </row>
    <row r="1239" hidden="1" spans="1:18">
      <c r="A1239" s="87"/>
      <c r="B1239" s="41" t="s">
        <v>64</v>
      </c>
      <c r="C1239" s="71">
        <v>45773</v>
      </c>
      <c r="D1239" s="114" t="e">
        <f>VLOOKUP(B1239,辅助信息!E:K,7,FALSE)</f>
        <v>#N/A</v>
      </c>
      <c r="E1239" s="41" t="str">
        <f>VLOOKUP(F1239,辅助信息!A:B,2,FALSE)</f>
        <v>螺纹钢</v>
      </c>
      <c r="F1239" s="41" t="s">
        <v>52</v>
      </c>
      <c r="G1239" s="37">
        <v>15</v>
      </c>
      <c r="H1239" s="113" t="e">
        <f>_xlfn.XLOOKUP(C1239&amp;F1239&amp;I1239&amp;J1239,'[1]2025年已发货'!$F:$F&amp;'[1]2025年已发货'!$C:$C&amp;'[1]2025年已发货'!$G:$G&amp;'[1]2025年已发货'!$H:$H,'[1]2025年已发货'!$E:$E,"未发货")</f>
        <v>#N/A</v>
      </c>
      <c r="I1239" s="41" t="e">
        <f>VLOOKUP(B1239,辅助信息!E:I,3,FALSE)</f>
        <v>#N/A</v>
      </c>
      <c r="J1239" s="41" t="e">
        <f>VLOOKUP(B1239,辅助信息!E:I,4,FALSE)</f>
        <v>#N/A</v>
      </c>
      <c r="K1239" s="41" t="e">
        <f>VLOOKUP(J1239,辅助信息!H:I,2,FALSE)</f>
        <v>#N/A</v>
      </c>
      <c r="L1239" s="40" t="e">
        <f>VLOOKUP(B1239,辅助信息!E:J,6,FALSE)</f>
        <v>#N/A</v>
      </c>
      <c r="M1239" s="92">
        <v>45773</v>
      </c>
      <c r="O1239" s="63">
        <f ca="1" t="shared" si="53"/>
        <v>0</v>
      </c>
      <c r="P1239" s="63">
        <f ca="1" t="shared" si="52"/>
        <v>186</v>
      </c>
      <c r="Q1239" s="30" t="e">
        <f>VLOOKUP(B1239,辅助信息!E:M,9,FALSE)</f>
        <v>#N/A</v>
      </c>
      <c r="R1239" s="27" vm="1" t="e">
        <f>_xlfn._xlws.FILTER(辅助信息!D:D,辅助信息!E:E=B1239)</f>
        <v>#VALUE!</v>
      </c>
    </row>
    <row r="1240" hidden="1" spans="1:18">
      <c r="A1240" s="87"/>
      <c r="B1240" s="41" t="s">
        <v>70</v>
      </c>
      <c r="C1240" s="71">
        <v>45773</v>
      </c>
      <c r="D1240" s="114" t="e">
        <f>VLOOKUP(B1240,辅助信息!E:K,7,FALSE)</f>
        <v>#N/A</v>
      </c>
      <c r="E1240" s="41" t="str">
        <f>VLOOKUP(F1240,辅助信息!A:B,2,FALSE)</f>
        <v>螺纹钢</v>
      </c>
      <c r="F1240" s="41" t="s">
        <v>27</v>
      </c>
      <c r="G1240" s="37">
        <v>8</v>
      </c>
      <c r="H1240" s="113" t="e">
        <f>_xlfn.XLOOKUP(C1240&amp;F1240&amp;I1240&amp;J1240,'[1]2025年已发货'!$F:$F&amp;'[1]2025年已发货'!$C:$C&amp;'[1]2025年已发货'!$G:$G&amp;'[1]2025年已发货'!$H:$H,'[1]2025年已发货'!$E:$E,"未发货")</f>
        <v>#N/A</v>
      </c>
      <c r="I1240" s="41" t="e">
        <f>VLOOKUP(B1240,辅助信息!E:I,3,FALSE)</f>
        <v>#N/A</v>
      </c>
      <c r="J1240" s="41" t="e">
        <f>VLOOKUP(B1240,辅助信息!E:I,4,FALSE)</f>
        <v>#N/A</v>
      </c>
      <c r="K1240" s="41" t="e">
        <f>VLOOKUP(J1240,辅助信息!H:I,2,FALSE)</f>
        <v>#N/A</v>
      </c>
      <c r="L1240" s="40" t="e">
        <f>VLOOKUP(B1240,辅助信息!E:J,6,FALSE)</f>
        <v>#N/A</v>
      </c>
      <c r="M1240" s="92">
        <v>45773</v>
      </c>
      <c r="O1240" s="63">
        <f ca="1" t="shared" si="53"/>
        <v>0</v>
      </c>
      <c r="P1240" s="63">
        <f ca="1" t="shared" si="52"/>
        <v>186</v>
      </c>
      <c r="Q1240" s="30" t="e">
        <f>VLOOKUP(B1240,辅助信息!E:M,9,FALSE)</f>
        <v>#N/A</v>
      </c>
      <c r="R1240" s="27" vm="1" t="e">
        <f>_xlfn._xlws.FILTER(辅助信息!D:D,辅助信息!E:E=B1240)</f>
        <v>#VALUE!</v>
      </c>
    </row>
    <row r="1241" hidden="1" spans="1:18">
      <c r="A1241" s="87"/>
      <c r="B1241" s="41" t="s">
        <v>87</v>
      </c>
      <c r="C1241" s="71">
        <v>45773</v>
      </c>
      <c r="D1241" s="114" t="e">
        <f>VLOOKUP(B1241,辅助信息!E:K,7,FALSE)</f>
        <v>#N/A</v>
      </c>
      <c r="E1241" s="41" t="str">
        <f>VLOOKUP(F1241,辅助信息!A:B,2,FALSE)</f>
        <v>螺纹钢</v>
      </c>
      <c r="F1241" s="41" t="s">
        <v>27</v>
      </c>
      <c r="G1241" s="37">
        <v>24</v>
      </c>
      <c r="H1241" s="113" t="e">
        <f>_xlfn.XLOOKUP(C1241&amp;F1241&amp;I1241&amp;J1241,'[1]2025年已发货'!$F:$F&amp;'[1]2025年已发货'!$C:$C&amp;'[1]2025年已发货'!$G:$G&amp;'[1]2025年已发货'!$H:$H,'[1]2025年已发货'!$E:$E,"未发货")</f>
        <v>#N/A</v>
      </c>
      <c r="I1241" s="41" t="e">
        <f>VLOOKUP(B1241,辅助信息!E:I,3,FALSE)</f>
        <v>#N/A</v>
      </c>
      <c r="J1241" s="41" t="e">
        <f>VLOOKUP(B1241,辅助信息!E:I,4,FALSE)</f>
        <v>#N/A</v>
      </c>
      <c r="K1241" s="41" t="e">
        <f>VLOOKUP(J1241,辅助信息!H:I,2,FALSE)</f>
        <v>#N/A</v>
      </c>
      <c r="L1241" s="40" t="e">
        <f>VLOOKUP(B1241,辅助信息!E:J,6,FALSE)</f>
        <v>#N/A</v>
      </c>
      <c r="M1241" s="92">
        <v>45773</v>
      </c>
      <c r="O1241" s="63">
        <f ca="1" t="shared" si="53"/>
        <v>0</v>
      </c>
      <c r="P1241" s="63">
        <f ca="1" t="shared" si="52"/>
        <v>186</v>
      </c>
      <c r="Q1241" s="30" t="e">
        <f>VLOOKUP(B1241,辅助信息!E:M,9,FALSE)</f>
        <v>#N/A</v>
      </c>
      <c r="R1241" s="27" vm="1" t="e">
        <f>_xlfn._xlws.FILTER(辅助信息!D:D,辅助信息!E:E=B1241)</f>
        <v>#VALUE!</v>
      </c>
    </row>
    <row r="1242" hidden="1" spans="1:18">
      <c r="A1242" s="87"/>
      <c r="B1242" s="41" t="s">
        <v>87</v>
      </c>
      <c r="C1242" s="71">
        <v>45773</v>
      </c>
      <c r="D1242" s="114" t="e">
        <f>VLOOKUP(B1242,辅助信息!E:K,7,FALSE)</f>
        <v>#N/A</v>
      </c>
      <c r="E1242" s="41" t="str">
        <f>VLOOKUP(F1242,辅助信息!A:B,2,FALSE)</f>
        <v>螺纹钢</v>
      </c>
      <c r="F1242" s="41" t="s">
        <v>19</v>
      </c>
      <c r="G1242" s="37">
        <v>12</v>
      </c>
      <c r="H1242" s="113" t="e">
        <f>_xlfn.XLOOKUP(C1242&amp;F1242&amp;I1242&amp;J1242,'[1]2025年已发货'!$F:$F&amp;'[1]2025年已发货'!$C:$C&amp;'[1]2025年已发货'!$G:$G&amp;'[1]2025年已发货'!$H:$H,'[1]2025年已发货'!$E:$E,"未发货")</f>
        <v>#N/A</v>
      </c>
      <c r="I1242" s="41" t="e">
        <f>VLOOKUP(B1242,辅助信息!E:I,3,FALSE)</f>
        <v>#N/A</v>
      </c>
      <c r="J1242" s="41" t="e">
        <f>VLOOKUP(B1242,辅助信息!E:I,4,FALSE)</f>
        <v>#N/A</v>
      </c>
      <c r="K1242" s="41" t="e">
        <f>VLOOKUP(J1242,辅助信息!H:I,2,FALSE)</f>
        <v>#N/A</v>
      </c>
      <c r="L1242" s="40" t="e">
        <f>VLOOKUP(B1242,辅助信息!E:J,6,FALSE)</f>
        <v>#N/A</v>
      </c>
      <c r="M1242" s="92">
        <v>45773</v>
      </c>
      <c r="O1242" s="63">
        <f ca="1" t="shared" si="53"/>
        <v>0</v>
      </c>
      <c r="P1242" s="63">
        <f ca="1" t="shared" si="52"/>
        <v>186</v>
      </c>
      <c r="Q1242" s="30" t="e">
        <f>VLOOKUP(B1242,辅助信息!E:M,9,FALSE)</f>
        <v>#N/A</v>
      </c>
      <c r="R1242" s="27" vm="1" t="e">
        <f>_xlfn._xlws.FILTER(辅助信息!D:D,辅助信息!E:E=B1242)</f>
        <v>#VALUE!</v>
      </c>
    </row>
    <row r="1243" hidden="1" spans="1:18">
      <c r="A1243" s="87"/>
      <c r="B1243" s="41" t="s">
        <v>29</v>
      </c>
      <c r="C1243" s="71">
        <v>45773</v>
      </c>
      <c r="D1243" s="114" t="e">
        <f>VLOOKUP(B1243,辅助信息!E:K,7,FALSE)</f>
        <v>#N/A</v>
      </c>
      <c r="E1243" s="41" t="str">
        <f>VLOOKUP(F1243,辅助信息!A:B,2,FALSE)</f>
        <v>螺纹钢</v>
      </c>
      <c r="F1243" s="41" t="s">
        <v>28</v>
      </c>
      <c r="G1243" s="37">
        <v>27</v>
      </c>
      <c r="H1243" s="113" t="e">
        <f>_xlfn.XLOOKUP(C1243&amp;F1243&amp;I1243&amp;J1243,'[1]2025年已发货'!$F:$F&amp;'[1]2025年已发货'!$C:$C&amp;'[1]2025年已发货'!$G:$G&amp;'[1]2025年已发货'!$H:$H,'[1]2025年已发货'!$E:$E,"未发货")</f>
        <v>#N/A</v>
      </c>
      <c r="I1243" s="41" t="e">
        <f>VLOOKUP(B1243,辅助信息!E:I,3,FALSE)</f>
        <v>#N/A</v>
      </c>
      <c r="J1243" s="41" t="e">
        <f>VLOOKUP(B1243,辅助信息!E:I,4,FALSE)</f>
        <v>#N/A</v>
      </c>
      <c r="K1243" s="41" t="e">
        <f>VLOOKUP(J1243,辅助信息!H:I,2,FALSE)</f>
        <v>#N/A</v>
      </c>
      <c r="L1243" s="40" t="e">
        <f>VLOOKUP(B1243,辅助信息!E:J,6,FALSE)</f>
        <v>#N/A</v>
      </c>
      <c r="M1243" s="92">
        <v>45773</v>
      </c>
      <c r="O1243" s="63">
        <f ca="1" t="shared" si="53"/>
        <v>0</v>
      </c>
      <c r="P1243" s="63">
        <f ca="1" t="shared" si="52"/>
        <v>186</v>
      </c>
      <c r="Q1243" s="30" t="e">
        <f>VLOOKUP(B1243,辅助信息!E:M,9,FALSE)</f>
        <v>#N/A</v>
      </c>
      <c r="R1243" s="27" vm="1" t="e">
        <f>_xlfn._xlws.FILTER(辅助信息!D:D,辅助信息!E:E=B1243)</f>
        <v>#VALUE!</v>
      </c>
    </row>
    <row r="1244" hidden="1" spans="1:18">
      <c r="A1244" s="87"/>
      <c r="B1244" s="41" t="s">
        <v>78</v>
      </c>
      <c r="C1244" s="71">
        <v>45773</v>
      </c>
      <c r="D1244" s="114" t="e">
        <f>VLOOKUP(B1244,辅助信息!E:K,7,FALSE)</f>
        <v>#N/A</v>
      </c>
      <c r="E1244" s="41" t="str">
        <f>VLOOKUP(F1244,辅助信息!A:B,2,FALSE)</f>
        <v>螺纹钢</v>
      </c>
      <c r="F1244" s="41" t="s">
        <v>27</v>
      </c>
      <c r="G1244" s="37">
        <v>3</v>
      </c>
      <c r="H1244" s="113" t="e">
        <f>_xlfn.XLOOKUP(C1244&amp;F1244&amp;I1244&amp;J1244,'[1]2025年已发货'!$F:$F&amp;'[1]2025年已发货'!$C:$C&amp;'[1]2025年已发货'!$G:$G&amp;'[1]2025年已发货'!$H:$H,'[1]2025年已发货'!$E:$E,"未发货")</f>
        <v>#N/A</v>
      </c>
      <c r="I1244" s="41" t="e">
        <f>VLOOKUP(B1244,辅助信息!E:I,3,FALSE)</f>
        <v>#N/A</v>
      </c>
      <c r="J1244" s="41" t="e">
        <f>VLOOKUP(B1244,辅助信息!E:I,4,FALSE)</f>
        <v>#N/A</v>
      </c>
      <c r="K1244" s="41" t="e">
        <f>VLOOKUP(J1244,辅助信息!H:I,2,FALSE)</f>
        <v>#N/A</v>
      </c>
      <c r="L1244" s="40" t="e">
        <f>VLOOKUP(B1244,辅助信息!E:J,6,FALSE)</f>
        <v>#N/A</v>
      </c>
      <c r="M1244" s="92">
        <v>45773</v>
      </c>
      <c r="O1244" s="63">
        <f ca="1" t="shared" si="53"/>
        <v>0</v>
      </c>
      <c r="P1244" s="63">
        <f ca="1" t="shared" si="52"/>
        <v>186</v>
      </c>
      <c r="Q1244" s="30" t="e">
        <f>VLOOKUP(B1244,辅助信息!E:M,9,FALSE)</f>
        <v>#N/A</v>
      </c>
      <c r="R1244" s="27" vm="1" t="e">
        <f>_xlfn._xlws.FILTER(辅助信息!D:D,辅助信息!E:E=B1244)</f>
        <v>#VALUE!</v>
      </c>
    </row>
    <row r="1245" hidden="1" spans="1:18">
      <c r="A1245" s="87"/>
      <c r="B1245" s="41" t="s">
        <v>78</v>
      </c>
      <c r="C1245" s="71">
        <v>45773</v>
      </c>
      <c r="D1245" s="114" t="e">
        <f>VLOOKUP(B1245,辅助信息!E:K,7,FALSE)</f>
        <v>#N/A</v>
      </c>
      <c r="E1245" s="41" t="str">
        <f>VLOOKUP(F1245,辅助信息!A:B,2,FALSE)</f>
        <v>螺纹钢</v>
      </c>
      <c r="F1245" s="41" t="s">
        <v>33</v>
      </c>
      <c r="G1245" s="37">
        <v>30</v>
      </c>
      <c r="H1245" s="113" t="e">
        <f>_xlfn.XLOOKUP(C1245&amp;F1245&amp;I1245&amp;J1245,'[1]2025年已发货'!$F:$F&amp;'[1]2025年已发货'!$C:$C&amp;'[1]2025年已发货'!$G:$G&amp;'[1]2025年已发货'!$H:$H,'[1]2025年已发货'!$E:$E,"未发货")</f>
        <v>#N/A</v>
      </c>
      <c r="I1245" s="41" t="e">
        <f>VLOOKUP(B1245,辅助信息!E:I,3,FALSE)</f>
        <v>#N/A</v>
      </c>
      <c r="J1245" s="41" t="e">
        <f>VLOOKUP(B1245,辅助信息!E:I,4,FALSE)</f>
        <v>#N/A</v>
      </c>
      <c r="K1245" s="41" t="e">
        <f>VLOOKUP(J1245,辅助信息!H:I,2,FALSE)</f>
        <v>#N/A</v>
      </c>
      <c r="L1245" s="40" t="e">
        <f>VLOOKUP(B1245,辅助信息!E:J,6,FALSE)</f>
        <v>#N/A</v>
      </c>
      <c r="M1245" s="92">
        <v>45773</v>
      </c>
      <c r="O1245" s="63">
        <f ca="1" t="shared" si="53"/>
        <v>0</v>
      </c>
      <c r="P1245" s="63">
        <f ca="1" t="shared" si="52"/>
        <v>186</v>
      </c>
      <c r="Q1245" s="30" t="e">
        <f>VLOOKUP(B1245,辅助信息!E:M,9,FALSE)</f>
        <v>#N/A</v>
      </c>
      <c r="R1245" s="27" vm="1" t="e">
        <f>_xlfn._xlws.FILTER(辅助信息!D:D,辅助信息!E:E=B1245)</f>
        <v>#VALUE!</v>
      </c>
    </row>
    <row r="1246" hidden="1" spans="1:18">
      <c r="A1246" s="78"/>
      <c r="B1246" s="41" t="s">
        <v>78</v>
      </c>
      <c r="C1246" s="71">
        <v>45773</v>
      </c>
      <c r="D1246" s="114" t="e">
        <f>VLOOKUP(B1246,辅助信息!E:K,7,FALSE)</f>
        <v>#N/A</v>
      </c>
      <c r="E1246" s="41" t="str">
        <f>VLOOKUP(F1246,辅助信息!A:B,2,FALSE)</f>
        <v>螺纹钢</v>
      </c>
      <c r="F1246" s="41" t="s">
        <v>28</v>
      </c>
      <c r="G1246" s="37">
        <v>3</v>
      </c>
      <c r="H1246" s="113" t="e">
        <f>_xlfn.XLOOKUP(C1246&amp;F1246&amp;I1246&amp;J1246,'[1]2025年已发货'!$F:$F&amp;'[1]2025年已发货'!$C:$C&amp;'[1]2025年已发货'!$G:$G&amp;'[1]2025年已发货'!$H:$H,'[1]2025年已发货'!$E:$E,"未发货")</f>
        <v>#N/A</v>
      </c>
      <c r="I1246" s="41" t="e">
        <f>VLOOKUP(B1246,辅助信息!E:I,3,FALSE)</f>
        <v>#N/A</v>
      </c>
      <c r="J1246" s="41" t="e">
        <f>VLOOKUP(B1246,辅助信息!E:I,4,FALSE)</f>
        <v>#N/A</v>
      </c>
      <c r="K1246" s="41" t="e">
        <f>VLOOKUP(J1246,辅助信息!H:I,2,FALSE)</f>
        <v>#N/A</v>
      </c>
      <c r="L1246" s="40" t="e">
        <f>VLOOKUP(B1246,辅助信息!E:J,6,FALSE)</f>
        <v>#N/A</v>
      </c>
      <c r="M1246" s="92">
        <v>45773</v>
      </c>
      <c r="O1246" s="63">
        <f ca="1" t="shared" si="53"/>
        <v>0</v>
      </c>
      <c r="P1246" s="63">
        <f ca="1" t="shared" si="52"/>
        <v>186</v>
      </c>
      <c r="Q1246" s="30" t="e">
        <f>VLOOKUP(B1246,辅助信息!E:M,9,FALSE)</f>
        <v>#N/A</v>
      </c>
      <c r="R1246" s="27" vm="1" t="e">
        <f>_xlfn._xlws.FILTER(辅助信息!D:D,辅助信息!E:E=B1246)</f>
        <v>#VALUE!</v>
      </c>
    </row>
    <row r="1247" hidden="1" spans="1:18">
      <c r="A1247" s="78"/>
      <c r="B1247" s="41" t="s">
        <v>54</v>
      </c>
      <c r="C1247" s="71">
        <v>45773</v>
      </c>
      <c r="D1247" s="114" t="e">
        <f>VLOOKUP(B1247,辅助信息!E:K,7,FALSE)</f>
        <v>#N/A</v>
      </c>
      <c r="E1247" s="41" t="str">
        <f>VLOOKUP(F1247,辅助信息!A:B,2,FALSE)</f>
        <v>螺纹钢</v>
      </c>
      <c r="F1247" s="41" t="s">
        <v>27</v>
      </c>
      <c r="G1247" s="37">
        <v>26</v>
      </c>
      <c r="H1247" s="113" t="e">
        <f>_xlfn.XLOOKUP(C1247&amp;F1247&amp;I1247&amp;J1247,'[1]2025年已发货'!$F:$F&amp;'[1]2025年已发货'!$C:$C&amp;'[1]2025年已发货'!$G:$G&amp;'[1]2025年已发货'!$H:$H,'[1]2025年已发货'!$E:$E,"未发货")</f>
        <v>#N/A</v>
      </c>
      <c r="I1247" s="41" t="e">
        <f>VLOOKUP(B1247,辅助信息!E:I,3,FALSE)</f>
        <v>#N/A</v>
      </c>
      <c r="J1247" s="41" t="e">
        <f>VLOOKUP(B1247,辅助信息!E:I,4,FALSE)</f>
        <v>#N/A</v>
      </c>
      <c r="K1247" s="41" t="e">
        <f>VLOOKUP(J1247,辅助信息!H:I,2,FALSE)</f>
        <v>#N/A</v>
      </c>
      <c r="L1247" s="40" t="e">
        <f>VLOOKUP(B1247,辅助信息!E:J,6,FALSE)</f>
        <v>#N/A</v>
      </c>
      <c r="M1247" s="92">
        <v>45773</v>
      </c>
      <c r="O1247" s="63">
        <f ca="1" t="shared" si="53"/>
        <v>0</v>
      </c>
      <c r="P1247" s="63">
        <f ca="1" t="shared" si="52"/>
        <v>186</v>
      </c>
      <c r="Q1247" s="30" t="e">
        <f>VLOOKUP(B1247,辅助信息!E:M,9,FALSE)</f>
        <v>#N/A</v>
      </c>
      <c r="R1247" s="27" vm="1" t="e">
        <f>_xlfn._xlws.FILTER(辅助信息!D:D,辅助信息!E:E=B1247)</f>
        <v>#VALUE!</v>
      </c>
    </row>
    <row r="1248" hidden="1" spans="1:18">
      <c r="A1248" s="78"/>
      <c r="B1248" s="41" t="s">
        <v>54</v>
      </c>
      <c r="C1248" s="71">
        <v>45773</v>
      </c>
      <c r="D1248" s="114" t="e">
        <f>VLOOKUP(B1248,辅助信息!E:K,7,FALSE)</f>
        <v>#N/A</v>
      </c>
      <c r="E1248" s="41" t="str">
        <f>VLOOKUP(F1248,辅助信息!A:B,2,FALSE)</f>
        <v>螺纹钢</v>
      </c>
      <c r="F1248" s="41" t="s">
        <v>32</v>
      </c>
      <c r="G1248" s="37">
        <v>33</v>
      </c>
      <c r="H1248" s="113" t="e">
        <f>_xlfn.XLOOKUP(C1248&amp;F1248&amp;I1248&amp;J1248,'[1]2025年已发货'!$F:$F&amp;'[1]2025年已发货'!$C:$C&amp;'[1]2025年已发货'!$G:$G&amp;'[1]2025年已发货'!$H:$H,'[1]2025年已发货'!$E:$E,"未发货")</f>
        <v>#N/A</v>
      </c>
      <c r="I1248" s="41" t="e">
        <f>VLOOKUP(B1248,辅助信息!E:I,3,FALSE)</f>
        <v>#N/A</v>
      </c>
      <c r="J1248" s="41" t="e">
        <f>VLOOKUP(B1248,辅助信息!E:I,4,FALSE)</f>
        <v>#N/A</v>
      </c>
      <c r="K1248" s="41" t="e">
        <f>VLOOKUP(J1248,辅助信息!H:I,2,FALSE)</f>
        <v>#N/A</v>
      </c>
      <c r="L1248" s="40" t="e">
        <f>VLOOKUP(B1248,辅助信息!E:J,6,FALSE)</f>
        <v>#N/A</v>
      </c>
      <c r="M1248" s="92">
        <v>45773</v>
      </c>
      <c r="O1248" s="63">
        <f ca="1" t="shared" si="53"/>
        <v>0</v>
      </c>
      <c r="P1248" s="63">
        <f ca="1" t="shared" si="52"/>
        <v>186</v>
      </c>
      <c r="Q1248" s="30" t="e">
        <f>VLOOKUP(B1248,辅助信息!E:M,9,FALSE)</f>
        <v>#N/A</v>
      </c>
      <c r="R1248" s="27" vm="1" t="e">
        <f>_xlfn._xlws.FILTER(辅助信息!D:D,辅助信息!E:E=B1248)</f>
        <v>#VALUE!</v>
      </c>
    </row>
    <row r="1249" hidden="1" spans="1:18">
      <c r="A1249" s="78"/>
      <c r="B1249" s="41" t="s">
        <v>54</v>
      </c>
      <c r="C1249" s="71">
        <v>45773</v>
      </c>
      <c r="D1249" s="114" t="e">
        <f>VLOOKUP(B1249,辅助信息!E:K,7,FALSE)</f>
        <v>#N/A</v>
      </c>
      <c r="E1249" s="41" t="str">
        <f>VLOOKUP(F1249,辅助信息!A:B,2,FALSE)</f>
        <v>螺纹钢</v>
      </c>
      <c r="F1249" s="41" t="s">
        <v>33</v>
      </c>
      <c r="G1249" s="37">
        <v>70</v>
      </c>
      <c r="H1249" s="113" t="e">
        <f>_xlfn.XLOOKUP(C1249&amp;F1249&amp;I1249&amp;J1249,'[1]2025年已发货'!$F:$F&amp;'[1]2025年已发货'!$C:$C&amp;'[1]2025年已发货'!$G:$G&amp;'[1]2025年已发货'!$H:$H,'[1]2025年已发货'!$E:$E,"未发货")</f>
        <v>#N/A</v>
      </c>
      <c r="I1249" s="41" t="e">
        <f>VLOOKUP(B1249,辅助信息!E:I,3,FALSE)</f>
        <v>#N/A</v>
      </c>
      <c r="J1249" s="41" t="e">
        <f>VLOOKUP(B1249,辅助信息!E:I,4,FALSE)</f>
        <v>#N/A</v>
      </c>
      <c r="K1249" s="41" t="e">
        <f>VLOOKUP(J1249,辅助信息!H:I,2,FALSE)</f>
        <v>#N/A</v>
      </c>
      <c r="L1249" s="40" t="e">
        <f>VLOOKUP(B1249,辅助信息!E:J,6,FALSE)</f>
        <v>#N/A</v>
      </c>
      <c r="M1249" s="92">
        <v>45773</v>
      </c>
      <c r="O1249" s="63">
        <f ca="1" t="shared" si="53"/>
        <v>0</v>
      </c>
      <c r="P1249" s="63">
        <f ca="1" t="shared" si="52"/>
        <v>186</v>
      </c>
      <c r="Q1249" s="30" t="e">
        <f>VLOOKUP(B1249,辅助信息!E:M,9,FALSE)</f>
        <v>#N/A</v>
      </c>
      <c r="R1249" s="27" vm="1" t="e">
        <f>_xlfn._xlws.FILTER(辅助信息!D:D,辅助信息!E:E=B1249)</f>
        <v>#VALUE!</v>
      </c>
    </row>
    <row r="1250" hidden="1" spans="1:18">
      <c r="A1250" s="78"/>
      <c r="B1250" s="41" t="s">
        <v>54</v>
      </c>
      <c r="C1250" s="71">
        <v>45773</v>
      </c>
      <c r="D1250" s="114" t="e">
        <f>VLOOKUP(B1250,辅助信息!E:K,7,FALSE)</f>
        <v>#N/A</v>
      </c>
      <c r="E1250" s="41" t="str">
        <f>VLOOKUP(F1250,辅助信息!A:B,2,FALSE)</f>
        <v>螺纹钢</v>
      </c>
      <c r="F1250" s="41" t="s">
        <v>28</v>
      </c>
      <c r="G1250" s="37">
        <v>33</v>
      </c>
      <c r="H1250" s="113" t="e">
        <f>_xlfn.XLOOKUP(C1250&amp;F1250&amp;I1250&amp;J1250,'[1]2025年已发货'!$F:$F&amp;'[1]2025年已发货'!$C:$C&amp;'[1]2025年已发货'!$G:$G&amp;'[1]2025年已发货'!$H:$H,'[1]2025年已发货'!$E:$E,"未发货")</f>
        <v>#N/A</v>
      </c>
      <c r="I1250" s="41" t="e">
        <f>VLOOKUP(B1250,辅助信息!E:I,3,FALSE)</f>
        <v>#N/A</v>
      </c>
      <c r="J1250" s="41" t="e">
        <f>VLOOKUP(B1250,辅助信息!E:I,4,FALSE)</f>
        <v>#N/A</v>
      </c>
      <c r="K1250" s="41" t="e">
        <f>VLOOKUP(J1250,辅助信息!H:I,2,FALSE)</f>
        <v>#N/A</v>
      </c>
      <c r="L1250" s="40" t="e">
        <f>VLOOKUP(B1250,辅助信息!E:J,6,FALSE)</f>
        <v>#N/A</v>
      </c>
      <c r="M1250" s="92">
        <v>45773</v>
      </c>
      <c r="O1250" s="63">
        <f ca="1" t="shared" si="53"/>
        <v>0</v>
      </c>
      <c r="P1250" s="63">
        <f ca="1" t="shared" si="52"/>
        <v>186</v>
      </c>
      <c r="Q1250" s="30" t="e">
        <f>VLOOKUP(B1250,辅助信息!E:M,9,FALSE)</f>
        <v>#N/A</v>
      </c>
      <c r="R1250" s="27" vm="1" t="e">
        <f>_xlfn._xlws.FILTER(辅助信息!D:D,辅助信息!E:E=B1250)</f>
        <v>#VALUE!</v>
      </c>
    </row>
    <row r="1251" hidden="1" spans="1:18">
      <c r="A1251" s="78"/>
      <c r="B1251" s="41" t="s">
        <v>54</v>
      </c>
      <c r="C1251" s="71">
        <v>45773</v>
      </c>
      <c r="D1251" s="114" t="e">
        <f>VLOOKUP(B1251,辅助信息!E:K,7,FALSE)</f>
        <v>#N/A</v>
      </c>
      <c r="E1251" s="41" t="str">
        <f>VLOOKUP(F1251,辅助信息!A:B,2,FALSE)</f>
        <v>螺纹钢</v>
      </c>
      <c r="F1251" s="41" t="s">
        <v>18</v>
      </c>
      <c r="G1251" s="37">
        <v>3</v>
      </c>
      <c r="H1251" s="113" t="e">
        <f>_xlfn.XLOOKUP(C1251&amp;F1251&amp;I1251&amp;J1251,'[1]2025年已发货'!$F:$F&amp;'[1]2025年已发货'!$C:$C&amp;'[1]2025年已发货'!$G:$G&amp;'[1]2025年已发货'!$H:$H,'[1]2025年已发货'!$E:$E,"未发货")</f>
        <v>#N/A</v>
      </c>
      <c r="I1251" s="41" t="e">
        <f>VLOOKUP(B1251,辅助信息!E:I,3,FALSE)</f>
        <v>#N/A</v>
      </c>
      <c r="J1251" s="41" t="e">
        <f>VLOOKUP(B1251,辅助信息!E:I,4,FALSE)</f>
        <v>#N/A</v>
      </c>
      <c r="K1251" s="41" t="e">
        <f>VLOOKUP(J1251,辅助信息!H:I,2,FALSE)</f>
        <v>#N/A</v>
      </c>
      <c r="L1251" s="40" t="e">
        <f>VLOOKUP(B1251,辅助信息!E:J,6,FALSE)</f>
        <v>#N/A</v>
      </c>
      <c r="M1251" s="92">
        <v>45773</v>
      </c>
      <c r="O1251" s="63">
        <f ca="1" t="shared" si="53"/>
        <v>0</v>
      </c>
      <c r="P1251" s="63">
        <f ca="1" t="shared" si="52"/>
        <v>186</v>
      </c>
      <c r="Q1251" s="30" t="e">
        <f>VLOOKUP(B1251,辅助信息!E:M,9,FALSE)</f>
        <v>#N/A</v>
      </c>
      <c r="R1251" s="27" vm="1" t="e">
        <f>_xlfn._xlws.FILTER(辅助信息!D:D,辅助信息!E:E=B1251)</f>
        <v>#VALUE!</v>
      </c>
    </row>
    <row r="1252" hidden="1" spans="1:18">
      <c r="A1252" s="115"/>
      <c r="B1252" s="41" t="s">
        <v>54</v>
      </c>
      <c r="C1252" s="71">
        <v>45773</v>
      </c>
      <c r="D1252" s="114" t="e">
        <f>VLOOKUP(B1252,辅助信息!E:K,7,FALSE)</f>
        <v>#N/A</v>
      </c>
      <c r="E1252" s="41" t="str">
        <f>VLOOKUP(F1252,辅助信息!A:B,2,FALSE)</f>
        <v>螺纹钢</v>
      </c>
      <c r="F1252" s="41" t="s">
        <v>65</v>
      </c>
      <c r="G1252" s="37">
        <v>18.8</v>
      </c>
      <c r="H1252" s="37" t="e">
        <f>_xlfn.XLOOKUP(C1252&amp;F1252&amp;I1252&amp;J1252,'[1]2025年已发货'!$F:$F&amp;'[1]2025年已发货'!$C:$C&amp;'[1]2025年已发货'!$G:$G&amp;'[1]2025年已发货'!$H:$H,'[1]2025年已发货'!$E:$E,"未发货")</f>
        <v>#N/A</v>
      </c>
      <c r="I1252" s="41" t="e">
        <f>VLOOKUP(B1252,辅助信息!E:I,3,FALSE)</f>
        <v>#N/A</v>
      </c>
      <c r="J1252" s="41" t="e">
        <f>VLOOKUP(B1252,辅助信息!E:I,4,FALSE)</f>
        <v>#N/A</v>
      </c>
      <c r="K1252" s="41" t="e">
        <f>VLOOKUP(J1252,辅助信息!H:I,2,FALSE)</f>
        <v>#N/A</v>
      </c>
      <c r="L1252" s="40" t="e">
        <f>VLOOKUP(B1252,辅助信息!E:J,6,FALSE)</f>
        <v>#N/A</v>
      </c>
      <c r="M1252" s="92">
        <v>45773</v>
      </c>
      <c r="O1252" s="63">
        <f ca="1" t="shared" si="53"/>
        <v>0</v>
      </c>
      <c r="P1252" s="63">
        <f ca="1" t="shared" si="52"/>
        <v>186</v>
      </c>
      <c r="Q1252" s="30" t="e">
        <f>VLOOKUP(B1252,辅助信息!E:M,9,FALSE)</f>
        <v>#N/A</v>
      </c>
      <c r="R1252" s="27" vm="1" t="e">
        <f>_xlfn._xlws.FILTER(辅助信息!D:D,辅助信息!E:E=B1252)</f>
        <v>#VALUE!</v>
      </c>
    </row>
    <row r="1253" hidden="1" spans="1:18">
      <c r="A1253" s="115"/>
      <c r="B1253" s="41" t="s">
        <v>74</v>
      </c>
      <c r="C1253" s="71">
        <v>45773</v>
      </c>
      <c r="D1253" s="114" t="e">
        <f>VLOOKUP(B1253,辅助信息!E:K,7,FALSE)</f>
        <v>#N/A</v>
      </c>
      <c r="E1253" s="41" t="str">
        <f>VLOOKUP(F1253,辅助信息!A:B,2,FALSE)</f>
        <v>螺纹钢</v>
      </c>
      <c r="F1253" s="41" t="s">
        <v>19</v>
      </c>
      <c r="G1253" s="37">
        <v>20</v>
      </c>
      <c r="H1253" s="37" t="e">
        <f>_xlfn.XLOOKUP(C1253&amp;F1253&amp;I1253&amp;J1253,'[1]2025年已发货'!$F:$F&amp;'[1]2025年已发货'!$C:$C&amp;'[1]2025年已发货'!$G:$G&amp;'[1]2025年已发货'!$H:$H,'[1]2025年已发货'!$E:$E,"未发货")</f>
        <v>#N/A</v>
      </c>
      <c r="I1253" s="41" t="e">
        <f>VLOOKUP(B1253,辅助信息!E:I,3,FALSE)</f>
        <v>#N/A</v>
      </c>
      <c r="J1253" s="41" t="e">
        <f>VLOOKUP(B1253,辅助信息!E:I,4,FALSE)</f>
        <v>#N/A</v>
      </c>
      <c r="K1253" s="41" t="e">
        <f>VLOOKUP(J1253,辅助信息!H:I,2,FALSE)</f>
        <v>#N/A</v>
      </c>
      <c r="L1253" s="40" t="e">
        <f>VLOOKUP(B1253,辅助信息!E:J,6,FALSE)</f>
        <v>#N/A</v>
      </c>
      <c r="M1253" s="92">
        <v>45773</v>
      </c>
      <c r="O1253" s="63">
        <f ca="1" t="shared" si="53"/>
        <v>0</v>
      </c>
      <c r="P1253" s="63">
        <f ca="1" t="shared" si="52"/>
        <v>186</v>
      </c>
      <c r="Q1253" s="30" t="e">
        <f>VLOOKUP(B1253,辅助信息!E:M,9,FALSE)</f>
        <v>#N/A</v>
      </c>
      <c r="R1253" s="27" vm="1" t="e">
        <f>_xlfn._xlws.FILTER(辅助信息!D:D,辅助信息!E:E=B1253)</f>
        <v>#VALUE!</v>
      </c>
    </row>
    <row r="1254" hidden="1" spans="1:18">
      <c r="A1254" s="115"/>
      <c r="B1254" s="41" t="s">
        <v>74</v>
      </c>
      <c r="C1254" s="71">
        <v>45773</v>
      </c>
      <c r="D1254" s="114" t="e">
        <f>VLOOKUP(B1254,辅助信息!E:K,7,FALSE)</f>
        <v>#N/A</v>
      </c>
      <c r="E1254" s="41" t="str">
        <f>VLOOKUP(F1254,辅助信息!A:B,2,FALSE)</f>
        <v>螺纹钢</v>
      </c>
      <c r="F1254" s="41" t="s">
        <v>65</v>
      </c>
      <c r="G1254" s="37">
        <v>30</v>
      </c>
      <c r="H1254" s="37" t="e">
        <f>_xlfn.XLOOKUP(C1254&amp;F1254&amp;I1254&amp;J1254,'[1]2025年已发货'!$F:$F&amp;'[1]2025年已发货'!$C:$C&amp;'[1]2025年已发货'!$G:$G&amp;'[1]2025年已发货'!$H:$H,'[1]2025年已发货'!$E:$E,"未发货")</f>
        <v>#N/A</v>
      </c>
      <c r="I1254" s="41" t="e">
        <f>VLOOKUP(B1254,辅助信息!E:I,3,FALSE)</f>
        <v>#N/A</v>
      </c>
      <c r="J1254" s="41" t="e">
        <f>VLOOKUP(B1254,辅助信息!E:I,4,FALSE)</f>
        <v>#N/A</v>
      </c>
      <c r="K1254" s="41" t="e">
        <f>VLOOKUP(J1254,辅助信息!H:I,2,FALSE)</f>
        <v>#N/A</v>
      </c>
      <c r="L1254" s="40" t="e">
        <f>VLOOKUP(B1254,辅助信息!E:J,6,FALSE)</f>
        <v>#N/A</v>
      </c>
      <c r="M1254" s="92">
        <v>45773</v>
      </c>
      <c r="O1254" s="63">
        <f ca="1" t="shared" si="53"/>
        <v>0</v>
      </c>
      <c r="P1254" s="63">
        <f ca="1" t="shared" si="52"/>
        <v>186</v>
      </c>
      <c r="Q1254" s="30" t="e">
        <f>VLOOKUP(B1254,辅助信息!E:M,9,FALSE)</f>
        <v>#N/A</v>
      </c>
      <c r="R1254" s="27" vm="1" t="e">
        <f>_xlfn._xlws.FILTER(辅助信息!D:D,辅助信息!E:E=B1254)</f>
        <v>#VALUE!</v>
      </c>
    </row>
    <row r="1255" hidden="1" spans="2:18">
      <c r="B1255" s="41" t="s">
        <v>81</v>
      </c>
      <c r="C1255" s="71">
        <v>45774</v>
      </c>
      <c r="D1255" s="41" t="str">
        <f>VLOOKUP(B1255,辅助信息!E:K,7,FALSE)</f>
        <v>JWDDCD2025060900080</v>
      </c>
      <c r="E1255" s="41" t="str">
        <f>VLOOKUP(F1255,辅助信息!A:B,2,FALSE)</f>
        <v>螺纹钢</v>
      </c>
      <c r="F1255" s="41" t="s">
        <v>19</v>
      </c>
      <c r="G1255" s="37">
        <v>15</v>
      </c>
      <c r="H1255" s="37" t="str">
        <f>_xlfn.XLOOKUP(C1255&amp;F1255&amp;I1255&amp;J1255,'[1]2025年已发货'!$F:$F&amp;'[1]2025年已发货'!$C:$C&amp;'[1]2025年已发货'!$G:$G&amp;'[1]2025年已发货'!$H:$H,'[1]2025年已发货'!$E:$E,"未发货")</f>
        <v>未发货</v>
      </c>
      <c r="I1255" s="41" t="str">
        <f>VLOOKUP(B1255,辅助信息!E:I,3,FALSE)</f>
        <v>（华西简阳西城嘉苑）四川省成都市简阳市简城街道高屋村</v>
      </c>
      <c r="J1255" s="41" t="str">
        <f>VLOOKUP(B1255,辅助信息!E:I,4,FALSE)</f>
        <v>张瀚镭</v>
      </c>
      <c r="K1255" s="41">
        <f>VLOOKUP(J1255,辅助信息!H:I,2,FALSE)</f>
        <v>15884666220</v>
      </c>
      <c r="L1255" s="40"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184</v>
      </c>
      <c r="Q1255" s="30" t="str">
        <f>VLOOKUP(B1255,辅助信息!E:M,9,FALSE)</f>
        <v>ZTWM-CDGS-XS-2024-0030-华西集采-简州大道</v>
      </c>
      <c r="R1255" s="30" t="str">
        <f>_xlfn._xlws.FILTER(辅助信息!D:D,辅助信息!E:E=B1255)</f>
        <v>华西简阳西城嘉苑</v>
      </c>
    </row>
    <row r="1256" hidden="1" spans="2:18">
      <c r="B1256" s="41" t="s">
        <v>81</v>
      </c>
      <c r="C1256" s="71">
        <v>45774</v>
      </c>
      <c r="D1256" s="41" t="str">
        <f>VLOOKUP(B1256,辅助信息!E:K,7,FALSE)</f>
        <v>JWDDCD2025060900080</v>
      </c>
      <c r="E1256" s="41" t="str">
        <f>VLOOKUP(F1256,辅助信息!A:B,2,FALSE)</f>
        <v>螺纹钢</v>
      </c>
      <c r="F1256" s="41" t="s">
        <v>32</v>
      </c>
      <c r="G1256" s="37">
        <v>40</v>
      </c>
      <c r="H1256" s="37" t="str">
        <f>_xlfn.XLOOKUP(C1256&amp;F1256&amp;I1256&amp;J1256,'[1]2025年已发货'!$F:$F&amp;'[1]2025年已发货'!$C:$C&amp;'[1]2025年已发货'!$G:$G&amp;'[1]2025年已发货'!$H:$H,'[1]2025年已发货'!$E:$E,"未发货")</f>
        <v>未发货</v>
      </c>
      <c r="I1256" s="41" t="str">
        <f>VLOOKUP(B1256,辅助信息!E:I,3,FALSE)</f>
        <v>（华西简阳西城嘉苑）四川省成都市简阳市简城街道高屋村</v>
      </c>
      <c r="J1256" s="41" t="str">
        <f>VLOOKUP(B1256,辅助信息!E:I,4,FALSE)</f>
        <v>张瀚镭</v>
      </c>
      <c r="K1256" s="41">
        <f>VLOOKUP(J1256,辅助信息!H:I,2,FALSE)</f>
        <v>15884666220</v>
      </c>
      <c r="L1256" s="40"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184</v>
      </c>
      <c r="Q1256" s="30" t="str">
        <f>VLOOKUP(B1256,辅助信息!E:M,9,FALSE)</f>
        <v>ZTWM-CDGS-XS-2024-0030-华西集采-简州大道</v>
      </c>
      <c r="R1256" s="30" t="str">
        <f>_xlfn._xlws.FILTER(辅助信息!D:D,辅助信息!E:E=B1256)</f>
        <v>华西简阳西城嘉苑</v>
      </c>
    </row>
    <row r="1257" hidden="1" spans="2:18">
      <c r="B1257" s="41" t="s">
        <v>81</v>
      </c>
      <c r="C1257" s="71">
        <v>45774</v>
      </c>
      <c r="D1257" s="41" t="str">
        <f>VLOOKUP(B1257,辅助信息!E:K,7,FALSE)</f>
        <v>JWDDCD2025060900080</v>
      </c>
      <c r="E1257" s="41" t="str">
        <f>VLOOKUP(F1257,辅助信息!A:B,2,FALSE)</f>
        <v>螺纹钢</v>
      </c>
      <c r="F1257" s="41" t="s">
        <v>30</v>
      </c>
      <c r="G1257" s="37">
        <v>15</v>
      </c>
      <c r="H1257" s="37" t="str">
        <f>_xlfn.XLOOKUP(C1257&amp;F1257&amp;I1257&amp;J1257,'[1]2025年已发货'!$F:$F&amp;'[1]2025年已发货'!$C:$C&amp;'[1]2025年已发货'!$G:$G&amp;'[1]2025年已发货'!$H:$H,'[1]2025年已发货'!$E:$E,"未发货")</f>
        <v>未发货</v>
      </c>
      <c r="I1257" s="41" t="str">
        <f>VLOOKUP(B1257,辅助信息!E:I,3,FALSE)</f>
        <v>（华西简阳西城嘉苑）四川省成都市简阳市简城街道高屋村</v>
      </c>
      <c r="J1257" s="41" t="str">
        <f>VLOOKUP(B1257,辅助信息!E:I,4,FALSE)</f>
        <v>张瀚镭</v>
      </c>
      <c r="K1257" s="41">
        <f>VLOOKUP(J1257,辅助信息!H:I,2,FALSE)</f>
        <v>15884666220</v>
      </c>
      <c r="L1257" s="40"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184</v>
      </c>
      <c r="Q1257" s="30" t="str">
        <f>VLOOKUP(B1257,辅助信息!E:M,9,FALSE)</f>
        <v>ZTWM-CDGS-XS-2024-0030-华西集采-简州大道</v>
      </c>
      <c r="R1257" s="30" t="str">
        <f>_xlfn._xlws.FILTER(辅助信息!D:D,辅助信息!E:E=B1257)</f>
        <v>华西简阳西城嘉苑</v>
      </c>
    </row>
    <row r="1258" hidden="1" spans="2:18">
      <c r="B1258" s="41" t="s">
        <v>132</v>
      </c>
      <c r="C1258" s="71">
        <v>45774</v>
      </c>
      <c r="D1258" s="41" t="str">
        <f>VLOOKUP(B1258,辅助信息!E:K,7,FALSE)</f>
        <v>JWDDCD2025050800080</v>
      </c>
      <c r="E1258" s="41" t="str">
        <f>VLOOKUP(F1258,辅助信息!A:B,2,FALSE)</f>
        <v>盘螺</v>
      </c>
      <c r="F1258" s="41" t="s">
        <v>40</v>
      </c>
      <c r="G1258" s="37">
        <v>20</v>
      </c>
      <c r="H1258" s="37">
        <f>_xlfn.XLOOKUP(C1258&amp;F1258&amp;I1258&amp;J1258,'[1]2025年已发货'!$F:$F&amp;'[1]2025年已发货'!$C:$C&amp;'[1]2025年已发货'!$G:$G&amp;'[1]2025年已发货'!$H:$H,'[1]2025年已发货'!$E:$E,"未发货")</f>
        <v>20</v>
      </c>
      <c r="I1258" s="41" t="str">
        <f>VLOOKUP(B1258,辅助信息!E:I,3,FALSE)</f>
        <v>(宜宾兴港三江新区长江工业园建设项目-9#厂房)宜宾市翠屏区宜宾汽车零部件配套产业基地(纬五路南)</v>
      </c>
      <c r="J1258" s="41" t="str">
        <f>VLOOKUP(B1258,辅助信息!E:I,4,FALSE)</f>
        <v>严石林</v>
      </c>
      <c r="K1258" s="41">
        <f>VLOOKUP(J1258,辅助信息!H:I,2,FALSE)</f>
        <v>15924731822</v>
      </c>
      <c r="L1258" s="40" t="str">
        <f>VLOOKUP(B1258,辅助信息!E:J,6,FALSE)</f>
        <v>装货前联系收货人核实到场规格，货物最下面用方木垫下方便卸货</v>
      </c>
      <c r="M1258" s="92">
        <v>45775</v>
      </c>
      <c r="O1258" s="63">
        <f ca="1" t="shared" si="53"/>
        <v>0</v>
      </c>
      <c r="P1258" s="63">
        <f ca="1" t="shared" si="54"/>
        <v>184</v>
      </c>
      <c r="Q1258" s="30" t="str">
        <f>VLOOKUP(B1258,辅助信息!E:M,9,FALSE)</f>
        <v>ZTWM-CDGS-XS-2025-0059-宜宾兴港建材-宜宾冷链项目</v>
      </c>
      <c r="R1258" s="30" t="str">
        <f>_xlfn._xlws.FILTER(辅助信息!D:D,辅助信息!E:E=B1258)</f>
        <v>宜宾兴港三江新区长江工业园建设项目</v>
      </c>
    </row>
    <row r="1259" hidden="1" spans="2:18">
      <c r="B1259" s="41" t="s">
        <v>132</v>
      </c>
      <c r="C1259" s="71">
        <v>45774</v>
      </c>
      <c r="D1259" s="41" t="str">
        <f>VLOOKUP(B1259,辅助信息!E:K,7,FALSE)</f>
        <v>JWDDCD2025050800080</v>
      </c>
      <c r="E1259" s="41" t="str">
        <f>VLOOKUP(F1259,辅助信息!A:B,2,FALSE)</f>
        <v>盘螺</v>
      </c>
      <c r="F1259" s="41" t="s">
        <v>41</v>
      </c>
      <c r="G1259" s="37">
        <v>15</v>
      </c>
      <c r="H1259" s="37">
        <f>_xlfn.XLOOKUP(C1259&amp;F1259&amp;I1259&amp;J1259,'[1]2025年已发货'!$F:$F&amp;'[1]2025年已发货'!$C:$C&amp;'[1]2025年已发货'!$G:$G&amp;'[1]2025年已发货'!$H:$H,'[1]2025年已发货'!$E:$E,"未发货")</f>
        <v>15</v>
      </c>
      <c r="I1259" s="41" t="str">
        <f>VLOOKUP(B1259,辅助信息!E:I,3,FALSE)</f>
        <v>(宜宾兴港三江新区长江工业园建设项目-9#厂房)宜宾市翠屏区宜宾汽车零部件配套产业基地(纬五路南)</v>
      </c>
      <c r="J1259" s="41" t="str">
        <f>VLOOKUP(B1259,辅助信息!E:I,4,FALSE)</f>
        <v>严石林</v>
      </c>
      <c r="K1259" s="41">
        <f>VLOOKUP(J1259,辅助信息!H:I,2,FALSE)</f>
        <v>15924731822</v>
      </c>
      <c r="L1259" s="40" t="str">
        <f>VLOOKUP(B1259,辅助信息!E:J,6,FALSE)</f>
        <v>装货前联系收货人核实到场规格，货物最下面用方木垫下方便卸货</v>
      </c>
      <c r="M1259" s="92">
        <v>45775</v>
      </c>
      <c r="O1259" s="63">
        <f ca="1" t="shared" si="53"/>
        <v>0</v>
      </c>
      <c r="P1259" s="63">
        <f ca="1" t="shared" si="54"/>
        <v>184</v>
      </c>
      <c r="Q1259" s="30" t="str">
        <f>VLOOKUP(B1259,辅助信息!E:M,9,FALSE)</f>
        <v>ZTWM-CDGS-XS-2025-0059-宜宾兴港建材-宜宾冷链项目</v>
      </c>
      <c r="R1259" s="30" t="str">
        <f>_xlfn._xlws.FILTER(辅助信息!D:D,辅助信息!E:E=B1259)</f>
        <v>宜宾兴港三江新区长江工业园建设项目</v>
      </c>
    </row>
    <row r="1260" hidden="1" spans="2:18">
      <c r="B1260" s="41" t="s">
        <v>31</v>
      </c>
      <c r="C1260" s="71">
        <v>45774</v>
      </c>
      <c r="D1260" s="41" t="str">
        <f>VLOOKUP(B1260,辅助信息!E:K,7,FALSE)</f>
        <v>JWDDCD2024121000136</v>
      </c>
      <c r="E1260" s="41" t="str">
        <f>VLOOKUP(F1260,辅助信息!A:B,2,FALSE)</f>
        <v>螺纹钢</v>
      </c>
      <c r="F1260" s="41" t="s">
        <v>32</v>
      </c>
      <c r="G1260" s="37">
        <v>12</v>
      </c>
      <c r="H1260" s="37">
        <f>_xlfn.XLOOKUP(C1260&amp;F1260&amp;I1260&amp;J1260,'[1]2025年已发货'!$F:$F&amp;'[1]2025年已发货'!$C:$C&amp;'[1]2025年已发货'!$G:$G&amp;'[1]2025年已发货'!$H:$H,'[1]2025年已发货'!$E:$E,"未发货")</f>
        <v>12</v>
      </c>
      <c r="I1260" s="41" t="str">
        <f>VLOOKUP(B1260,辅助信息!E:I,3,FALSE)</f>
        <v>（四川商建-射洪城乡一体化项目）遂宁市射洪市忠新幼儿园北侧约220米新溪小区</v>
      </c>
      <c r="J1260" s="41" t="str">
        <f>VLOOKUP(B1260,辅助信息!E:I,4,FALSE)</f>
        <v>柏子刚</v>
      </c>
      <c r="K1260" s="41">
        <f>VLOOKUP(J1260,辅助信息!H:I,2,FALSE)</f>
        <v>15692885305</v>
      </c>
      <c r="L1260" s="40" t="str">
        <f>VLOOKUP(B1260,辅助信息!E:J,6,FALSE)</f>
        <v>提前联系到场规格及数量</v>
      </c>
      <c r="M1260" s="92">
        <v>45775</v>
      </c>
      <c r="O1260" s="63">
        <f ca="1" t="shared" si="53"/>
        <v>0</v>
      </c>
      <c r="P1260" s="63">
        <f ca="1" t="shared" si="54"/>
        <v>184</v>
      </c>
      <c r="Q1260" s="30" t="str">
        <f>VLOOKUP(B1260,辅助信息!E:M,9,FALSE)</f>
        <v>ZTWM-CDGS-XS-2024-0179-四川商投-射洪城乡一体化建设项目</v>
      </c>
      <c r="R1260" s="30" t="str">
        <f>_xlfn._xlws.FILTER(辅助信息!D:D,辅助信息!E:E=B1260)</f>
        <v>四川商建
射洪城乡一体化项目</v>
      </c>
    </row>
    <row r="1261" hidden="1" spans="2:18">
      <c r="B1261" s="41" t="s">
        <v>31</v>
      </c>
      <c r="C1261" s="71">
        <v>45774</v>
      </c>
      <c r="D1261" s="41" t="str">
        <f>VLOOKUP(B1261,辅助信息!E:K,7,FALSE)</f>
        <v>JWDDCD2024121000136</v>
      </c>
      <c r="E1261" s="41" t="str">
        <f>VLOOKUP(F1261,辅助信息!A:B,2,FALSE)</f>
        <v>螺纹钢</v>
      </c>
      <c r="F1261" s="41" t="s">
        <v>28</v>
      </c>
      <c r="G1261" s="37">
        <v>24</v>
      </c>
      <c r="H1261" s="37">
        <f>_xlfn.XLOOKUP(C1261&amp;F1261&amp;I1261&amp;J1261,'[1]2025年已发货'!$F:$F&amp;'[1]2025年已发货'!$C:$C&amp;'[1]2025年已发货'!$G:$G&amp;'[1]2025年已发货'!$H:$H,'[1]2025年已发货'!$E:$E,"未发货")</f>
        <v>24</v>
      </c>
      <c r="I1261" s="41" t="str">
        <f>VLOOKUP(B1261,辅助信息!E:I,3,FALSE)</f>
        <v>（四川商建-射洪城乡一体化项目）遂宁市射洪市忠新幼儿园北侧约220米新溪小区</v>
      </c>
      <c r="J1261" s="41" t="str">
        <f>VLOOKUP(B1261,辅助信息!E:I,4,FALSE)</f>
        <v>柏子刚</v>
      </c>
      <c r="K1261" s="41">
        <f>VLOOKUP(J1261,辅助信息!H:I,2,FALSE)</f>
        <v>15692885305</v>
      </c>
      <c r="L1261" s="40" t="str">
        <f>VLOOKUP(B1261,辅助信息!E:J,6,FALSE)</f>
        <v>提前联系到场规格及数量</v>
      </c>
      <c r="M1261" s="92">
        <v>45775</v>
      </c>
      <c r="O1261" s="63">
        <f ca="1" t="shared" si="53"/>
        <v>0</v>
      </c>
      <c r="P1261" s="63">
        <f ca="1" t="shared" si="54"/>
        <v>184</v>
      </c>
      <c r="Q1261" s="30" t="str">
        <f>VLOOKUP(B1261,辅助信息!E:M,9,FALSE)</f>
        <v>ZTWM-CDGS-XS-2024-0179-四川商投-射洪城乡一体化建设项目</v>
      </c>
      <c r="R1261" s="30" t="str">
        <f>_xlfn._xlws.FILTER(辅助信息!D:D,辅助信息!E:E=B1261)</f>
        <v>四川商建
射洪城乡一体化项目</v>
      </c>
    </row>
    <row r="1262" hidden="1" spans="2:18">
      <c r="B1262" s="41" t="s">
        <v>106</v>
      </c>
      <c r="C1262" s="71">
        <v>45774</v>
      </c>
      <c r="D1262" s="41" t="str">
        <f>VLOOKUP(B1262,辅助信息!E:K,7,FALSE)</f>
        <v>JWDDCD2024101600133</v>
      </c>
      <c r="E1262" s="41" t="str">
        <f>VLOOKUP(F1262,辅助信息!A:B,2,FALSE)</f>
        <v>盘螺</v>
      </c>
      <c r="F1262" s="41" t="s">
        <v>40</v>
      </c>
      <c r="G1262" s="37">
        <v>24</v>
      </c>
      <c r="H1262" s="37">
        <f>_xlfn.XLOOKUP(C1262&amp;F1262&amp;I1262&amp;J1262,'[1]2025年已发货'!$F:$F&amp;'[1]2025年已发货'!$C:$C&amp;'[1]2025年已发货'!$G:$G&amp;'[1]2025年已发货'!$H:$H,'[1]2025年已发货'!$E:$E,"未发货")</f>
        <v>9</v>
      </c>
      <c r="I1262" s="41" t="str">
        <f>VLOOKUP(B1262,辅助信息!E:I,3,FALSE)</f>
        <v>（五冶钢构宜宾高县月江镇建设项目）  四川省宜宾市高县月江镇刚记超市斜对面(还阳组团沪碳二期项目)</v>
      </c>
      <c r="J1262" s="41" t="str">
        <f>VLOOKUP(B1262,辅助信息!E:I,4,FALSE)</f>
        <v>张朝亮</v>
      </c>
      <c r="K1262" s="41">
        <f>VLOOKUP(J1262,辅助信息!H:I,2,FALSE)</f>
        <v>15228205853</v>
      </c>
      <c r="L1262" s="40" t="str">
        <f>VLOOKUP(B1262,辅助信息!E:J,6,FALSE)</f>
        <v>提前联系到场规格</v>
      </c>
      <c r="M1262" s="92">
        <v>45775</v>
      </c>
      <c r="O1262" s="63">
        <f ca="1" t="shared" si="53"/>
        <v>0</v>
      </c>
      <c r="P1262" s="63">
        <f ca="1" t="shared" si="54"/>
        <v>184</v>
      </c>
      <c r="Q1262" s="30" t="str">
        <f>VLOOKUP(B1262,辅助信息!E:M,9,FALSE)</f>
        <v>ZTWM-CDGS-XS-2024-0169-中冶西部钢构-宜宾市南溪区幸福路东路,高县月江镇建设项目</v>
      </c>
      <c r="R1262" s="30" t="str">
        <f>_xlfn._xlws.FILTER(辅助信息!D:D,辅助信息!E:E=B1262)</f>
        <v>五冶钢构-宜宾市南溪区高县月江镇建设项目</v>
      </c>
    </row>
    <row r="1263" hidden="1" spans="2:18">
      <c r="B1263" s="41" t="s">
        <v>106</v>
      </c>
      <c r="C1263" s="71">
        <v>45774</v>
      </c>
      <c r="D1263" s="41" t="str">
        <f>VLOOKUP(B1263,辅助信息!E:K,7,FALSE)</f>
        <v>JWDDCD2024101600133</v>
      </c>
      <c r="E1263" s="41" t="str">
        <f>VLOOKUP(F1263,辅助信息!A:B,2,FALSE)</f>
        <v>盘螺</v>
      </c>
      <c r="F1263" s="41" t="s">
        <v>41</v>
      </c>
      <c r="G1263" s="37">
        <v>24</v>
      </c>
      <c r="H1263" s="37">
        <f>_xlfn.XLOOKUP(C1263&amp;F1263&amp;I1263&amp;J1263,'[1]2025年已发货'!$F:$F&amp;'[1]2025年已发货'!$C:$C&amp;'[1]2025年已发货'!$G:$G&amp;'[1]2025年已发货'!$H:$H,'[1]2025年已发货'!$E:$E,"未发货")</f>
        <v>9</v>
      </c>
      <c r="I1263" s="41" t="str">
        <f>VLOOKUP(B1263,辅助信息!E:I,3,FALSE)</f>
        <v>（五冶钢构宜宾高县月江镇建设项目）  四川省宜宾市高县月江镇刚记超市斜对面(还阳组团沪碳二期项目)</v>
      </c>
      <c r="J1263" s="41" t="str">
        <f>VLOOKUP(B1263,辅助信息!E:I,4,FALSE)</f>
        <v>张朝亮</v>
      </c>
      <c r="K1263" s="41">
        <f>VLOOKUP(J1263,辅助信息!H:I,2,FALSE)</f>
        <v>15228205853</v>
      </c>
      <c r="L1263" s="40" t="str">
        <f>VLOOKUP(B1263,辅助信息!E:J,6,FALSE)</f>
        <v>提前联系到场规格</v>
      </c>
      <c r="M1263" s="92">
        <v>45775</v>
      </c>
      <c r="O1263" s="63">
        <f ca="1" t="shared" si="53"/>
        <v>0</v>
      </c>
      <c r="P1263" s="63">
        <f ca="1" t="shared" si="54"/>
        <v>184</v>
      </c>
      <c r="Q1263" s="30" t="str">
        <f>VLOOKUP(B1263,辅助信息!E:M,9,FALSE)</f>
        <v>ZTWM-CDGS-XS-2024-0169-中冶西部钢构-宜宾市南溪区幸福路东路,高县月江镇建设项目</v>
      </c>
      <c r="R1263" s="30" t="str">
        <f>_xlfn._xlws.FILTER(辅助信息!D:D,辅助信息!E:E=B1263)</f>
        <v>五冶钢构-宜宾市南溪区高县月江镇建设项目</v>
      </c>
    </row>
    <row r="1264" hidden="1" spans="2:18">
      <c r="B1264" s="41" t="s">
        <v>106</v>
      </c>
      <c r="C1264" s="71">
        <v>45774</v>
      </c>
      <c r="D1264" s="41" t="str">
        <f>VLOOKUP(B1264,辅助信息!E:K,7,FALSE)</f>
        <v>JWDDCD2024101600133</v>
      </c>
      <c r="E1264" s="41" t="str">
        <f>VLOOKUP(F1264,辅助信息!A:B,2,FALSE)</f>
        <v>螺纹钢</v>
      </c>
      <c r="F1264" s="41" t="s">
        <v>32</v>
      </c>
      <c r="G1264" s="37">
        <v>24</v>
      </c>
      <c r="H1264" s="37">
        <f>_xlfn.XLOOKUP(C1264&amp;F1264&amp;I1264&amp;J1264,'[1]2025年已发货'!$F:$F&amp;'[1]2025年已发货'!$C:$C&amp;'[1]2025年已发货'!$G:$G&amp;'[1]2025年已发货'!$H:$H,'[1]2025年已发货'!$E:$E,"未发货")</f>
        <v>18</v>
      </c>
      <c r="I1264" s="41" t="str">
        <f>VLOOKUP(B1264,辅助信息!E:I,3,FALSE)</f>
        <v>（五冶钢构宜宾高县月江镇建设项目）  四川省宜宾市高县月江镇刚记超市斜对面(还阳组团沪碳二期项目)</v>
      </c>
      <c r="J1264" s="41" t="str">
        <f>VLOOKUP(B1264,辅助信息!E:I,4,FALSE)</f>
        <v>张朝亮</v>
      </c>
      <c r="K1264" s="41">
        <f>VLOOKUP(J1264,辅助信息!H:I,2,FALSE)</f>
        <v>15228205853</v>
      </c>
      <c r="L1264" s="40" t="str">
        <f>VLOOKUP(B1264,辅助信息!E:J,6,FALSE)</f>
        <v>提前联系到场规格</v>
      </c>
      <c r="M1264" s="92">
        <v>45775</v>
      </c>
      <c r="O1264" s="63">
        <f ca="1" t="shared" si="53"/>
        <v>0</v>
      </c>
      <c r="P1264" s="63">
        <f ca="1" t="shared" si="54"/>
        <v>184</v>
      </c>
      <c r="Q1264" s="30" t="str">
        <f>VLOOKUP(B1264,辅助信息!E:M,9,FALSE)</f>
        <v>ZTWM-CDGS-XS-2024-0169-中冶西部钢构-宜宾市南溪区幸福路东路,高县月江镇建设项目</v>
      </c>
      <c r="R1264" s="30" t="str">
        <f>_xlfn._xlws.FILTER(辅助信息!D:D,辅助信息!E:E=B1264)</f>
        <v>五冶钢构-宜宾市南溪区高县月江镇建设项目</v>
      </c>
    </row>
    <row r="1265" hidden="1" spans="1:18">
      <c r="A1265" s="27"/>
      <c r="B1265" s="41" t="s">
        <v>81</v>
      </c>
      <c r="C1265" s="71">
        <v>45777</v>
      </c>
      <c r="D1265" s="41" t="str">
        <f>VLOOKUP(B1265,辅助信息!E:K,7,FALSE)</f>
        <v>JWDDCD2025060900080</v>
      </c>
      <c r="E1265" s="41" t="str">
        <f>VLOOKUP(F1265,辅助信息!A:B,2,FALSE)</f>
        <v>盘螺</v>
      </c>
      <c r="F1265" s="41" t="s">
        <v>26</v>
      </c>
      <c r="G1265" s="41">
        <v>22</v>
      </c>
      <c r="H1265" s="41">
        <v>22</v>
      </c>
      <c r="I1265" s="41" t="str">
        <f>VLOOKUP(B1265,辅助信息!E:I,3,FALSE)</f>
        <v>（华西简阳西城嘉苑）四川省成都市简阳市简城街道高屋村</v>
      </c>
      <c r="J1265" s="41" t="str">
        <f>VLOOKUP(B1265,辅助信息!E:I,4,FALSE)</f>
        <v>张瀚镭</v>
      </c>
      <c r="K1265" s="41">
        <f>VLOOKUP(J1265,辅助信息!H:I,2,FALSE)</f>
        <v>15884666220</v>
      </c>
      <c r="L1265" s="40" t="str">
        <f>VLOOKUP(B1265,辅助信息!E:J,6,FALSE)</f>
        <v>现场禁止使用氢能源挂车！优先威钢发货,我方卸车,新老国标钢厂不加价可直发，因陕钢多次出现磅差，项目拒绝使用</v>
      </c>
      <c r="M1265" s="116">
        <v>45769</v>
      </c>
      <c r="N1265" s="30"/>
      <c r="O1265" s="27">
        <f ca="1" t="shared" si="53"/>
        <v>0</v>
      </c>
      <c r="P1265" s="63">
        <f ca="1" t="shared" si="54"/>
        <v>190</v>
      </c>
      <c r="Q1265" s="30" t="str">
        <f>VLOOKUP(B1265,辅助信息!E:M,9,FALSE)</f>
        <v>ZTWM-CDGS-XS-2024-0030-华西集采-简州大道</v>
      </c>
      <c r="R1265" s="119" t="str">
        <f>_xlfn._xlws.FILTER(辅助信息!D:D,辅助信息!E:E=B1265)</f>
        <v>华西简阳西城嘉苑</v>
      </c>
    </row>
    <row r="1266" hidden="1" spans="1:18">
      <c r="A1266" s="27"/>
      <c r="B1266" s="41" t="s">
        <v>81</v>
      </c>
      <c r="C1266" s="71">
        <v>45777</v>
      </c>
      <c r="D1266" s="41" t="str">
        <f>VLOOKUP(B1266,辅助信息!E:K,7,FALSE)</f>
        <v>JWDDCD2025060900080</v>
      </c>
      <c r="E1266" s="41" t="str">
        <f>VLOOKUP(F1266,辅助信息!A:B,2,FALSE)</f>
        <v>螺纹钢</v>
      </c>
      <c r="F1266" s="41" t="s">
        <v>33</v>
      </c>
      <c r="G1266" s="41">
        <v>20</v>
      </c>
      <c r="H1266" s="41">
        <v>20</v>
      </c>
      <c r="I1266" s="41" t="str">
        <f>VLOOKUP(B1266,辅助信息!E:I,3,FALSE)</f>
        <v>（华西简阳西城嘉苑）四川省成都市简阳市简城街道高屋村</v>
      </c>
      <c r="J1266" s="41" t="str">
        <f>VLOOKUP(B1266,辅助信息!E:I,4,FALSE)</f>
        <v>张瀚镭</v>
      </c>
      <c r="K1266" s="41">
        <f>VLOOKUP(J1266,辅助信息!H:I,2,FALSE)</f>
        <v>15884666220</v>
      </c>
      <c r="L1266" s="40" t="str">
        <f>VLOOKUP(B1266,辅助信息!E:J,6,FALSE)</f>
        <v>现场禁止使用氢能源挂车！优先威钢发货,我方卸车,新老国标钢厂不加价可直发，因陕钢多次出现磅差，项目拒绝使用</v>
      </c>
      <c r="M1266" s="116">
        <v>45769</v>
      </c>
      <c r="N1266" s="30"/>
      <c r="O1266" s="27">
        <f ca="1" t="shared" si="53"/>
        <v>0</v>
      </c>
      <c r="P1266" s="63">
        <f ca="1" t="shared" si="54"/>
        <v>190</v>
      </c>
      <c r="Q1266" s="30" t="str">
        <f>VLOOKUP(B1266,辅助信息!E:M,9,FALSE)</f>
        <v>ZTWM-CDGS-XS-2024-0030-华西集采-简州大道</v>
      </c>
      <c r="R1266" s="119" t="str">
        <f>_xlfn._xlws.FILTER(辅助信息!D:D,辅助信息!E:E=B1266)</f>
        <v>华西简阳西城嘉苑</v>
      </c>
    </row>
    <row r="1267" hidden="1" spans="1:18">
      <c r="A1267" s="63"/>
      <c r="B1267" s="41" t="s">
        <v>81</v>
      </c>
      <c r="C1267" s="71">
        <v>45777</v>
      </c>
      <c r="D1267" s="41" t="str">
        <f>VLOOKUP(B1267,辅助信息!E:K,7,FALSE)</f>
        <v>JWDDCD2025060900080</v>
      </c>
      <c r="E1267" s="41" t="str">
        <f>VLOOKUP(F1267,辅助信息!A:B,2,FALSE)</f>
        <v>螺纹钢</v>
      </c>
      <c r="F1267" s="41" t="s">
        <v>19</v>
      </c>
      <c r="G1267" s="37">
        <v>15</v>
      </c>
      <c r="H1267" s="37">
        <v>15</v>
      </c>
      <c r="I1267" s="41" t="str">
        <f>VLOOKUP(B1267,辅助信息!E:I,3,FALSE)</f>
        <v>（华西简阳西城嘉苑）四川省成都市简阳市简城街道高屋村</v>
      </c>
      <c r="J1267" s="41" t="str">
        <f>VLOOKUP(B1267,辅助信息!E:I,4,FALSE)</f>
        <v>张瀚镭</v>
      </c>
      <c r="K1267" s="41">
        <f>VLOOKUP(J1267,辅助信息!H:I,2,FALSE)</f>
        <v>15884666220</v>
      </c>
      <c r="L1267" s="40"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184</v>
      </c>
      <c r="Q1267" s="30" t="str">
        <f>VLOOKUP(B1267,辅助信息!E:M,9,FALSE)</f>
        <v>ZTWM-CDGS-XS-2024-0030-华西集采-简州大道</v>
      </c>
      <c r="R1267" s="119" t="str">
        <f>_xlfn._xlws.FILTER(辅助信息!D:D,辅助信息!E:E=B1267)</f>
        <v>华西简阳西城嘉苑</v>
      </c>
    </row>
    <row r="1268" hidden="1" spans="1:18">
      <c r="A1268" s="63"/>
      <c r="B1268" s="41" t="s">
        <v>81</v>
      </c>
      <c r="C1268" s="71">
        <v>45777</v>
      </c>
      <c r="D1268" s="41" t="str">
        <f>VLOOKUP(B1268,辅助信息!E:K,7,FALSE)</f>
        <v>JWDDCD2025060900080</v>
      </c>
      <c r="E1268" s="41" t="str">
        <f>VLOOKUP(F1268,辅助信息!A:B,2,FALSE)</f>
        <v>螺纹钢</v>
      </c>
      <c r="F1268" s="41" t="s">
        <v>32</v>
      </c>
      <c r="G1268" s="37">
        <v>40</v>
      </c>
      <c r="H1268" s="37">
        <v>40</v>
      </c>
      <c r="I1268" s="41" t="str">
        <f>VLOOKUP(B1268,辅助信息!E:I,3,FALSE)</f>
        <v>（华西简阳西城嘉苑）四川省成都市简阳市简城街道高屋村</v>
      </c>
      <c r="J1268" s="41" t="str">
        <f>VLOOKUP(B1268,辅助信息!E:I,4,FALSE)</f>
        <v>张瀚镭</v>
      </c>
      <c r="K1268" s="41">
        <f>VLOOKUP(J1268,辅助信息!H:I,2,FALSE)</f>
        <v>15884666220</v>
      </c>
      <c r="L1268" s="40"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184</v>
      </c>
      <c r="Q1268" s="30" t="str">
        <f>VLOOKUP(B1268,辅助信息!E:M,9,FALSE)</f>
        <v>ZTWM-CDGS-XS-2024-0030-华西集采-简州大道</v>
      </c>
      <c r="R1268" s="119" t="str">
        <f>_xlfn._xlws.FILTER(辅助信息!D:D,辅助信息!E:E=B1268)</f>
        <v>华西简阳西城嘉苑</v>
      </c>
    </row>
    <row r="1269" hidden="1" spans="1:18">
      <c r="A1269" s="63"/>
      <c r="B1269" s="41" t="s">
        <v>81</v>
      </c>
      <c r="C1269" s="71">
        <v>45777</v>
      </c>
      <c r="D1269" s="41" t="str">
        <f>VLOOKUP(B1269,辅助信息!E:K,7,FALSE)</f>
        <v>JWDDCD2025060900080</v>
      </c>
      <c r="E1269" s="41" t="str">
        <f>VLOOKUP(F1269,辅助信息!A:B,2,FALSE)</f>
        <v>螺纹钢</v>
      </c>
      <c r="F1269" s="41" t="s">
        <v>30</v>
      </c>
      <c r="G1269" s="37">
        <v>15</v>
      </c>
      <c r="H1269" s="37">
        <v>15</v>
      </c>
      <c r="I1269" s="41" t="str">
        <f>VLOOKUP(B1269,辅助信息!E:I,3,FALSE)</f>
        <v>（华西简阳西城嘉苑）四川省成都市简阳市简城街道高屋村</v>
      </c>
      <c r="J1269" s="41" t="str">
        <f>VLOOKUP(B1269,辅助信息!E:I,4,FALSE)</f>
        <v>张瀚镭</v>
      </c>
      <c r="K1269" s="41">
        <f>VLOOKUP(J1269,辅助信息!H:I,2,FALSE)</f>
        <v>15884666220</v>
      </c>
      <c r="L1269" s="40"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184</v>
      </c>
      <c r="Q1269" s="30" t="str">
        <f>VLOOKUP(B1269,辅助信息!E:M,9,FALSE)</f>
        <v>ZTWM-CDGS-XS-2024-0030-华西集采-简州大道</v>
      </c>
      <c r="R1269" s="119" t="str">
        <f>_xlfn._xlws.FILTER(辅助信息!D:D,辅助信息!E:E=B1269)</f>
        <v>华西简阳西城嘉苑</v>
      </c>
    </row>
    <row r="1270" hidden="1" spans="2:18">
      <c r="B1270" s="41" t="s">
        <v>31</v>
      </c>
      <c r="C1270" s="71">
        <v>45777</v>
      </c>
      <c r="D1270" s="41" t="str">
        <f>VLOOKUP(B1270,辅助信息!E:K,7,FALSE)</f>
        <v>JWDDCD2024121000136</v>
      </c>
      <c r="E1270" s="41" t="str">
        <f>VLOOKUP(F1270,辅助信息!A:B,2,FALSE)</f>
        <v>高线</v>
      </c>
      <c r="F1270" s="41" t="s">
        <v>51</v>
      </c>
      <c r="G1270" s="37">
        <v>2.5</v>
      </c>
      <c r="H1270" s="37" t="str">
        <f>_xlfn.XLOOKUP(C1270&amp;F1270&amp;I1270&amp;J1270,'[1]2025年已发货'!$F:$F&amp;'[1]2025年已发货'!$C:$C&amp;'[1]2025年已发货'!$G:$G&amp;'[1]2025年已发货'!$H:$H,'[1]2025年已发货'!$E:$E,"未发货")</f>
        <v>未发货</v>
      </c>
      <c r="I1270" s="41" t="str">
        <f>VLOOKUP(B1270,辅助信息!E:I,3,FALSE)</f>
        <v>（四川商建-射洪城乡一体化项目）遂宁市射洪市忠新幼儿园北侧约220米新溪小区</v>
      </c>
      <c r="J1270" s="41" t="str">
        <f>VLOOKUP(B1270,辅助信息!E:I,4,FALSE)</f>
        <v>柏子刚</v>
      </c>
      <c r="K1270" s="41">
        <f>VLOOKUP(J1270,辅助信息!H:I,2,FALSE)</f>
        <v>15692885305</v>
      </c>
      <c r="L1270" s="40" t="str">
        <f>VLOOKUP(B1270,辅助信息!E:J,6,FALSE)</f>
        <v>提前联系到场规格及数量</v>
      </c>
      <c r="M1270" s="92">
        <v>45779</v>
      </c>
      <c r="O1270" s="63">
        <f ca="1" t="shared" si="53"/>
        <v>0</v>
      </c>
      <c r="P1270" s="63">
        <f ca="1" t="shared" si="54"/>
        <v>180</v>
      </c>
      <c r="Q1270" s="30" t="str">
        <f>VLOOKUP(B1270,辅助信息!E:M,9,FALSE)</f>
        <v>ZTWM-CDGS-XS-2024-0179-四川商投-射洪城乡一体化建设项目</v>
      </c>
      <c r="R1270" s="119" t="str">
        <f>_xlfn._xlws.FILTER(辅助信息!D:D,辅助信息!E:E=B1270)</f>
        <v>四川商建
射洪城乡一体化项目</v>
      </c>
    </row>
    <row r="1271" hidden="1" spans="2:18">
      <c r="B1271" s="41" t="s">
        <v>31</v>
      </c>
      <c r="C1271" s="71">
        <v>45777</v>
      </c>
      <c r="D1271" s="41" t="str">
        <f>VLOOKUP(B1271,辅助信息!E:K,7,FALSE)</f>
        <v>JWDDCD2024121000136</v>
      </c>
      <c r="E1271" s="41" t="str">
        <f>VLOOKUP(F1271,辅助信息!A:B,2,FALSE)</f>
        <v>盘螺</v>
      </c>
      <c r="F1271" s="41" t="s">
        <v>41</v>
      </c>
      <c r="G1271" s="37">
        <v>32.5</v>
      </c>
      <c r="H1271" s="37" t="str">
        <f>_xlfn.XLOOKUP(C1271&amp;F1271&amp;I1271&amp;J1271,'[1]2025年已发货'!$F:$F&amp;'[1]2025年已发货'!$C:$C&amp;'[1]2025年已发货'!$G:$G&amp;'[1]2025年已发货'!$H:$H,'[1]2025年已发货'!$E:$E,"未发货")</f>
        <v>未发货</v>
      </c>
      <c r="I1271" s="41" t="str">
        <f>VLOOKUP(B1271,辅助信息!E:I,3,FALSE)</f>
        <v>（四川商建-射洪城乡一体化项目）遂宁市射洪市忠新幼儿园北侧约220米新溪小区</v>
      </c>
      <c r="J1271" s="41" t="str">
        <f>VLOOKUP(B1271,辅助信息!E:I,4,FALSE)</f>
        <v>柏子刚</v>
      </c>
      <c r="K1271" s="41">
        <f>VLOOKUP(J1271,辅助信息!H:I,2,FALSE)</f>
        <v>15692885305</v>
      </c>
      <c r="L1271" s="40" t="str">
        <f>VLOOKUP(B1271,辅助信息!E:J,6,FALSE)</f>
        <v>提前联系到场规格及数量</v>
      </c>
      <c r="M1271" s="92">
        <v>45779</v>
      </c>
      <c r="O1271" s="63">
        <f ca="1" t="shared" ref="O1271:O1276" si="55">IF(OR(M1271="",N1271&lt;&gt;""),"",MAX(M1271-TODAY(),0))</f>
        <v>0</v>
      </c>
      <c r="P1271" s="63">
        <f ca="1" t="shared" si="54"/>
        <v>180</v>
      </c>
      <c r="Q1271" s="30" t="str">
        <f>VLOOKUP(B1271,辅助信息!E:M,9,FALSE)</f>
        <v>ZTWM-CDGS-XS-2024-0179-四川商投-射洪城乡一体化建设项目</v>
      </c>
      <c r="R1271" s="119" t="str">
        <f>_xlfn._xlws.FILTER(辅助信息!D:D,辅助信息!E:E=B1271)</f>
        <v>四川商建
射洪城乡一体化项目</v>
      </c>
    </row>
    <row r="1272" hidden="1" spans="2:18">
      <c r="B1272" s="41" t="s">
        <v>31</v>
      </c>
      <c r="C1272" s="71">
        <v>45777</v>
      </c>
      <c r="D1272" s="41" t="str">
        <f>VLOOKUP(B1272,辅助信息!E:K,7,FALSE)</f>
        <v>JWDDCD2024121000136</v>
      </c>
      <c r="E1272" s="41" t="str">
        <f>VLOOKUP(F1272,辅助信息!A:B,2,FALSE)</f>
        <v>螺纹钢</v>
      </c>
      <c r="F1272" s="41" t="s">
        <v>27</v>
      </c>
      <c r="G1272" s="37">
        <v>15</v>
      </c>
      <c r="H1272" s="37" t="str">
        <f>_xlfn.XLOOKUP(C1272&amp;F1272&amp;I1272&amp;J1272,'[1]2025年已发货'!$F:$F&amp;'[1]2025年已发货'!$C:$C&amp;'[1]2025年已发货'!$G:$G&amp;'[1]2025年已发货'!$H:$H,'[1]2025年已发货'!$E:$E,"未发货")</f>
        <v>未发货</v>
      </c>
      <c r="I1272" s="41" t="str">
        <f>VLOOKUP(B1272,辅助信息!E:I,3,FALSE)</f>
        <v>（四川商建-射洪城乡一体化项目）遂宁市射洪市忠新幼儿园北侧约220米新溪小区</v>
      </c>
      <c r="J1272" s="41" t="str">
        <f>VLOOKUP(B1272,辅助信息!E:I,4,FALSE)</f>
        <v>柏子刚</v>
      </c>
      <c r="K1272" s="41">
        <f>VLOOKUP(J1272,辅助信息!H:I,2,FALSE)</f>
        <v>15692885305</v>
      </c>
      <c r="L1272" s="40" t="str">
        <f>VLOOKUP(B1272,辅助信息!E:J,6,FALSE)</f>
        <v>提前联系到场规格及数量</v>
      </c>
      <c r="M1272" s="92">
        <v>45779</v>
      </c>
      <c r="O1272" s="63">
        <f ca="1" t="shared" si="55"/>
        <v>0</v>
      </c>
      <c r="P1272" s="63">
        <f ca="1" t="shared" si="54"/>
        <v>180</v>
      </c>
      <c r="Q1272" s="30" t="str">
        <f>VLOOKUP(B1272,辅助信息!E:M,9,FALSE)</f>
        <v>ZTWM-CDGS-XS-2024-0179-四川商投-射洪城乡一体化建设项目</v>
      </c>
      <c r="R1272" s="119" t="str">
        <f>_xlfn._xlws.FILTER(辅助信息!D:D,辅助信息!E:E=B1272)</f>
        <v>四川商建
射洪城乡一体化项目</v>
      </c>
    </row>
    <row r="1273" hidden="1" spans="2:18">
      <c r="B1273" s="41" t="s">
        <v>31</v>
      </c>
      <c r="C1273" s="71">
        <v>45777</v>
      </c>
      <c r="D1273" s="41" t="str">
        <f>VLOOKUP(B1273,辅助信息!E:K,7,FALSE)</f>
        <v>JWDDCD2024121000136</v>
      </c>
      <c r="E1273" s="41" t="str">
        <f>VLOOKUP(F1273,辅助信息!A:B,2,FALSE)</f>
        <v>螺纹钢</v>
      </c>
      <c r="F1273" s="41" t="s">
        <v>30</v>
      </c>
      <c r="G1273" s="37">
        <v>12</v>
      </c>
      <c r="H1273" s="37" t="str">
        <f>_xlfn.XLOOKUP(C1273&amp;F1273&amp;I1273&amp;J1273,'[1]2025年已发货'!$F:$F&amp;'[1]2025年已发货'!$C:$C&amp;'[1]2025年已发货'!$G:$G&amp;'[1]2025年已发货'!$H:$H,'[1]2025年已发货'!$E:$E,"未发货")</f>
        <v>未发货</v>
      </c>
      <c r="I1273" s="41" t="str">
        <f>VLOOKUP(B1273,辅助信息!E:I,3,FALSE)</f>
        <v>（四川商建-射洪城乡一体化项目）遂宁市射洪市忠新幼儿园北侧约220米新溪小区</v>
      </c>
      <c r="J1273" s="41" t="str">
        <f>VLOOKUP(B1273,辅助信息!E:I,4,FALSE)</f>
        <v>柏子刚</v>
      </c>
      <c r="K1273" s="41">
        <f>VLOOKUP(J1273,辅助信息!H:I,2,FALSE)</f>
        <v>15692885305</v>
      </c>
      <c r="L1273" s="40" t="str">
        <f>VLOOKUP(B1273,辅助信息!E:J,6,FALSE)</f>
        <v>提前联系到场规格及数量</v>
      </c>
      <c r="M1273" s="92">
        <v>45779</v>
      </c>
      <c r="O1273" s="63">
        <f ca="1" t="shared" si="55"/>
        <v>0</v>
      </c>
      <c r="P1273" s="63">
        <f ca="1" t="shared" si="54"/>
        <v>180</v>
      </c>
      <c r="Q1273" s="30" t="str">
        <f>VLOOKUP(B1273,辅助信息!E:M,9,FALSE)</f>
        <v>ZTWM-CDGS-XS-2024-0179-四川商投-射洪城乡一体化建设项目</v>
      </c>
      <c r="R1273" s="119" t="str">
        <f>_xlfn._xlws.FILTER(辅助信息!D:D,辅助信息!E:E=B1273)</f>
        <v>四川商建
射洪城乡一体化项目</v>
      </c>
    </row>
    <row r="1274" hidden="1" spans="2:18">
      <c r="B1274" s="41" t="s">
        <v>31</v>
      </c>
      <c r="C1274" s="71">
        <v>45777</v>
      </c>
      <c r="D1274" s="41" t="str">
        <f>VLOOKUP(B1274,辅助信息!E:K,7,FALSE)</f>
        <v>JWDDCD2024121000136</v>
      </c>
      <c r="E1274" s="41" t="str">
        <f>VLOOKUP(F1274,辅助信息!A:B,2,FALSE)</f>
        <v>螺纹钢</v>
      </c>
      <c r="F1274" s="41" t="s">
        <v>66</v>
      </c>
      <c r="G1274" s="37">
        <v>9</v>
      </c>
      <c r="H1274" s="37" t="str">
        <f>_xlfn.XLOOKUP(C1274&amp;F1274&amp;I1274&amp;J1274,'[1]2025年已发货'!$F:$F&amp;'[1]2025年已发货'!$C:$C&amp;'[1]2025年已发货'!$G:$G&amp;'[1]2025年已发货'!$H:$H,'[1]2025年已发货'!$E:$E,"未发货")</f>
        <v>未发货</v>
      </c>
      <c r="I1274" s="41" t="str">
        <f>VLOOKUP(B1274,辅助信息!E:I,3,FALSE)</f>
        <v>（四川商建-射洪城乡一体化项目）遂宁市射洪市忠新幼儿园北侧约220米新溪小区</v>
      </c>
      <c r="J1274" s="41" t="str">
        <f>VLOOKUP(B1274,辅助信息!E:I,4,FALSE)</f>
        <v>柏子刚</v>
      </c>
      <c r="K1274" s="41">
        <f>VLOOKUP(J1274,辅助信息!H:I,2,FALSE)</f>
        <v>15692885305</v>
      </c>
      <c r="L1274" s="40" t="str">
        <f>VLOOKUP(B1274,辅助信息!E:J,6,FALSE)</f>
        <v>提前联系到场规格及数量</v>
      </c>
      <c r="M1274" s="92">
        <v>45779</v>
      </c>
      <c r="O1274" s="63">
        <f ca="1" t="shared" si="55"/>
        <v>0</v>
      </c>
      <c r="P1274" s="63">
        <f ca="1" t="shared" si="54"/>
        <v>180</v>
      </c>
      <c r="Q1274" s="30" t="str">
        <f>VLOOKUP(B1274,辅助信息!E:M,9,FALSE)</f>
        <v>ZTWM-CDGS-XS-2024-0179-四川商投-射洪城乡一体化建设项目</v>
      </c>
      <c r="R1274" s="119" t="str">
        <f>_xlfn._xlws.FILTER(辅助信息!D:D,辅助信息!E:E=B1274)</f>
        <v>四川商建
射洪城乡一体化项目</v>
      </c>
    </row>
    <row r="1275" hidden="1" spans="2:18">
      <c r="B1275" s="41" t="s">
        <v>31</v>
      </c>
      <c r="C1275" s="71">
        <v>45777</v>
      </c>
      <c r="D1275" s="41" t="str">
        <f>VLOOKUP(B1275,辅助信息!E:K,7,FALSE)</f>
        <v>JWDDCD2024121000136</v>
      </c>
      <c r="E1275" s="41" t="str">
        <f>VLOOKUP(F1275,辅助信息!A:B,2,FALSE)</f>
        <v>螺纹钢</v>
      </c>
      <c r="F1275" s="41" t="s">
        <v>21</v>
      </c>
      <c r="G1275" s="37">
        <v>3</v>
      </c>
      <c r="H1275" s="37" t="str">
        <f>_xlfn.XLOOKUP(C1275&amp;F1275&amp;I1275&amp;J1275,'[1]2025年已发货'!$F:$F&amp;'[1]2025年已发货'!$C:$C&amp;'[1]2025年已发货'!$G:$G&amp;'[1]2025年已发货'!$H:$H,'[1]2025年已发货'!$E:$E,"未发货")</f>
        <v>未发货</v>
      </c>
      <c r="I1275" s="41" t="str">
        <f>VLOOKUP(B1275,辅助信息!E:I,3,FALSE)</f>
        <v>（四川商建-射洪城乡一体化项目）遂宁市射洪市忠新幼儿园北侧约220米新溪小区</v>
      </c>
      <c r="J1275" s="41" t="str">
        <f>VLOOKUP(B1275,辅助信息!E:I,4,FALSE)</f>
        <v>柏子刚</v>
      </c>
      <c r="K1275" s="41">
        <f>VLOOKUP(J1275,辅助信息!H:I,2,FALSE)</f>
        <v>15692885305</v>
      </c>
      <c r="L1275" s="40" t="str">
        <f>VLOOKUP(B1275,辅助信息!E:J,6,FALSE)</f>
        <v>提前联系到场规格及数量</v>
      </c>
      <c r="M1275" s="92">
        <v>45779</v>
      </c>
      <c r="O1275" s="63">
        <f ca="1" t="shared" si="55"/>
        <v>0</v>
      </c>
      <c r="P1275" s="63">
        <f ca="1" t="shared" si="54"/>
        <v>180</v>
      </c>
      <c r="Q1275" s="30" t="str">
        <f>VLOOKUP(B1275,辅助信息!E:M,9,FALSE)</f>
        <v>ZTWM-CDGS-XS-2024-0179-四川商投-射洪城乡一体化建设项目</v>
      </c>
      <c r="R1275" s="119" t="str">
        <f>_xlfn._xlws.FILTER(辅助信息!D:D,辅助信息!E:E=B1275)</f>
        <v>四川商建
射洪城乡一体化项目</v>
      </c>
    </row>
    <row r="1276" hidden="1" spans="2:18">
      <c r="B1276" s="41" t="s">
        <v>31</v>
      </c>
      <c r="C1276" s="71">
        <v>45777</v>
      </c>
      <c r="D1276" s="41" t="str">
        <f>VLOOKUP(B1276,辅助信息!E:K,7,FALSE)</f>
        <v>JWDDCD2024121000136</v>
      </c>
      <c r="E1276" s="41" t="str">
        <f>VLOOKUP(F1276,辅助信息!A:B,2,FALSE)</f>
        <v>螺纹钢</v>
      </c>
      <c r="F1276" s="41" t="s">
        <v>22</v>
      </c>
      <c r="G1276" s="37">
        <v>60</v>
      </c>
      <c r="H1276" s="37" t="str">
        <f>_xlfn.XLOOKUP(C1276&amp;F1276&amp;I1276&amp;J1276,'[1]2025年已发货'!$F:$F&amp;'[1]2025年已发货'!$C:$C&amp;'[1]2025年已发货'!$G:$G&amp;'[1]2025年已发货'!$H:$H,'[1]2025年已发货'!$E:$E,"未发货")</f>
        <v>未发货</v>
      </c>
      <c r="I1276" s="41" t="str">
        <f>VLOOKUP(B1276,辅助信息!E:I,3,FALSE)</f>
        <v>（四川商建-射洪城乡一体化项目）遂宁市射洪市忠新幼儿园北侧约220米新溪小区</v>
      </c>
      <c r="J1276" s="41" t="str">
        <f>VLOOKUP(B1276,辅助信息!E:I,4,FALSE)</f>
        <v>柏子刚</v>
      </c>
      <c r="K1276" s="41">
        <f>VLOOKUP(J1276,辅助信息!H:I,2,FALSE)</f>
        <v>15692885305</v>
      </c>
      <c r="L1276" s="40" t="str">
        <f>VLOOKUP(B1276,辅助信息!E:J,6,FALSE)</f>
        <v>提前联系到场规格及数量</v>
      </c>
      <c r="M1276" s="117">
        <v>45775</v>
      </c>
      <c r="O1276" s="63">
        <f ca="1" t="shared" si="55"/>
        <v>0</v>
      </c>
      <c r="P1276" s="63">
        <f ca="1" t="shared" si="54"/>
        <v>184</v>
      </c>
      <c r="Q1276" s="30" t="str">
        <f>VLOOKUP(B1276,辅助信息!E:M,9,FALSE)</f>
        <v>ZTWM-CDGS-XS-2024-0179-四川商投-射洪城乡一体化建设项目</v>
      </c>
      <c r="R1276" s="119" t="str">
        <f>_xlfn._xlws.FILTER(辅助信息!D:D,辅助信息!E:E=B1276)</f>
        <v>四川商建
射洪城乡一体化项目</v>
      </c>
    </row>
    <row r="1277" hidden="1" spans="2:18">
      <c r="B1277" s="41" t="s">
        <v>81</v>
      </c>
      <c r="C1277" s="71">
        <v>45777</v>
      </c>
      <c r="D1277" s="41" t="str">
        <f>VLOOKUP(B1277,辅助信息!E:K,7,FALSE)</f>
        <v>JWDDCD2025060900080</v>
      </c>
      <c r="E1277" s="41" t="str">
        <f>VLOOKUP(F1277,辅助信息!A:B,2,FALSE)</f>
        <v>高线</v>
      </c>
      <c r="F1277" s="41" t="s">
        <v>53</v>
      </c>
      <c r="G1277" s="37">
        <v>2</v>
      </c>
      <c r="H1277" s="37" t="str">
        <f>_xlfn.XLOOKUP(C1277&amp;F1277&amp;I1277&amp;J1277,'[1]2025年已发货'!$F:$F&amp;'[1]2025年已发货'!$C:$C&amp;'[1]2025年已发货'!$G:$G&amp;'[1]2025年已发货'!$H:$H,'[1]2025年已发货'!$E:$E,"未发货")</f>
        <v>未发货</v>
      </c>
      <c r="I1277" s="41" t="str">
        <f>VLOOKUP(B1277,辅助信息!E:I,3,FALSE)</f>
        <v>（华西简阳西城嘉苑）四川省成都市简阳市简城街道高屋村</v>
      </c>
      <c r="J1277" s="41" t="str">
        <f>VLOOKUP(B1277,辅助信息!E:I,4,FALSE)</f>
        <v>张瀚镭</v>
      </c>
      <c r="K1277" s="41">
        <f>VLOOKUP(J1277,辅助信息!H:I,2,FALSE)</f>
        <v>15884666220</v>
      </c>
      <c r="L1277" s="40"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182</v>
      </c>
      <c r="Q1277" s="30" t="str">
        <f>VLOOKUP(B1277,辅助信息!E:M,9,FALSE)</f>
        <v>ZTWM-CDGS-XS-2024-0030-华西集采-简州大道</v>
      </c>
      <c r="R1277" s="119" t="str">
        <f>_xlfn._xlws.FILTER(辅助信息!D:D,辅助信息!E:E=B1277)</f>
        <v>华西简阳西城嘉苑</v>
      </c>
    </row>
    <row r="1278" hidden="1" spans="2:18">
      <c r="B1278" s="41" t="s">
        <v>81</v>
      </c>
      <c r="C1278" s="71">
        <v>45777</v>
      </c>
      <c r="D1278" s="41" t="str">
        <f>VLOOKUP(B1278,辅助信息!E:K,7,FALSE)</f>
        <v>JWDDCD2025060900080</v>
      </c>
      <c r="E1278" s="41" t="str">
        <f>VLOOKUP(F1278,辅助信息!A:B,2,FALSE)</f>
        <v>盘螺</v>
      </c>
      <c r="F1278" s="41" t="s">
        <v>40</v>
      </c>
      <c r="G1278" s="37">
        <v>3</v>
      </c>
      <c r="H1278" s="37">
        <f>_xlfn.XLOOKUP(C1278&amp;F1278&amp;I1278&amp;J1278,'[1]2025年已发货'!$F:$F&amp;'[1]2025年已发货'!$C:$C&amp;'[1]2025年已发货'!$G:$G&amp;'[1]2025年已发货'!$H:$H,'[1]2025年已发货'!$E:$E,"未发货")</f>
        <v>3</v>
      </c>
      <c r="I1278" s="41" t="str">
        <f>VLOOKUP(B1278,辅助信息!E:I,3,FALSE)</f>
        <v>（华西简阳西城嘉苑）四川省成都市简阳市简城街道高屋村</v>
      </c>
      <c r="J1278" s="41" t="str">
        <f>VLOOKUP(B1278,辅助信息!E:I,4,FALSE)</f>
        <v>张瀚镭</v>
      </c>
      <c r="K1278" s="41">
        <f>VLOOKUP(J1278,辅助信息!H:I,2,FALSE)</f>
        <v>15884666220</v>
      </c>
      <c r="L1278" s="40"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182</v>
      </c>
      <c r="Q1278" s="30" t="str">
        <f>VLOOKUP(B1278,辅助信息!E:M,9,FALSE)</f>
        <v>ZTWM-CDGS-XS-2024-0030-华西集采-简州大道</v>
      </c>
      <c r="R1278" s="119" t="str">
        <f>_xlfn._xlws.FILTER(辅助信息!D:D,辅助信息!E:E=B1278)</f>
        <v>华西简阳西城嘉苑</v>
      </c>
    </row>
    <row r="1279" hidden="1" spans="2:18">
      <c r="B1279" s="41" t="s">
        <v>81</v>
      </c>
      <c r="C1279" s="71">
        <v>45777</v>
      </c>
      <c r="D1279" s="41" t="str">
        <f>VLOOKUP(B1279,辅助信息!E:K,7,FALSE)</f>
        <v>JWDDCD2025060900080</v>
      </c>
      <c r="E1279" s="41" t="str">
        <f>VLOOKUP(F1279,辅助信息!A:B,2,FALSE)</f>
        <v>盘螺</v>
      </c>
      <c r="F1279" s="41" t="s">
        <v>41</v>
      </c>
      <c r="G1279" s="37">
        <v>5</v>
      </c>
      <c r="H1279" s="37">
        <f>_xlfn.XLOOKUP(C1279&amp;F1279&amp;I1279&amp;J1279,'[1]2025年已发货'!$F:$F&amp;'[1]2025年已发货'!$C:$C&amp;'[1]2025年已发货'!$G:$G&amp;'[1]2025年已发货'!$H:$H,'[1]2025年已发货'!$E:$E,"未发货")</f>
        <v>5</v>
      </c>
      <c r="I1279" s="41" t="str">
        <f>VLOOKUP(B1279,辅助信息!E:I,3,FALSE)</f>
        <v>（华西简阳西城嘉苑）四川省成都市简阳市简城街道高屋村</v>
      </c>
      <c r="J1279" s="41" t="str">
        <f>VLOOKUP(B1279,辅助信息!E:I,4,FALSE)</f>
        <v>张瀚镭</v>
      </c>
      <c r="K1279" s="41">
        <f>VLOOKUP(J1279,辅助信息!H:I,2,FALSE)</f>
        <v>15884666220</v>
      </c>
      <c r="L1279" s="40"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182</v>
      </c>
      <c r="Q1279" s="30" t="str">
        <f>VLOOKUP(B1279,辅助信息!E:M,9,FALSE)</f>
        <v>ZTWM-CDGS-XS-2024-0030-华西集采-简州大道</v>
      </c>
      <c r="R1279" s="119" t="str">
        <f>_xlfn._xlws.FILTER(辅助信息!D:D,辅助信息!E:E=B1279)</f>
        <v>华西简阳西城嘉苑</v>
      </c>
    </row>
    <row r="1280" hidden="1" spans="2:18">
      <c r="B1280" s="41" t="s">
        <v>81</v>
      </c>
      <c r="C1280" s="71">
        <v>45777</v>
      </c>
      <c r="D1280" s="41" t="str">
        <f>VLOOKUP(B1280,辅助信息!E:K,7,FALSE)</f>
        <v>JWDDCD2025060900080</v>
      </c>
      <c r="E1280" s="41" t="str">
        <f>VLOOKUP(F1280,辅助信息!A:B,2,FALSE)</f>
        <v>盘螺</v>
      </c>
      <c r="F1280" s="41" t="s">
        <v>26</v>
      </c>
      <c r="G1280" s="37">
        <v>18</v>
      </c>
      <c r="H1280" s="37">
        <v>18</v>
      </c>
      <c r="I1280" s="41" t="str">
        <f>VLOOKUP(B1280,辅助信息!E:I,3,FALSE)</f>
        <v>（华西简阳西城嘉苑）四川省成都市简阳市简城街道高屋村</v>
      </c>
      <c r="J1280" s="41" t="str">
        <f>VLOOKUP(B1280,辅助信息!E:I,4,FALSE)</f>
        <v>张瀚镭</v>
      </c>
      <c r="K1280" s="41">
        <f>VLOOKUP(J1280,辅助信息!H:I,2,FALSE)</f>
        <v>15884666220</v>
      </c>
      <c r="L1280" s="40"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182</v>
      </c>
      <c r="Q1280" s="30" t="str">
        <f>VLOOKUP(B1280,辅助信息!E:M,9,FALSE)</f>
        <v>ZTWM-CDGS-XS-2024-0030-华西集采-简州大道</v>
      </c>
      <c r="R1280" s="119" t="str">
        <f>_xlfn._xlws.FILTER(辅助信息!D:D,辅助信息!E:E=B1280)</f>
        <v>华西简阳西城嘉苑</v>
      </c>
    </row>
    <row r="1281" hidden="1" spans="2:18">
      <c r="B1281" s="41" t="s">
        <v>81</v>
      </c>
      <c r="C1281" s="71">
        <v>45777</v>
      </c>
      <c r="D1281" s="41" t="str">
        <f>VLOOKUP(B1281,辅助信息!E:K,7,FALSE)</f>
        <v>JWDDCD2025060900080</v>
      </c>
      <c r="E1281" s="41" t="str">
        <f>VLOOKUP(F1281,辅助信息!A:B,2,FALSE)</f>
        <v>螺纹钢</v>
      </c>
      <c r="F1281" s="41" t="s">
        <v>19</v>
      </c>
      <c r="G1281" s="37">
        <v>3</v>
      </c>
      <c r="H1281" s="37">
        <v>3</v>
      </c>
      <c r="I1281" s="41" t="str">
        <f>VLOOKUP(B1281,辅助信息!E:I,3,FALSE)</f>
        <v>（华西简阳西城嘉苑）四川省成都市简阳市简城街道高屋村</v>
      </c>
      <c r="J1281" s="41" t="str">
        <f>VLOOKUP(B1281,辅助信息!E:I,4,FALSE)</f>
        <v>张瀚镭</v>
      </c>
      <c r="K1281" s="41">
        <f>VLOOKUP(J1281,辅助信息!H:I,2,FALSE)</f>
        <v>15884666220</v>
      </c>
      <c r="L1281" s="40"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182</v>
      </c>
      <c r="Q1281" s="30" t="str">
        <f>VLOOKUP(B1281,辅助信息!E:M,9,FALSE)</f>
        <v>ZTWM-CDGS-XS-2024-0030-华西集采-简州大道</v>
      </c>
      <c r="R1281" s="119" t="str">
        <f>_xlfn._xlws.FILTER(辅助信息!D:D,辅助信息!E:E=B1281)</f>
        <v>华西简阳西城嘉苑</v>
      </c>
    </row>
    <row r="1282" hidden="1" spans="2:18">
      <c r="B1282" s="41" t="s">
        <v>81</v>
      </c>
      <c r="C1282" s="71">
        <v>45777</v>
      </c>
      <c r="D1282" s="41" t="str">
        <f>VLOOKUP(B1282,辅助信息!E:K,7,FALSE)</f>
        <v>JWDDCD2025060900080</v>
      </c>
      <c r="E1282" s="41" t="str">
        <f>VLOOKUP(F1282,辅助信息!A:B,2,FALSE)</f>
        <v>螺纹钢</v>
      </c>
      <c r="F1282" s="41" t="s">
        <v>32</v>
      </c>
      <c r="G1282" s="37">
        <v>83</v>
      </c>
      <c r="H1282" s="37">
        <v>83</v>
      </c>
      <c r="I1282" s="41" t="str">
        <f>VLOOKUP(B1282,辅助信息!E:I,3,FALSE)</f>
        <v>（华西简阳西城嘉苑）四川省成都市简阳市简城街道高屋村</v>
      </c>
      <c r="J1282" s="41" t="str">
        <f>VLOOKUP(B1282,辅助信息!E:I,4,FALSE)</f>
        <v>张瀚镭</v>
      </c>
      <c r="K1282" s="41">
        <f>VLOOKUP(J1282,辅助信息!H:I,2,FALSE)</f>
        <v>15884666220</v>
      </c>
      <c r="L1282" s="40"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182</v>
      </c>
      <c r="Q1282" s="30" t="str">
        <f>VLOOKUP(B1282,辅助信息!E:M,9,FALSE)</f>
        <v>ZTWM-CDGS-XS-2024-0030-华西集采-简州大道</v>
      </c>
      <c r="R1282" s="119" t="str">
        <f>_xlfn._xlws.FILTER(辅助信息!D:D,辅助信息!E:E=B1282)</f>
        <v>华西简阳西城嘉苑</v>
      </c>
    </row>
    <row r="1283" hidden="1" spans="2:18">
      <c r="B1283" s="41" t="s">
        <v>81</v>
      </c>
      <c r="C1283" s="71">
        <v>45777</v>
      </c>
      <c r="D1283" s="41" t="str">
        <f>VLOOKUP(B1283,辅助信息!E:K,7,FALSE)</f>
        <v>JWDDCD2025060900080</v>
      </c>
      <c r="E1283" s="41" t="str">
        <f>VLOOKUP(F1283,辅助信息!A:B,2,FALSE)</f>
        <v>螺纹钢</v>
      </c>
      <c r="F1283" s="41" t="s">
        <v>30</v>
      </c>
      <c r="G1283" s="37">
        <v>7</v>
      </c>
      <c r="H1283" s="37">
        <v>7</v>
      </c>
      <c r="I1283" s="41" t="str">
        <f>VLOOKUP(B1283,辅助信息!E:I,3,FALSE)</f>
        <v>（华西简阳西城嘉苑）四川省成都市简阳市简城街道高屋村</v>
      </c>
      <c r="J1283" s="41" t="str">
        <f>VLOOKUP(B1283,辅助信息!E:I,4,FALSE)</f>
        <v>张瀚镭</v>
      </c>
      <c r="K1283" s="41">
        <f>VLOOKUP(J1283,辅助信息!H:I,2,FALSE)</f>
        <v>15884666220</v>
      </c>
      <c r="L1283" s="40"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182</v>
      </c>
      <c r="Q1283" s="30" t="str">
        <f>VLOOKUP(B1283,辅助信息!E:M,9,FALSE)</f>
        <v>ZTWM-CDGS-XS-2024-0030-华西集采-简州大道</v>
      </c>
      <c r="R1283" s="119" t="str">
        <f>_xlfn._xlws.FILTER(辅助信息!D:D,辅助信息!E:E=B1283)</f>
        <v>华西简阳西城嘉苑</v>
      </c>
    </row>
    <row r="1284" hidden="1" spans="2:18">
      <c r="B1284" s="41" t="s">
        <v>81</v>
      </c>
      <c r="C1284" s="71">
        <v>45777</v>
      </c>
      <c r="D1284" s="41" t="str">
        <f>VLOOKUP(B1284,辅助信息!E:K,7,FALSE)</f>
        <v>JWDDCD2025060900080</v>
      </c>
      <c r="E1284" s="41" t="str">
        <f>VLOOKUP(F1284,辅助信息!A:B,2,FALSE)</f>
        <v>螺纹钢</v>
      </c>
      <c r="F1284" s="41" t="s">
        <v>33</v>
      </c>
      <c r="G1284" s="37">
        <v>13</v>
      </c>
      <c r="H1284" s="37">
        <v>13</v>
      </c>
      <c r="I1284" s="41" t="str">
        <f>VLOOKUP(B1284,辅助信息!E:I,3,FALSE)</f>
        <v>（华西简阳西城嘉苑）四川省成都市简阳市简城街道高屋村</v>
      </c>
      <c r="J1284" s="41" t="str">
        <f>VLOOKUP(B1284,辅助信息!E:I,4,FALSE)</f>
        <v>张瀚镭</v>
      </c>
      <c r="K1284" s="41">
        <f>VLOOKUP(J1284,辅助信息!H:I,2,FALSE)</f>
        <v>15884666220</v>
      </c>
      <c r="L1284" s="40"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182</v>
      </c>
      <c r="Q1284" s="30" t="str">
        <f>VLOOKUP(B1284,辅助信息!E:M,9,FALSE)</f>
        <v>ZTWM-CDGS-XS-2024-0030-华西集采-简州大道</v>
      </c>
      <c r="R1284" s="119" t="str">
        <f>_xlfn._xlws.FILTER(辅助信息!D:D,辅助信息!E:E=B1284)</f>
        <v>华西简阳西城嘉苑</v>
      </c>
    </row>
    <row r="1285" hidden="1" spans="2:18">
      <c r="B1285" s="41" t="s">
        <v>81</v>
      </c>
      <c r="C1285" s="71">
        <v>45777</v>
      </c>
      <c r="D1285" s="41" t="str">
        <f>VLOOKUP(B1285,辅助信息!E:K,7,FALSE)</f>
        <v>JWDDCD2025060900080</v>
      </c>
      <c r="E1285" s="41" t="str">
        <f>VLOOKUP(F1285,辅助信息!A:B,2,FALSE)</f>
        <v>螺纹钢</v>
      </c>
      <c r="F1285" s="41" t="s">
        <v>28</v>
      </c>
      <c r="G1285" s="37">
        <v>4</v>
      </c>
      <c r="H1285" s="37">
        <f>_xlfn.XLOOKUP(C1285&amp;F1285&amp;I1285&amp;J1285,'[1]2025年已发货'!$F:$F&amp;'[1]2025年已发货'!$C:$C&amp;'[1]2025年已发货'!$G:$G&amp;'[1]2025年已发货'!$H:$H,'[1]2025年已发货'!$E:$E,"未发货")</f>
        <v>4</v>
      </c>
      <c r="I1285" s="41" t="str">
        <f>VLOOKUP(B1285,辅助信息!E:I,3,FALSE)</f>
        <v>（华西简阳西城嘉苑）四川省成都市简阳市简城街道高屋村</v>
      </c>
      <c r="J1285" s="41" t="str">
        <f>VLOOKUP(B1285,辅助信息!E:I,4,FALSE)</f>
        <v>张瀚镭</v>
      </c>
      <c r="K1285" s="41">
        <f>VLOOKUP(J1285,辅助信息!H:I,2,FALSE)</f>
        <v>15884666220</v>
      </c>
      <c r="L1285" s="40"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182</v>
      </c>
      <c r="Q1285" s="30" t="str">
        <f>VLOOKUP(B1285,辅助信息!E:M,9,FALSE)</f>
        <v>ZTWM-CDGS-XS-2024-0030-华西集采-简州大道</v>
      </c>
      <c r="R1285" s="119" t="str">
        <f>_xlfn._xlws.FILTER(辅助信息!D:D,辅助信息!E:E=B1285)</f>
        <v>华西简阳西城嘉苑</v>
      </c>
    </row>
    <row r="1286" hidden="1" spans="1:18">
      <c r="A1286" s="120"/>
      <c r="B1286" s="41" t="s">
        <v>81</v>
      </c>
      <c r="C1286" s="71">
        <v>45777</v>
      </c>
      <c r="D1286" s="41" t="str">
        <f>VLOOKUP(B1286,辅助信息!E:K,7,FALSE)</f>
        <v>JWDDCD2025060900080</v>
      </c>
      <c r="E1286" s="41" t="str">
        <f>VLOOKUP(F1286,辅助信息!A:B,2,FALSE)</f>
        <v>螺纹钢</v>
      </c>
      <c r="F1286" s="41" t="s">
        <v>18</v>
      </c>
      <c r="G1286" s="37">
        <v>20</v>
      </c>
      <c r="H1286" s="37">
        <f>_xlfn.XLOOKUP(C1286&amp;F1286&amp;I1286&amp;J1286,'[1]2025年已发货'!$F:$F&amp;'[1]2025年已发货'!$C:$C&amp;'[1]2025年已发货'!$G:$G&amp;'[1]2025年已发货'!$H:$H,'[1]2025年已发货'!$E:$E,"未发货")</f>
        <v>20</v>
      </c>
      <c r="I1286" s="41" t="str">
        <f>VLOOKUP(B1286,辅助信息!E:I,3,FALSE)</f>
        <v>（华西简阳西城嘉苑）四川省成都市简阳市简城街道高屋村</v>
      </c>
      <c r="J1286" s="41" t="str">
        <f>VLOOKUP(B1286,辅助信息!E:I,4,FALSE)</f>
        <v>张瀚镭</v>
      </c>
      <c r="K1286" s="41">
        <f>VLOOKUP(J1286,辅助信息!H:I,2,FALSE)</f>
        <v>15884666220</v>
      </c>
      <c r="L1286" s="40"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182</v>
      </c>
      <c r="Q1286" s="30" t="str">
        <f>VLOOKUP(B1286,辅助信息!E:M,9,FALSE)</f>
        <v>ZTWM-CDGS-XS-2024-0030-华西集采-简州大道</v>
      </c>
      <c r="R1286" s="119" t="str">
        <f>_xlfn._xlws.FILTER(辅助信息!D:D,辅助信息!E:E=B1286)</f>
        <v>华西简阳西城嘉苑</v>
      </c>
    </row>
    <row r="1287" hidden="1" spans="1:18">
      <c r="A1287" s="78" t="s">
        <v>144</v>
      </c>
      <c r="B1287" s="41" t="s">
        <v>145</v>
      </c>
      <c r="C1287" s="71">
        <v>45777</v>
      </c>
      <c r="D1287" s="41" t="s">
        <v>146</v>
      </c>
      <c r="E1287" s="41" t="str">
        <f>VLOOKUP(F1287,辅助信息!A:B,2,FALSE)</f>
        <v>盘螺</v>
      </c>
      <c r="F1287" s="41" t="s">
        <v>40</v>
      </c>
      <c r="G1287" s="37">
        <v>5</v>
      </c>
      <c r="H1287" s="37">
        <f>_xlfn.XLOOKUP(C1287&amp;F1287&amp;I1287&amp;J1287,'[1]2025年已发货'!$F:$F&amp;'[1]2025年已发货'!$C:$C&amp;'[1]2025年已发货'!$G:$G&amp;'[1]2025年已发货'!$H:$H,'[1]2025年已发货'!$E:$E,"未发货")</f>
        <v>5</v>
      </c>
      <c r="I1287" s="41" t="str">
        <f>VLOOKUP(B1287,辅助信息!E:I,3,FALSE)</f>
        <v>（五冶达州新材料产业园）达州市市东部经开区新材料产业园麻柳镇石和尚村</v>
      </c>
      <c r="J1287" s="41" t="str">
        <f>VLOOKUP(B1287,辅助信息!E:I,4,FALSE)</f>
        <v>张焱</v>
      </c>
      <c r="K1287" s="41">
        <f>VLOOKUP(J1287,辅助信息!H:I,2,FALSE)</f>
        <v>15528785906</v>
      </c>
      <c r="L1287" s="40" t="str">
        <f>VLOOKUP(B1287,辅助信息!E:J,6,FALSE)</f>
        <v>五冶建设送货单,</v>
      </c>
      <c r="M1287" s="92">
        <v>45777</v>
      </c>
      <c r="O1287" s="63">
        <f ca="1" t="shared" ref="O1287:O1303" si="57">IF(OR(M1287="",N1287&lt;&gt;""),"",MAX(M1287-TODAY(),0))</f>
        <v>0</v>
      </c>
      <c r="P1287" s="63">
        <f ca="1" t="shared" si="54"/>
        <v>182</v>
      </c>
      <c r="Q1287" s="30">
        <f>VLOOKUP(B1287,辅助信息!E:M,9,FALSE)</f>
        <v>0</v>
      </c>
      <c r="R1287" s="119" t="str">
        <f>_xlfn._xlws.FILTER(辅助信息!D:D,辅助信息!E:E=B1287)</f>
        <v>五冶达州新材料产业园</v>
      </c>
    </row>
    <row r="1288" hidden="1" spans="1:18">
      <c r="A1288" s="78"/>
      <c r="B1288" s="41" t="s">
        <v>145</v>
      </c>
      <c r="C1288" s="71">
        <v>45777</v>
      </c>
      <c r="D1288" s="41" t="s">
        <v>146</v>
      </c>
      <c r="E1288" s="41" t="str">
        <f>VLOOKUP(F1288,辅助信息!A:B,2,FALSE)</f>
        <v>盘螺</v>
      </c>
      <c r="F1288" s="41" t="s">
        <v>41</v>
      </c>
      <c r="G1288" s="37">
        <v>2.5</v>
      </c>
      <c r="H1288" s="37">
        <f>_xlfn.XLOOKUP(C1288&amp;F1288&amp;I1288&amp;J1288,'[1]2025年已发货'!$F:$F&amp;'[1]2025年已发货'!$C:$C&amp;'[1]2025年已发货'!$G:$G&amp;'[1]2025年已发货'!$H:$H,'[1]2025年已发货'!$E:$E,"未发货")</f>
        <v>2.5</v>
      </c>
      <c r="I1288" s="41" t="str">
        <f>VLOOKUP(B1288,辅助信息!E:I,3,FALSE)</f>
        <v>（五冶达州新材料产业园）达州市市东部经开区新材料产业园麻柳镇石和尚村</v>
      </c>
      <c r="J1288" s="41" t="str">
        <f>VLOOKUP(B1288,辅助信息!E:I,4,FALSE)</f>
        <v>张焱</v>
      </c>
      <c r="K1288" s="41">
        <f>VLOOKUP(J1288,辅助信息!H:I,2,FALSE)</f>
        <v>15528785906</v>
      </c>
      <c r="L1288" s="40" t="str">
        <f>VLOOKUP(B1288,辅助信息!E:J,6,FALSE)</f>
        <v>五冶建设送货单,</v>
      </c>
      <c r="M1288" s="92">
        <v>45777</v>
      </c>
      <c r="O1288" s="63">
        <f ca="1" t="shared" si="57"/>
        <v>0</v>
      </c>
      <c r="P1288" s="63">
        <f ca="1" t="shared" si="54"/>
        <v>182</v>
      </c>
      <c r="Q1288" s="30">
        <f>VLOOKUP(B1288,辅助信息!E:M,9,FALSE)</f>
        <v>0</v>
      </c>
      <c r="R1288" s="119" t="str">
        <f>_xlfn._xlws.FILTER(辅助信息!D:D,辅助信息!E:E=B1288)</f>
        <v>五冶达州新材料产业园</v>
      </c>
    </row>
    <row r="1289" hidden="1" spans="1:18">
      <c r="A1289" s="78"/>
      <c r="B1289" s="41" t="s">
        <v>145</v>
      </c>
      <c r="C1289" s="71">
        <v>45777</v>
      </c>
      <c r="D1289" s="41" t="s">
        <v>146</v>
      </c>
      <c r="E1289" s="41" t="str">
        <f>VLOOKUP(F1289,辅助信息!A:B,2,FALSE)</f>
        <v>螺纹钢</v>
      </c>
      <c r="F1289" s="41" t="s">
        <v>27</v>
      </c>
      <c r="G1289" s="37">
        <v>6</v>
      </c>
      <c r="H1289" s="37">
        <f>_xlfn.XLOOKUP(C1289&amp;F1289&amp;I1289&amp;J1289,'[1]2025年已发货'!$F:$F&amp;'[1]2025年已发货'!$C:$C&amp;'[1]2025年已发货'!$G:$G&amp;'[1]2025年已发货'!$H:$H,'[1]2025年已发货'!$E:$E,"未发货")</f>
        <v>6</v>
      </c>
      <c r="I1289" s="41" t="str">
        <f>VLOOKUP(B1289,辅助信息!E:I,3,FALSE)</f>
        <v>（五冶达州新材料产业园）达州市市东部经开区新材料产业园麻柳镇石和尚村</v>
      </c>
      <c r="J1289" s="41" t="str">
        <f>VLOOKUP(B1289,辅助信息!E:I,4,FALSE)</f>
        <v>张焱</v>
      </c>
      <c r="K1289" s="41">
        <f>VLOOKUP(J1289,辅助信息!H:I,2,FALSE)</f>
        <v>15528785906</v>
      </c>
      <c r="L1289" s="40" t="str">
        <f>VLOOKUP(B1289,辅助信息!E:J,6,FALSE)</f>
        <v>五冶建设送货单,</v>
      </c>
      <c r="M1289" s="92">
        <v>45777</v>
      </c>
      <c r="O1289" s="63">
        <f ca="1" t="shared" si="57"/>
        <v>0</v>
      </c>
      <c r="P1289" s="63">
        <f ca="1" t="shared" si="54"/>
        <v>182</v>
      </c>
      <c r="Q1289" s="30">
        <f>VLOOKUP(B1289,辅助信息!E:M,9,FALSE)</f>
        <v>0</v>
      </c>
      <c r="R1289" s="119" t="str">
        <f>_xlfn._xlws.FILTER(辅助信息!D:D,辅助信息!E:E=B1289)</f>
        <v>五冶达州新材料产业园</v>
      </c>
    </row>
    <row r="1290" hidden="1" spans="1:18">
      <c r="A1290" s="78"/>
      <c r="B1290" s="41" t="s">
        <v>145</v>
      </c>
      <c r="C1290" s="71">
        <v>45777</v>
      </c>
      <c r="D1290" s="41" t="s">
        <v>146</v>
      </c>
      <c r="E1290" s="41" t="str">
        <f>VLOOKUP(F1290,辅助信息!A:B,2,FALSE)</f>
        <v>螺纹钢</v>
      </c>
      <c r="F1290" s="41" t="s">
        <v>19</v>
      </c>
      <c r="G1290" s="37">
        <v>9</v>
      </c>
      <c r="H1290" s="37">
        <f>_xlfn.XLOOKUP(C1290&amp;F1290&amp;I1290&amp;J1290,'[1]2025年已发货'!$F:$F&amp;'[1]2025年已发货'!$C:$C&amp;'[1]2025年已发货'!$G:$G&amp;'[1]2025年已发货'!$H:$H,'[1]2025年已发货'!$E:$E,"未发货")</f>
        <v>9</v>
      </c>
      <c r="I1290" s="41" t="str">
        <f>VLOOKUP(B1290,辅助信息!E:I,3,FALSE)</f>
        <v>（五冶达州新材料产业园）达州市市东部经开区新材料产业园麻柳镇石和尚村</v>
      </c>
      <c r="J1290" s="41" t="str">
        <f>VLOOKUP(B1290,辅助信息!E:I,4,FALSE)</f>
        <v>张焱</v>
      </c>
      <c r="K1290" s="41">
        <f>VLOOKUP(J1290,辅助信息!H:I,2,FALSE)</f>
        <v>15528785906</v>
      </c>
      <c r="L1290" s="40" t="str">
        <f>VLOOKUP(B1290,辅助信息!E:J,6,FALSE)</f>
        <v>五冶建设送货单,</v>
      </c>
      <c r="M1290" s="92">
        <v>45777</v>
      </c>
      <c r="O1290" s="63">
        <f ca="1" t="shared" si="57"/>
        <v>0</v>
      </c>
      <c r="P1290" s="63">
        <f ca="1" t="shared" si="54"/>
        <v>182</v>
      </c>
      <c r="Q1290" s="30">
        <f>VLOOKUP(B1290,辅助信息!E:M,9,FALSE)</f>
        <v>0</v>
      </c>
      <c r="R1290" s="119" t="str">
        <f>_xlfn._xlws.FILTER(辅助信息!D:D,辅助信息!E:E=B1290)</f>
        <v>五冶达州新材料产业园</v>
      </c>
    </row>
    <row r="1291" hidden="1" spans="1:18">
      <c r="A1291" s="78"/>
      <c r="B1291" s="41" t="s">
        <v>145</v>
      </c>
      <c r="C1291" s="71">
        <v>45777</v>
      </c>
      <c r="D1291" s="41" t="s">
        <v>146</v>
      </c>
      <c r="E1291" s="41" t="str">
        <f>VLOOKUP(F1291,辅助信息!A:B,2,FALSE)</f>
        <v>螺纹钢</v>
      </c>
      <c r="F1291" s="41" t="s">
        <v>32</v>
      </c>
      <c r="G1291" s="37">
        <v>6</v>
      </c>
      <c r="H1291" s="37">
        <f>_xlfn.XLOOKUP(C1291&amp;F1291&amp;I1291&amp;J1291,'[1]2025年已发货'!$F:$F&amp;'[1]2025年已发货'!$C:$C&amp;'[1]2025年已发货'!$G:$G&amp;'[1]2025年已发货'!$H:$H,'[1]2025年已发货'!$E:$E,"未发货")</f>
        <v>6</v>
      </c>
      <c r="I1291" s="41" t="str">
        <f>VLOOKUP(B1291,辅助信息!E:I,3,FALSE)</f>
        <v>（五冶达州新材料产业园）达州市市东部经开区新材料产业园麻柳镇石和尚村</v>
      </c>
      <c r="J1291" s="41" t="str">
        <f>VLOOKUP(B1291,辅助信息!E:I,4,FALSE)</f>
        <v>张焱</v>
      </c>
      <c r="K1291" s="41">
        <f>VLOOKUP(J1291,辅助信息!H:I,2,FALSE)</f>
        <v>15528785906</v>
      </c>
      <c r="L1291" s="40" t="str">
        <f>VLOOKUP(B1291,辅助信息!E:J,6,FALSE)</f>
        <v>五冶建设送货单,</v>
      </c>
      <c r="M1291" s="92">
        <v>45777</v>
      </c>
      <c r="O1291" s="63">
        <f ca="1" t="shared" si="57"/>
        <v>0</v>
      </c>
      <c r="P1291" s="63">
        <f ca="1" t="shared" si="54"/>
        <v>182</v>
      </c>
      <c r="Q1291" s="30">
        <f>VLOOKUP(B1291,辅助信息!E:M,9,FALSE)</f>
        <v>0</v>
      </c>
      <c r="R1291" s="119" t="str">
        <f>_xlfn._xlws.FILTER(辅助信息!D:D,辅助信息!E:E=B1291)</f>
        <v>五冶达州新材料产业园</v>
      </c>
    </row>
    <row r="1292" hidden="1" spans="1:18">
      <c r="A1292" s="78"/>
      <c r="B1292" s="41" t="s">
        <v>145</v>
      </c>
      <c r="C1292" s="71">
        <v>45777</v>
      </c>
      <c r="D1292" s="41" t="s">
        <v>146</v>
      </c>
      <c r="E1292" s="41" t="str">
        <f>VLOOKUP(F1292,辅助信息!A:B,2,FALSE)</f>
        <v>螺纹钢</v>
      </c>
      <c r="F1292" s="41" t="s">
        <v>30</v>
      </c>
      <c r="G1292" s="37">
        <v>3</v>
      </c>
      <c r="H1292" s="37">
        <f>_xlfn.XLOOKUP(C1292&amp;F1292&amp;I1292&amp;J1292,'[1]2025年已发货'!$F:$F&amp;'[1]2025年已发货'!$C:$C&amp;'[1]2025年已发货'!$G:$G&amp;'[1]2025年已发货'!$H:$H,'[1]2025年已发货'!$E:$E,"未发货")</f>
        <v>3</v>
      </c>
      <c r="I1292" s="41" t="str">
        <f>VLOOKUP(B1292,辅助信息!E:I,3,FALSE)</f>
        <v>（五冶达州新材料产业园）达州市市东部经开区新材料产业园麻柳镇石和尚村</v>
      </c>
      <c r="J1292" s="41" t="str">
        <f>VLOOKUP(B1292,辅助信息!E:I,4,FALSE)</f>
        <v>张焱</v>
      </c>
      <c r="K1292" s="41">
        <f>VLOOKUP(J1292,辅助信息!H:I,2,FALSE)</f>
        <v>15528785906</v>
      </c>
      <c r="L1292" s="40" t="str">
        <f>VLOOKUP(B1292,辅助信息!E:J,6,FALSE)</f>
        <v>五冶建设送货单,</v>
      </c>
      <c r="M1292" s="92">
        <v>45777</v>
      </c>
      <c r="O1292" s="63">
        <f ca="1" t="shared" si="57"/>
        <v>0</v>
      </c>
      <c r="P1292" s="63">
        <f ca="1" t="shared" si="54"/>
        <v>182</v>
      </c>
      <c r="Q1292" s="30">
        <f>VLOOKUP(B1292,辅助信息!E:M,9,FALSE)</f>
        <v>0</v>
      </c>
      <c r="R1292" s="119" t="str">
        <f>_xlfn._xlws.FILTER(辅助信息!D:D,辅助信息!E:E=B1292)</f>
        <v>五冶达州新材料产业园</v>
      </c>
    </row>
    <row r="1293" hidden="1" spans="1:18">
      <c r="A1293" s="78"/>
      <c r="B1293" s="41" t="s">
        <v>145</v>
      </c>
      <c r="C1293" s="71">
        <v>45777</v>
      </c>
      <c r="D1293" s="41" t="s">
        <v>146</v>
      </c>
      <c r="E1293" s="41" t="str">
        <f>VLOOKUP(F1293,辅助信息!A:B,2,FALSE)</f>
        <v>螺纹钢</v>
      </c>
      <c r="F1293" s="41" t="s">
        <v>33</v>
      </c>
      <c r="G1293" s="37">
        <v>3</v>
      </c>
      <c r="H1293" s="37">
        <f>_xlfn.XLOOKUP(C1293&amp;F1293&amp;I1293&amp;J1293,'[1]2025年已发货'!$F:$F&amp;'[1]2025年已发货'!$C:$C&amp;'[1]2025年已发货'!$G:$G&amp;'[1]2025年已发货'!$H:$H,'[1]2025年已发货'!$E:$E,"未发货")</f>
        <v>3</v>
      </c>
      <c r="I1293" s="41" t="str">
        <f>VLOOKUP(B1293,辅助信息!E:I,3,FALSE)</f>
        <v>（五冶达州新材料产业园）达州市市东部经开区新材料产业园麻柳镇石和尚村</v>
      </c>
      <c r="J1293" s="41" t="str">
        <f>VLOOKUP(B1293,辅助信息!E:I,4,FALSE)</f>
        <v>张焱</v>
      </c>
      <c r="K1293" s="41">
        <f>VLOOKUP(J1293,辅助信息!H:I,2,FALSE)</f>
        <v>15528785906</v>
      </c>
      <c r="L1293" s="40" t="str">
        <f>VLOOKUP(B1293,辅助信息!E:J,6,FALSE)</f>
        <v>五冶建设送货单,</v>
      </c>
      <c r="M1293" s="92">
        <v>45777</v>
      </c>
      <c r="O1293" s="63">
        <f ca="1" t="shared" si="57"/>
        <v>0</v>
      </c>
      <c r="P1293" s="63">
        <f ca="1" t="shared" si="54"/>
        <v>182</v>
      </c>
      <c r="Q1293" s="30">
        <f>VLOOKUP(B1293,辅助信息!E:M,9,FALSE)</f>
        <v>0</v>
      </c>
      <c r="R1293" s="119" t="str">
        <f>_xlfn._xlws.FILTER(辅助信息!D:D,辅助信息!E:E=B1293)</f>
        <v>五冶达州新材料产业园</v>
      </c>
    </row>
    <row r="1294" hidden="1" spans="1:18">
      <c r="A1294" s="120"/>
      <c r="B1294" s="41" t="s">
        <v>147</v>
      </c>
      <c r="C1294" s="71">
        <v>45777</v>
      </c>
      <c r="D1294" s="41" t="s">
        <v>146</v>
      </c>
      <c r="E1294" s="41" t="str">
        <f>VLOOKUP(F1294,辅助信息!A:B,2,FALSE)</f>
        <v>高线</v>
      </c>
      <c r="F1294" s="41" t="s">
        <v>57</v>
      </c>
      <c r="G1294" s="37">
        <f>2.5*3</f>
        <v>7.5</v>
      </c>
      <c r="H1294" s="37" t="str">
        <f>_xlfn.XLOOKUP(C1294&amp;F1294&amp;I1294&amp;J1294,'[1]2025年已发货'!$F:$F&amp;'[1]2025年已发货'!$C:$C&amp;'[1]2025年已发货'!$G:$G&amp;'[1]2025年已发货'!$H:$H,'[1]2025年已发货'!$E:$E,"未发货")</f>
        <v>未发货</v>
      </c>
      <c r="I1294" s="41" t="str">
        <f>VLOOKUP(B1294,辅助信息!E:I,3,FALSE)</f>
        <v>（商投建工达州中医药科技园-4工区-11号楼）达州市通川区达州中医药职业学院犀牛大道北段</v>
      </c>
      <c r="J1294" s="41" t="str">
        <f>VLOOKUP(B1294,辅助信息!E:I,4,FALSE)</f>
        <v>张扬</v>
      </c>
      <c r="K1294" s="41">
        <f>VLOOKUP(J1294,辅助信息!H:I,2,FALSE)</f>
        <v>18381904567</v>
      </c>
      <c r="L1294" s="40" t="str">
        <f>VLOOKUP(B1294,辅助信息!E:J,6,FALSE)</f>
        <v>控制炉批号！多了现场不收！,优先安排达钢,提前联系到场规格及数量</v>
      </c>
      <c r="M1294" s="92">
        <v>45777</v>
      </c>
      <c r="O1294" s="63">
        <f ca="1" t="shared" si="57"/>
        <v>0</v>
      </c>
      <c r="P1294" s="63">
        <f ca="1" t="shared" si="54"/>
        <v>182</v>
      </c>
      <c r="Q1294" s="30"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1" t="s">
        <v>147</v>
      </c>
      <c r="C1295" s="71">
        <v>45777</v>
      </c>
      <c r="D1295" s="41" t="s">
        <v>146</v>
      </c>
      <c r="E1295" s="41" t="str">
        <f>VLOOKUP(F1295,辅助信息!A:B,2,FALSE)</f>
        <v>盘螺</v>
      </c>
      <c r="F1295" s="41" t="s">
        <v>41</v>
      </c>
      <c r="G1295" s="37">
        <f>15*2.5</f>
        <v>37.5</v>
      </c>
      <c r="H1295" s="37" t="str">
        <f>_xlfn.XLOOKUP(C1295&amp;F1295&amp;I1295&amp;J1295,'[1]2025年已发货'!$F:$F&amp;'[1]2025年已发货'!$C:$C&amp;'[1]2025年已发货'!$G:$G&amp;'[1]2025年已发货'!$H:$H,'[1]2025年已发货'!$E:$E,"未发货")</f>
        <v>未发货</v>
      </c>
      <c r="I1295" s="41" t="str">
        <f>VLOOKUP(B1295,辅助信息!E:I,3,FALSE)</f>
        <v>（商投建工达州中医药科技园-4工区-11号楼）达州市通川区达州中医药职业学院犀牛大道北段</v>
      </c>
      <c r="J1295" s="41" t="str">
        <f>VLOOKUP(B1295,辅助信息!E:I,4,FALSE)</f>
        <v>张扬</v>
      </c>
      <c r="K1295" s="41">
        <f>VLOOKUP(J1295,辅助信息!H:I,2,FALSE)</f>
        <v>18381904567</v>
      </c>
      <c r="L1295" s="40" t="str">
        <f>VLOOKUP(B1295,辅助信息!E:J,6,FALSE)</f>
        <v>控制炉批号！多了现场不收！,优先安排达钢,提前联系到场规格及数量</v>
      </c>
      <c r="M1295" s="92">
        <v>45777</v>
      </c>
      <c r="O1295" s="63">
        <f ca="1" t="shared" si="57"/>
        <v>0</v>
      </c>
      <c r="P1295" s="63">
        <f ca="1" t="shared" si="54"/>
        <v>182</v>
      </c>
      <c r="Q1295" s="30"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1" t="s">
        <v>147</v>
      </c>
      <c r="C1296" s="71">
        <v>45777</v>
      </c>
      <c r="D1296" s="41" t="s">
        <v>146</v>
      </c>
      <c r="E1296" s="41" t="str">
        <f>VLOOKUP(F1296,辅助信息!A:B,2,FALSE)</f>
        <v>螺纹钢</v>
      </c>
      <c r="F1296" s="41" t="s">
        <v>27</v>
      </c>
      <c r="G1296" s="37">
        <f>7*3</f>
        <v>21</v>
      </c>
      <c r="H1296" s="37" t="str">
        <f>_xlfn.XLOOKUP(C1296&amp;F1296&amp;I1296&amp;J1296,'[1]2025年已发货'!$F:$F&amp;'[1]2025年已发货'!$C:$C&amp;'[1]2025年已发货'!$G:$G&amp;'[1]2025年已发货'!$H:$H,'[1]2025年已发货'!$E:$E,"未发货")</f>
        <v>未发货</v>
      </c>
      <c r="I1296" s="41" t="str">
        <f>VLOOKUP(B1296,辅助信息!E:I,3,FALSE)</f>
        <v>（商投建工达州中医药科技园-4工区-11号楼）达州市通川区达州中医药职业学院犀牛大道北段</v>
      </c>
      <c r="J1296" s="41" t="str">
        <f>VLOOKUP(B1296,辅助信息!E:I,4,FALSE)</f>
        <v>张扬</v>
      </c>
      <c r="K1296" s="41">
        <f>VLOOKUP(J1296,辅助信息!H:I,2,FALSE)</f>
        <v>18381904567</v>
      </c>
      <c r="L1296" s="40" t="str">
        <f>VLOOKUP(B1296,辅助信息!E:J,6,FALSE)</f>
        <v>控制炉批号！多了现场不收！,优先安排达钢,提前联系到场规格及数量</v>
      </c>
      <c r="M1296" s="92">
        <v>45777</v>
      </c>
      <c r="O1296" s="63">
        <f ca="1" t="shared" si="57"/>
        <v>0</v>
      </c>
      <c r="P1296" s="63">
        <f ca="1" t="shared" si="54"/>
        <v>182</v>
      </c>
      <c r="Q1296" s="30"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1" t="s">
        <v>147</v>
      </c>
      <c r="C1297" s="71">
        <v>45777</v>
      </c>
      <c r="D1297" s="41" t="s">
        <v>146</v>
      </c>
      <c r="E1297" s="41" t="str">
        <f>VLOOKUP(F1297,辅助信息!A:B,2,FALSE)</f>
        <v>螺纹钢</v>
      </c>
      <c r="F1297" s="41" t="s">
        <v>30</v>
      </c>
      <c r="G1297" s="37">
        <v>30</v>
      </c>
      <c r="H1297" s="37" t="str">
        <f>_xlfn.XLOOKUP(C1297&amp;F1297&amp;I1297&amp;J1297,'[1]2025年已发货'!$F:$F&amp;'[1]2025年已发货'!$C:$C&amp;'[1]2025年已发货'!$G:$G&amp;'[1]2025年已发货'!$H:$H,'[1]2025年已发货'!$E:$E,"未发货")</f>
        <v>未发货</v>
      </c>
      <c r="I1297" s="41" t="str">
        <f>VLOOKUP(B1297,辅助信息!E:I,3,FALSE)</f>
        <v>（商投建工达州中医药科技园-4工区-11号楼）达州市通川区达州中医药职业学院犀牛大道北段</v>
      </c>
      <c r="J1297" s="41" t="str">
        <f>VLOOKUP(B1297,辅助信息!E:I,4,FALSE)</f>
        <v>张扬</v>
      </c>
      <c r="K1297" s="41">
        <f>VLOOKUP(J1297,辅助信息!H:I,2,FALSE)</f>
        <v>18381904567</v>
      </c>
      <c r="L1297" s="40" t="str">
        <f>VLOOKUP(B1297,辅助信息!E:J,6,FALSE)</f>
        <v>控制炉批号！多了现场不收！,优先安排达钢,提前联系到场规格及数量</v>
      </c>
      <c r="M1297" s="92">
        <v>45777</v>
      </c>
      <c r="O1297" s="63">
        <f ca="1" t="shared" si="57"/>
        <v>0</v>
      </c>
      <c r="P1297" s="63">
        <f ca="1" t="shared" si="54"/>
        <v>182</v>
      </c>
      <c r="Q1297" s="30"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1" t="s">
        <v>147</v>
      </c>
      <c r="C1298" s="71">
        <v>45777</v>
      </c>
      <c r="D1298" s="41" t="s">
        <v>146</v>
      </c>
      <c r="E1298" s="41" t="str">
        <f>VLOOKUP(F1298,辅助信息!A:B,2,FALSE)</f>
        <v>螺纹钢</v>
      </c>
      <c r="F1298" s="41" t="s">
        <v>33</v>
      </c>
      <c r="G1298" s="37">
        <v>30</v>
      </c>
      <c r="H1298" s="37" t="str">
        <f>_xlfn.XLOOKUP(C1298&amp;F1298&amp;I1298&amp;J1298,'[1]2025年已发货'!$F:$F&amp;'[1]2025年已发货'!$C:$C&amp;'[1]2025年已发货'!$G:$G&amp;'[1]2025年已发货'!$H:$H,'[1]2025年已发货'!$E:$E,"未发货")</f>
        <v>未发货</v>
      </c>
      <c r="I1298" s="41" t="str">
        <f>VLOOKUP(B1298,辅助信息!E:I,3,FALSE)</f>
        <v>（商投建工达州中医药科技园-4工区-11号楼）达州市通川区达州中医药职业学院犀牛大道北段</v>
      </c>
      <c r="J1298" s="41" t="str">
        <f>VLOOKUP(B1298,辅助信息!E:I,4,FALSE)</f>
        <v>张扬</v>
      </c>
      <c r="K1298" s="41">
        <f>VLOOKUP(J1298,辅助信息!H:I,2,FALSE)</f>
        <v>18381904567</v>
      </c>
      <c r="L1298" s="40"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182</v>
      </c>
      <c r="Q1298" s="30"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1" t="s">
        <v>147</v>
      </c>
      <c r="C1299" s="71">
        <v>45777</v>
      </c>
      <c r="D1299" s="41" t="s">
        <v>146</v>
      </c>
      <c r="E1299" s="41" t="str">
        <f>VLOOKUP(F1299,辅助信息!A:B,2,FALSE)</f>
        <v>螺纹钢</v>
      </c>
      <c r="F1299" s="41" t="s">
        <v>18</v>
      </c>
      <c r="G1299" s="37">
        <f>6*3</f>
        <v>18</v>
      </c>
      <c r="H1299" s="37" t="str">
        <f>_xlfn.XLOOKUP(C1299&amp;F1299&amp;I1299&amp;J1299,'[1]2025年已发货'!$F:$F&amp;'[1]2025年已发货'!$C:$C&amp;'[1]2025年已发货'!$G:$G&amp;'[1]2025年已发货'!$H:$H,'[1]2025年已发货'!$E:$E,"未发货")</f>
        <v>未发货</v>
      </c>
      <c r="I1299" s="41" t="str">
        <f>VLOOKUP(B1299,辅助信息!E:I,3,FALSE)</f>
        <v>（商投建工达州中医药科技园-4工区-11号楼）达州市通川区达州中医药职业学院犀牛大道北段</v>
      </c>
      <c r="J1299" s="41" t="str">
        <f>VLOOKUP(B1299,辅助信息!E:I,4,FALSE)</f>
        <v>张扬</v>
      </c>
      <c r="K1299" s="41">
        <f>VLOOKUP(J1299,辅助信息!H:I,2,FALSE)</f>
        <v>18381904567</v>
      </c>
      <c r="L1299" s="40" t="str">
        <f>VLOOKUP(B1299,辅助信息!E:J,6,FALSE)</f>
        <v>控制炉批号！多了现场不收！,优先安排达钢,提前联系到场规格及数量</v>
      </c>
      <c r="M1299" s="92">
        <v>45777</v>
      </c>
      <c r="O1299" s="63">
        <f ca="1" t="shared" si="57"/>
        <v>0</v>
      </c>
      <c r="P1299" s="63">
        <f ca="1" t="shared" si="58"/>
        <v>182</v>
      </c>
      <c r="Q1299" s="30"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1" t="s">
        <v>81</v>
      </c>
      <c r="C1300" s="71">
        <v>45777</v>
      </c>
      <c r="D1300" s="41" t="s">
        <v>146</v>
      </c>
      <c r="E1300" s="41" t="str">
        <f>VLOOKUP(F1300,辅助信息!A:B,2,FALSE)</f>
        <v>螺纹钢</v>
      </c>
      <c r="F1300" s="41" t="s">
        <v>27</v>
      </c>
      <c r="G1300" s="37">
        <v>3</v>
      </c>
      <c r="H1300" s="37">
        <v>3</v>
      </c>
      <c r="I1300" s="41" t="str">
        <f>VLOOKUP(B1300,辅助信息!E:I,3,FALSE)</f>
        <v>（华西简阳西城嘉苑）四川省成都市简阳市简城街道高屋村</v>
      </c>
      <c r="J1300" s="41" t="str">
        <f>VLOOKUP(B1300,辅助信息!E:I,4,FALSE)</f>
        <v>张瀚镭</v>
      </c>
      <c r="K1300" s="41">
        <f>VLOOKUP(J1300,辅助信息!H:I,2,FALSE)</f>
        <v>15884666220</v>
      </c>
      <c r="L1300" s="40"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180</v>
      </c>
      <c r="Q1300" s="30" t="str">
        <f>VLOOKUP(B1300,辅助信息!E:M,9,FALSE)</f>
        <v>ZTWM-CDGS-XS-2024-0030-华西集采-简州大道</v>
      </c>
      <c r="R1300" s="119" t="str">
        <f>_xlfn._xlws.FILTER(辅助信息!D:D,辅助信息!E:E=B1300)</f>
        <v>华西简阳西城嘉苑</v>
      </c>
    </row>
    <row r="1301" hidden="1" spans="1:18">
      <c r="A1301" s="120"/>
      <c r="B1301" s="41" t="s">
        <v>81</v>
      </c>
      <c r="C1301" s="71">
        <v>45777</v>
      </c>
      <c r="D1301" s="41" t="s">
        <v>146</v>
      </c>
      <c r="E1301" s="41" t="str">
        <f>VLOOKUP(F1301,辅助信息!A:B,2,FALSE)</f>
        <v>螺纹钢</v>
      </c>
      <c r="F1301" s="41" t="s">
        <v>19</v>
      </c>
      <c r="G1301" s="37">
        <v>36</v>
      </c>
      <c r="H1301" s="37">
        <v>36</v>
      </c>
      <c r="I1301" s="41" t="str">
        <f>VLOOKUP(B1301,辅助信息!E:I,3,FALSE)</f>
        <v>（华西简阳西城嘉苑）四川省成都市简阳市简城街道高屋村</v>
      </c>
      <c r="J1301" s="41" t="str">
        <f>VLOOKUP(B1301,辅助信息!E:I,4,FALSE)</f>
        <v>张瀚镭</v>
      </c>
      <c r="K1301" s="41">
        <f>VLOOKUP(J1301,辅助信息!H:I,2,FALSE)</f>
        <v>15884666220</v>
      </c>
      <c r="L1301" s="40"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180</v>
      </c>
      <c r="Q1301" s="30" t="str">
        <f>VLOOKUP(B1301,辅助信息!E:M,9,FALSE)</f>
        <v>ZTWM-CDGS-XS-2024-0030-华西集采-简州大道</v>
      </c>
      <c r="R1301" s="119" t="str">
        <f>_xlfn._xlws.FILTER(辅助信息!D:D,辅助信息!E:E=B1301)</f>
        <v>华西简阳西城嘉苑</v>
      </c>
    </row>
    <row r="1302" hidden="1" spans="2:18">
      <c r="B1302" s="41" t="s">
        <v>81</v>
      </c>
      <c r="C1302" s="71">
        <v>45777</v>
      </c>
      <c r="D1302" s="41" t="s">
        <v>146</v>
      </c>
      <c r="E1302" s="41" t="str">
        <f>VLOOKUP(F1302,辅助信息!A:B,2,FALSE)</f>
        <v>螺纹钢</v>
      </c>
      <c r="F1302" s="41" t="s">
        <v>32</v>
      </c>
      <c r="G1302" s="37">
        <v>3</v>
      </c>
      <c r="H1302" s="37">
        <v>3</v>
      </c>
      <c r="I1302" s="41" t="str">
        <f>VLOOKUP(B1302,辅助信息!E:I,3,FALSE)</f>
        <v>（华西简阳西城嘉苑）四川省成都市简阳市简城街道高屋村</v>
      </c>
      <c r="J1302" s="41" t="str">
        <f>VLOOKUP(B1302,辅助信息!E:I,4,FALSE)</f>
        <v>张瀚镭</v>
      </c>
      <c r="K1302" s="41">
        <f>VLOOKUP(J1302,辅助信息!H:I,2,FALSE)</f>
        <v>15884666220</v>
      </c>
      <c r="L1302" s="40"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180</v>
      </c>
      <c r="Q1302" s="30" t="str">
        <f>VLOOKUP(B1302,辅助信息!E:M,9,FALSE)</f>
        <v>ZTWM-CDGS-XS-2024-0030-华西集采-简州大道</v>
      </c>
      <c r="R1302" s="119" t="str">
        <f>_xlfn._xlws.FILTER(辅助信息!D:D,辅助信息!E:E=B1302)</f>
        <v>华西简阳西城嘉苑</v>
      </c>
    </row>
    <row r="1303" hidden="1" spans="2:18">
      <c r="B1303" s="41" t="s">
        <v>81</v>
      </c>
      <c r="C1303" s="71">
        <v>45777</v>
      </c>
      <c r="D1303" s="41" t="s">
        <v>146</v>
      </c>
      <c r="E1303" s="41" t="str">
        <f>VLOOKUP(F1303,辅助信息!A:B,2,FALSE)</f>
        <v>螺纹钢</v>
      </c>
      <c r="F1303" s="41" t="s">
        <v>30</v>
      </c>
      <c r="G1303" s="37">
        <v>3</v>
      </c>
      <c r="H1303" s="37">
        <v>3</v>
      </c>
      <c r="I1303" s="41" t="str">
        <f>VLOOKUP(B1303,辅助信息!E:I,3,FALSE)</f>
        <v>（华西简阳西城嘉苑）四川省成都市简阳市简城街道高屋村</v>
      </c>
      <c r="J1303" s="41" t="str">
        <f>VLOOKUP(B1303,辅助信息!E:I,4,FALSE)</f>
        <v>张瀚镭</v>
      </c>
      <c r="K1303" s="41">
        <f>VLOOKUP(J1303,辅助信息!H:I,2,FALSE)</f>
        <v>15884666220</v>
      </c>
      <c r="L1303" s="40"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180</v>
      </c>
      <c r="Q1303" s="30" t="str">
        <f>VLOOKUP(B1303,辅助信息!E:M,9,FALSE)</f>
        <v>ZTWM-CDGS-XS-2024-0030-华西集采-简州大道</v>
      </c>
      <c r="R1303" s="119" t="str">
        <f>_xlfn._xlws.FILTER(辅助信息!D:D,辅助信息!E:E=B1303)</f>
        <v>华西简阳西城嘉苑</v>
      </c>
    </row>
    <row r="1304" hidden="1" spans="2:18">
      <c r="B1304" s="41" t="s">
        <v>81</v>
      </c>
      <c r="C1304" s="71">
        <v>45777</v>
      </c>
      <c r="D1304" s="41" t="s">
        <v>146</v>
      </c>
      <c r="E1304" s="41" t="str">
        <f>VLOOKUP(F1304,辅助信息!A:B,2,FALSE)</f>
        <v>螺纹钢</v>
      </c>
      <c r="F1304" s="41" t="s">
        <v>33</v>
      </c>
      <c r="G1304" s="37">
        <v>6</v>
      </c>
      <c r="H1304" s="37">
        <v>6</v>
      </c>
      <c r="I1304" s="41" t="str">
        <f>VLOOKUP(B1304,辅助信息!E:I,3,FALSE)</f>
        <v>（华西简阳西城嘉苑）四川省成都市简阳市简城街道高屋村</v>
      </c>
      <c r="J1304" s="41" t="str">
        <f>VLOOKUP(B1304,辅助信息!E:I,4,FALSE)</f>
        <v>张瀚镭</v>
      </c>
      <c r="K1304" s="41">
        <f>VLOOKUP(J1304,辅助信息!H:I,2,FALSE)</f>
        <v>15884666220</v>
      </c>
      <c r="L1304" s="40"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180</v>
      </c>
      <c r="Q1304" s="30" t="str">
        <f>VLOOKUP(B1304,辅助信息!E:M,9,FALSE)</f>
        <v>ZTWM-CDGS-XS-2024-0030-华西集采-简州大道</v>
      </c>
      <c r="R1304" s="119" t="str">
        <f>_xlfn._xlws.FILTER(辅助信息!D:D,辅助信息!E:E=B1304)</f>
        <v>华西简阳西城嘉苑</v>
      </c>
    </row>
    <row r="1305" hidden="1" spans="2:18">
      <c r="B1305" s="41" t="s">
        <v>106</v>
      </c>
      <c r="C1305" s="71">
        <v>45777</v>
      </c>
      <c r="D1305" s="41" t="s">
        <v>146</v>
      </c>
      <c r="E1305" s="41" t="str">
        <f>VLOOKUP(F1305,辅助信息!A:B,2,FALSE)</f>
        <v>盘螺</v>
      </c>
      <c r="F1305" s="41" t="s">
        <v>49</v>
      </c>
      <c r="G1305" s="37">
        <v>12.5</v>
      </c>
      <c r="H1305" s="37" t="str">
        <f>_xlfn.XLOOKUP(C1305&amp;F1305&amp;I1305&amp;J1305,'[1]2025年已发货'!$F:$F&amp;'[1]2025年已发货'!$C:$C&amp;'[1]2025年已发货'!$G:$G&amp;'[1]2025年已发货'!$H:$H,'[1]2025年已发货'!$E:$E,"未发货")</f>
        <v>未发货</v>
      </c>
      <c r="I1305" s="41" t="str">
        <f>VLOOKUP(B1305,辅助信息!E:I,3,FALSE)</f>
        <v>（五冶钢构宜宾高县月江镇建设项目）  四川省宜宾市高县月江镇刚记超市斜对面(还阳组团沪碳二期项目)</v>
      </c>
      <c r="J1305" s="41" t="str">
        <f>VLOOKUP(B1305,辅助信息!E:I,4,FALSE)</f>
        <v>张朝亮</v>
      </c>
      <c r="K1305" s="41">
        <f>VLOOKUP(J1305,辅助信息!H:I,2,FALSE)</f>
        <v>15228205853</v>
      </c>
      <c r="L1305" s="40" t="str">
        <f>VLOOKUP(B1305,辅助信息!E:J,6,FALSE)</f>
        <v>提前联系到场规格</v>
      </c>
      <c r="M1305" s="92">
        <v>45778</v>
      </c>
      <c r="O1305" s="63">
        <f ca="1" t="shared" si="59"/>
        <v>0</v>
      </c>
      <c r="P1305" s="63">
        <f ca="1" t="shared" si="60"/>
        <v>181</v>
      </c>
      <c r="Q1305" s="30"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1" t="s">
        <v>106</v>
      </c>
      <c r="C1306" s="71">
        <v>45777</v>
      </c>
      <c r="D1306" s="41" t="s">
        <v>146</v>
      </c>
      <c r="E1306" s="41" t="str">
        <f>VLOOKUP(F1306,辅助信息!A:B,2,FALSE)</f>
        <v>盘螺</v>
      </c>
      <c r="F1306" s="41" t="s">
        <v>40</v>
      </c>
      <c r="G1306" s="37">
        <v>25</v>
      </c>
      <c r="H1306" s="37">
        <f>_xlfn.XLOOKUP(C1306&amp;F1306&amp;I1306&amp;J1306,'[1]2025年已发货'!$F:$F&amp;'[1]2025年已发货'!$C:$C&amp;'[1]2025年已发货'!$G:$G&amp;'[1]2025年已发货'!$H:$H,'[1]2025年已发货'!$E:$E,"未发货")</f>
        <v>25</v>
      </c>
      <c r="I1306" s="41" t="str">
        <f>VLOOKUP(B1306,辅助信息!E:I,3,FALSE)</f>
        <v>（五冶钢构宜宾高县月江镇建设项目）  四川省宜宾市高县月江镇刚记超市斜对面(还阳组团沪碳二期项目)</v>
      </c>
      <c r="J1306" s="41" t="str">
        <f>VLOOKUP(B1306,辅助信息!E:I,4,FALSE)</f>
        <v>张朝亮</v>
      </c>
      <c r="K1306" s="41">
        <f>VLOOKUP(J1306,辅助信息!H:I,2,FALSE)</f>
        <v>15228205853</v>
      </c>
      <c r="L1306" s="40" t="str">
        <f>VLOOKUP(B1306,辅助信息!E:J,6,FALSE)</f>
        <v>提前联系到场规格</v>
      </c>
      <c r="M1306" s="92">
        <v>45778</v>
      </c>
      <c r="O1306" s="63">
        <f ca="1" t="shared" si="59"/>
        <v>0</v>
      </c>
      <c r="P1306" s="63">
        <f ca="1" t="shared" si="60"/>
        <v>181</v>
      </c>
      <c r="Q1306" s="30"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1" t="s">
        <v>106</v>
      </c>
      <c r="C1307" s="71">
        <v>45777</v>
      </c>
      <c r="D1307" s="41" t="s">
        <v>146</v>
      </c>
      <c r="E1307" s="41" t="str">
        <f>VLOOKUP(F1307,辅助信息!A:B,2,FALSE)</f>
        <v>盘螺</v>
      </c>
      <c r="F1307" s="41" t="s">
        <v>41</v>
      </c>
      <c r="G1307" s="37">
        <v>2.5</v>
      </c>
      <c r="H1307" s="37" t="str">
        <f>_xlfn.XLOOKUP(C1307&amp;F1307&amp;I1307&amp;J1307,'[1]2025年已发货'!$F:$F&amp;'[1]2025年已发货'!$C:$C&amp;'[1]2025年已发货'!$G:$G&amp;'[1]2025年已发货'!$H:$H,'[1]2025年已发货'!$E:$E,"未发货")</f>
        <v>未发货</v>
      </c>
      <c r="I1307" s="41" t="str">
        <f>VLOOKUP(B1307,辅助信息!E:I,3,FALSE)</f>
        <v>（五冶钢构宜宾高县月江镇建设项目）  四川省宜宾市高县月江镇刚记超市斜对面(还阳组团沪碳二期项目)</v>
      </c>
      <c r="J1307" s="41" t="str">
        <f>VLOOKUP(B1307,辅助信息!E:I,4,FALSE)</f>
        <v>张朝亮</v>
      </c>
      <c r="K1307" s="41">
        <f>VLOOKUP(J1307,辅助信息!H:I,2,FALSE)</f>
        <v>15228205853</v>
      </c>
      <c r="L1307" s="40" t="str">
        <f>VLOOKUP(B1307,辅助信息!E:J,6,FALSE)</f>
        <v>提前联系到场规格</v>
      </c>
      <c r="M1307" s="92">
        <v>45778</v>
      </c>
      <c r="O1307" s="63">
        <f ca="1" t="shared" si="59"/>
        <v>0</v>
      </c>
      <c r="P1307" s="63">
        <f ca="1" t="shared" si="60"/>
        <v>181</v>
      </c>
      <c r="Q1307" s="30"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1" t="s">
        <v>106</v>
      </c>
      <c r="C1308" s="71">
        <v>45777</v>
      </c>
      <c r="D1308" s="41" t="s">
        <v>146</v>
      </c>
      <c r="E1308" s="41" t="str">
        <f>VLOOKUP(F1308,辅助信息!A:B,2,FALSE)</f>
        <v>螺纹钢</v>
      </c>
      <c r="F1308" s="41" t="s">
        <v>19</v>
      </c>
      <c r="G1308" s="37">
        <v>6</v>
      </c>
      <c r="H1308" s="37" t="str">
        <f>_xlfn.XLOOKUP(C1308&amp;F1308&amp;I1308&amp;J1308,'[1]2025年已发货'!$F:$F&amp;'[1]2025年已发货'!$C:$C&amp;'[1]2025年已发货'!$G:$G&amp;'[1]2025年已发货'!$H:$H,'[1]2025年已发货'!$E:$E,"未发货")</f>
        <v>未发货</v>
      </c>
      <c r="I1308" s="41" t="str">
        <f>VLOOKUP(B1308,辅助信息!E:I,3,FALSE)</f>
        <v>（五冶钢构宜宾高县月江镇建设项目）  四川省宜宾市高县月江镇刚记超市斜对面(还阳组团沪碳二期项目)</v>
      </c>
      <c r="J1308" s="41" t="str">
        <f>VLOOKUP(B1308,辅助信息!E:I,4,FALSE)</f>
        <v>张朝亮</v>
      </c>
      <c r="K1308" s="41">
        <f>VLOOKUP(J1308,辅助信息!H:I,2,FALSE)</f>
        <v>15228205853</v>
      </c>
      <c r="L1308" s="40" t="str">
        <f>VLOOKUP(B1308,辅助信息!E:J,6,FALSE)</f>
        <v>提前联系到场规格</v>
      </c>
      <c r="M1308" s="92">
        <v>45778</v>
      </c>
      <c r="O1308" s="63">
        <f ca="1" t="shared" si="59"/>
        <v>0</v>
      </c>
      <c r="P1308" s="63">
        <f ca="1" t="shared" si="60"/>
        <v>181</v>
      </c>
      <c r="Q1308" s="30"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1" t="s">
        <v>106</v>
      </c>
      <c r="C1309" s="71">
        <v>45777</v>
      </c>
      <c r="D1309" s="41" t="s">
        <v>146</v>
      </c>
      <c r="E1309" s="41" t="str">
        <f>VLOOKUP(F1309,辅助信息!A:B,2,FALSE)</f>
        <v>螺纹钢</v>
      </c>
      <c r="F1309" s="41" t="s">
        <v>32</v>
      </c>
      <c r="G1309" s="37">
        <v>14</v>
      </c>
      <c r="H1309" s="37">
        <f>_xlfn.XLOOKUP(C1309&amp;F1309&amp;I1309&amp;J1309,'[1]2025年已发货'!$F:$F&amp;'[1]2025年已发货'!$C:$C&amp;'[1]2025年已发货'!$G:$G&amp;'[1]2025年已发货'!$H:$H,'[1]2025年已发货'!$E:$E,"未发货")</f>
        <v>12</v>
      </c>
      <c r="I1309" s="41" t="str">
        <f>VLOOKUP(B1309,辅助信息!E:I,3,FALSE)</f>
        <v>（五冶钢构宜宾高县月江镇建设项目）  四川省宜宾市高县月江镇刚记超市斜对面(还阳组团沪碳二期项目)</v>
      </c>
      <c r="J1309" s="41" t="str">
        <f>VLOOKUP(B1309,辅助信息!E:I,4,FALSE)</f>
        <v>张朝亮</v>
      </c>
      <c r="K1309" s="41">
        <f>VLOOKUP(J1309,辅助信息!H:I,2,FALSE)</f>
        <v>15228205853</v>
      </c>
      <c r="L1309" s="40" t="str">
        <f>VLOOKUP(B1309,辅助信息!E:J,6,FALSE)</f>
        <v>提前联系到场规格</v>
      </c>
      <c r="M1309" s="92">
        <v>45778</v>
      </c>
      <c r="O1309" s="63">
        <f ca="1" t="shared" si="59"/>
        <v>0</v>
      </c>
      <c r="P1309" s="63">
        <f ca="1" t="shared" si="60"/>
        <v>181</v>
      </c>
      <c r="Q1309" s="30"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1" t="s">
        <v>106</v>
      </c>
      <c r="C1310" s="71">
        <v>45777</v>
      </c>
      <c r="D1310" s="41" t="s">
        <v>146</v>
      </c>
      <c r="E1310" s="41" t="str">
        <f>VLOOKUP(F1310,辅助信息!A:B,2,FALSE)</f>
        <v>螺纹钢</v>
      </c>
      <c r="F1310" s="41" t="s">
        <v>30</v>
      </c>
      <c r="G1310" s="37">
        <v>9</v>
      </c>
      <c r="H1310" s="37" t="str">
        <f>_xlfn.XLOOKUP(C1310&amp;F1310&amp;I1310&amp;J1310,'[1]2025年已发货'!$F:$F&amp;'[1]2025年已发货'!$C:$C&amp;'[1]2025年已发货'!$G:$G&amp;'[1]2025年已发货'!$H:$H,'[1]2025年已发货'!$E:$E,"未发货")</f>
        <v>未发货</v>
      </c>
      <c r="I1310" s="41" t="str">
        <f>VLOOKUP(B1310,辅助信息!E:I,3,FALSE)</f>
        <v>（五冶钢构宜宾高县月江镇建设项目）  四川省宜宾市高县月江镇刚记超市斜对面(还阳组团沪碳二期项目)</v>
      </c>
      <c r="J1310" s="41" t="str">
        <f>VLOOKUP(B1310,辅助信息!E:I,4,FALSE)</f>
        <v>张朝亮</v>
      </c>
      <c r="K1310" s="41">
        <f>VLOOKUP(J1310,辅助信息!H:I,2,FALSE)</f>
        <v>15228205853</v>
      </c>
      <c r="L1310" s="40" t="str">
        <f>VLOOKUP(B1310,辅助信息!E:J,6,FALSE)</f>
        <v>提前联系到场规格</v>
      </c>
      <c r="M1310" s="92">
        <v>45778</v>
      </c>
      <c r="O1310" s="63">
        <f ca="1" t="shared" si="59"/>
        <v>0</v>
      </c>
      <c r="P1310" s="63">
        <f ca="1" t="shared" si="60"/>
        <v>181</v>
      </c>
      <c r="Q1310" s="30"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1" t="s">
        <v>107</v>
      </c>
      <c r="C1311" s="71">
        <v>45777</v>
      </c>
      <c r="D1311" s="41" t="s">
        <v>146</v>
      </c>
      <c r="E1311" s="41" t="str">
        <f>VLOOKUP(F1311,辅助信息!A:B,2,FALSE)</f>
        <v>盘螺</v>
      </c>
      <c r="F1311" s="41" t="s">
        <v>41</v>
      </c>
      <c r="G1311" s="37">
        <v>12</v>
      </c>
      <c r="H1311" s="37">
        <f>_xlfn.XLOOKUP(C1311&amp;F1311&amp;I1311&amp;J1311,'[1]2025年已发货'!$F:$F&amp;'[1]2025年已发货'!$C:$C&amp;'[1]2025年已发货'!$G:$G&amp;'[1]2025年已发货'!$H:$H,'[1]2025年已发货'!$E:$E,"未发货")</f>
        <v>12</v>
      </c>
      <c r="I1311" s="41" t="str">
        <f>VLOOKUP(B1311,辅助信息!E:I,3,FALSE)</f>
        <v>(五冶钢构宜宾高县月江镇建设项目-2)四川省宜宾市高县月江镇高县宜宾保润汽车维修服务有限公司西南(S436西)(污水管网项目)</v>
      </c>
      <c r="J1311" s="41" t="str">
        <f>VLOOKUP(B1311,辅助信息!E:I,4,FALSE)</f>
        <v>张朝亮</v>
      </c>
      <c r="K1311" s="41">
        <f>VLOOKUP(J1311,辅助信息!H:I,2,FALSE)</f>
        <v>15228205853</v>
      </c>
      <c r="L1311" s="40" t="str">
        <f>VLOOKUP(B1311,辅助信息!E:J,6,FALSE)</f>
        <v>提前联系到场规格</v>
      </c>
      <c r="M1311" s="92">
        <v>45778</v>
      </c>
      <c r="O1311" s="63">
        <f ca="1" t="shared" si="59"/>
        <v>0</v>
      </c>
      <c r="P1311" s="63">
        <f ca="1" t="shared" si="60"/>
        <v>181</v>
      </c>
      <c r="Q1311" s="30"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1" t="s">
        <v>107</v>
      </c>
      <c r="C1312" s="71">
        <v>45777</v>
      </c>
      <c r="D1312" s="41" t="s">
        <v>146</v>
      </c>
      <c r="E1312" s="41" t="str">
        <f>VLOOKUP(F1312,辅助信息!A:B,2,FALSE)</f>
        <v>螺纹钢</v>
      </c>
      <c r="F1312" s="41" t="s">
        <v>18</v>
      </c>
      <c r="G1312" s="37">
        <v>21</v>
      </c>
      <c r="H1312" s="37">
        <f>_xlfn.XLOOKUP(C1312&amp;F1312&amp;I1312&amp;J1312,'[1]2025年已发货'!$F:$F&amp;'[1]2025年已发货'!$C:$C&amp;'[1]2025年已发货'!$G:$G&amp;'[1]2025年已发货'!$H:$H,'[1]2025年已发货'!$E:$E,"未发货")</f>
        <v>21</v>
      </c>
      <c r="I1312" s="41" t="str">
        <f>VLOOKUP(B1312,辅助信息!E:I,3,FALSE)</f>
        <v>(五冶钢构宜宾高县月江镇建设项目-2)四川省宜宾市高县月江镇高县宜宾保润汽车维修服务有限公司西南(S436西)(污水管网项目)</v>
      </c>
      <c r="J1312" s="41" t="str">
        <f>VLOOKUP(B1312,辅助信息!E:I,4,FALSE)</f>
        <v>张朝亮</v>
      </c>
      <c r="K1312" s="41">
        <f>VLOOKUP(J1312,辅助信息!H:I,2,FALSE)</f>
        <v>15228205853</v>
      </c>
      <c r="L1312" s="40" t="str">
        <f>VLOOKUP(B1312,辅助信息!E:J,6,FALSE)</f>
        <v>提前联系到场规格</v>
      </c>
      <c r="M1312" s="92">
        <v>45778</v>
      </c>
      <c r="O1312" s="63">
        <f ca="1" t="shared" si="59"/>
        <v>0</v>
      </c>
      <c r="P1312" s="63">
        <f ca="1" t="shared" si="60"/>
        <v>181</v>
      </c>
      <c r="Q1312" s="30"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1" t="s">
        <v>127</v>
      </c>
      <c r="C1313" s="71">
        <v>45777</v>
      </c>
      <c r="D1313" s="41" t="s">
        <v>146</v>
      </c>
      <c r="E1313" s="41" t="str">
        <f>VLOOKUP(F1313,辅助信息!A:B,2,FALSE)</f>
        <v>盘螺</v>
      </c>
      <c r="F1313" s="41" t="s">
        <v>49</v>
      </c>
      <c r="G1313" s="37">
        <v>12</v>
      </c>
      <c r="H1313" s="37" t="str">
        <f>_xlfn.XLOOKUP(C1313&amp;F1313&amp;I1313&amp;J1313,'[1]2025年已发货'!$F:$F&amp;'[1]2025年已发货'!$C:$C&amp;'[1]2025年已发货'!$G:$G&amp;'[1]2025年已发货'!$H:$H,'[1]2025年已发货'!$E:$E,"未发货")</f>
        <v>未发货</v>
      </c>
      <c r="I1313" s="41" t="str">
        <f>VLOOKUP(B1313,辅助信息!E:I,3,FALSE)</f>
        <v>(五冶钢构医学科学产业园建设项目房建三部-管网总坪)四川省南充市顺庆区搬罾街道学府大道二段</v>
      </c>
      <c r="J1313" s="41" t="str">
        <f>VLOOKUP(B1313,辅助信息!E:I,4,FALSE)</f>
        <v>郑林</v>
      </c>
      <c r="K1313" s="41">
        <f>VLOOKUP(J1313,辅助信息!H:I,2,FALSE)</f>
        <v>18349955455</v>
      </c>
      <c r="L1313" s="40"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179</v>
      </c>
      <c r="Q1313" s="30" t="str">
        <f>VLOOKUP(B1313,辅助信息!E:M,9,FALSE)</f>
        <v>ZTWM-CDGS-XS-2024-0248-五冶钢构-南充市医学院项目</v>
      </c>
      <c r="R1313" s="119" t="str">
        <f>_xlfn._xlws.FILTER(辅助信息!D:D,辅助信息!E:E=B1313)</f>
        <v>五冶钢构南充医学科学产业园建设项目</v>
      </c>
    </row>
    <row r="1314" hidden="1" spans="2:18">
      <c r="B1314" s="41" t="s">
        <v>127</v>
      </c>
      <c r="C1314" s="71">
        <v>45777</v>
      </c>
      <c r="D1314" s="41" t="s">
        <v>146</v>
      </c>
      <c r="E1314" s="41" t="str">
        <f>VLOOKUP(F1314,辅助信息!A:B,2,FALSE)</f>
        <v>盘螺</v>
      </c>
      <c r="F1314" s="41" t="s">
        <v>41</v>
      </c>
      <c r="G1314" s="37">
        <v>10</v>
      </c>
      <c r="H1314" s="37" t="str">
        <f>_xlfn.XLOOKUP(C1314&amp;F1314&amp;I1314&amp;J1314,'[1]2025年已发货'!$F:$F&amp;'[1]2025年已发货'!$C:$C&amp;'[1]2025年已发货'!$G:$G&amp;'[1]2025年已发货'!$H:$H,'[1]2025年已发货'!$E:$E,"未发货")</f>
        <v>未发货</v>
      </c>
      <c r="I1314" s="41" t="str">
        <f>VLOOKUP(B1314,辅助信息!E:I,3,FALSE)</f>
        <v>(五冶钢构医学科学产业园建设项目房建三部-管网总坪)四川省南充市顺庆区搬罾街道学府大道二段</v>
      </c>
      <c r="J1314" s="41" t="str">
        <f>VLOOKUP(B1314,辅助信息!E:I,4,FALSE)</f>
        <v>郑林</v>
      </c>
      <c r="K1314" s="41">
        <f>VLOOKUP(J1314,辅助信息!H:I,2,FALSE)</f>
        <v>18349955455</v>
      </c>
      <c r="L1314" s="40"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179</v>
      </c>
      <c r="Q1314" s="30" t="str">
        <f>VLOOKUP(B1314,辅助信息!E:M,9,FALSE)</f>
        <v>ZTWM-CDGS-XS-2024-0248-五冶钢构-南充市医学院项目</v>
      </c>
      <c r="R1314" s="119" t="str">
        <f>_xlfn._xlws.FILTER(辅助信息!D:D,辅助信息!E:E=B1314)</f>
        <v>五冶钢构南充医学科学产业园建设项目</v>
      </c>
    </row>
    <row r="1315" hidden="1" spans="2:18">
      <c r="B1315" s="41" t="s">
        <v>127</v>
      </c>
      <c r="C1315" s="71">
        <v>45777</v>
      </c>
      <c r="D1315" s="41" t="s">
        <v>146</v>
      </c>
      <c r="E1315" s="41" t="str">
        <f>VLOOKUP(F1315,辅助信息!A:B,2,FALSE)</f>
        <v>螺纹钢</v>
      </c>
      <c r="F1315" s="41" t="s">
        <v>27</v>
      </c>
      <c r="G1315" s="37">
        <v>13</v>
      </c>
      <c r="H1315" s="37" t="str">
        <f>_xlfn.XLOOKUP(C1315&amp;F1315&amp;I1315&amp;J1315,'[1]2025年已发货'!$F:$F&amp;'[1]2025年已发货'!$C:$C&amp;'[1]2025年已发货'!$G:$G&amp;'[1]2025年已发货'!$H:$H,'[1]2025年已发货'!$E:$E,"未发货")</f>
        <v>未发货</v>
      </c>
      <c r="I1315" s="41" t="str">
        <f>VLOOKUP(B1315,辅助信息!E:I,3,FALSE)</f>
        <v>(五冶钢构医学科学产业园建设项目房建三部-管网总坪)四川省南充市顺庆区搬罾街道学府大道二段</v>
      </c>
      <c r="J1315" s="41" t="str">
        <f>VLOOKUP(B1315,辅助信息!E:I,4,FALSE)</f>
        <v>郑林</v>
      </c>
      <c r="K1315" s="41">
        <f>VLOOKUP(J1315,辅助信息!H:I,2,FALSE)</f>
        <v>18349955455</v>
      </c>
      <c r="L1315" s="40"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179</v>
      </c>
      <c r="Q1315" s="30" t="str">
        <f>VLOOKUP(B1315,辅助信息!E:M,9,FALSE)</f>
        <v>ZTWM-CDGS-XS-2024-0248-五冶钢构-南充市医学院项目</v>
      </c>
      <c r="R1315" s="119" t="str">
        <f>_xlfn._xlws.FILTER(辅助信息!D:D,辅助信息!E:E=B1315)</f>
        <v>五冶钢构南充医学科学产业园建设项目</v>
      </c>
    </row>
    <row r="1316" hidden="1" spans="2:18">
      <c r="B1316" s="41" t="s">
        <v>31</v>
      </c>
      <c r="C1316" s="71">
        <v>45778</v>
      </c>
      <c r="D1316" s="41" t="str">
        <f>VLOOKUP(B1316,辅助信息!E:K,7,FALSE)</f>
        <v>JWDDCD2024121000136</v>
      </c>
      <c r="E1316" s="41" t="str">
        <f>VLOOKUP(F1316,辅助信息!A:B,2,FALSE)</f>
        <v>高线</v>
      </c>
      <c r="F1316" s="41" t="s">
        <v>51</v>
      </c>
      <c r="G1316" s="37">
        <v>2.5</v>
      </c>
      <c r="H1316" s="37" t="str">
        <f>_xlfn.XLOOKUP(C1316&amp;F1316&amp;I1316&amp;J1316,'[1]2025年已发货'!$F:$F&amp;'[1]2025年已发货'!$C:$C&amp;'[1]2025年已发货'!$G:$G&amp;'[1]2025年已发货'!$H:$H,'[1]2025年已发货'!$E:$E,"未发货")</f>
        <v>未发货</v>
      </c>
      <c r="I1316" s="41" t="str">
        <f>VLOOKUP(B1316,辅助信息!E:I,3,FALSE)</f>
        <v>（四川商建-射洪城乡一体化项目）遂宁市射洪市忠新幼儿园北侧约220米新溪小区</v>
      </c>
      <c r="J1316" s="41" t="str">
        <f>VLOOKUP(B1316,辅助信息!E:I,4,FALSE)</f>
        <v>柏子刚</v>
      </c>
      <c r="K1316" s="41">
        <f>VLOOKUP(J1316,辅助信息!H:I,2,FALSE)</f>
        <v>15692885305</v>
      </c>
      <c r="L1316" s="110" t="str">
        <f>VLOOKUP(B1316,辅助信息!E:J,6,FALSE)</f>
        <v>提前联系到场规格及数量</v>
      </c>
      <c r="M1316" s="92">
        <v>45779</v>
      </c>
      <c r="O1316" s="63">
        <f ca="1" t="shared" si="59"/>
        <v>0</v>
      </c>
      <c r="P1316" s="63">
        <f ca="1" t="shared" si="60"/>
        <v>180</v>
      </c>
      <c r="Q1316" s="30" t="str">
        <f>VLOOKUP(B1316,辅助信息!E:M,9,FALSE)</f>
        <v>ZTWM-CDGS-XS-2024-0179-四川商投-射洪城乡一体化建设项目</v>
      </c>
      <c r="R1316" s="119" t="str">
        <f>_xlfn._xlws.FILTER(辅助信息!D:D,辅助信息!E:E=B1316)</f>
        <v>四川商建
射洪城乡一体化项目</v>
      </c>
    </row>
    <row r="1317" hidden="1" spans="2:18">
      <c r="B1317" s="41" t="s">
        <v>31</v>
      </c>
      <c r="C1317" s="71">
        <v>45778</v>
      </c>
      <c r="D1317" s="41" t="str">
        <f>VLOOKUP(B1317,辅助信息!E:K,7,FALSE)</f>
        <v>JWDDCD2024121000136</v>
      </c>
      <c r="E1317" s="41" t="str">
        <f>VLOOKUP(F1317,辅助信息!A:B,2,FALSE)</f>
        <v>盘螺</v>
      </c>
      <c r="F1317" s="41" t="s">
        <v>41</v>
      </c>
      <c r="G1317" s="37">
        <v>32.5</v>
      </c>
      <c r="H1317" s="37" t="str">
        <f>_xlfn.XLOOKUP(C1317&amp;F1317&amp;I1317&amp;J1317,'[1]2025年已发货'!$F:$F&amp;'[1]2025年已发货'!$C:$C&amp;'[1]2025年已发货'!$G:$G&amp;'[1]2025年已发货'!$H:$H,'[1]2025年已发货'!$E:$E,"未发货")</f>
        <v>未发货</v>
      </c>
      <c r="I1317" s="41" t="str">
        <f>VLOOKUP(B1317,辅助信息!E:I,3,FALSE)</f>
        <v>（四川商建-射洪城乡一体化项目）遂宁市射洪市忠新幼儿园北侧约220米新溪小区</v>
      </c>
      <c r="J1317" s="41" t="str">
        <f>VLOOKUP(B1317,辅助信息!E:I,4,FALSE)</f>
        <v>柏子刚</v>
      </c>
      <c r="K1317" s="41">
        <f>VLOOKUP(J1317,辅助信息!H:I,2,FALSE)</f>
        <v>15692885305</v>
      </c>
      <c r="L1317" s="110" t="str">
        <f>VLOOKUP(B1317,辅助信息!E:J,6,FALSE)</f>
        <v>提前联系到场规格及数量</v>
      </c>
      <c r="M1317" s="92">
        <v>45779</v>
      </c>
      <c r="O1317" s="63">
        <f ca="1" t="shared" si="59"/>
        <v>0</v>
      </c>
      <c r="P1317" s="63">
        <f ca="1" t="shared" si="60"/>
        <v>180</v>
      </c>
      <c r="Q1317" s="30" t="str">
        <f>VLOOKUP(B1317,辅助信息!E:M,9,FALSE)</f>
        <v>ZTWM-CDGS-XS-2024-0179-四川商投-射洪城乡一体化建设项目</v>
      </c>
      <c r="R1317" s="119" t="str">
        <f>_xlfn._xlws.FILTER(辅助信息!D:D,辅助信息!E:E=B1317)</f>
        <v>四川商建
射洪城乡一体化项目</v>
      </c>
    </row>
    <row r="1318" hidden="1" spans="2:18">
      <c r="B1318" s="41" t="s">
        <v>31</v>
      </c>
      <c r="C1318" s="71">
        <v>45778</v>
      </c>
      <c r="D1318" s="41" t="str">
        <f>VLOOKUP(B1318,辅助信息!E:K,7,FALSE)</f>
        <v>JWDDCD2024121000136</v>
      </c>
      <c r="E1318" s="41" t="str">
        <f>VLOOKUP(F1318,辅助信息!A:B,2,FALSE)</f>
        <v>螺纹钢</v>
      </c>
      <c r="F1318" s="41" t="s">
        <v>27</v>
      </c>
      <c r="G1318" s="37">
        <v>15</v>
      </c>
      <c r="H1318" s="37">
        <f>_xlfn.XLOOKUP(C1318&amp;F1318&amp;I1318&amp;J1318,'[1]2025年已发货'!$F:$F&amp;'[1]2025年已发货'!$C:$C&amp;'[1]2025年已发货'!$G:$G&amp;'[1]2025年已发货'!$H:$H,'[1]2025年已发货'!$E:$E,"未发货")</f>
        <v>15</v>
      </c>
      <c r="I1318" s="41" t="str">
        <f>VLOOKUP(B1318,辅助信息!E:I,3,FALSE)</f>
        <v>（四川商建-射洪城乡一体化项目）遂宁市射洪市忠新幼儿园北侧约220米新溪小区</v>
      </c>
      <c r="J1318" s="41" t="str">
        <f>VLOOKUP(B1318,辅助信息!E:I,4,FALSE)</f>
        <v>柏子刚</v>
      </c>
      <c r="K1318" s="41">
        <f>VLOOKUP(J1318,辅助信息!H:I,2,FALSE)</f>
        <v>15692885305</v>
      </c>
      <c r="L1318" s="110" t="str">
        <f>VLOOKUP(B1318,辅助信息!E:J,6,FALSE)</f>
        <v>提前联系到场规格及数量</v>
      </c>
      <c r="M1318" s="92">
        <v>45779</v>
      </c>
      <c r="O1318" s="63">
        <f ca="1" t="shared" si="59"/>
        <v>0</v>
      </c>
      <c r="P1318" s="63">
        <f ca="1" t="shared" si="60"/>
        <v>180</v>
      </c>
      <c r="Q1318" s="30" t="str">
        <f>VLOOKUP(B1318,辅助信息!E:M,9,FALSE)</f>
        <v>ZTWM-CDGS-XS-2024-0179-四川商投-射洪城乡一体化建设项目</v>
      </c>
      <c r="R1318" s="119" t="str">
        <f>_xlfn._xlws.FILTER(辅助信息!D:D,辅助信息!E:E=B1318)</f>
        <v>四川商建
射洪城乡一体化项目</v>
      </c>
    </row>
    <row r="1319" hidden="1" spans="2:18">
      <c r="B1319" s="41" t="s">
        <v>31</v>
      </c>
      <c r="C1319" s="71">
        <v>45778</v>
      </c>
      <c r="D1319" s="41" t="str">
        <f>VLOOKUP(B1319,辅助信息!E:K,7,FALSE)</f>
        <v>JWDDCD2024121000136</v>
      </c>
      <c r="E1319" s="41" t="str">
        <f>VLOOKUP(F1319,辅助信息!A:B,2,FALSE)</f>
        <v>螺纹钢</v>
      </c>
      <c r="F1319" s="41" t="s">
        <v>30</v>
      </c>
      <c r="G1319" s="37">
        <v>12</v>
      </c>
      <c r="H1319" s="37">
        <f>_xlfn.XLOOKUP(C1319&amp;F1319&amp;I1319&amp;J1319,'[1]2025年已发货'!$F:$F&amp;'[1]2025年已发货'!$C:$C&amp;'[1]2025年已发货'!$G:$G&amp;'[1]2025年已发货'!$H:$H,'[1]2025年已发货'!$E:$E,"未发货")</f>
        <v>12</v>
      </c>
      <c r="I1319" s="41" t="str">
        <f>VLOOKUP(B1319,辅助信息!E:I,3,FALSE)</f>
        <v>（四川商建-射洪城乡一体化项目）遂宁市射洪市忠新幼儿园北侧约220米新溪小区</v>
      </c>
      <c r="J1319" s="41" t="str">
        <f>VLOOKUP(B1319,辅助信息!E:I,4,FALSE)</f>
        <v>柏子刚</v>
      </c>
      <c r="K1319" s="41">
        <f>VLOOKUP(J1319,辅助信息!H:I,2,FALSE)</f>
        <v>15692885305</v>
      </c>
      <c r="L1319" s="110" t="str">
        <f>VLOOKUP(B1319,辅助信息!E:J,6,FALSE)</f>
        <v>提前联系到场规格及数量</v>
      </c>
      <c r="M1319" s="92">
        <v>45779</v>
      </c>
      <c r="O1319" s="63">
        <f ca="1" t="shared" si="59"/>
        <v>0</v>
      </c>
      <c r="P1319" s="63">
        <f ca="1" t="shared" si="60"/>
        <v>180</v>
      </c>
      <c r="Q1319" s="30" t="str">
        <f>VLOOKUP(B1319,辅助信息!E:M,9,FALSE)</f>
        <v>ZTWM-CDGS-XS-2024-0179-四川商投-射洪城乡一体化建设项目</v>
      </c>
      <c r="R1319" s="119" t="str">
        <f>_xlfn._xlws.FILTER(辅助信息!D:D,辅助信息!E:E=B1319)</f>
        <v>四川商建
射洪城乡一体化项目</v>
      </c>
    </row>
    <row r="1320" hidden="1" spans="2:18">
      <c r="B1320" s="41" t="s">
        <v>31</v>
      </c>
      <c r="C1320" s="71">
        <v>45778</v>
      </c>
      <c r="D1320" s="41" t="str">
        <f>VLOOKUP(B1320,辅助信息!E:K,7,FALSE)</f>
        <v>JWDDCD2024121000136</v>
      </c>
      <c r="E1320" s="41" t="str">
        <f>VLOOKUP(F1320,辅助信息!A:B,2,FALSE)</f>
        <v>螺纹钢</v>
      </c>
      <c r="F1320" s="41" t="s">
        <v>66</v>
      </c>
      <c r="G1320" s="37">
        <v>9</v>
      </c>
      <c r="H1320" s="37">
        <f>_xlfn.XLOOKUP(C1320&amp;F1320&amp;I1320&amp;J1320,'[1]2025年已发货'!$F:$F&amp;'[1]2025年已发货'!$C:$C&amp;'[1]2025年已发货'!$G:$G&amp;'[1]2025年已发货'!$H:$H,'[1]2025年已发货'!$E:$E,"未发货")</f>
        <v>9</v>
      </c>
      <c r="I1320" s="41" t="str">
        <f>VLOOKUP(B1320,辅助信息!E:I,3,FALSE)</f>
        <v>（四川商建-射洪城乡一体化项目）遂宁市射洪市忠新幼儿园北侧约220米新溪小区</v>
      </c>
      <c r="J1320" s="41" t="str">
        <f>VLOOKUP(B1320,辅助信息!E:I,4,FALSE)</f>
        <v>柏子刚</v>
      </c>
      <c r="K1320" s="41">
        <f>VLOOKUP(J1320,辅助信息!H:I,2,FALSE)</f>
        <v>15692885305</v>
      </c>
      <c r="L1320" s="110" t="str">
        <f>VLOOKUP(B1320,辅助信息!E:J,6,FALSE)</f>
        <v>提前联系到场规格及数量</v>
      </c>
      <c r="M1320" s="92">
        <v>45779</v>
      </c>
      <c r="O1320" s="63">
        <f ca="1" t="shared" si="59"/>
        <v>0</v>
      </c>
      <c r="P1320" s="63">
        <f ca="1" t="shared" si="60"/>
        <v>180</v>
      </c>
      <c r="Q1320" s="30" t="str">
        <f>VLOOKUP(B1320,辅助信息!E:M,9,FALSE)</f>
        <v>ZTWM-CDGS-XS-2024-0179-四川商投-射洪城乡一体化建设项目</v>
      </c>
      <c r="R1320" s="119" t="str">
        <f>_xlfn._xlws.FILTER(辅助信息!D:D,辅助信息!E:E=B1320)</f>
        <v>四川商建
射洪城乡一体化项目</v>
      </c>
    </row>
    <row r="1321" hidden="1" spans="2:18">
      <c r="B1321" s="41" t="s">
        <v>31</v>
      </c>
      <c r="C1321" s="71">
        <v>45778</v>
      </c>
      <c r="D1321" s="41" t="str">
        <f>VLOOKUP(B1321,辅助信息!E:K,7,FALSE)</f>
        <v>JWDDCD2024121000136</v>
      </c>
      <c r="E1321" s="41" t="str">
        <f>VLOOKUP(F1321,辅助信息!A:B,2,FALSE)</f>
        <v>螺纹钢</v>
      </c>
      <c r="F1321" s="41" t="s">
        <v>21</v>
      </c>
      <c r="G1321" s="37">
        <v>3</v>
      </c>
      <c r="H1321" s="37">
        <f>_xlfn.XLOOKUP(C1321&amp;F1321&amp;I1321&amp;J1321,'[1]2025年已发货'!$F:$F&amp;'[1]2025年已发货'!$C:$C&amp;'[1]2025年已发货'!$G:$G&amp;'[1]2025年已发货'!$H:$H,'[1]2025年已发货'!$E:$E,"未发货")</f>
        <v>3</v>
      </c>
      <c r="I1321" s="41" t="str">
        <f>VLOOKUP(B1321,辅助信息!E:I,3,FALSE)</f>
        <v>（四川商建-射洪城乡一体化项目）遂宁市射洪市忠新幼儿园北侧约220米新溪小区</v>
      </c>
      <c r="J1321" s="41" t="str">
        <f>VLOOKUP(B1321,辅助信息!E:I,4,FALSE)</f>
        <v>柏子刚</v>
      </c>
      <c r="K1321" s="41">
        <f>VLOOKUP(J1321,辅助信息!H:I,2,FALSE)</f>
        <v>15692885305</v>
      </c>
      <c r="L1321" s="110" t="str">
        <f>VLOOKUP(B1321,辅助信息!E:J,6,FALSE)</f>
        <v>提前联系到场规格及数量</v>
      </c>
      <c r="M1321" s="92">
        <v>45779</v>
      </c>
      <c r="O1321" s="63">
        <f ca="1" t="shared" si="59"/>
        <v>0</v>
      </c>
      <c r="P1321" s="63">
        <f ca="1" t="shared" si="60"/>
        <v>180</v>
      </c>
      <c r="Q1321" s="30" t="str">
        <f>VLOOKUP(B1321,辅助信息!E:M,9,FALSE)</f>
        <v>ZTWM-CDGS-XS-2024-0179-四川商投-射洪城乡一体化建设项目</v>
      </c>
      <c r="R1321" s="119" t="str">
        <f>_xlfn._xlws.FILTER(辅助信息!D:D,辅助信息!E:E=B1321)</f>
        <v>四川商建
射洪城乡一体化项目</v>
      </c>
    </row>
    <row r="1322" hidden="1" spans="2:18">
      <c r="B1322" s="41" t="s">
        <v>31</v>
      </c>
      <c r="C1322" s="71">
        <v>45778</v>
      </c>
      <c r="D1322" s="41" t="str">
        <f>VLOOKUP(B1322,辅助信息!E:K,7,FALSE)</f>
        <v>JWDDCD2024121000136</v>
      </c>
      <c r="E1322" s="41" t="str">
        <f>VLOOKUP(F1322,辅助信息!A:B,2,FALSE)</f>
        <v>螺纹钢</v>
      </c>
      <c r="F1322" s="41" t="s">
        <v>22</v>
      </c>
      <c r="G1322" s="37">
        <v>60</v>
      </c>
      <c r="H1322" s="37">
        <f>_xlfn.XLOOKUP(C1322&amp;F1322&amp;I1322&amp;J1322,'[1]2025年已发货'!$F:$F&amp;'[1]2025年已发货'!$C:$C&amp;'[1]2025年已发货'!$G:$G&amp;'[1]2025年已发货'!$H:$H,'[1]2025年已发货'!$E:$E,"未发货")</f>
        <v>30</v>
      </c>
      <c r="I1322" s="41" t="str">
        <f>VLOOKUP(B1322,辅助信息!E:I,3,FALSE)</f>
        <v>（四川商建-射洪城乡一体化项目）遂宁市射洪市忠新幼儿园北侧约220米新溪小区</v>
      </c>
      <c r="J1322" s="41" t="str">
        <f>VLOOKUP(B1322,辅助信息!E:I,4,FALSE)</f>
        <v>柏子刚</v>
      </c>
      <c r="K1322" s="41">
        <f>VLOOKUP(J1322,辅助信息!H:I,2,FALSE)</f>
        <v>15692885305</v>
      </c>
      <c r="L1322" s="110" t="str">
        <f>VLOOKUP(B1322,辅助信息!E:J,6,FALSE)</f>
        <v>提前联系到场规格及数量</v>
      </c>
      <c r="M1322" s="92">
        <v>45775</v>
      </c>
      <c r="O1322" s="63">
        <f ca="1" t="shared" si="59"/>
        <v>0</v>
      </c>
      <c r="P1322" s="63">
        <f ca="1" t="shared" si="60"/>
        <v>184</v>
      </c>
      <c r="Q1322" s="30" t="str">
        <f>VLOOKUP(B1322,辅助信息!E:M,9,FALSE)</f>
        <v>ZTWM-CDGS-XS-2024-0179-四川商投-射洪城乡一体化建设项目</v>
      </c>
      <c r="R1322" s="119" t="str">
        <f>_xlfn._xlws.FILTER(辅助信息!D:D,辅助信息!E:E=B1322)</f>
        <v>四川商建
射洪城乡一体化项目</v>
      </c>
    </row>
    <row r="1323" hidden="1" spans="2:18">
      <c r="B1323" s="41" t="s">
        <v>147</v>
      </c>
      <c r="C1323" s="71">
        <v>45778</v>
      </c>
      <c r="D1323" s="41" t="str">
        <f>VLOOKUP(B1323,辅助信息!E:K,7,FALSE)</f>
        <v>JWDDCD2025052800131</v>
      </c>
      <c r="E1323" s="41" t="str">
        <f>VLOOKUP(F1323,辅助信息!A:B,2,FALSE)</f>
        <v>高线</v>
      </c>
      <c r="F1323" s="41" t="s">
        <v>57</v>
      </c>
      <c r="G1323" s="37">
        <f>2.5*3</f>
        <v>7.5</v>
      </c>
      <c r="H1323" s="37" t="str">
        <f>_xlfn.XLOOKUP(C1323&amp;F1323&amp;I1323&amp;J1323,'[1]2025年已发货'!$F:$F&amp;'[1]2025年已发货'!$C:$C&amp;'[1]2025年已发货'!$G:$G&amp;'[1]2025年已发货'!$H:$H,'[1]2025年已发货'!$E:$E,"未发货")</f>
        <v>未发货</v>
      </c>
      <c r="I1323" s="41" t="str">
        <f>VLOOKUP(B1323,辅助信息!E:I,3,FALSE)</f>
        <v>（商投建工达州中医药科技园-4工区-11号楼）达州市通川区达州中医药职业学院犀牛大道北段</v>
      </c>
      <c r="J1323" s="41" t="str">
        <f>VLOOKUP(B1323,辅助信息!E:I,4,FALSE)</f>
        <v>张扬</v>
      </c>
      <c r="K1323" s="41">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182</v>
      </c>
      <c r="Q1323" s="30" t="str">
        <f>VLOOKUP(B1323,辅助信息!E:M,9,FALSE)</f>
        <v>ZTWM-CDGS-XS-2024-0134-商投建工达州中医药科技成果示范园项目</v>
      </c>
      <c r="R1323" s="119" t="str">
        <f>_xlfn._xlws.FILTER(辅助信息!D:D,辅助信息!E:E=B1323)</f>
        <v>商投建工达州中医药科技园</v>
      </c>
    </row>
    <row r="1324" hidden="1" spans="2:18">
      <c r="B1324" s="41" t="s">
        <v>147</v>
      </c>
      <c r="C1324" s="71">
        <v>45778</v>
      </c>
      <c r="D1324" s="41" t="str">
        <f>VLOOKUP(B1324,辅助信息!E:K,7,FALSE)</f>
        <v>JWDDCD2025052800131</v>
      </c>
      <c r="E1324" s="41" t="str">
        <f>VLOOKUP(F1324,辅助信息!A:B,2,FALSE)</f>
        <v>盘螺</v>
      </c>
      <c r="F1324" s="41" t="s">
        <v>41</v>
      </c>
      <c r="G1324" s="37">
        <f>15*2.5</f>
        <v>37.5</v>
      </c>
      <c r="H1324" s="37" t="str">
        <f>_xlfn.XLOOKUP(C1324&amp;F1324&amp;I1324&amp;J1324,'[1]2025年已发货'!$F:$F&amp;'[1]2025年已发货'!$C:$C&amp;'[1]2025年已发货'!$G:$G&amp;'[1]2025年已发货'!$H:$H,'[1]2025年已发货'!$E:$E,"未发货")</f>
        <v>未发货</v>
      </c>
      <c r="I1324" s="41" t="str">
        <f>VLOOKUP(B1324,辅助信息!E:I,3,FALSE)</f>
        <v>（商投建工达州中医药科技园-4工区-11号楼）达州市通川区达州中医药职业学院犀牛大道北段</v>
      </c>
      <c r="J1324" s="41" t="str">
        <f>VLOOKUP(B1324,辅助信息!E:I,4,FALSE)</f>
        <v>张扬</v>
      </c>
      <c r="K1324" s="41">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182</v>
      </c>
      <c r="Q1324" s="30" t="str">
        <f>VLOOKUP(B1324,辅助信息!E:M,9,FALSE)</f>
        <v>ZTWM-CDGS-XS-2024-0134-商投建工达州中医药科技成果示范园项目</v>
      </c>
      <c r="R1324" s="119" t="str">
        <f>_xlfn._xlws.FILTER(辅助信息!D:D,辅助信息!E:E=B1324)</f>
        <v>商投建工达州中医药科技园</v>
      </c>
    </row>
    <row r="1325" hidden="1" spans="2:18">
      <c r="B1325" s="41" t="s">
        <v>147</v>
      </c>
      <c r="C1325" s="71">
        <v>45778</v>
      </c>
      <c r="D1325" s="41" t="str">
        <f>VLOOKUP(B1325,辅助信息!E:K,7,FALSE)</f>
        <v>JWDDCD2025052800131</v>
      </c>
      <c r="E1325" s="41" t="str">
        <f>VLOOKUP(F1325,辅助信息!A:B,2,FALSE)</f>
        <v>螺纹钢</v>
      </c>
      <c r="F1325" s="41" t="s">
        <v>27</v>
      </c>
      <c r="G1325" s="37">
        <f>7*3</f>
        <v>21</v>
      </c>
      <c r="H1325" s="37" t="str">
        <f>_xlfn.XLOOKUP(C1325&amp;F1325&amp;I1325&amp;J1325,'[1]2025年已发货'!$F:$F&amp;'[1]2025年已发货'!$C:$C&amp;'[1]2025年已发货'!$G:$G&amp;'[1]2025年已发货'!$H:$H,'[1]2025年已发货'!$E:$E,"未发货")</f>
        <v>未发货</v>
      </c>
      <c r="I1325" s="41" t="str">
        <f>VLOOKUP(B1325,辅助信息!E:I,3,FALSE)</f>
        <v>（商投建工达州中医药科技园-4工区-11号楼）达州市通川区达州中医药职业学院犀牛大道北段</v>
      </c>
      <c r="J1325" s="41" t="str">
        <f>VLOOKUP(B1325,辅助信息!E:I,4,FALSE)</f>
        <v>张扬</v>
      </c>
      <c r="K1325" s="41">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182</v>
      </c>
      <c r="Q1325" s="30" t="str">
        <f>VLOOKUP(B1325,辅助信息!E:M,9,FALSE)</f>
        <v>ZTWM-CDGS-XS-2024-0134-商投建工达州中医药科技成果示范园项目</v>
      </c>
      <c r="R1325" s="119" t="str">
        <f>_xlfn._xlws.FILTER(辅助信息!D:D,辅助信息!E:E=B1325)</f>
        <v>商投建工达州中医药科技园</v>
      </c>
    </row>
    <row r="1326" hidden="1" spans="2:18">
      <c r="B1326" s="41" t="s">
        <v>147</v>
      </c>
      <c r="C1326" s="71">
        <v>45778</v>
      </c>
      <c r="D1326" s="41" t="str">
        <f>VLOOKUP(B1326,辅助信息!E:K,7,FALSE)</f>
        <v>JWDDCD2025052800131</v>
      </c>
      <c r="E1326" s="41" t="str">
        <f>VLOOKUP(F1326,辅助信息!A:B,2,FALSE)</f>
        <v>螺纹钢</v>
      </c>
      <c r="F1326" s="41" t="s">
        <v>30</v>
      </c>
      <c r="G1326" s="37">
        <v>30</v>
      </c>
      <c r="H1326" s="37" t="str">
        <f>_xlfn.XLOOKUP(C1326&amp;F1326&amp;I1326&amp;J1326,'[1]2025年已发货'!$F:$F&amp;'[1]2025年已发货'!$C:$C&amp;'[1]2025年已发货'!$G:$G&amp;'[1]2025年已发货'!$H:$H,'[1]2025年已发货'!$E:$E,"未发货")</f>
        <v>未发货</v>
      </c>
      <c r="I1326" s="41" t="str">
        <f>VLOOKUP(B1326,辅助信息!E:I,3,FALSE)</f>
        <v>（商投建工达州中医药科技园-4工区-11号楼）达州市通川区达州中医药职业学院犀牛大道北段</v>
      </c>
      <c r="J1326" s="41" t="str">
        <f>VLOOKUP(B1326,辅助信息!E:I,4,FALSE)</f>
        <v>张扬</v>
      </c>
      <c r="K1326" s="41">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182</v>
      </c>
      <c r="Q1326" s="30" t="str">
        <f>VLOOKUP(B1326,辅助信息!E:M,9,FALSE)</f>
        <v>ZTWM-CDGS-XS-2024-0134-商投建工达州中医药科技成果示范园项目</v>
      </c>
      <c r="R1326" s="119" t="str">
        <f>_xlfn._xlws.FILTER(辅助信息!D:D,辅助信息!E:E=B1326)</f>
        <v>商投建工达州中医药科技园</v>
      </c>
    </row>
    <row r="1327" hidden="1" spans="2:18">
      <c r="B1327" s="41" t="s">
        <v>147</v>
      </c>
      <c r="C1327" s="71">
        <v>45778</v>
      </c>
      <c r="D1327" s="41" t="str">
        <f>VLOOKUP(B1327,辅助信息!E:K,7,FALSE)</f>
        <v>JWDDCD2025052800131</v>
      </c>
      <c r="E1327" s="41" t="str">
        <f>VLOOKUP(F1327,辅助信息!A:B,2,FALSE)</f>
        <v>螺纹钢</v>
      </c>
      <c r="F1327" s="41" t="s">
        <v>33</v>
      </c>
      <c r="G1327" s="37">
        <v>30</v>
      </c>
      <c r="H1327" s="37" t="str">
        <f>_xlfn.XLOOKUP(C1327&amp;F1327&amp;I1327&amp;J1327,'[1]2025年已发货'!$F:$F&amp;'[1]2025年已发货'!$C:$C&amp;'[1]2025年已发货'!$G:$G&amp;'[1]2025年已发货'!$H:$H,'[1]2025年已发货'!$E:$E,"未发货")</f>
        <v>未发货</v>
      </c>
      <c r="I1327" s="41" t="str">
        <f>VLOOKUP(B1327,辅助信息!E:I,3,FALSE)</f>
        <v>（商投建工达州中医药科技园-4工区-11号楼）达州市通川区达州中医药职业学院犀牛大道北段</v>
      </c>
      <c r="J1327" s="41" t="str">
        <f>VLOOKUP(B1327,辅助信息!E:I,4,FALSE)</f>
        <v>张扬</v>
      </c>
      <c r="K1327" s="41">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182</v>
      </c>
      <c r="Q1327" s="30" t="str">
        <f>VLOOKUP(B1327,辅助信息!E:M,9,FALSE)</f>
        <v>ZTWM-CDGS-XS-2024-0134-商投建工达州中医药科技成果示范园项目</v>
      </c>
      <c r="R1327" s="119" t="str">
        <f>_xlfn._xlws.FILTER(辅助信息!D:D,辅助信息!E:E=B1327)</f>
        <v>商投建工达州中医药科技园</v>
      </c>
    </row>
    <row r="1328" hidden="1" spans="2:18">
      <c r="B1328" s="41" t="s">
        <v>147</v>
      </c>
      <c r="C1328" s="71">
        <v>45778</v>
      </c>
      <c r="D1328" s="41" t="str">
        <f>VLOOKUP(B1328,辅助信息!E:K,7,FALSE)</f>
        <v>JWDDCD2025052800131</v>
      </c>
      <c r="E1328" s="41" t="str">
        <f>VLOOKUP(F1328,辅助信息!A:B,2,FALSE)</f>
        <v>螺纹钢</v>
      </c>
      <c r="F1328" s="41" t="s">
        <v>18</v>
      </c>
      <c r="G1328" s="37">
        <f>6*3</f>
        <v>18</v>
      </c>
      <c r="H1328" s="37" t="str">
        <f>_xlfn.XLOOKUP(C1328&amp;F1328&amp;I1328&amp;J1328,'[1]2025年已发货'!$F:$F&amp;'[1]2025年已发货'!$C:$C&amp;'[1]2025年已发货'!$G:$G&amp;'[1]2025年已发货'!$H:$H,'[1]2025年已发货'!$E:$E,"未发货")</f>
        <v>未发货</v>
      </c>
      <c r="I1328" s="41" t="str">
        <f>VLOOKUP(B1328,辅助信息!E:I,3,FALSE)</f>
        <v>（商投建工达州中医药科技园-4工区-11号楼）达州市通川区达州中医药职业学院犀牛大道北段</v>
      </c>
      <c r="J1328" s="41" t="str">
        <f>VLOOKUP(B1328,辅助信息!E:I,4,FALSE)</f>
        <v>张扬</v>
      </c>
      <c r="K1328" s="41">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182</v>
      </c>
      <c r="Q1328" s="30" t="str">
        <f>VLOOKUP(B1328,辅助信息!E:M,9,FALSE)</f>
        <v>ZTWM-CDGS-XS-2024-0134-商投建工达州中医药科技成果示范园项目</v>
      </c>
      <c r="R1328" s="119" t="str">
        <f>_xlfn._xlws.FILTER(辅助信息!D:D,辅助信息!E:E=B1328)</f>
        <v>商投建工达州中医药科技园</v>
      </c>
    </row>
    <row r="1329" hidden="1" spans="2:18">
      <c r="B1329" s="41" t="s">
        <v>106</v>
      </c>
      <c r="C1329" s="71">
        <v>45778</v>
      </c>
      <c r="D1329" s="41" t="str">
        <f>VLOOKUP(B1329,辅助信息!E:K,7,FALSE)</f>
        <v>JWDDCD2024101600133</v>
      </c>
      <c r="E1329" s="41" t="str">
        <f>VLOOKUP(F1329,辅助信息!A:B,2,FALSE)</f>
        <v>盘螺</v>
      </c>
      <c r="F1329" s="41" t="s">
        <v>49</v>
      </c>
      <c r="G1329" s="37">
        <v>12.5</v>
      </c>
      <c r="H1329" s="37" t="str">
        <f>_xlfn.XLOOKUP(C1329&amp;F1329&amp;I1329&amp;J1329,'[1]2025年已发货'!$F:$F&amp;'[1]2025年已发货'!$C:$C&amp;'[1]2025年已发货'!$G:$G&amp;'[1]2025年已发货'!$H:$H,'[1]2025年已发货'!$E:$E,"未发货")</f>
        <v>未发货</v>
      </c>
      <c r="I1329" s="41" t="str">
        <f>VLOOKUP(B1329,辅助信息!E:I,3,FALSE)</f>
        <v>（五冶钢构宜宾高县月江镇建设项目）  四川省宜宾市高县月江镇刚记超市斜对面(还阳组团沪碳二期项目)</v>
      </c>
      <c r="J1329" s="41" t="str">
        <f>VLOOKUP(B1329,辅助信息!E:I,4,FALSE)</f>
        <v>张朝亮</v>
      </c>
      <c r="K1329" s="41">
        <f>VLOOKUP(J1329,辅助信息!H:I,2,FALSE)</f>
        <v>15228205853</v>
      </c>
      <c r="L1329" s="110" t="str">
        <f>VLOOKUP(B1329,辅助信息!E:J,6,FALSE)</f>
        <v>提前联系到场规格</v>
      </c>
      <c r="M1329" s="92">
        <v>45778</v>
      </c>
      <c r="O1329" s="63">
        <f ca="1" t="shared" si="59"/>
        <v>0</v>
      </c>
      <c r="P1329" s="63">
        <f ca="1" t="shared" si="60"/>
        <v>181</v>
      </c>
      <c r="Q1329" s="30"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1" t="s">
        <v>106</v>
      </c>
      <c r="C1330" s="71">
        <v>45778</v>
      </c>
      <c r="D1330" s="41" t="str">
        <f>VLOOKUP(B1330,辅助信息!E:K,7,FALSE)</f>
        <v>JWDDCD2024101600133</v>
      </c>
      <c r="E1330" s="41" t="str">
        <f>VLOOKUP(F1330,辅助信息!A:B,2,FALSE)</f>
        <v>盘螺</v>
      </c>
      <c r="F1330" s="41" t="s">
        <v>41</v>
      </c>
      <c r="G1330" s="37">
        <v>2.5</v>
      </c>
      <c r="H1330" s="37" t="str">
        <f>_xlfn.XLOOKUP(C1330&amp;F1330&amp;I1330&amp;J1330,'[1]2025年已发货'!$F:$F&amp;'[1]2025年已发货'!$C:$C&amp;'[1]2025年已发货'!$G:$G&amp;'[1]2025年已发货'!$H:$H,'[1]2025年已发货'!$E:$E,"未发货")</f>
        <v>未发货</v>
      </c>
      <c r="I1330" s="41" t="str">
        <f>VLOOKUP(B1330,辅助信息!E:I,3,FALSE)</f>
        <v>（五冶钢构宜宾高县月江镇建设项目）  四川省宜宾市高县月江镇刚记超市斜对面(还阳组团沪碳二期项目)</v>
      </c>
      <c r="J1330" s="41" t="str">
        <f>VLOOKUP(B1330,辅助信息!E:I,4,FALSE)</f>
        <v>张朝亮</v>
      </c>
      <c r="K1330" s="41">
        <f>VLOOKUP(J1330,辅助信息!H:I,2,FALSE)</f>
        <v>15228205853</v>
      </c>
      <c r="L1330" s="110" t="str">
        <f>VLOOKUP(B1330,辅助信息!E:J,6,FALSE)</f>
        <v>提前联系到场规格</v>
      </c>
      <c r="M1330" s="92">
        <v>45778</v>
      </c>
      <c r="O1330" s="63">
        <f ca="1" t="shared" si="59"/>
        <v>0</v>
      </c>
      <c r="P1330" s="63">
        <f ca="1" t="shared" si="60"/>
        <v>181</v>
      </c>
      <c r="Q1330" s="30"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1" t="s">
        <v>106</v>
      </c>
      <c r="C1331" s="71">
        <v>45778</v>
      </c>
      <c r="D1331" s="41" t="str">
        <f>VLOOKUP(B1331,辅助信息!E:K,7,FALSE)</f>
        <v>JWDDCD2024101600133</v>
      </c>
      <c r="E1331" s="41" t="str">
        <f>VLOOKUP(F1331,辅助信息!A:B,2,FALSE)</f>
        <v>螺纹钢</v>
      </c>
      <c r="F1331" s="41" t="s">
        <v>19</v>
      </c>
      <c r="G1331" s="37">
        <v>6</v>
      </c>
      <c r="H1331" s="37" t="str">
        <f>_xlfn.XLOOKUP(C1331&amp;F1331&amp;I1331&amp;J1331,'[1]2025年已发货'!$F:$F&amp;'[1]2025年已发货'!$C:$C&amp;'[1]2025年已发货'!$G:$G&amp;'[1]2025年已发货'!$H:$H,'[1]2025年已发货'!$E:$E,"未发货")</f>
        <v>未发货</v>
      </c>
      <c r="I1331" s="41" t="str">
        <f>VLOOKUP(B1331,辅助信息!E:I,3,FALSE)</f>
        <v>（五冶钢构宜宾高县月江镇建设项目）  四川省宜宾市高县月江镇刚记超市斜对面(还阳组团沪碳二期项目)</v>
      </c>
      <c r="J1331" s="41" t="str">
        <f>VLOOKUP(B1331,辅助信息!E:I,4,FALSE)</f>
        <v>张朝亮</v>
      </c>
      <c r="K1331" s="41">
        <f>VLOOKUP(J1331,辅助信息!H:I,2,FALSE)</f>
        <v>15228205853</v>
      </c>
      <c r="L1331" s="110" t="str">
        <f>VLOOKUP(B1331,辅助信息!E:J,6,FALSE)</f>
        <v>提前联系到场规格</v>
      </c>
      <c r="M1331" s="92">
        <v>45778</v>
      </c>
      <c r="O1331" s="63">
        <f ca="1" t="shared" si="59"/>
        <v>0</v>
      </c>
      <c r="P1331" s="63">
        <f ca="1" t="shared" si="60"/>
        <v>181</v>
      </c>
      <c r="Q1331" s="30"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1" t="s">
        <v>106</v>
      </c>
      <c r="C1332" s="71">
        <v>45778</v>
      </c>
      <c r="D1332" s="41" t="str">
        <f>VLOOKUP(B1332,辅助信息!E:K,7,FALSE)</f>
        <v>JWDDCD2024101600133</v>
      </c>
      <c r="E1332" s="41" t="str">
        <f>VLOOKUP(F1332,辅助信息!A:B,2,FALSE)</f>
        <v>螺纹钢</v>
      </c>
      <c r="F1332" s="41" t="s">
        <v>30</v>
      </c>
      <c r="G1332" s="37">
        <v>9</v>
      </c>
      <c r="H1332" s="37" t="str">
        <f>_xlfn.XLOOKUP(C1332&amp;F1332&amp;I1332&amp;J1332,'[1]2025年已发货'!$F:$F&amp;'[1]2025年已发货'!$C:$C&amp;'[1]2025年已发货'!$G:$G&amp;'[1]2025年已发货'!$H:$H,'[1]2025年已发货'!$E:$E,"未发货")</f>
        <v>未发货</v>
      </c>
      <c r="I1332" s="41" t="str">
        <f>VLOOKUP(B1332,辅助信息!E:I,3,FALSE)</f>
        <v>（五冶钢构宜宾高县月江镇建设项目）  四川省宜宾市高县月江镇刚记超市斜对面(还阳组团沪碳二期项目)</v>
      </c>
      <c r="J1332" s="41" t="str">
        <f>VLOOKUP(B1332,辅助信息!E:I,4,FALSE)</f>
        <v>张朝亮</v>
      </c>
      <c r="K1332" s="41">
        <f>VLOOKUP(J1332,辅助信息!H:I,2,FALSE)</f>
        <v>15228205853</v>
      </c>
      <c r="L1332" s="110" t="str">
        <f>VLOOKUP(B1332,辅助信息!E:J,6,FALSE)</f>
        <v>提前联系到场规格</v>
      </c>
      <c r="M1332" s="92">
        <v>45778</v>
      </c>
      <c r="O1332" s="63">
        <f ca="1" t="shared" si="59"/>
        <v>0</v>
      </c>
      <c r="P1332" s="63">
        <f ca="1" t="shared" si="60"/>
        <v>181</v>
      </c>
      <c r="Q1332" s="30"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1" t="s">
        <v>127</v>
      </c>
      <c r="C1333" s="71">
        <v>45778</v>
      </c>
      <c r="D1333" s="41" t="str">
        <f>VLOOKUP(B1333,辅助信息!E:K,7,FALSE)</f>
        <v>JWDDCD2025051000019</v>
      </c>
      <c r="E1333" s="41" t="str">
        <f>VLOOKUP(F1333,辅助信息!A:B,2,FALSE)</f>
        <v>盘螺</v>
      </c>
      <c r="F1333" s="41" t="s">
        <v>49</v>
      </c>
      <c r="G1333" s="37">
        <v>12</v>
      </c>
      <c r="H1333" s="37" t="str">
        <f>_xlfn.XLOOKUP(C1333&amp;F1333&amp;I1333&amp;J1333,'[1]2025年已发货'!$F:$F&amp;'[1]2025年已发货'!$C:$C&amp;'[1]2025年已发货'!$G:$G&amp;'[1]2025年已发货'!$H:$H,'[1]2025年已发货'!$E:$E,"未发货")</f>
        <v>未发货</v>
      </c>
      <c r="I1333" s="41" t="str">
        <f>VLOOKUP(B1333,辅助信息!E:I,3,FALSE)</f>
        <v>(五冶钢构医学科学产业园建设项目房建三部-管网总坪)四川省南充市顺庆区搬罾街道学府大道二段</v>
      </c>
      <c r="J1333" s="41" t="str">
        <f>VLOOKUP(B1333,辅助信息!E:I,4,FALSE)</f>
        <v>郑林</v>
      </c>
      <c r="K1333" s="41">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179</v>
      </c>
      <c r="Q1333" s="30" t="str">
        <f>VLOOKUP(B1333,辅助信息!E:M,9,FALSE)</f>
        <v>ZTWM-CDGS-XS-2024-0248-五冶钢构-南充市医学院项目</v>
      </c>
      <c r="R1333" s="119" t="str">
        <f>_xlfn._xlws.FILTER(辅助信息!D:D,辅助信息!E:E=B1333)</f>
        <v>五冶钢构南充医学科学产业园建设项目</v>
      </c>
    </row>
    <row r="1334" hidden="1" spans="2:18">
      <c r="B1334" s="41" t="s">
        <v>127</v>
      </c>
      <c r="C1334" s="71">
        <v>45778</v>
      </c>
      <c r="D1334" s="41" t="str">
        <f>VLOOKUP(B1334,辅助信息!E:K,7,FALSE)</f>
        <v>JWDDCD2025051000019</v>
      </c>
      <c r="E1334" s="41" t="str">
        <f>VLOOKUP(F1334,辅助信息!A:B,2,FALSE)</f>
        <v>盘螺</v>
      </c>
      <c r="F1334" s="41" t="s">
        <v>41</v>
      </c>
      <c r="G1334" s="37">
        <v>10</v>
      </c>
      <c r="H1334" s="37" t="str">
        <f>_xlfn.XLOOKUP(C1334&amp;F1334&amp;I1334&amp;J1334,'[1]2025年已发货'!$F:$F&amp;'[1]2025年已发货'!$C:$C&amp;'[1]2025年已发货'!$G:$G&amp;'[1]2025年已发货'!$H:$H,'[1]2025年已发货'!$E:$E,"未发货")</f>
        <v>未发货</v>
      </c>
      <c r="I1334" s="41" t="str">
        <f>VLOOKUP(B1334,辅助信息!E:I,3,FALSE)</f>
        <v>(五冶钢构医学科学产业园建设项目房建三部-管网总坪)四川省南充市顺庆区搬罾街道学府大道二段</v>
      </c>
      <c r="J1334" s="41" t="str">
        <f>VLOOKUP(B1334,辅助信息!E:I,4,FALSE)</f>
        <v>郑林</v>
      </c>
      <c r="K1334" s="41">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179</v>
      </c>
      <c r="Q1334" s="30" t="str">
        <f>VLOOKUP(B1334,辅助信息!E:M,9,FALSE)</f>
        <v>ZTWM-CDGS-XS-2024-0248-五冶钢构-南充市医学院项目</v>
      </c>
      <c r="R1334" s="119" t="str">
        <f>_xlfn._xlws.FILTER(辅助信息!D:D,辅助信息!E:E=B1334)</f>
        <v>五冶钢构南充医学科学产业园建设项目</v>
      </c>
    </row>
    <row r="1335" hidden="1" spans="2:18">
      <c r="B1335" s="41" t="s">
        <v>127</v>
      </c>
      <c r="C1335" s="71">
        <v>45778</v>
      </c>
      <c r="D1335" s="41" t="str">
        <f>VLOOKUP(B1335,辅助信息!E:K,7,FALSE)</f>
        <v>JWDDCD2025051000019</v>
      </c>
      <c r="E1335" s="41" t="str">
        <f>VLOOKUP(F1335,辅助信息!A:B,2,FALSE)</f>
        <v>螺纹钢</v>
      </c>
      <c r="F1335" s="41" t="s">
        <v>27</v>
      </c>
      <c r="G1335" s="37">
        <v>13</v>
      </c>
      <c r="H1335" s="37" t="str">
        <f>_xlfn.XLOOKUP(C1335&amp;F1335&amp;I1335&amp;J1335,'[1]2025年已发货'!$F:$F&amp;'[1]2025年已发货'!$C:$C&amp;'[1]2025年已发货'!$G:$G&amp;'[1]2025年已发货'!$H:$H,'[1]2025年已发货'!$E:$E,"未发货")</f>
        <v>未发货</v>
      </c>
      <c r="I1335" s="41" t="str">
        <f>VLOOKUP(B1335,辅助信息!E:I,3,FALSE)</f>
        <v>(五冶钢构医学科学产业园建设项目房建三部-管网总坪)四川省南充市顺庆区搬罾街道学府大道二段</v>
      </c>
      <c r="J1335" s="41" t="str">
        <f>VLOOKUP(B1335,辅助信息!E:I,4,FALSE)</f>
        <v>郑林</v>
      </c>
      <c r="K1335" s="41">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179</v>
      </c>
      <c r="Q1335" s="30" t="str">
        <f>VLOOKUP(B1335,辅助信息!E:M,9,FALSE)</f>
        <v>ZTWM-CDGS-XS-2024-0248-五冶钢构-南充市医学院项目</v>
      </c>
      <c r="R1335" s="119" t="str">
        <f>_xlfn._xlws.FILTER(辅助信息!D:D,辅助信息!E:E=B1335)</f>
        <v>五冶钢构南充医学科学产业园建设项目</v>
      </c>
    </row>
    <row r="1336" hidden="1" spans="2:18">
      <c r="B1336" s="41" t="s">
        <v>81</v>
      </c>
      <c r="C1336" s="71">
        <v>45778</v>
      </c>
      <c r="D1336" s="41" t="str">
        <f>VLOOKUP(B1336,辅助信息!E:K,7,FALSE)</f>
        <v>JWDDCD2025060900080</v>
      </c>
      <c r="E1336" s="41" t="str">
        <f>VLOOKUP(F1336,辅助信息!A:B,2,FALSE)</f>
        <v>高线</v>
      </c>
      <c r="F1336" s="41" t="s">
        <v>53</v>
      </c>
      <c r="G1336" s="37">
        <v>2</v>
      </c>
      <c r="H1336" s="37">
        <f>_xlfn.XLOOKUP(C1336&amp;F1336&amp;I1336&amp;J1336,'[1]2025年已发货'!$F:$F&amp;'[1]2025年已发货'!$C:$C&amp;'[1]2025年已发货'!$G:$G&amp;'[1]2025年已发货'!$H:$H,'[1]2025年已发货'!$E:$E,"未发货")</f>
        <v>2</v>
      </c>
      <c r="I1336" s="41" t="str">
        <f>VLOOKUP(B1336,辅助信息!E:I,3,FALSE)</f>
        <v>（华西简阳西城嘉苑）四川省成都市简阳市简城街道高屋村</v>
      </c>
      <c r="J1336" s="41" t="str">
        <f>VLOOKUP(B1336,辅助信息!E:I,4,FALSE)</f>
        <v>张瀚镭</v>
      </c>
      <c r="K1336" s="41">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177</v>
      </c>
      <c r="Q1336" s="30" t="str">
        <f>VLOOKUP(B1336,辅助信息!E:M,9,FALSE)</f>
        <v>ZTWM-CDGS-XS-2024-0030-华西集采-简州大道</v>
      </c>
      <c r="R1336" s="119" t="str">
        <f>_xlfn._xlws.FILTER(辅助信息!D:D,辅助信息!E:E=B1336)</f>
        <v>华西简阳西城嘉苑</v>
      </c>
    </row>
    <row r="1337" hidden="1" spans="2:18">
      <c r="B1337" s="41" t="s">
        <v>81</v>
      </c>
      <c r="C1337" s="71">
        <v>45778</v>
      </c>
      <c r="D1337" s="41" t="str">
        <f>VLOOKUP(B1337,辅助信息!E:K,7,FALSE)</f>
        <v>JWDDCD2025060900080</v>
      </c>
      <c r="E1337" s="41" t="str">
        <f>VLOOKUP(F1337,辅助信息!A:B,2,FALSE)</f>
        <v>盘螺</v>
      </c>
      <c r="F1337" s="41" t="s">
        <v>49</v>
      </c>
      <c r="G1337" s="37">
        <v>2</v>
      </c>
      <c r="H1337" s="37">
        <f>_xlfn.XLOOKUP(C1337&amp;F1337&amp;I1337&amp;J1337,'[1]2025年已发货'!$F:$F&amp;'[1]2025年已发货'!$C:$C&amp;'[1]2025年已发货'!$G:$G&amp;'[1]2025年已发货'!$H:$H,'[1]2025年已发货'!$E:$E,"未发货")</f>
        <v>2</v>
      </c>
      <c r="I1337" s="41" t="str">
        <f>VLOOKUP(B1337,辅助信息!E:I,3,FALSE)</f>
        <v>（华西简阳西城嘉苑）四川省成都市简阳市简城街道高屋村</v>
      </c>
      <c r="J1337" s="41" t="str">
        <f>VLOOKUP(B1337,辅助信息!E:I,4,FALSE)</f>
        <v>张瀚镭</v>
      </c>
      <c r="K1337" s="41">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177</v>
      </c>
      <c r="Q1337" s="30" t="str">
        <f>VLOOKUP(B1337,辅助信息!E:M,9,FALSE)</f>
        <v>ZTWM-CDGS-XS-2024-0030-华西集采-简州大道</v>
      </c>
      <c r="R1337" s="119" t="str">
        <f>_xlfn._xlws.FILTER(辅助信息!D:D,辅助信息!E:E=B1337)</f>
        <v>华西简阳西城嘉苑</v>
      </c>
    </row>
    <row r="1338" hidden="1" spans="2:18">
      <c r="B1338" s="41" t="s">
        <v>81</v>
      </c>
      <c r="C1338" s="71">
        <v>45778</v>
      </c>
      <c r="D1338" s="41" t="str">
        <f>VLOOKUP(B1338,辅助信息!E:K,7,FALSE)</f>
        <v>JWDDCD2025060900080</v>
      </c>
      <c r="E1338" s="41" t="str">
        <f>VLOOKUP(F1338,辅助信息!A:B,2,FALSE)</f>
        <v>盘螺</v>
      </c>
      <c r="F1338" s="41" t="s">
        <v>40</v>
      </c>
      <c r="G1338" s="37">
        <v>12</v>
      </c>
      <c r="H1338" s="37">
        <f>_xlfn.XLOOKUP(C1338&amp;F1338&amp;I1338&amp;J1338,'[1]2025年已发货'!$F:$F&amp;'[1]2025年已发货'!$C:$C&amp;'[1]2025年已发货'!$G:$G&amp;'[1]2025年已发货'!$H:$H,'[1]2025年已发货'!$E:$E,"未发货")</f>
        <v>12</v>
      </c>
      <c r="I1338" s="41" t="str">
        <f>VLOOKUP(B1338,辅助信息!E:I,3,FALSE)</f>
        <v>（华西简阳西城嘉苑）四川省成都市简阳市简城街道高屋村</v>
      </c>
      <c r="J1338" s="41" t="str">
        <f>VLOOKUP(B1338,辅助信息!E:I,4,FALSE)</f>
        <v>张瀚镭</v>
      </c>
      <c r="K1338" s="41">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177</v>
      </c>
      <c r="Q1338" s="30" t="str">
        <f>VLOOKUP(B1338,辅助信息!E:M,9,FALSE)</f>
        <v>ZTWM-CDGS-XS-2024-0030-华西集采-简州大道</v>
      </c>
      <c r="R1338" s="119" t="str">
        <f>_xlfn._xlws.FILTER(辅助信息!D:D,辅助信息!E:E=B1338)</f>
        <v>华西简阳西城嘉苑</v>
      </c>
    </row>
    <row r="1339" hidden="1" spans="2:18">
      <c r="B1339" s="41" t="s">
        <v>81</v>
      </c>
      <c r="C1339" s="71">
        <v>45778</v>
      </c>
      <c r="D1339" s="41" t="str">
        <f>VLOOKUP(B1339,辅助信息!E:K,7,FALSE)</f>
        <v>JWDDCD2025060900080</v>
      </c>
      <c r="E1339" s="41" t="str">
        <f>VLOOKUP(F1339,辅助信息!A:B,2,FALSE)</f>
        <v>盘螺</v>
      </c>
      <c r="F1339" s="41" t="s">
        <v>41</v>
      </c>
      <c r="G1339" s="37">
        <v>53</v>
      </c>
      <c r="H1339" s="37">
        <f>_xlfn.XLOOKUP(C1339&amp;F1339&amp;I1339&amp;J1339,'[1]2025年已发货'!$F:$F&amp;'[1]2025年已发货'!$C:$C&amp;'[1]2025年已发货'!$G:$G&amp;'[1]2025年已发货'!$H:$H,'[1]2025年已发货'!$E:$E,"未发货")</f>
        <v>53</v>
      </c>
      <c r="I1339" s="41" t="str">
        <f>VLOOKUP(B1339,辅助信息!E:I,3,FALSE)</f>
        <v>（华西简阳西城嘉苑）四川省成都市简阳市简城街道高屋村</v>
      </c>
      <c r="J1339" s="41" t="str">
        <f>VLOOKUP(B1339,辅助信息!E:I,4,FALSE)</f>
        <v>张瀚镭</v>
      </c>
      <c r="K1339" s="41">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177</v>
      </c>
      <c r="Q1339" s="30" t="str">
        <f>VLOOKUP(B1339,辅助信息!E:M,9,FALSE)</f>
        <v>ZTWM-CDGS-XS-2024-0030-华西集采-简州大道</v>
      </c>
      <c r="R1339" s="119" t="str">
        <f>_xlfn._xlws.FILTER(辅助信息!D:D,辅助信息!E:E=B1339)</f>
        <v>华西简阳西城嘉苑</v>
      </c>
    </row>
    <row r="1340" hidden="1" spans="2:18">
      <c r="B1340" s="41" t="s">
        <v>81</v>
      </c>
      <c r="C1340" s="71">
        <v>45778</v>
      </c>
      <c r="D1340" s="41" t="str">
        <f>VLOOKUP(B1340,辅助信息!E:K,7,FALSE)</f>
        <v>JWDDCD2025060900080</v>
      </c>
      <c r="E1340" s="41" t="str">
        <f>VLOOKUP(F1340,辅助信息!A:B,2,FALSE)</f>
        <v>螺纹钢</v>
      </c>
      <c r="F1340" s="41" t="s">
        <v>27</v>
      </c>
      <c r="G1340" s="37">
        <v>18</v>
      </c>
      <c r="H1340" s="37">
        <f>_xlfn.XLOOKUP(C1340&amp;F1340&amp;I1340&amp;J1340,'[1]2025年已发货'!$F:$F&amp;'[1]2025年已发货'!$C:$C&amp;'[1]2025年已发货'!$G:$G&amp;'[1]2025年已发货'!$H:$H,'[1]2025年已发货'!$E:$E,"未发货")</f>
        <v>18</v>
      </c>
      <c r="I1340" s="41" t="str">
        <f>VLOOKUP(B1340,辅助信息!E:I,3,FALSE)</f>
        <v>（华西简阳西城嘉苑）四川省成都市简阳市简城街道高屋村</v>
      </c>
      <c r="J1340" s="41" t="str">
        <f>VLOOKUP(B1340,辅助信息!E:I,4,FALSE)</f>
        <v>张瀚镭</v>
      </c>
      <c r="K1340" s="41">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177</v>
      </c>
      <c r="Q1340" s="30" t="str">
        <f>VLOOKUP(B1340,辅助信息!E:M,9,FALSE)</f>
        <v>ZTWM-CDGS-XS-2024-0030-华西集采-简州大道</v>
      </c>
      <c r="R1340" s="119" t="str">
        <f>_xlfn._xlws.FILTER(辅助信息!D:D,辅助信息!E:E=B1340)</f>
        <v>华西简阳西城嘉苑</v>
      </c>
    </row>
    <row r="1341" hidden="1" spans="2:18">
      <c r="B1341" s="41" t="s">
        <v>81</v>
      </c>
      <c r="C1341" s="71">
        <v>45778</v>
      </c>
      <c r="D1341" s="41" t="str">
        <f>VLOOKUP(B1341,辅助信息!E:K,7,FALSE)</f>
        <v>JWDDCD2025060900080</v>
      </c>
      <c r="E1341" s="41" t="str">
        <f>VLOOKUP(F1341,辅助信息!A:B,2,FALSE)</f>
        <v>螺纹钢</v>
      </c>
      <c r="F1341" s="41" t="s">
        <v>19</v>
      </c>
      <c r="G1341" s="37">
        <v>2</v>
      </c>
      <c r="H1341" s="37">
        <f>_xlfn.XLOOKUP(C1341&amp;F1341&amp;I1341&amp;J1341,'[1]2025年已发货'!$F:$F&amp;'[1]2025年已发货'!$C:$C&amp;'[1]2025年已发货'!$G:$G&amp;'[1]2025年已发货'!$H:$H,'[1]2025年已发货'!$E:$E,"未发货")</f>
        <v>2</v>
      </c>
      <c r="I1341" s="41" t="str">
        <f>VLOOKUP(B1341,辅助信息!E:I,3,FALSE)</f>
        <v>（华西简阳西城嘉苑）四川省成都市简阳市简城街道高屋村</v>
      </c>
      <c r="J1341" s="41" t="str">
        <f>VLOOKUP(B1341,辅助信息!E:I,4,FALSE)</f>
        <v>张瀚镭</v>
      </c>
      <c r="K1341" s="41">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177</v>
      </c>
      <c r="Q1341" s="30" t="str">
        <f>VLOOKUP(B1341,辅助信息!E:M,9,FALSE)</f>
        <v>ZTWM-CDGS-XS-2024-0030-华西集采-简州大道</v>
      </c>
      <c r="R1341" s="119" t="str">
        <f>_xlfn._xlws.FILTER(辅助信息!D:D,辅助信息!E:E=B1341)</f>
        <v>华西简阳西城嘉苑</v>
      </c>
    </row>
    <row r="1342" hidden="1" spans="2:18">
      <c r="B1342" s="41" t="s">
        <v>81</v>
      </c>
      <c r="C1342" s="71">
        <v>45778</v>
      </c>
      <c r="D1342" s="41" t="str">
        <f>VLOOKUP(B1342,辅助信息!E:K,7,FALSE)</f>
        <v>JWDDCD2025060900080</v>
      </c>
      <c r="E1342" s="41" t="str">
        <f>VLOOKUP(F1342,辅助信息!A:B,2,FALSE)</f>
        <v>螺纹钢</v>
      </c>
      <c r="F1342" s="41" t="s">
        <v>32</v>
      </c>
      <c r="G1342" s="37">
        <v>17</v>
      </c>
      <c r="H1342" s="37">
        <f>_xlfn.XLOOKUP(C1342&amp;F1342&amp;I1342&amp;J1342,'[1]2025年已发货'!$F:$F&amp;'[1]2025年已发货'!$C:$C&amp;'[1]2025年已发货'!$G:$G&amp;'[1]2025年已发货'!$H:$H,'[1]2025年已发货'!$E:$E,"未发货")</f>
        <v>17</v>
      </c>
      <c r="I1342" s="41" t="str">
        <f>VLOOKUP(B1342,辅助信息!E:I,3,FALSE)</f>
        <v>（华西简阳西城嘉苑）四川省成都市简阳市简城街道高屋村</v>
      </c>
      <c r="J1342" s="41" t="str">
        <f>VLOOKUP(B1342,辅助信息!E:I,4,FALSE)</f>
        <v>张瀚镭</v>
      </c>
      <c r="K1342" s="41">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177</v>
      </c>
      <c r="Q1342" s="30" t="str">
        <f>VLOOKUP(B1342,辅助信息!E:M,9,FALSE)</f>
        <v>ZTWM-CDGS-XS-2024-0030-华西集采-简州大道</v>
      </c>
      <c r="R1342" s="119" t="str">
        <f>_xlfn._xlws.FILTER(辅助信息!D:D,辅助信息!E:E=B1342)</f>
        <v>华西简阳西城嘉苑</v>
      </c>
    </row>
    <row r="1343" hidden="1" spans="2:18">
      <c r="B1343" s="41" t="s">
        <v>81</v>
      </c>
      <c r="C1343" s="71">
        <v>45778</v>
      </c>
      <c r="D1343" s="41" t="str">
        <f>VLOOKUP(B1343,辅助信息!E:K,7,FALSE)</f>
        <v>JWDDCD2025060900080</v>
      </c>
      <c r="E1343" s="41" t="str">
        <f>VLOOKUP(F1343,辅助信息!A:B,2,FALSE)</f>
        <v>螺纹钢</v>
      </c>
      <c r="F1343" s="41" t="s">
        <v>30</v>
      </c>
      <c r="G1343" s="37">
        <v>16</v>
      </c>
      <c r="H1343" s="37">
        <f>_xlfn.XLOOKUP(C1343&amp;F1343&amp;I1343&amp;J1343,'[1]2025年已发货'!$F:$F&amp;'[1]2025年已发货'!$C:$C&amp;'[1]2025年已发货'!$G:$G&amp;'[1]2025年已发货'!$H:$H,'[1]2025年已发货'!$E:$E,"未发货")</f>
        <v>16</v>
      </c>
      <c r="I1343" s="41" t="str">
        <f>VLOOKUP(B1343,辅助信息!E:I,3,FALSE)</f>
        <v>（华西简阳西城嘉苑）四川省成都市简阳市简城街道高屋村</v>
      </c>
      <c r="J1343" s="41" t="str">
        <f>VLOOKUP(B1343,辅助信息!E:I,4,FALSE)</f>
        <v>张瀚镭</v>
      </c>
      <c r="K1343" s="41">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177</v>
      </c>
      <c r="Q1343" s="30" t="str">
        <f>VLOOKUP(B1343,辅助信息!E:M,9,FALSE)</f>
        <v>ZTWM-CDGS-XS-2024-0030-华西集采-简州大道</v>
      </c>
      <c r="R1343" s="119" t="str">
        <f>_xlfn._xlws.FILTER(辅助信息!D:D,辅助信息!E:E=B1343)</f>
        <v>华西简阳西城嘉苑</v>
      </c>
    </row>
    <row r="1344" hidden="1" spans="2:18">
      <c r="B1344" s="41" t="s">
        <v>81</v>
      </c>
      <c r="C1344" s="71">
        <v>45778</v>
      </c>
      <c r="D1344" s="41" t="str">
        <f>VLOOKUP(B1344,辅助信息!E:K,7,FALSE)</f>
        <v>JWDDCD2025060900080</v>
      </c>
      <c r="E1344" s="41" t="str">
        <f>VLOOKUP(F1344,辅助信息!A:B,2,FALSE)</f>
        <v>螺纹钢</v>
      </c>
      <c r="F1344" s="41" t="s">
        <v>33</v>
      </c>
      <c r="G1344" s="37">
        <v>13</v>
      </c>
      <c r="H1344" s="37">
        <f>_xlfn.XLOOKUP(C1344&amp;F1344&amp;I1344&amp;J1344,'[1]2025年已发货'!$F:$F&amp;'[1]2025年已发货'!$C:$C&amp;'[1]2025年已发货'!$G:$G&amp;'[1]2025年已发货'!$H:$H,'[1]2025年已发货'!$E:$E,"未发货")</f>
        <v>13</v>
      </c>
      <c r="I1344" s="41" t="str">
        <f>VLOOKUP(B1344,辅助信息!E:I,3,FALSE)</f>
        <v>（华西简阳西城嘉苑）四川省成都市简阳市简城街道高屋村</v>
      </c>
      <c r="J1344" s="41" t="str">
        <f>VLOOKUP(B1344,辅助信息!E:I,4,FALSE)</f>
        <v>张瀚镭</v>
      </c>
      <c r="K1344" s="41">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177</v>
      </c>
      <c r="Q1344" s="30" t="str">
        <f>VLOOKUP(B1344,辅助信息!E:M,9,FALSE)</f>
        <v>ZTWM-CDGS-XS-2024-0030-华西集采-简州大道</v>
      </c>
      <c r="R1344" s="119" t="str">
        <f>_xlfn._xlws.FILTER(辅助信息!D:D,辅助信息!E:E=B1344)</f>
        <v>华西简阳西城嘉苑</v>
      </c>
    </row>
    <row r="1345" hidden="1" spans="2:18">
      <c r="B1345" s="41" t="s">
        <v>81</v>
      </c>
      <c r="C1345" s="71">
        <v>45778</v>
      </c>
      <c r="D1345" s="41" t="str">
        <f>VLOOKUP(B1345,辅助信息!E:K,7,FALSE)</f>
        <v>JWDDCD2025060900080</v>
      </c>
      <c r="E1345" s="41" t="str">
        <f>VLOOKUP(F1345,辅助信息!A:B,2,FALSE)</f>
        <v>螺纹钢</v>
      </c>
      <c r="F1345" s="41" t="s">
        <v>28</v>
      </c>
      <c r="G1345" s="37">
        <v>2</v>
      </c>
      <c r="H1345" s="37">
        <f>_xlfn.XLOOKUP(C1345&amp;F1345&amp;I1345&amp;J1345,'[1]2025年已发货'!$F:$F&amp;'[1]2025年已发货'!$C:$C&amp;'[1]2025年已发货'!$G:$G&amp;'[1]2025年已发货'!$H:$H,'[1]2025年已发货'!$E:$E,"未发货")</f>
        <v>2</v>
      </c>
      <c r="I1345" s="41" t="str">
        <f>VLOOKUP(B1345,辅助信息!E:I,3,FALSE)</f>
        <v>（华西简阳西城嘉苑）四川省成都市简阳市简城街道高屋村</v>
      </c>
      <c r="J1345" s="41" t="str">
        <f>VLOOKUP(B1345,辅助信息!E:I,4,FALSE)</f>
        <v>张瀚镭</v>
      </c>
      <c r="K1345" s="41">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177</v>
      </c>
      <c r="Q1345" s="30" t="str">
        <f>VLOOKUP(B1345,辅助信息!E:M,9,FALSE)</f>
        <v>ZTWM-CDGS-XS-2024-0030-华西集采-简州大道</v>
      </c>
      <c r="R1345" s="119" t="str">
        <f>_xlfn._xlws.FILTER(辅助信息!D:D,辅助信息!E:E=B1345)</f>
        <v>华西简阳西城嘉苑</v>
      </c>
    </row>
    <row r="1346" hidden="1" spans="2:18">
      <c r="B1346" s="41" t="s">
        <v>81</v>
      </c>
      <c r="C1346" s="71">
        <v>45778</v>
      </c>
      <c r="D1346" s="41" t="str">
        <f>VLOOKUP(B1346,辅助信息!E:K,7,FALSE)</f>
        <v>JWDDCD2025060900080</v>
      </c>
      <c r="E1346" s="41" t="str">
        <f>VLOOKUP(F1346,辅助信息!A:B,2,FALSE)</f>
        <v>螺纹钢</v>
      </c>
      <c r="F1346" s="41" t="s">
        <v>18</v>
      </c>
      <c r="G1346" s="37">
        <v>2</v>
      </c>
      <c r="H1346" s="37">
        <f>_xlfn.XLOOKUP(C1346&amp;F1346&amp;I1346&amp;J1346,'[1]2025年已发货'!$F:$F&amp;'[1]2025年已发货'!$C:$C&amp;'[1]2025年已发货'!$G:$G&amp;'[1]2025年已发货'!$H:$H,'[1]2025年已发货'!$E:$E,"未发货")</f>
        <v>2</v>
      </c>
      <c r="I1346" s="41" t="str">
        <f>VLOOKUP(B1346,辅助信息!E:I,3,FALSE)</f>
        <v>（华西简阳西城嘉苑）四川省成都市简阳市简城街道高屋村</v>
      </c>
      <c r="J1346" s="41" t="str">
        <f>VLOOKUP(B1346,辅助信息!E:I,4,FALSE)</f>
        <v>张瀚镭</v>
      </c>
      <c r="K1346" s="41">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177</v>
      </c>
      <c r="Q1346" s="30" t="str">
        <f>VLOOKUP(B1346,辅助信息!E:M,9,FALSE)</f>
        <v>ZTWM-CDGS-XS-2024-0030-华西集采-简州大道</v>
      </c>
      <c r="R1346" s="119" t="str">
        <f>_xlfn._xlws.FILTER(辅助信息!D:D,辅助信息!E:E=B1346)</f>
        <v>华西简阳西城嘉苑</v>
      </c>
    </row>
    <row r="1347" hidden="1" spans="2:18">
      <c r="B1347" s="41" t="s">
        <v>44</v>
      </c>
      <c r="C1347" s="71">
        <v>45778</v>
      </c>
      <c r="D1347" s="41" t="str">
        <f>VLOOKUP(B1347,辅助信息!E:K,7,FALSE)</f>
        <v>JWDDCD2025060600053</v>
      </c>
      <c r="E1347" s="41" t="str">
        <f>VLOOKUP(F1347,辅助信息!A:B,2,FALSE)</f>
        <v>盘螺</v>
      </c>
      <c r="F1347" s="41" t="s">
        <v>49</v>
      </c>
      <c r="G1347" s="37">
        <v>2.5</v>
      </c>
      <c r="H1347" s="37">
        <f>_xlfn.XLOOKUP(C1347&amp;F1347&amp;I1347&amp;J1347,'[1]2025年已发货'!$F:$F&amp;'[1]2025年已发货'!$C:$C&amp;'[1]2025年已发货'!$G:$G&amp;'[1]2025年已发货'!$H:$H,'[1]2025年已发货'!$E:$E,"未发货")</f>
        <v>2.5</v>
      </c>
      <c r="I1347" s="41" t="str">
        <f>VLOOKUP(B1347,辅助信息!E:I,3,FALSE)</f>
        <v>（华西酒城南）成都市武侯区火车南站西路8号酒城南项目</v>
      </c>
      <c r="J1347" s="41" t="str">
        <f>VLOOKUP(B1347,辅助信息!E:I,4,FALSE)</f>
        <v>龙耀宇</v>
      </c>
      <c r="K1347" s="41">
        <f>VLOOKUP(J1347,辅助信息!H:I,2,FALSE)</f>
        <v>18384145895</v>
      </c>
      <c r="L1347" s="110" t="str">
        <f>VLOOKUP(B1347,辅助信息!E:J,6,FALSE)</f>
        <v>对方卸车</v>
      </c>
      <c r="M1347" s="92">
        <v>45780</v>
      </c>
      <c r="O1347" s="63">
        <f ca="1" t="shared" si="61"/>
        <v>0</v>
      </c>
      <c r="P1347" s="63">
        <f ca="1" t="shared" si="62"/>
        <v>179</v>
      </c>
      <c r="Q1347" s="30" t="str">
        <f>VLOOKUP(B1347,辅助信息!E:M,9,FALSE)</f>
        <v>ZTWM-CDGS-XS-2024-0189-华西集采-酒城南项目</v>
      </c>
      <c r="R1347" s="119" t="str">
        <f>_xlfn._xlws.FILTER(辅助信息!D:D,辅助信息!E:E=B1347)</f>
        <v>华西酒城南</v>
      </c>
    </row>
    <row r="1348" hidden="1" spans="2:18">
      <c r="B1348" s="41" t="s">
        <v>44</v>
      </c>
      <c r="C1348" s="71">
        <v>45778</v>
      </c>
      <c r="D1348" s="41" t="str">
        <f>VLOOKUP(B1348,辅助信息!E:K,7,FALSE)</f>
        <v>JWDDCD2025060600053</v>
      </c>
      <c r="E1348" s="41" t="str">
        <f>VLOOKUP(F1348,辅助信息!A:B,2,FALSE)</f>
        <v>盘螺</v>
      </c>
      <c r="F1348" s="41" t="s">
        <v>26</v>
      </c>
      <c r="G1348" s="37">
        <v>30</v>
      </c>
      <c r="H1348" s="37">
        <f>_xlfn.XLOOKUP(C1348&amp;F1348&amp;I1348&amp;J1348,'[1]2025年已发货'!$F:$F&amp;'[1]2025年已发货'!$C:$C&amp;'[1]2025年已发货'!$G:$G&amp;'[1]2025年已发货'!$H:$H,'[1]2025年已发货'!$E:$E,"未发货")</f>
        <v>32.5</v>
      </c>
      <c r="I1348" s="41" t="str">
        <f>VLOOKUP(B1348,辅助信息!E:I,3,FALSE)</f>
        <v>（华西酒城南）成都市武侯区火车南站西路8号酒城南项目</v>
      </c>
      <c r="J1348" s="41" t="str">
        <f>VLOOKUP(B1348,辅助信息!E:I,4,FALSE)</f>
        <v>龙耀宇</v>
      </c>
      <c r="K1348" s="41">
        <f>VLOOKUP(J1348,辅助信息!H:I,2,FALSE)</f>
        <v>18384145895</v>
      </c>
      <c r="L1348" s="110" t="str">
        <f>VLOOKUP(B1348,辅助信息!E:J,6,FALSE)</f>
        <v>对方卸车</v>
      </c>
      <c r="M1348" s="92">
        <v>45780</v>
      </c>
      <c r="O1348" s="63">
        <f ca="1" t="shared" si="61"/>
        <v>0</v>
      </c>
      <c r="P1348" s="63">
        <f ca="1" t="shared" si="62"/>
        <v>179</v>
      </c>
      <c r="Q1348" s="30" t="str">
        <f>VLOOKUP(B1348,辅助信息!E:M,9,FALSE)</f>
        <v>ZTWM-CDGS-XS-2024-0189-华西集采-酒城南项目</v>
      </c>
      <c r="R1348" s="119" t="str">
        <f>_xlfn._xlws.FILTER(辅助信息!D:D,辅助信息!E:E=B1348)</f>
        <v>华西酒城南</v>
      </c>
    </row>
    <row r="1349" hidden="1" spans="2:18">
      <c r="B1349" s="41" t="s">
        <v>127</v>
      </c>
      <c r="C1349" s="71">
        <v>45778</v>
      </c>
      <c r="D1349" s="41" t="str">
        <f>VLOOKUP(B1349,辅助信息!E:K,7,FALSE)</f>
        <v>JWDDCD2025051000019</v>
      </c>
      <c r="E1349" s="41" t="str">
        <f>VLOOKUP(F1349,辅助信息!A:B,2,FALSE)</f>
        <v>盘螺</v>
      </c>
      <c r="F1349" s="41" t="s">
        <v>49</v>
      </c>
      <c r="G1349" s="37">
        <v>5</v>
      </c>
      <c r="H1349" s="37" t="str">
        <f>_xlfn.XLOOKUP(C1349&amp;F1349&amp;I1349&amp;J1349,'[1]2025年已发货'!$F:$F&amp;'[1]2025年已发货'!$C:$C&amp;'[1]2025年已发货'!$G:$G&amp;'[1]2025年已发货'!$H:$H,'[1]2025年已发货'!$E:$E,"未发货")</f>
        <v>未发货</v>
      </c>
      <c r="I1349" s="41" t="str">
        <f>VLOOKUP(B1349,辅助信息!E:I,3,FALSE)</f>
        <v>(五冶钢构医学科学产业园建设项目房建三部-管网总坪)四川省南充市顺庆区搬罾街道学府大道二段</v>
      </c>
      <c r="J1349" s="41" t="str">
        <f>VLOOKUP(B1349,辅助信息!E:I,4,FALSE)</f>
        <v>郑林</v>
      </c>
      <c r="K1349" s="41">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1" t="s">
        <v>127</v>
      </c>
      <c r="C1350" s="71">
        <v>45778</v>
      </c>
      <c r="D1350" s="41" t="str">
        <f>VLOOKUP(B1350,辅助信息!E:K,7,FALSE)</f>
        <v>JWDDCD2025051000019</v>
      </c>
      <c r="E1350" s="41" t="str">
        <f>VLOOKUP(F1350,辅助信息!A:B,2,FALSE)</f>
        <v>盘螺</v>
      </c>
      <c r="F1350" s="41" t="s">
        <v>40</v>
      </c>
      <c r="G1350" s="37">
        <v>2.5</v>
      </c>
      <c r="H1350" s="37" t="str">
        <f>_xlfn.XLOOKUP(C1350&amp;F1350&amp;I1350&amp;J1350,'[1]2025年已发货'!$F:$F&amp;'[1]2025年已发货'!$C:$C&amp;'[1]2025年已发货'!$G:$G&amp;'[1]2025年已发货'!$H:$H,'[1]2025年已发货'!$E:$E,"未发货")</f>
        <v>未发货</v>
      </c>
      <c r="I1350" s="41" t="str">
        <f>VLOOKUP(B1350,辅助信息!E:I,3,FALSE)</f>
        <v>(五冶钢构医学科学产业园建设项目房建三部-管网总坪)四川省南充市顺庆区搬罾街道学府大道二段</v>
      </c>
      <c r="J1350" s="41" t="str">
        <f>VLOOKUP(B1350,辅助信息!E:I,4,FALSE)</f>
        <v>郑林</v>
      </c>
      <c r="K1350" s="41">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1" t="s">
        <v>127</v>
      </c>
      <c r="C1351" s="71">
        <v>45778</v>
      </c>
      <c r="D1351" s="41" t="str">
        <f>VLOOKUP(B1351,辅助信息!E:K,7,FALSE)</f>
        <v>JWDDCD2025051000019</v>
      </c>
      <c r="E1351" s="41" t="str">
        <f>VLOOKUP(F1351,辅助信息!A:B,2,FALSE)</f>
        <v>盘螺</v>
      </c>
      <c r="F1351" s="41" t="s">
        <v>26</v>
      </c>
      <c r="G1351" s="37">
        <v>25</v>
      </c>
      <c r="H1351" s="37" t="str">
        <f>_xlfn.XLOOKUP(C1351&amp;F1351&amp;I1351&amp;J1351,'[1]2025年已发货'!$F:$F&amp;'[1]2025年已发货'!$C:$C&amp;'[1]2025年已发货'!$G:$G&amp;'[1]2025年已发货'!$H:$H,'[1]2025年已发货'!$E:$E,"未发货")</f>
        <v>未发货</v>
      </c>
      <c r="I1351" s="41" t="str">
        <f>VLOOKUP(B1351,辅助信息!E:I,3,FALSE)</f>
        <v>(五冶钢构医学科学产业园建设项目房建三部-管网总坪)四川省南充市顺庆区搬罾街道学府大道二段</v>
      </c>
      <c r="J1351" s="41" t="str">
        <f>VLOOKUP(B1351,辅助信息!E:I,4,FALSE)</f>
        <v>郑林</v>
      </c>
      <c r="K1351" s="41">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1" t="s">
        <v>72</v>
      </c>
      <c r="C1352" s="71">
        <v>45778</v>
      </c>
      <c r="D1352" s="41" t="str">
        <f>VLOOKUP(B1352,辅助信息!E:K,7,FALSE)</f>
        <v>JWDDCD2025051000019</v>
      </c>
      <c r="E1352" s="41" t="str">
        <f>VLOOKUP(F1352,辅助信息!A:B,2,FALSE)</f>
        <v>高线</v>
      </c>
      <c r="F1352" s="41" t="s">
        <v>53</v>
      </c>
      <c r="G1352" s="37">
        <v>2.5</v>
      </c>
      <c r="H1352" s="37" t="str">
        <f>_xlfn.XLOOKUP(C1352&amp;F1352&amp;I1352&amp;J1352,'[1]2025年已发货'!$F:$F&amp;'[1]2025年已发货'!$C:$C&amp;'[1]2025年已发货'!$G:$G&amp;'[1]2025年已发货'!$H:$H,'[1]2025年已发货'!$E:$E,"未发货")</f>
        <v>未发货</v>
      </c>
      <c r="I1352" s="41" t="str">
        <f>VLOOKUP(B1352,辅助信息!E:I,3,FALSE)</f>
        <v>(五冶钢构医学科学产业园建设项目房建二部-网羽馆（6-5）)四川省南充市顺庆区搬罾街道学府大道二段</v>
      </c>
      <c r="J1352" s="41" t="str">
        <f>VLOOKUP(B1352,辅助信息!E:I,4,FALSE)</f>
        <v>安南</v>
      </c>
      <c r="K1352" s="41">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1" t="s">
        <v>72</v>
      </c>
      <c r="C1353" s="71">
        <v>45778</v>
      </c>
      <c r="D1353" s="41" t="str">
        <f>VLOOKUP(B1353,辅助信息!E:K,7,FALSE)</f>
        <v>JWDDCD2025051000019</v>
      </c>
      <c r="E1353" s="41" t="str">
        <f>VLOOKUP(F1353,辅助信息!A:B,2,FALSE)</f>
        <v>高线</v>
      </c>
      <c r="F1353" s="41" t="s">
        <v>51</v>
      </c>
      <c r="G1353" s="37">
        <v>2</v>
      </c>
      <c r="H1353" s="37" t="str">
        <f>_xlfn.XLOOKUP(C1353&amp;F1353&amp;I1353&amp;J1353,'[1]2025年已发货'!$F:$F&amp;'[1]2025年已发货'!$C:$C&amp;'[1]2025年已发货'!$G:$G&amp;'[1]2025年已发货'!$H:$H,'[1]2025年已发货'!$E:$E,"未发货")</f>
        <v>未发货</v>
      </c>
      <c r="I1353" s="41" t="str">
        <f>VLOOKUP(B1353,辅助信息!E:I,3,FALSE)</f>
        <v>(五冶钢构医学科学产业园建设项目房建二部-网羽馆（6-5）)四川省南充市顺庆区搬罾街道学府大道二段</v>
      </c>
      <c r="J1353" s="41" t="str">
        <f>VLOOKUP(B1353,辅助信息!E:I,4,FALSE)</f>
        <v>安南</v>
      </c>
      <c r="K1353" s="41">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1" t="s">
        <v>72</v>
      </c>
      <c r="C1354" s="71">
        <v>45778</v>
      </c>
      <c r="D1354" s="41" t="str">
        <f>VLOOKUP(B1354,辅助信息!E:K,7,FALSE)</f>
        <v>JWDDCD2025051000019</v>
      </c>
      <c r="E1354" s="41" t="str">
        <f>VLOOKUP(F1354,辅助信息!A:B,2,FALSE)</f>
        <v>螺纹钢</v>
      </c>
      <c r="F1354" s="41" t="s">
        <v>27</v>
      </c>
      <c r="G1354" s="37">
        <v>33</v>
      </c>
      <c r="H1354" s="37" t="str">
        <f>_xlfn.XLOOKUP(C1354&amp;F1354&amp;I1354&amp;J1354,'[1]2025年已发货'!$F:$F&amp;'[1]2025年已发货'!$C:$C&amp;'[1]2025年已发货'!$G:$G&amp;'[1]2025年已发货'!$H:$H,'[1]2025年已发货'!$E:$E,"未发货")</f>
        <v>未发货</v>
      </c>
      <c r="I1354" s="41" t="str">
        <f>VLOOKUP(B1354,辅助信息!E:I,3,FALSE)</f>
        <v>(五冶钢构医学科学产业园建设项目房建二部-网羽馆（6-5）)四川省南充市顺庆区搬罾街道学府大道二段</v>
      </c>
      <c r="J1354" s="41" t="str">
        <f>VLOOKUP(B1354,辅助信息!E:I,4,FALSE)</f>
        <v>安南</v>
      </c>
      <c r="K1354" s="41">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1" t="s">
        <v>31</v>
      </c>
      <c r="C1355" s="71">
        <v>45782</v>
      </c>
      <c r="D1355" s="41" t="str">
        <f>VLOOKUP(B1355,辅助信息!E:K,7,FALSE)</f>
        <v>JWDDCD2024121000136</v>
      </c>
      <c r="E1355" s="41" t="str">
        <f>VLOOKUP(F1355,辅助信息!A:B,2,FALSE)</f>
        <v>高线</v>
      </c>
      <c r="F1355" s="41" t="s">
        <v>51</v>
      </c>
      <c r="G1355" s="37">
        <v>2.5</v>
      </c>
      <c r="H1355" s="37" t="str">
        <f>_xlfn.XLOOKUP(C1355&amp;F1355&amp;I1355&amp;J1355,'[1]2025年已发货'!$F:$F&amp;'[1]2025年已发货'!$C:$C&amp;'[1]2025年已发货'!$G:$G&amp;'[1]2025年已发货'!$H:$H,'[1]2025年已发货'!$E:$E,"未发货")</f>
        <v>未发货</v>
      </c>
      <c r="I1355" s="41" t="str">
        <f>VLOOKUP(B1355,辅助信息!E:I,3,FALSE)</f>
        <v>（四川商建-射洪城乡一体化项目）遂宁市射洪市忠新幼儿园北侧约220米新溪小区</v>
      </c>
      <c r="J1355" s="41" t="str">
        <f>VLOOKUP(B1355,辅助信息!E:I,4,FALSE)</f>
        <v>柏子刚</v>
      </c>
      <c r="K1355" s="41">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180</v>
      </c>
      <c r="Q1355" s="30" t="str">
        <f>VLOOKUP(B1355,辅助信息!E:M,9,FALSE)</f>
        <v>ZTWM-CDGS-XS-2024-0179-四川商投-射洪城乡一体化建设项目</v>
      </c>
      <c r="R1355" s="119" t="str">
        <f>_xlfn._xlws.FILTER(辅助信息!D:D,辅助信息!E:E=B1355)</f>
        <v>四川商建
射洪城乡一体化项目</v>
      </c>
    </row>
    <row r="1356" hidden="1" spans="2:18">
      <c r="B1356" s="41" t="s">
        <v>31</v>
      </c>
      <c r="C1356" s="71">
        <v>45782</v>
      </c>
      <c r="D1356" s="41" t="str">
        <f>VLOOKUP(B1356,辅助信息!E:K,7,FALSE)</f>
        <v>JWDDCD2024121000136</v>
      </c>
      <c r="E1356" s="41" t="str">
        <f>VLOOKUP(F1356,辅助信息!A:B,2,FALSE)</f>
        <v>盘螺</v>
      </c>
      <c r="F1356" s="41" t="s">
        <v>41</v>
      </c>
      <c r="G1356" s="37">
        <v>32.5</v>
      </c>
      <c r="H1356" s="37" t="str">
        <f>_xlfn.XLOOKUP(C1356&amp;F1356&amp;I1356&amp;J1356,'[1]2025年已发货'!$F:$F&amp;'[1]2025年已发货'!$C:$C&amp;'[1]2025年已发货'!$G:$G&amp;'[1]2025年已发货'!$H:$H,'[1]2025年已发货'!$E:$E,"未发货")</f>
        <v>未发货</v>
      </c>
      <c r="I1356" s="41" t="str">
        <f>VLOOKUP(B1356,辅助信息!E:I,3,FALSE)</f>
        <v>（四川商建-射洪城乡一体化项目）遂宁市射洪市忠新幼儿园北侧约220米新溪小区</v>
      </c>
      <c r="J1356" s="41" t="str">
        <f>VLOOKUP(B1356,辅助信息!E:I,4,FALSE)</f>
        <v>柏子刚</v>
      </c>
      <c r="K1356" s="41">
        <f>VLOOKUP(J1356,辅助信息!H:I,2,FALSE)</f>
        <v>15692885305</v>
      </c>
      <c r="L1356" s="110" t="str">
        <f>VLOOKUP(B1356,辅助信息!E:J,6,FALSE)</f>
        <v>提前联系到场规格及数量</v>
      </c>
      <c r="M1356" s="92">
        <v>45779</v>
      </c>
      <c r="O1356" s="63">
        <f ca="1" t="shared" si="63"/>
        <v>0</v>
      </c>
      <c r="P1356" s="63">
        <f ca="1" t="shared" si="64"/>
        <v>180</v>
      </c>
      <c r="Q1356" s="30" t="str">
        <f>VLOOKUP(B1356,辅助信息!E:M,9,FALSE)</f>
        <v>ZTWM-CDGS-XS-2024-0179-四川商投-射洪城乡一体化建设项目</v>
      </c>
      <c r="R1356" s="119" t="str">
        <f>_xlfn._xlws.FILTER(辅助信息!D:D,辅助信息!E:E=B1356)</f>
        <v>四川商建
射洪城乡一体化项目</v>
      </c>
    </row>
    <row r="1357" hidden="1" spans="2:18">
      <c r="B1357" s="41" t="s">
        <v>147</v>
      </c>
      <c r="C1357" s="71">
        <v>45782</v>
      </c>
      <c r="D1357" s="41" t="str">
        <f>VLOOKUP(B1357,辅助信息!E:K,7,FALSE)</f>
        <v>JWDDCD2025052800131</v>
      </c>
      <c r="E1357" s="41" t="str">
        <f>VLOOKUP(F1357,辅助信息!A:B,2,FALSE)</f>
        <v>高线</v>
      </c>
      <c r="F1357" s="41" t="s">
        <v>57</v>
      </c>
      <c r="G1357" s="37">
        <f>2.5*3</f>
        <v>7.5</v>
      </c>
      <c r="H1357" s="37" t="str">
        <f>_xlfn.XLOOKUP(C1357&amp;F1357&amp;I1357&amp;J1357,'[1]2025年已发货'!$F:$F&amp;'[1]2025年已发货'!$C:$C&amp;'[1]2025年已发货'!$G:$G&amp;'[1]2025年已发货'!$H:$H,'[1]2025年已发货'!$E:$E,"未发货")</f>
        <v>未发货</v>
      </c>
      <c r="I1357" s="41" t="str">
        <f>VLOOKUP(B1357,辅助信息!E:I,3,FALSE)</f>
        <v>（商投建工达州中医药科技园-4工区-11号楼）达州市通川区达州中医药职业学院犀牛大道北段</v>
      </c>
      <c r="J1357" s="41" t="str">
        <f>VLOOKUP(B1357,辅助信息!E:I,4,FALSE)</f>
        <v>张扬</v>
      </c>
      <c r="K1357" s="41">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182</v>
      </c>
      <c r="Q1357" s="30" t="str">
        <f>VLOOKUP(B1357,辅助信息!E:M,9,FALSE)</f>
        <v>ZTWM-CDGS-XS-2024-0134-商投建工达州中医药科技成果示范园项目</v>
      </c>
      <c r="R1357" s="119" t="str">
        <f>_xlfn._xlws.FILTER(辅助信息!D:D,辅助信息!E:E=B1357)</f>
        <v>商投建工达州中医药科技园</v>
      </c>
    </row>
    <row r="1358" hidden="1" spans="2:18">
      <c r="B1358" s="41" t="s">
        <v>147</v>
      </c>
      <c r="C1358" s="71">
        <v>45782</v>
      </c>
      <c r="D1358" s="41" t="str">
        <f>VLOOKUP(B1358,辅助信息!E:K,7,FALSE)</f>
        <v>JWDDCD2025052800131</v>
      </c>
      <c r="E1358" s="41" t="str">
        <f>VLOOKUP(F1358,辅助信息!A:B,2,FALSE)</f>
        <v>盘螺</v>
      </c>
      <c r="F1358" s="41" t="s">
        <v>41</v>
      </c>
      <c r="G1358" s="37">
        <f>15*2.5</f>
        <v>37.5</v>
      </c>
      <c r="H1358" s="37" t="str">
        <f>_xlfn.XLOOKUP(C1358&amp;F1358&amp;I1358&amp;J1358,'[1]2025年已发货'!$F:$F&amp;'[1]2025年已发货'!$C:$C&amp;'[1]2025年已发货'!$G:$G&amp;'[1]2025年已发货'!$H:$H,'[1]2025年已发货'!$E:$E,"未发货")</f>
        <v>未发货</v>
      </c>
      <c r="I1358" s="41" t="str">
        <f>VLOOKUP(B1358,辅助信息!E:I,3,FALSE)</f>
        <v>（商投建工达州中医药科技园-4工区-11号楼）达州市通川区达州中医药职业学院犀牛大道北段</v>
      </c>
      <c r="J1358" s="41" t="str">
        <f>VLOOKUP(B1358,辅助信息!E:I,4,FALSE)</f>
        <v>张扬</v>
      </c>
      <c r="K1358" s="41">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182</v>
      </c>
      <c r="Q1358" s="30" t="str">
        <f>VLOOKUP(B1358,辅助信息!E:M,9,FALSE)</f>
        <v>ZTWM-CDGS-XS-2024-0134-商投建工达州中医药科技成果示范园项目</v>
      </c>
      <c r="R1358" s="119" t="str">
        <f>_xlfn._xlws.FILTER(辅助信息!D:D,辅助信息!E:E=B1358)</f>
        <v>商投建工达州中医药科技园</v>
      </c>
    </row>
    <row r="1359" hidden="1" spans="2:18">
      <c r="B1359" s="41" t="s">
        <v>147</v>
      </c>
      <c r="C1359" s="71">
        <v>45782</v>
      </c>
      <c r="D1359" s="41" t="str">
        <f>VLOOKUP(B1359,辅助信息!E:K,7,FALSE)</f>
        <v>JWDDCD2025052800131</v>
      </c>
      <c r="E1359" s="41" t="str">
        <f>VLOOKUP(F1359,辅助信息!A:B,2,FALSE)</f>
        <v>螺纹钢</v>
      </c>
      <c r="F1359" s="41" t="s">
        <v>33</v>
      </c>
      <c r="G1359" s="37">
        <v>30</v>
      </c>
      <c r="H1359" s="37" t="str">
        <f>_xlfn.XLOOKUP(C1359&amp;F1359&amp;I1359&amp;J1359,'[1]2025年已发货'!$F:$F&amp;'[1]2025年已发货'!$C:$C&amp;'[1]2025年已发货'!$G:$G&amp;'[1]2025年已发货'!$H:$H,'[1]2025年已发货'!$E:$E,"未发货")</f>
        <v>未发货</v>
      </c>
      <c r="I1359" s="41" t="str">
        <f>VLOOKUP(B1359,辅助信息!E:I,3,FALSE)</f>
        <v>（商投建工达州中医药科技园-4工区-11号楼）达州市通川区达州中医药职业学院犀牛大道北段</v>
      </c>
      <c r="J1359" s="41" t="str">
        <f>VLOOKUP(B1359,辅助信息!E:I,4,FALSE)</f>
        <v>张扬</v>
      </c>
      <c r="K1359" s="41">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182</v>
      </c>
      <c r="Q1359" s="30" t="str">
        <f>VLOOKUP(B1359,辅助信息!E:M,9,FALSE)</f>
        <v>ZTWM-CDGS-XS-2024-0134-商投建工达州中医药科技成果示范园项目</v>
      </c>
      <c r="R1359" s="119" t="str">
        <f>_xlfn._xlws.FILTER(辅助信息!D:D,辅助信息!E:E=B1359)</f>
        <v>商投建工达州中医药科技园</v>
      </c>
    </row>
    <row r="1360" hidden="1" spans="2:18">
      <c r="B1360" s="41" t="s">
        <v>147</v>
      </c>
      <c r="C1360" s="71">
        <v>45782</v>
      </c>
      <c r="D1360" s="41" t="str">
        <f>VLOOKUP(B1360,辅助信息!E:K,7,FALSE)</f>
        <v>JWDDCD2025052800131</v>
      </c>
      <c r="E1360" s="41" t="str">
        <f>VLOOKUP(F1360,辅助信息!A:B,2,FALSE)</f>
        <v>螺纹钢</v>
      </c>
      <c r="F1360" s="41" t="s">
        <v>18</v>
      </c>
      <c r="G1360" s="37">
        <f>6*3</f>
        <v>18</v>
      </c>
      <c r="H1360" s="37" t="str">
        <f>_xlfn.XLOOKUP(C1360&amp;F1360&amp;I1360&amp;J1360,'[1]2025年已发货'!$F:$F&amp;'[1]2025年已发货'!$C:$C&amp;'[1]2025年已发货'!$G:$G&amp;'[1]2025年已发货'!$H:$H,'[1]2025年已发货'!$E:$E,"未发货")</f>
        <v>未发货</v>
      </c>
      <c r="I1360" s="41" t="str">
        <f>VLOOKUP(B1360,辅助信息!E:I,3,FALSE)</f>
        <v>（商投建工达州中医药科技园-4工区-11号楼）达州市通川区达州中医药职业学院犀牛大道北段</v>
      </c>
      <c r="J1360" s="41" t="str">
        <f>VLOOKUP(B1360,辅助信息!E:I,4,FALSE)</f>
        <v>张扬</v>
      </c>
      <c r="K1360" s="41">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182</v>
      </c>
      <c r="Q1360" s="30" t="str">
        <f>VLOOKUP(B1360,辅助信息!E:M,9,FALSE)</f>
        <v>ZTWM-CDGS-XS-2024-0134-商投建工达州中医药科技成果示范园项目</v>
      </c>
      <c r="R1360" s="119" t="str">
        <f>_xlfn._xlws.FILTER(辅助信息!D:D,辅助信息!E:E=B1360)</f>
        <v>商投建工达州中医药科技园</v>
      </c>
    </row>
    <row r="1361" hidden="1" spans="2:18">
      <c r="B1361" s="41" t="s">
        <v>127</v>
      </c>
      <c r="C1361" s="71">
        <v>45779</v>
      </c>
      <c r="D1361" s="41" t="str">
        <f>VLOOKUP(B1361,辅助信息!E:K,7,FALSE)</f>
        <v>JWDDCD2025051000019</v>
      </c>
      <c r="E1361" s="41" t="str">
        <f>VLOOKUP(F1361,辅助信息!A:B,2,FALSE)</f>
        <v>盘螺</v>
      </c>
      <c r="F1361" s="41" t="s">
        <v>49</v>
      </c>
      <c r="G1361" s="37">
        <v>12</v>
      </c>
      <c r="H1361" s="37">
        <f>_xlfn.XLOOKUP(C1361&amp;F1361&amp;I1361&amp;J1361,'[1]2025年已发货'!$F:$F&amp;'[1]2025年已发货'!$C:$C&amp;'[1]2025年已发货'!$G:$G&amp;'[1]2025年已发货'!$H:$H,'[1]2025年已发货'!$E:$E,"未发货")</f>
        <v>12</v>
      </c>
      <c r="I1361" s="41" t="str">
        <f>VLOOKUP(B1361,辅助信息!E:I,3,FALSE)</f>
        <v>(五冶钢构医学科学产业园建设项目房建三部-管网总坪)四川省南充市顺庆区搬罾街道学府大道二段</v>
      </c>
      <c r="J1361" s="41" t="str">
        <f>VLOOKUP(B1361,辅助信息!E:I,4,FALSE)</f>
        <v>郑林</v>
      </c>
      <c r="K1361" s="41">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179</v>
      </c>
      <c r="Q1361" s="30" t="str">
        <f>VLOOKUP(B1361,辅助信息!E:M,9,FALSE)</f>
        <v>ZTWM-CDGS-XS-2024-0248-五冶钢构-南充市医学院项目</v>
      </c>
      <c r="R1361" s="119" t="str">
        <f>_xlfn._xlws.FILTER(辅助信息!D:D,辅助信息!E:E=B1361)</f>
        <v>五冶钢构南充医学科学产业园建设项目</v>
      </c>
    </row>
    <row r="1362" hidden="1" spans="2:18">
      <c r="B1362" s="41" t="s">
        <v>127</v>
      </c>
      <c r="C1362" s="71">
        <v>45779</v>
      </c>
      <c r="D1362" s="41" t="str">
        <f>VLOOKUP(B1362,辅助信息!E:K,7,FALSE)</f>
        <v>JWDDCD2025051000019</v>
      </c>
      <c r="E1362" s="41" t="str">
        <f>VLOOKUP(F1362,辅助信息!A:B,2,FALSE)</f>
        <v>盘螺</v>
      </c>
      <c r="F1362" s="41" t="s">
        <v>41</v>
      </c>
      <c r="G1362" s="37">
        <v>10</v>
      </c>
      <c r="H1362" s="37">
        <f>_xlfn.XLOOKUP(C1362&amp;F1362&amp;I1362&amp;J1362,'[1]2025年已发货'!$F:$F&amp;'[1]2025年已发货'!$C:$C&amp;'[1]2025年已发货'!$G:$G&amp;'[1]2025年已发货'!$H:$H,'[1]2025年已发货'!$E:$E,"未发货")</f>
        <v>10</v>
      </c>
      <c r="I1362" s="41" t="str">
        <f>VLOOKUP(B1362,辅助信息!E:I,3,FALSE)</f>
        <v>(五冶钢构医学科学产业园建设项目房建三部-管网总坪)四川省南充市顺庆区搬罾街道学府大道二段</v>
      </c>
      <c r="J1362" s="41" t="str">
        <f>VLOOKUP(B1362,辅助信息!E:I,4,FALSE)</f>
        <v>郑林</v>
      </c>
      <c r="K1362" s="41">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179</v>
      </c>
      <c r="Q1362" s="30" t="str">
        <f>VLOOKUP(B1362,辅助信息!E:M,9,FALSE)</f>
        <v>ZTWM-CDGS-XS-2024-0248-五冶钢构-南充市医学院项目</v>
      </c>
      <c r="R1362" s="119" t="str">
        <f>_xlfn._xlws.FILTER(辅助信息!D:D,辅助信息!E:E=B1362)</f>
        <v>五冶钢构南充医学科学产业园建设项目</v>
      </c>
    </row>
    <row r="1363" hidden="1" spans="2:18">
      <c r="B1363" s="41" t="s">
        <v>127</v>
      </c>
      <c r="C1363" s="71">
        <v>45779</v>
      </c>
      <c r="D1363" s="41" t="str">
        <f>VLOOKUP(B1363,辅助信息!E:K,7,FALSE)</f>
        <v>JWDDCD2025051000019</v>
      </c>
      <c r="E1363" s="41" t="str">
        <f>VLOOKUP(F1363,辅助信息!A:B,2,FALSE)</f>
        <v>螺纹钢</v>
      </c>
      <c r="F1363" s="41" t="s">
        <v>27</v>
      </c>
      <c r="G1363" s="37">
        <v>13</v>
      </c>
      <c r="H1363" s="37">
        <f>_xlfn.XLOOKUP(C1363&amp;F1363&amp;I1363&amp;J1363,'[1]2025年已发货'!$F:$F&amp;'[1]2025年已发货'!$C:$C&amp;'[1]2025年已发货'!$G:$G&amp;'[1]2025年已发货'!$H:$H,'[1]2025年已发货'!$E:$E,"未发货")</f>
        <v>13</v>
      </c>
      <c r="I1363" s="41" t="str">
        <f>VLOOKUP(B1363,辅助信息!E:I,3,FALSE)</f>
        <v>(五冶钢构医学科学产业园建设项目房建三部-管网总坪)四川省南充市顺庆区搬罾街道学府大道二段</v>
      </c>
      <c r="J1363" s="41" t="str">
        <f>VLOOKUP(B1363,辅助信息!E:I,4,FALSE)</f>
        <v>郑林</v>
      </c>
      <c r="K1363" s="41">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179</v>
      </c>
      <c r="Q1363" s="30" t="str">
        <f>VLOOKUP(B1363,辅助信息!E:M,9,FALSE)</f>
        <v>ZTWM-CDGS-XS-2024-0248-五冶钢构-南充市医学院项目</v>
      </c>
      <c r="R1363" s="119" t="str">
        <f>_xlfn._xlws.FILTER(辅助信息!D:D,辅助信息!E:E=B1363)</f>
        <v>五冶钢构南充医学科学产业园建设项目</v>
      </c>
    </row>
    <row r="1364" hidden="1" spans="2:18">
      <c r="B1364" s="41" t="s">
        <v>72</v>
      </c>
      <c r="C1364" s="71">
        <v>45782</v>
      </c>
      <c r="D1364" s="41" t="str">
        <f>VLOOKUP(B1364,辅助信息!E:K,7,FALSE)</f>
        <v>JWDDCD2025051000019</v>
      </c>
      <c r="E1364" s="41" t="str">
        <f>VLOOKUP(F1364,辅助信息!A:B,2,FALSE)</f>
        <v>盘螺</v>
      </c>
      <c r="F1364" s="41" t="s">
        <v>49</v>
      </c>
      <c r="G1364" s="37">
        <v>5</v>
      </c>
      <c r="H1364" s="37" t="str">
        <f>_xlfn.XLOOKUP(C1364&amp;F1364&amp;I1364&amp;J1364,'[1]2025年已发货'!$F:$F&amp;'[1]2025年已发货'!$C:$C&amp;'[1]2025年已发货'!$G:$G&amp;'[1]2025年已发货'!$H:$H,'[1]2025年已发货'!$E:$E,"未发货")</f>
        <v>未发货</v>
      </c>
      <c r="I1364" s="41" t="str">
        <f>VLOOKUP(B1364,辅助信息!E:I,3,FALSE)</f>
        <v>(五冶钢构医学科学产业园建设项目房建二部-网羽馆（6-5）)四川省南充市顺庆区搬罾街道学府大道二段</v>
      </c>
      <c r="J1364" s="41" t="str">
        <f>VLOOKUP(B1364,辅助信息!E:I,4,FALSE)</f>
        <v>安南</v>
      </c>
      <c r="K1364" s="41">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179</v>
      </c>
      <c r="Q1364" s="30" t="str">
        <f>VLOOKUP(B1364,辅助信息!E:M,9,FALSE)</f>
        <v>ZTWM-CDGS-XS-2024-0248-五冶钢构-南充市医学院项目</v>
      </c>
      <c r="R1364" s="119" t="str">
        <f>_xlfn._xlws.FILTER(辅助信息!D:D,辅助信息!E:E=B1364)</f>
        <v>五冶钢构南充医学科学产业园建设项目</v>
      </c>
    </row>
    <row r="1365" hidden="1" spans="2:18">
      <c r="B1365" s="41" t="s">
        <v>72</v>
      </c>
      <c r="C1365" s="71">
        <v>45782</v>
      </c>
      <c r="D1365" s="41" t="str">
        <f>VLOOKUP(B1365,辅助信息!E:K,7,FALSE)</f>
        <v>JWDDCD2025051000019</v>
      </c>
      <c r="E1365" s="41" t="str">
        <f>VLOOKUP(F1365,辅助信息!A:B,2,FALSE)</f>
        <v>盘螺</v>
      </c>
      <c r="F1365" s="41" t="s">
        <v>40</v>
      </c>
      <c r="G1365" s="37">
        <v>2.5</v>
      </c>
      <c r="H1365" s="37" t="str">
        <f>_xlfn.XLOOKUP(C1365&amp;F1365&amp;I1365&amp;J1365,'[1]2025年已发货'!$F:$F&amp;'[1]2025年已发货'!$C:$C&amp;'[1]2025年已发货'!$G:$G&amp;'[1]2025年已发货'!$H:$H,'[1]2025年已发货'!$E:$E,"未发货")</f>
        <v>未发货</v>
      </c>
      <c r="I1365" s="41" t="str">
        <f>VLOOKUP(B1365,辅助信息!E:I,3,FALSE)</f>
        <v>(五冶钢构医学科学产业园建设项目房建二部-网羽馆（6-5）)四川省南充市顺庆区搬罾街道学府大道二段</v>
      </c>
      <c r="J1365" s="41" t="str">
        <f>VLOOKUP(B1365,辅助信息!E:I,4,FALSE)</f>
        <v>安南</v>
      </c>
      <c r="K1365" s="41">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179</v>
      </c>
      <c r="Q1365" s="30" t="str">
        <f>VLOOKUP(B1365,辅助信息!E:M,9,FALSE)</f>
        <v>ZTWM-CDGS-XS-2024-0248-五冶钢构-南充市医学院项目</v>
      </c>
      <c r="R1365" s="119" t="str">
        <f>_xlfn._xlws.FILTER(辅助信息!D:D,辅助信息!E:E=B1365)</f>
        <v>五冶钢构南充医学科学产业园建设项目</v>
      </c>
    </row>
    <row r="1366" hidden="1" spans="2:18">
      <c r="B1366" s="41" t="s">
        <v>72</v>
      </c>
      <c r="C1366" s="71">
        <v>45782</v>
      </c>
      <c r="D1366" s="41" t="str">
        <f>VLOOKUP(B1366,辅助信息!E:K,7,FALSE)</f>
        <v>JWDDCD2025051000019</v>
      </c>
      <c r="E1366" s="41" t="str">
        <f>VLOOKUP(F1366,辅助信息!A:B,2,FALSE)</f>
        <v>螺纹钢</v>
      </c>
      <c r="F1366" s="41" t="s">
        <v>27</v>
      </c>
      <c r="G1366" s="37">
        <v>25</v>
      </c>
      <c r="H1366" s="37" t="str">
        <f>_xlfn.XLOOKUP(C1366&amp;F1366&amp;I1366&amp;J1366,'[1]2025年已发货'!$F:$F&amp;'[1]2025年已发货'!$C:$C&amp;'[1]2025年已发货'!$G:$G&amp;'[1]2025年已发货'!$H:$H,'[1]2025年已发货'!$E:$E,"未发货")</f>
        <v>未发货</v>
      </c>
      <c r="I1366" s="41" t="str">
        <f>VLOOKUP(B1366,辅助信息!E:I,3,FALSE)</f>
        <v>(五冶钢构医学科学产业园建设项目房建二部-网羽馆（6-5）)四川省南充市顺庆区搬罾街道学府大道二段</v>
      </c>
      <c r="J1366" s="41" t="str">
        <f>VLOOKUP(B1366,辅助信息!E:I,4,FALSE)</f>
        <v>安南</v>
      </c>
      <c r="K1366" s="41">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179</v>
      </c>
      <c r="Q1366" s="30" t="str">
        <f>VLOOKUP(B1366,辅助信息!E:M,9,FALSE)</f>
        <v>ZTWM-CDGS-XS-2024-0248-五冶钢构-南充市医学院项目</v>
      </c>
      <c r="R1366" s="119" t="str">
        <f>_xlfn._xlws.FILTER(辅助信息!D:D,辅助信息!E:E=B1366)</f>
        <v>五冶钢构南充医学科学产业园建设项目</v>
      </c>
    </row>
    <row r="1367" hidden="1" spans="2:18">
      <c r="B1367" s="41" t="s">
        <v>81</v>
      </c>
      <c r="C1367" s="71">
        <v>45780</v>
      </c>
      <c r="D1367" s="41" t="str">
        <f>VLOOKUP(B1367,辅助信息!E:K,7,FALSE)</f>
        <v>JWDDCD2025060900080</v>
      </c>
      <c r="E1367" s="41" t="str">
        <f>VLOOKUP(F1367,辅助信息!A:B,2,FALSE)</f>
        <v>盘螺</v>
      </c>
      <c r="F1367" s="41" t="s">
        <v>49</v>
      </c>
      <c r="G1367" s="37">
        <v>2</v>
      </c>
      <c r="H1367" s="37" t="str">
        <f>_xlfn.XLOOKUP(C1367&amp;F1367&amp;I1367&amp;J1367,'[1]2025年已发货'!$F:$F&amp;'[1]2025年已发货'!$C:$C&amp;'[1]2025年已发货'!$G:$G&amp;'[1]2025年已发货'!$H:$H,'[1]2025年已发货'!$E:$E,"未发货")</f>
        <v>未发货</v>
      </c>
      <c r="I1367" s="41" t="str">
        <f>VLOOKUP(B1367,辅助信息!E:I,3,FALSE)</f>
        <v>（华西简阳西城嘉苑）四川省成都市简阳市简城街道高屋村</v>
      </c>
      <c r="J1367" s="41" t="str">
        <f>VLOOKUP(B1367,辅助信息!E:I,4,FALSE)</f>
        <v>张瀚镭</v>
      </c>
      <c r="K1367" s="41">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177</v>
      </c>
      <c r="Q1367" s="30" t="str">
        <f>VLOOKUP(B1367,辅助信息!E:M,9,FALSE)</f>
        <v>ZTWM-CDGS-XS-2024-0030-华西集采-简州大道</v>
      </c>
      <c r="R1367" s="119" t="str">
        <f>_xlfn._xlws.FILTER(辅助信息!D:D,辅助信息!E:E=B1367)</f>
        <v>华西简阳西城嘉苑</v>
      </c>
    </row>
    <row r="1368" hidden="1" spans="2:18">
      <c r="B1368" s="41" t="s">
        <v>81</v>
      </c>
      <c r="C1368" s="71">
        <v>45780</v>
      </c>
      <c r="D1368" s="41" t="str">
        <f>VLOOKUP(B1368,辅助信息!E:K,7,FALSE)</f>
        <v>JWDDCD2025060900080</v>
      </c>
      <c r="E1368" s="41" t="str">
        <f>VLOOKUP(F1368,辅助信息!A:B,2,FALSE)</f>
        <v>盘螺</v>
      </c>
      <c r="F1368" s="41" t="s">
        <v>40</v>
      </c>
      <c r="G1368" s="37">
        <v>6</v>
      </c>
      <c r="H1368" s="37" t="str">
        <f>_xlfn.XLOOKUP(C1368&amp;F1368&amp;I1368&amp;J1368,'[1]2025年已发货'!$F:$F&amp;'[1]2025年已发货'!$C:$C&amp;'[1]2025年已发货'!$G:$G&amp;'[1]2025年已发货'!$H:$H,'[1]2025年已发货'!$E:$E,"未发货")</f>
        <v>未发货</v>
      </c>
      <c r="I1368" s="41" t="str">
        <f>VLOOKUP(B1368,辅助信息!E:I,3,FALSE)</f>
        <v>（华西简阳西城嘉苑）四川省成都市简阳市简城街道高屋村</v>
      </c>
      <c r="J1368" s="41" t="str">
        <f>VLOOKUP(B1368,辅助信息!E:I,4,FALSE)</f>
        <v>张瀚镭</v>
      </c>
      <c r="K1368" s="41">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177</v>
      </c>
      <c r="Q1368" s="30" t="str">
        <f>VLOOKUP(B1368,辅助信息!E:M,9,FALSE)</f>
        <v>ZTWM-CDGS-XS-2024-0030-华西集采-简州大道</v>
      </c>
      <c r="R1368" s="119" t="str">
        <f>_xlfn._xlws.FILTER(辅助信息!D:D,辅助信息!E:E=B1368)</f>
        <v>华西简阳西城嘉苑</v>
      </c>
    </row>
    <row r="1369" hidden="1" spans="2:18">
      <c r="B1369" s="41" t="s">
        <v>81</v>
      </c>
      <c r="C1369" s="71">
        <v>45780</v>
      </c>
      <c r="D1369" s="41" t="str">
        <f>VLOOKUP(B1369,辅助信息!E:K,7,FALSE)</f>
        <v>JWDDCD2025060900080</v>
      </c>
      <c r="E1369" s="41" t="str">
        <f>VLOOKUP(F1369,辅助信息!A:B,2,FALSE)</f>
        <v>盘螺</v>
      </c>
      <c r="F1369" s="41" t="s">
        <v>41</v>
      </c>
      <c r="G1369" s="37">
        <v>35</v>
      </c>
      <c r="H1369" s="37" t="str">
        <f>_xlfn.XLOOKUP(C1369&amp;F1369&amp;I1369&amp;J1369,'[1]2025年已发货'!$F:$F&amp;'[1]2025年已发货'!$C:$C&amp;'[1]2025年已发货'!$G:$G&amp;'[1]2025年已发货'!$H:$H,'[1]2025年已发货'!$E:$E,"未发货")</f>
        <v>未发货</v>
      </c>
      <c r="I1369" s="41" t="str">
        <f>VLOOKUP(B1369,辅助信息!E:I,3,FALSE)</f>
        <v>（华西简阳西城嘉苑）四川省成都市简阳市简城街道高屋村</v>
      </c>
      <c r="J1369" s="41" t="str">
        <f>VLOOKUP(B1369,辅助信息!E:I,4,FALSE)</f>
        <v>张瀚镭</v>
      </c>
      <c r="K1369" s="41">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177</v>
      </c>
      <c r="Q1369" s="30" t="str">
        <f>VLOOKUP(B1369,辅助信息!E:M,9,FALSE)</f>
        <v>ZTWM-CDGS-XS-2024-0030-华西集采-简州大道</v>
      </c>
      <c r="R1369" s="119" t="str">
        <f>_xlfn._xlws.FILTER(辅助信息!D:D,辅助信息!E:E=B1369)</f>
        <v>华西简阳西城嘉苑</v>
      </c>
    </row>
    <row r="1370" hidden="1" spans="2:18">
      <c r="B1370" s="41" t="s">
        <v>81</v>
      </c>
      <c r="C1370" s="71">
        <v>45780</v>
      </c>
      <c r="D1370" s="41" t="str">
        <f>VLOOKUP(B1370,辅助信息!E:K,7,FALSE)</f>
        <v>JWDDCD2025060900080</v>
      </c>
      <c r="E1370" s="41" t="str">
        <f>VLOOKUP(F1370,辅助信息!A:B,2,FALSE)</f>
        <v>螺纹钢</v>
      </c>
      <c r="F1370" s="41" t="s">
        <v>27</v>
      </c>
      <c r="G1370" s="37">
        <v>25</v>
      </c>
      <c r="H1370" s="37">
        <f>_xlfn.XLOOKUP(C1370&amp;F1370&amp;I1370&amp;J1370,'[1]2025年已发货'!$F:$F&amp;'[1]2025年已发货'!$C:$C&amp;'[1]2025年已发货'!$G:$G&amp;'[1]2025年已发货'!$H:$H,'[1]2025年已发货'!$E:$E,"未发货")</f>
        <v>21</v>
      </c>
      <c r="I1370" s="41" t="str">
        <f>VLOOKUP(B1370,辅助信息!E:I,3,FALSE)</f>
        <v>（华西简阳西城嘉苑）四川省成都市简阳市简城街道高屋村</v>
      </c>
      <c r="J1370" s="41" t="str">
        <f>VLOOKUP(B1370,辅助信息!E:I,4,FALSE)</f>
        <v>张瀚镭</v>
      </c>
      <c r="K1370" s="41">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177</v>
      </c>
      <c r="Q1370" s="30" t="str">
        <f>VLOOKUP(B1370,辅助信息!E:M,9,FALSE)</f>
        <v>ZTWM-CDGS-XS-2024-0030-华西集采-简州大道</v>
      </c>
      <c r="R1370" s="119" t="str">
        <f>_xlfn._xlws.FILTER(辅助信息!D:D,辅助信息!E:E=B1370)</f>
        <v>华西简阳西城嘉苑</v>
      </c>
    </row>
    <row r="1371" hidden="1" spans="2:18">
      <c r="B1371" s="41" t="s">
        <v>81</v>
      </c>
      <c r="C1371" s="71">
        <v>45780</v>
      </c>
      <c r="D1371" s="41" t="str">
        <f>VLOOKUP(B1371,辅助信息!E:K,7,FALSE)</f>
        <v>JWDDCD2025060900080</v>
      </c>
      <c r="E1371" s="41" t="str">
        <f>VLOOKUP(F1371,辅助信息!A:B,2,FALSE)</f>
        <v>螺纹钢</v>
      </c>
      <c r="F1371" s="41" t="s">
        <v>19</v>
      </c>
      <c r="G1371" s="37">
        <v>8</v>
      </c>
      <c r="H1371" s="37">
        <f>_xlfn.XLOOKUP(C1371&amp;F1371&amp;I1371&amp;J1371,'[1]2025年已发货'!$F:$F&amp;'[1]2025年已发货'!$C:$C&amp;'[1]2025年已发货'!$G:$G&amp;'[1]2025年已发货'!$H:$H,'[1]2025年已发货'!$E:$E,"未发货")</f>
        <v>9</v>
      </c>
      <c r="I1371" s="41" t="str">
        <f>VLOOKUP(B1371,辅助信息!E:I,3,FALSE)</f>
        <v>（华西简阳西城嘉苑）四川省成都市简阳市简城街道高屋村</v>
      </c>
      <c r="J1371" s="41" t="str">
        <f>VLOOKUP(B1371,辅助信息!E:I,4,FALSE)</f>
        <v>张瀚镭</v>
      </c>
      <c r="K1371" s="41">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177</v>
      </c>
      <c r="Q1371" s="30" t="str">
        <f>VLOOKUP(B1371,辅助信息!E:M,9,FALSE)</f>
        <v>ZTWM-CDGS-XS-2024-0030-华西集采-简州大道</v>
      </c>
      <c r="R1371" s="119" t="str">
        <f>_xlfn._xlws.FILTER(辅助信息!D:D,辅助信息!E:E=B1371)</f>
        <v>华西简阳西城嘉苑</v>
      </c>
    </row>
    <row r="1372" hidden="1" spans="2:18">
      <c r="B1372" s="41" t="s">
        <v>81</v>
      </c>
      <c r="C1372" s="71">
        <v>45780</v>
      </c>
      <c r="D1372" s="41" t="str">
        <f>VLOOKUP(B1372,辅助信息!E:K,7,FALSE)</f>
        <v>JWDDCD2025060900080</v>
      </c>
      <c r="E1372" s="41" t="str">
        <f>VLOOKUP(F1372,辅助信息!A:B,2,FALSE)</f>
        <v>螺纹钢</v>
      </c>
      <c r="F1372" s="41" t="s">
        <v>32</v>
      </c>
      <c r="G1372" s="37">
        <v>78</v>
      </c>
      <c r="H1372" s="37">
        <f>_xlfn.XLOOKUP(C1372&amp;F1372&amp;I1372&amp;J1372,'[1]2025年已发货'!$F:$F&amp;'[1]2025年已发货'!$C:$C&amp;'[1]2025年已发货'!$G:$G&amp;'[1]2025年已发货'!$H:$H,'[1]2025年已发货'!$E:$E,"未发货")</f>
        <v>63</v>
      </c>
      <c r="I1372" s="41" t="str">
        <f>VLOOKUP(B1372,辅助信息!E:I,3,FALSE)</f>
        <v>（华西简阳西城嘉苑）四川省成都市简阳市简城街道高屋村</v>
      </c>
      <c r="J1372" s="41" t="str">
        <f>VLOOKUP(B1372,辅助信息!E:I,4,FALSE)</f>
        <v>张瀚镭</v>
      </c>
      <c r="K1372" s="41">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177</v>
      </c>
      <c r="Q1372" s="30" t="str">
        <f>VLOOKUP(B1372,辅助信息!E:M,9,FALSE)</f>
        <v>ZTWM-CDGS-XS-2024-0030-华西集采-简州大道</v>
      </c>
      <c r="R1372" s="119" t="str">
        <f>_xlfn._xlws.FILTER(辅助信息!D:D,辅助信息!E:E=B1372)</f>
        <v>华西简阳西城嘉苑</v>
      </c>
    </row>
    <row r="1373" hidden="1" spans="2:18">
      <c r="B1373" s="41" t="s">
        <v>81</v>
      </c>
      <c r="C1373" s="71">
        <v>45780</v>
      </c>
      <c r="D1373" s="41" t="str">
        <f>VLOOKUP(B1373,辅助信息!E:K,7,FALSE)</f>
        <v>JWDDCD2025060900080</v>
      </c>
      <c r="E1373" s="41" t="str">
        <f>VLOOKUP(F1373,辅助信息!A:B,2,FALSE)</f>
        <v>螺纹钢</v>
      </c>
      <c r="F1373" s="41" t="s">
        <v>30</v>
      </c>
      <c r="G1373" s="37">
        <v>2</v>
      </c>
      <c r="H1373" s="37" t="str">
        <f>_xlfn.XLOOKUP(C1373&amp;F1373&amp;I1373&amp;J1373,'[1]2025年已发货'!$F:$F&amp;'[1]2025年已发货'!$C:$C&amp;'[1]2025年已发货'!$G:$G&amp;'[1]2025年已发货'!$H:$H,'[1]2025年已发货'!$E:$E,"未发货")</f>
        <v>未发货</v>
      </c>
      <c r="I1373" s="41" t="str">
        <f>VLOOKUP(B1373,辅助信息!E:I,3,FALSE)</f>
        <v>（华西简阳西城嘉苑）四川省成都市简阳市简城街道高屋村</v>
      </c>
      <c r="J1373" s="41" t="str">
        <f>VLOOKUP(B1373,辅助信息!E:I,4,FALSE)</f>
        <v>张瀚镭</v>
      </c>
      <c r="K1373" s="41">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177</v>
      </c>
      <c r="Q1373" s="30" t="str">
        <f>VLOOKUP(B1373,辅助信息!E:M,9,FALSE)</f>
        <v>ZTWM-CDGS-XS-2024-0030-华西集采-简州大道</v>
      </c>
      <c r="R1373" s="119" t="str">
        <f>_xlfn._xlws.FILTER(辅助信息!D:D,辅助信息!E:E=B1373)</f>
        <v>华西简阳西城嘉苑</v>
      </c>
    </row>
    <row r="1374" hidden="1" spans="2:18">
      <c r="B1374" s="41" t="s">
        <v>81</v>
      </c>
      <c r="C1374" s="71">
        <v>45780</v>
      </c>
      <c r="D1374" s="41" t="str">
        <f>VLOOKUP(B1374,辅助信息!E:K,7,FALSE)</f>
        <v>JWDDCD2025060900080</v>
      </c>
      <c r="E1374" s="41" t="str">
        <f>VLOOKUP(F1374,辅助信息!A:B,2,FALSE)</f>
        <v>螺纹钢</v>
      </c>
      <c r="F1374" s="41" t="s">
        <v>33</v>
      </c>
      <c r="G1374" s="37">
        <v>10</v>
      </c>
      <c r="H1374" s="37">
        <f>_xlfn.XLOOKUP(C1374&amp;F1374&amp;I1374&amp;J1374,'[1]2025年已发货'!$F:$F&amp;'[1]2025年已发货'!$C:$C&amp;'[1]2025年已发货'!$G:$G&amp;'[1]2025年已发货'!$H:$H,'[1]2025年已发货'!$E:$E,"未发货")</f>
        <v>9</v>
      </c>
      <c r="I1374" s="41" t="str">
        <f>VLOOKUP(B1374,辅助信息!E:I,3,FALSE)</f>
        <v>（华西简阳西城嘉苑）四川省成都市简阳市简城街道高屋村</v>
      </c>
      <c r="J1374" s="41" t="str">
        <f>VLOOKUP(B1374,辅助信息!E:I,4,FALSE)</f>
        <v>张瀚镭</v>
      </c>
      <c r="K1374" s="41">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177</v>
      </c>
      <c r="Q1374" s="30" t="str">
        <f>VLOOKUP(B1374,辅助信息!E:M,9,FALSE)</f>
        <v>ZTWM-CDGS-XS-2024-0030-华西集采-简州大道</v>
      </c>
      <c r="R1374" s="119" t="str">
        <f>_xlfn._xlws.FILTER(辅助信息!D:D,辅助信息!E:E=B1374)</f>
        <v>华西简阳西城嘉苑</v>
      </c>
    </row>
    <row r="1375" hidden="1" spans="2:18">
      <c r="B1375" s="41" t="s">
        <v>81</v>
      </c>
      <c r="C1375" s="71">
        <v>45780</v>
      </c>
      <c r="D1375" s="41" t="str">
        <f>VLOOKUP(B1375,辅助信息!E:K,7,FALSE)</f>
        <v>JWDDCD2025060900080</v>
      </c>
      <c r="E1375" s="41" t="str">
        <f>VLOOKUP(F1375,辅助信息!A:B,2,FALSE)</f>
        <v>螺纹钢</v>
      </c>
      <c r="F1375" s="41" t="s">
        <v>28</v>
      </c>
      <c r="G1375" s="37">
        <v>6</v>
      </c>
      <c r="H1375" s="37">
        <f>_xlfn.XLOOKUP(C1375&amp;F1375&amp;I1375&amp;J1375,'[1]2025年已发货'!$F:$F&amp;'[1]2025年已发货'!$C:$C&amp;'[1]2025年已发货'!$G:$G&amp;'[1]2025年已发货'!$H:$H,'[1]2025年已发货'!$E:$E,"未发货")</f>
        <v>6</v>
      </c>
      <c r="I1375" s="41" t="str">
        <f>VLOOKUP(B1375,辅助信息!E:I,3,FALSE)</f>
        <v>（华西简阳西城嘉苑）四川省成都市简阳市简城街道高屋村</v>
      </c>
      <c r="J1375" s="41" t="str">
        <f>VLOOKUP(B1375,辅助信息!E:I,4,FALSE)</f>
        <v>张瀚镭</v>
      </c>
      <c r="K1375" s="41">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177</v>
      </c>
      <c r="Q1375" s="30" t="str">
        <f>VLOOKUP(B1375,辅助信息!E:M,9,FALSE)</f>
        <v>ZTWM-CDGS-XS-2024-0030-华西集采-简州大道</v>
      </c>
      <c r="R1375" s="119" t="str">
        <f>_xlfn._xlws.FILTER(辅助信息!D:D,辅助信息!E:E=B1375)</f>
        <v>华西简阳西城嘉苑</v>
      </c>
    </row>
    <row r="1376" hidden="1" spans="2:18">
      <c r="B1376" s="41" t="s">
        <v>81</v>
      </c>
      <c r="C1376" s="71">
        <v>45780</v>
      </c>
      <c r="D1376" s="41" t="str">
        <f>VLOOKUP(B1376,辅助信息!E:K,7,FALSE)</f>
        <v>JWDDCD2025060900080</v>
      </c>
      <c r="E1376" s="41" t="str">
        <f>VLOOKUP(F1376,辅助信息!A:B,2,FALSE)</f>
        <v>螺纹钢</v>
      </c>
      <c r="F1376" s="41" t="s">
        <v>18</v>
      </c>
      <c r="G1376" s="37">
        <v>13</v>
      </c>
      <c r="H1376" s="37" t="str">
        <f>_xlfn.XLOOKUP(C1376&amp;F1376&amp;I1376&amp;J1376,'[1]2025年已发货'!$F:$F&amp;'[1]2025年已发货'!$C:$C&amp;'[1]2025年已发货'!$G:$G&amp;'[1]2025年已发货'!$H:$H,'[1]2025年已发货'!$E:$E,"未发货")</f>
        <v>未发货</v>
      </c>
      <c r="I1376" s="41" t="str">
        <f>VLOOKUP(B1376,辅助信息!E:I,3,FALSE)</f>
        <v>（华西简阳西城嘉苑）四川省成都市简阳市简城街道高屋村</v>
      </c>
      <c r="J1376" s="41" t="str">
        <f>VLOOKUP(B1376,辅助信息!E:I,4,FALSE)</f>
        <v>张瀚镭</v>
      </c>
      <c r="K1376" s="41">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177</v>
      </c>
      <c r="Q1376" s="30" t="str">
        <f>VLOOKUP(B1376,辅助信息!E:M,9,FALSE)</f>
        <v>ZTWM-CDGS-XS-2024-0030-华西集采-简州大道</v>
      </c>
      <c r="R1376" s="119" t="str">
        <f>_xlfn._xlws.FILTER(辅助信息!D:D,辅助信息!E:E=B1376)</f>
        <v>华西简阳西城嘉苑</v>
      </c>
    </row>
    <row r="1377" hidden="1" spans="2:18">
      <c r="B1377" s="41" t="s">
        <v>106</v>
      </c>
      <c r="C1377" s="71">
        <v>45782</v>
      </c>
      <c r="D1377" s="41" t="str">
        <f>VLOOKUP(B1377,辅助信息!E:K,7,FALSE)</f>
        <v>JWDDCD2024101600133</v>
      </c>
      <c r="E1377" s="41" t="str">
        <f>VLOOKUP(F1377,辅助信息!A:B,2,FALSE)</f>
        <v>盘螺</v>
      </c>
      <c r="F1377" s="41" t="s">
        <v>49</v>
      </c>
      <c r="G1377" s="37">
        <v>15</v>
      </c>
      <c r="H1377" s="37" t="str">
        <f>_xlfn.XLOOKUP(C1377&amp;F1377&amp;I1377&amp;J1377,'[1]2025年已发货'!$F:$F&amp;'[1]2025年已发货'!$C:$C&amp;'[1]2025年已发货'!$G:$G&amp;'[1]2025年已发货'!$H:$H,'[1]2025年已发货'!$E:$E,"未发货")</f>
        <v>未发货</v>
      </c>
      <c r="I1377" s="41" t="str">
        <f>VLOOKUP(B1377,辅助信息!E:I,3,FALSE)</f>
        <v>（五冶钢构宜宾高县月江镇建设项目）  四川省宜宾市高县月江镇刚记超市斜对面(还阳组团沪碳二期项目)</v>
      </c>
      <c r="J1377" s="41" t="str">
        <f>VLOOKUP(B1377,辅助信息!E:I,4,FALSE)</f>
        <v>张朝亮</v>
      </c>
      <c r="K1377" s="41">
        <f>VLOOKUP(J1377,辅助信息!H:I,2,FALSE)</f>
        <v>15228205853</v>
      </c>
      <c r="L1377" s="110" t="str">
        <f>VLOOKUP(B1377,辅助信息!E:J,6,FALSE)</f>
        <v>提前联系到场规格</v>
      </c>
      <c r="M1377" s="92">
        <v>45780</v>
      </c>
      <c r="O1377" s="63">
        <f ca="1" t="shared" si="65"/>
        <v>0</v>
      </c>
      <c r="P1377" s="63">
        <f ca="1" t="shared" si="66"/>
        <v>179</v>
      </c>
      <c r="Q1377" s="30"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1" t="s">
        <v>106</v>
      </c>
      <c r="C1378" s="71">
        <v>45782</v>
      </c>
      <c r="D1378" s="41" t="str">
        <f>VLOOKUP(B1378,辅助信息!E:K,7,FALSE)</f>
        <v>JWDDCD2024101600133</v>
      </c>
      <c r="E1378" s="41" t="str">
        <f>VLOOKUP(F1378,辅助信息!A:B,2,FALSE)</f>
        <v>盘螺</v>
      </c>
      <c r="F1378" s="41" t="s">
        <v>40</v>
      </c>
      <c r="G1378" s="37">
        <v>20</v>
      </c>
      <c r="H1378" s="37" t="str">
        <f>_xlfn.XLOOKUP(C1378&amp;F1378&amp;I1378&amp;J1378,'[1]2025年已发货'!$F:$F&amp;'[1]2025年已发货'!$C:$C&amp;'[1]2025年已发货'!$G:$G&amp;'[1]2025年已发货'!$H:$H,'[1]2025年已发货'!$E:$E,"未发货")</f>
        <v>未发货</v>
      </c>
      <c r="I1378" s="41" t="str">
        <f>VLOOKUP(B1378,辅助信息!E:I,3,FALSE)</f>
        <v>（五冶钢构宜宾高县月江镇建设项目）  四川省宜宾市高县月江镇刚记超市斜对面(还阳组团沪碳二期项目)</v>
      </c>
      <c r="J1378" s="41" t="str">
        <f>VLOOKUP(B1378,辅助信息!E:I,4,FALSE)</f>
        <v>张朝亮</v>
      </c>
      <c r="K1378" s="41">
        <f>VLOOKUP(J1378,辅助信息!H:I,2,FALSE)</f>
        <v>15228205853</v>
      </c>
      <c r="L1378" s="110" t="str">
        <f>VLOOKUP(B1378,辅助信息!E:J,6,FALSE)</f>
        <v>提前联系到场规格</v>
      </c>
      <c r="M1378" s="92">
        <v>45780</v>
      </c>
      <c r="O1378" s="63">
        <f ca="1" t="shared" si="65"/>
        <v>0</v>
      </c>
      <c r="P1378" s="63">
        <f ca="1" t="shared" si="66"/>
        <v>179</v>
      </c>
      <c r="Q1378" s="30"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1" t="s">
        <v>81</v>
      </c>
      <c r="C1379" s="71">
        <v>45783</v>
      </c>
      <c r="D1379" s="41" t="str">
        <f>VLOOKUP(B1379,辅助信息!E:K,7,FALSE)</f>
        <v>JWDDCD2025060900080</v>
      </c>
      <c r="E1379" s="41" t="str">
        <f>VLOOKUP(F1379,辅助信息!A:B,2,FALSE)</f>
        <v>盘螺</v>
      </c>
      <c r="F1379" s="41" t="s">
        <v>26</v>
      </c>
      <c r="G1379" s="37">
        <v>2</v>
      </c>
      <c r="H1379" s="37" t="str">
        <f>_xlfn.XLOOKUP(C1379&amp;F1379&amp;I1379&amp;J1379,'[1]2025年已发货'!$F:$F&amp;'[1]2025年已发货'!$C:$C&amp;'[1]2025年已发货'!$G:$G&amp;'[1]2025年已发货'!$H:$H,'[1]2025年已发货'!$E:$E,"未发货")</f>
        <v>未发货</v>
      </c>
      <c r="I1379" s="41" t="str">
        <f>VLOOKUP(B1379,辅助信息!E:I,3,FALSE)</f>
        <v>（华西简阳西城嘉苑）四川省成都市简阳市简城街道高屋村</v>
      </c>
      <c r="J1379" s="41" t="str">
        <f>VLOOKUP(B1379,辅助信息!E:I,4,FALSE)</f>
        <v>张瀚镭</v>
      </c>
      <c r="K1379" s="41">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175</v>
      </c>
      <c r="Q1379" s="30" t="str">
        <f>VLOOKUP(B1379,辅助信息!E:M,9,FALSE)</f>
        <v>ZTWM-CDGS-XS-2024-0030-华西集采-简州大道</v>
      </c>
      <c r="R1379" s="119" t="str">
        <f>_xlfn._xlws.FILTER(辅助信息!D:D,辅助信息!E:E=B1379)</f>
        <v>华西简阳西城嘉苑</v>
      </c>
    </row>
    <row r="1380" hidden="1" spans="2:18">
      <c r="B1380" s="41" t="s">
        <v>81</v>
      </c>
      <c r="C1380" s="71">
        <v>45783</v>
      </c>
      <c r="D1380" s="41" t="str">
        <f>VLOOKUP(B1380,辅助信息!E:K,7,FALSE)</f>
        <v>JWDDCD2025060900080</v>
      </c>
      <c r="E1380" s="41" t="str">
        <f>VLOOKUP(F1380,辅助信息!A:B,2,FALSE)</f>
        <v>螺纹钢</v>
      </c>
      <c r="F1380" s="41" t="s">
        <v>19</v>
      </c>
      <c r="G1380" s="37">
        <v>1</v>
      </c>
      <c r="H1380" s="37" t="str">
        <f>_xlfn.XLOOKUP(C1380&amp;F1380&amp;I1380&amp;J1380,'[1]2025年已发货'!$F:$F&amp;'[1]2025年已发货'!$C:$C&amp;'[1]2025年已发货'!$G:$G&amp;'[1]2025年已发货'!$H:$H,'[1]2025年已发货'!$E:$E,"未发货")</f>
        <v>未发货</v>
      </c>
      <c r="I1380" s="41" t="str">
        <f>VLOOKUP(B1380,辅助信息!E:I,3,FALSE)</f>
        <v>（华西简阳西城嘉苑）四川省成都市简阳市简城街道高屋村</v>
      </c>
      <c r="J1380" s="41" t="str">
        <f>VLOOKUP(B1380,辅助信息!E:I,4,FALSE)</f>
        <v>张瀚镭</v>
      </c>
      <c r="K1380" s="41">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175</v>
      </c>
      <c r="Q1380" s="30" t="str">
        <f>VLOOKUP(B1380,辅助信息!E:M,9,FALSE)</f>
        <v>ZTWM-CDGS-XS-2024-0030-华西集采-简州大道</v>
      </c>
      <c r="R1380" s="119" t="str">
        <f>_xlfn._xlws.FILTER(辅助信息!D:D,辅助信息!E:E=B1380)</f>
        <v>华西简阳西城嘉苑</v>
      </c>
    </row>
    <row r="1381" hidden="1" spans="2:18">
      <c r="B1381" s="41" t="s">
        <v>81</v>
      </c>
      <c r="C1381" s="71">
        <v>45783</v>
      </c>
      <c r="D1381" s="41" t="str">
        <f>VLOOKUP(B1381,辅助信息!E:K,7,FALSE)</f>
        <v>JWDDCD2025060900080</v>
      </c>
      <c r="E1381" s="41" t="str">
        <f>VLOOKUP(F1381,辅助信息!A:B,2,FALSE)</f>
        <v>螺纹钢</v>
      </c>
      <c r="F1381" s="41" t="s">
        <v>30</v>
      </c>
      <c r="G1381" s="37">
        <v>67</v>
      </c>
      <c r="H1381" s="37" t="str">
        <f>_xlfn.XLOOKUP(C1381&amp;F1381&amp;I1381&amp;J1381,'[1]2025年已发货'!$F:$F&amp;'[1]2025年已发货'!$C:$C&amp;'[1]2025年已发货'!$G:$G&amp;'[1]2025年已发货'!$H:$H,'[1]2025年已发货'!$E:$E,"未发货")</f>
        <v>未发货</v>
      </c>
      <c r="I1381" s="41" t="str">
        <f>VLOOKUP(B1381,辅助信息!E:I,3,FALSE)</f>
        <v>（华西简阳西城嘉苑）四川省成都市简阳市简城街道高屋村</v>
      </c>
      <c r="J1381" s="41" t="str">
        <f>VLOOKUP(B1381,辅助信息!E:I,4,FALSE)</f>
        <v>张瀚镭</v>
      </c>
      <c r="K1381" s="41">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175</v>
      </c>
      <c r="Q1381" s="30" t="str">
        <f>VLOOKUP(B1381,辅助信息!E:M,9,FALSE)</f>
        <v>ZTWM-CDGS-XS-2024-0030-华西集采-简州大道</v>
      </c>
      <c r="R1381" s="119" t="str">
        <f>_xlfn._xlws.FILTER(辅助信息!D:D,辅助信息!E:E=B1381)</f>
        <v>华西简阳西城嘉苑</v>
      </c>
    </row>
    <row r="1382" hidden="1" spans="2:18">
      <c r="B1382" s="41" t="s">
        <v>81</v>
      </c>
      <c r="C1382" s="71">
        <v>45783</v>
      </c>
      <c r="D1382" s="41" t="str">
        <f>VLOOKUP(B1382,辅助信息!E:K,7,FALSE)</f>
        <v>JWDDCD2025060900080</v>
      </c>
      <c r="E1382" s="41" t="str">
        <f>VLOOKUP(F1382,辅助信息!A:B,2,FALSE)</f>
        <v>螺纹钢</v>
      </c>
      <c r="F1382" s="41" t="s">
        <v>58</v>
      </c>
      <c r="G1382" s="37">
        <v>10</v>
      </c>
      <c r="H1382" s="37" t="str">
        <f>_xlfn.XLOOKUP(C1382&amp;F1382&amp;I1382&amp;J1382,'[1]2025年已发货'!$F:$F&amp;'[1]2025年已发货'!$C:$C&amp;'[1]2025年已发货'!$G:$G&amp;'[1]2025年已发货'!$H:$H,'[1]2025年已发货'!$E:$E,"未发货")</f>
        <v>未发货</v>
      </c>
      <c r="I1382" s="41" t="str">
        <f>VLOOKUP(B1382,辅助信息!E:I,3,FALSE)</f>
        <v>（华西简阳西城嘉苑）四川省成都市简阳市简城街道高屋村</v>
      </c>
      <c r="J1382" s="41" t="str">
        <f>VLOOKUP(B1382,辅助信息!E:I,4,FALSE)</f>
        <v>张瀚镭</v>
      </c>
      <c r="K1382" s="41">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175</v>
      </c>
      <c r="Q1382" s="30" t="str">
        <f>VLOOKUP(B1382,辅助信息!E:M,9,FALSE)</f>
        <v>ZTWM-CDGS-XS-2024-0030-华西集采-简州大道</v>
      </c>
      <c r="R1382" s="119" t="str">
        <f>_xlfn._xlws.FILTER(辅助信息!D:D,辅助信息!E:E=B1382)</f>
        <v>华西简阳西城嘉苑</v>
      </c>
    </row>
    <row r="1383" hidden="1" spans="2:18">
      <c r="B1383" s="41" t="s">
        <v>81</v>
      </c>
      <c r="C1383" s="71">
        <v>45783</v>
      </c>
      <c r="D1383" s="41" t="str">
        <f>VLOOKUP(B1383,辅助信息!E:K,7,FALSE)</f>
        <v>JWDDCD2025060900080</v>
      </c>
      <c r="E1383" s="41" t="str">
        <f>VLOOKUP(F1383,辅助信息!A:B,2,FALSE)</f>
        <v>螺纹钢</v>
      </c>
      <c r="F1383" s="41" t="s">
        <v>46</v>
      </c>
      <c r="G1383" s="37">
        <v>6</v>
      </c>
      <c r="H1383" s="37" t="str">
        <f>_xlfn.XLOOKUP(C1383&amp;F1383&amp;I1383&amp;J1383,'[1]2025年已发货'!$F:$F&amp;'[1]2025年已发货'!$C:$C&amp;'[1]2025年已发货'!$G:$G&amp;'[1]2025年已发货'!$H:$H,'[1]2025年已发货'!$E:$E,"未发货")</f>
        <v>未发货</v>
      </c>
      <c r="I1383" s="41" t="str">
        <f>VLOOKUP(B1383,辅助信息!E:I,3,FALSE)</f>
        <v>（华西简阳西城嘉苑）四川省成都市简阳市简城街道高屋村</v>
      </c>
      <c r="J1383" s="41" t="str">
        <f>VLOOKUP(B1383,辅助信息!E:I,4,FALSE)</f>
        <v>张瀚镭</v>
      </c>
      <c r="K1383" s="41">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175</v>
      </c>
      <c r="Q1383" s="30" t="str">
        <f>VLOOKUP(B1383,辅助信息!E:M,9,FALSE)</f>
        <v>ZTWM-CDGS-XS-2024-0030-华西集采-简州大道</v>
      </c>
      <c r="R1383" s="119" t="str">
        <f>_xlfn._xlws.FILTER(辅助信息!D:D,辅助信息!E:E=B1383)</f>
        <v>华西简阳西城嘉苑</v>
      </c>
    </row>
    <row r="1384" hidden="1" spans="2:18">
      <c r="B1384" s="41" t="s">
        <v>81</v>
      </c>
      <c r="C1384" s="71">
        <v>45783</v>
      </c>
      <c r="D1384" s="41" t="str">
        <f>VLOOKUP(B1384,辅助信息!E:K,7,FALSE)</f>
        <v>JWDDCD2025060900080</v>
      </c>
      <c r="E1384" s="41" t="str">
        <f>VLOOKUP(F1384,辅助信息!A:B,2,FALSE)</f>
        <v>螺纹钢</v>
      </c>
      <c r="F1384" s="41" t="s">
        <v>22</v>
      </c>
      <c r="G1384" s="37">
        <v>13</v>
      </c>
      <c r="H1384" s="37" t="str">
        <f>_xlfn.XLOOKUP(C1384&amp;F1384&amp;I1384&amp;J1384,'[1]2025年已发货'!$F:$F&amp;'[1]2025年已发货'!$C:$C&amp;'[1]2025年已发货'!$G:$G&amp;'[1]2025年已发货'!$H:$H,'[1]2025年已发货'!$E:$E,"未发货")</f>
        <v>未发货</v>
      </c>
      <c r="I1384" s="41" t="str">
        <f>VLOOKUP(B1384,辅助信息!E:I,3,FALSE)</f>
        <v>（华西简阳西城嘉苑）四川省成都市简阳市简城街道高屋村</v>
      </c>
      <c r="J1384" s="41" t="str">
        <f>VLOOKUP(B1384,辅助信息!E:I,4,FALSE)</f>
        <v>张瀚镭</v>
      </c>
      <c r="K1384" s="41">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175</v>
      </c>
      <c r="Q1384" s="30" t="str">
        <f>VLOOKUP(B1384,辅助信息!E:M,9,FALSE)</f>
        <v>ZTWM-CDGS-XS-2024-0030-华西集采-简州大道</v>
      </c>
      <c r="R1384" s="119" t="str">
        <f>_xlfn._xlws.FILTER(辅助信息!D:D,辅助信息!E:E=B1384)</f>
        <v>华西简阳西城嘉苑</v>
      </c>
    </row>
    <row r="1385" hidden="1" spans="2:18">
      <c r="B1385" s="41" t="s">
        <v>81</v>
      </c>
      <c r="C1385" s="71">
        <v>45783</v>
      </c>
      <c r="D1385" s="41" t="str">
        <f>VLOOKUP(B1385,辅助信息!E:K,7,FALSE)</f>
        <v>JWDDCD2025060900080</v>
      </c>
      <c r="E1385" s="41" t="str">
        <f>VLOOKUP(F1385,辅助信息!A:B,2,FALSE)</f>
        <v>盘螺</v>
      </c>
      <c r="F1385" s="41" t="s">
        <v>26</v>
      </c>
      <c r="G1385" s="37">
        <v>3</v>
      </c>
      <c r="H1385" s="37" t="str">
        <f>_xlfn.XLOOKUP(C1385&amp;F1385&amp;I1385&amp;J1385,'[1]2025年已发货'!$F:$F&amp;'[1]2025年已发货'!$C:$C&amp;'[1]2025年已发货'!$G:$G&amp;'[1]2025年已发货'!$H:$H,'[1]2025年已发货'!$E:$E,"未发货")</f>
        <v>未发货</v>
      </c>
      <c r="I1385" s="41" t="str">
        <f>VLOOKUP(B1385,辅助信息!E:I,3,FALSE)</f>
        <v>（华西简阳西城嘉苑）四川省成都市简阳市简城街道高屋村</v>
      </c>
      <c r="J1385" s="41" t="str">
        <f>VLOOKUP(B1385,辅助信息!E:I,4,FALSE)</f>
        <v>张瀚镭</v>
      </c>
      <c r="K1385" s="41">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175</v>
      </c>
      <c r="Q1385" s="30" t="str">
        <f>VLOOKUP(B1385,辅助信息!E:M,9,FALSE)</f>
        <v>ZTWM-CDGS-XS-2024-0030-华西集采-简州大道</v>
      </c>
      <c r="R1385" s="119" t="str">
        <f>_xlfn._xlws.FILTER(辅助信息!D:D,辅助信息!E:E=B1385)</f>
        <v>华西简阳西城嘉苑</v>
      </c>
    </row>
    <row r="1386" hidden="1" spans="2:18">
      <c r="B1386" s="41" t="s">
        <v>81</v>
      </c>
      <c r="C1386" s="71">
        <v>45783</v>
      </c>
      <c r="D1386" s="41" t="str">
        <f>VLOOKUP(B1386,辅助信息!E:K,7,FALSE)</f>
        <v>JWDDCD2025060900080</v>
      </c>
      <c r="E1386" s="41" t="str">
        <f>VLOOKUP(F1386,辅助信息!A:B,2,FALSE)</f>
        <v>螺纹钢</v>
      </c>
      <c r="F1386" s="41" t="s">
        <v>19</v>
      </c>
      <c r="G1386" s="37">
        <v>71</v>
      </c>
      <c r="H1386" s="37" t="str">
        <f>_xlfn.XLOOKUP(C1386&amp;F1386&amp;I1386&amp;J1386,'[1]2025年已发货'!$F:$F&amp;'[1]2025年已发货'!$C:$C&amp;'[1]2025年已发货'!$G:$G&amp;'[1]2025年已发货'!$H:$H,'[1]2025年已发货'!$E:$E,"未发货")</f>
        <v>未发货</v>
      </c>
      <c r="I1386" s="41" t="str">
        <f>VLOOKUP(B1386,辅助信息!E:I,3,FALSE)</f>
        <v>（华西简阳西城嘉苑）四川省成都市简阳市简城街道高屋村</v>
      </c>
      <c r="J1386" s="41" t="str">
        <f>VLOOKUP(B1386,辅助信息!E:I,4,FALSE)</f>
        <v>张瀚镭</v>
      </c>
      <c r="K1386" s="41">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175</v>
      </c>
      <c r="Q1386" s="30" t="str">
        <f>VLOOKUP(B1386,辅助信息!E:M,9,FALSE)</f>
        <v>ZTWM-CDGS-XS-2024-0030-华西集采-简州大道</v>
      </c>
      <c r="R1386" s="119" t="str">
        <f>_xlfn._xlws.FILTER(辅助信息!D:D,辅助信息!E:E=B1386)</f>
        <v>华西简阳西城嘉苑</v>
      </c>
    </row>
    <row r="1387" hidden="1" spans="2:18">
      <c r="B1387" s="41" t="s">
        <v>81</v>
      </c>
      <c r="C1387" s="71">
        <v>45783</v>
      </c>
      <c r="D1387" s="41" t="str">
        <f>VLOOKUP(B1387,辅助信息!E:K,7,FALSE)</f>
        <v>JWDDCD2025060900080</v>
      </c>
      <c r="E1387" s="41" t="str">
        <f>VLOOKUP(F1387,辅助信息!A:B,2,FALSE)</f>
        <v>螺纹钢</v>
      </c>
      <c r="F1387" s="41" t="s">
        <v>32</v>
      </c>
      <c r="G1387" s="37">
        <v>17</v>
      </c>
      <c r="H1387" s="37" t="str">
        <f>_xlfn.XLOOKUP(C1387&amp;F1387&amp;I1387&amp;J1387,'[1]2025年已发货'!$F:$F&amp;'[1]2025年已发货'!$C:$C&amp;'[1]2025年已发货'!$G:$G&amp;'[1]2025年已发货'!$H:$H,'[1]2025年已发货'!$E:$E,"未发货")</f>
        <v>未发货</v>
      </c>
      <c r="I1387" s="41" t="str">
        <f>VLOOKUP(B1387,辅助信息!E:I,3,FALSE)</f>
        <v>（华西简阳西城嘉苑）四川省成都市简阳市简城街道高屋村</v>
      </c>
      <c r="J1387" s="41" t="str">
        <f>VLOOKUP(B1387,辅助信息!E:I,4,FALSE)</f>
        <v>张瀚镭</v>
      </c>
      <c r="K1387" s="41">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175</v>
      </c>
      <c r="Q1387" s="30" t="str">
        <f>VLOOKUP(B1387,辅助信息!E:M,9,FALSE)</f>
        <v>ZTWM-CDGS-XS-2024-0030-华西集采-简州大道</v>
      </c>
      <c r="R1387" s="119" t="str">
        <f>_xlfn._xlws.FILTER(辅助信息!D:D,辅助信息!E:E=B1387)</f>
        <v>华西简阳西城嘉苑</v>
      </c>
    </row>
    <row r="1388" hidden="1" spans="2:18">
      <c r="B1388" s="41" t="s">
        <v>81</v>
      </c>
      <c r="C1388" s="71">
        <v>45783</v>
      </c>
      <c r="D1388" s="41" t="str">
        <f>VLOOKUP(B1388,辅助信息!E:K,7,FALSE)</f>
        <v>JWDDCD2025060900080</v>
      </c>
      <c r="E1388" s="41" t="str">
        <f>VLOOKUP(F1388,辅助信息!A:B,2,FALSE)</f>
        <v>螺纹钢</v>
      </c>
      <c r="F1388" s="41" t="s">
        <v>30</v>
      </c>
      <c r="G1388" s="37">
        <v>3</v>
      </c>
      <c r="H1388" s="37" t="str">
        <f>_xlfn.XLOOKUP(C1388&amp;F1388&amp;I1388&amp;J1388,'[1]2025年已发货'!$F:$F&amp;'[1]2025年已发货'!$C:$C&amp;'[1]2025年已发货'!$G:$G&amp;'[1]2025年已发货'!$H:$H,'[1]2025年已发货'!$E:$E,"未发货")</f>
        <v>未发货</v>
      </c>
      <c r="I1388" s="41" t="str">
        <f>VLOOKUP(B1388,辅助信息!E:I,3,FALSE)</f>
        <v>（华西简阳西城嘉苑）四川省成都市简阳市简城街道高屋村</v>
      </c>
      <c r="J1388" s="41" t="str">
        <f>VLOOKUP(B1388,辅助信息!E:I,4,FALSE)</f>
        <v>张瀚镭</v>
      </c>
      <c r="K1388" s="41">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175</v>
      </c>
      <c r="Q1388" s="30" t="str">
        <f>VLOOKUP(B1388,辅助信息!E:M,9,FALSE)</f>
        <v>ZTWM-CDGS-XS-2024-0030-华西集采-简州大道</v>
      </c>
      <c r="R1388" s="119" t="str">
        <f>_xlfn._xlws.FILTER(辅助信息!D:D,辅助信息!E:E=B1388)</f>
        <v>华西简阳西城嘉苑</v>
      </c>
    </row>
    <row r="1389" hidden="1" spans="2:18">
      <c r="B1389" s="41" t="s">
        <v>81</v>
      </c>
      <c r="C1389" s="71">
        <v>45783</v>
      </c>
      <c r="D1389" s="41" t="str">
        <f>VLOOKUP(B1389,辅助信息!E:K,7,FALSE)</f>
        <v>JWDDCD2025060900080</v>
      </c>
      <c r="E1389" s="41" t="str">
        <f>VLOOKUP(F1389,辅助信息!A:B,2,FALSE)</f>
        <v>螺纹钢</v>
      </c>
      <c r="F1389" s="41" t="s">
        <v>33</v>
      </c>
      <c r="G1389" s="37">
        <v>3</v>
      </c>
      <c r="H1389" s="37" t="str">
        <f>_xlfn.XLOOKUP(C1389&amp;F1389&amp;I1389&amp;J1389,'[1]2025年已发货'!$F:$F&amp;'[1]2025年已发货'!$C:$C&amp;'[1]2025年已发货'!$G:$G&amp;'[1]2025年已发货'!$H:$H,'[1]2025年已发货'!$E:$E,"未发货")</f>
        <v>未发货</v>
      </c>
      <c r="I1389" s="41" t="str">
        <f>VLOOKUP(B1389,辅助信息!E:I,3,FALSE)</f>
        <v>（华西简阳西城嘉苑）四川省成都市简阳市简城街道高屋村</v>
      </c>
      <c r="J1389" s="41" t="str">
        <f>VLOOKUP(B1389,辅助信息!E:I,4,FALSE)</f>
        <v>张瀚镭</v>
      </c>
      <c r="K1389" s="41">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175</v>
      </c>
      <c r="Q1389" s="30" t="str">
        <f>VLOOKUP(B1389,辅助信息!E:M,9,FALSE)</f>
        <v>ZTWM-CDGS-XS-2024-0030-华西集采-简州大道</v>
      </c>
      <c r="R1389" s="119" t="str">
        <f>_xlfn._xlws.FILTER(辅助信息!D:D,辅助信息!E:E=B1389)</f>
        <v>华西简阳西城嘉苑</v>
      </c>
    </row>
    <row r="1390" hidden="1" spans="2:18">
      <c r="B1390" s="41" t="s">
        <v>148</v>
      </c>
      <c r="C1390" s="71">
        <v>45783</v>
      </c>
      <c r="D1390" s="41" t="str">
        <f>VLOOKUP(B1390,辅助信息!E:K,7,FALSE)</f>
        <v>JWDDCD2025050800080</v>
      </c>
      <c r="E1390" s="41" t="str">
        <f>VLOOKUP(F1390,辅助信息!A:B,2,FALSE)</f>
        <v>螺纹钢</v>
      </c>
      <c r="F1390" s="41" t="s">
        <v>30</v>
      </c>
      <c r="G1390" s="37">
        <v>20</v>
      </c>
      <c r="H1390" s="37">
        <f>_xlfn.XLOOKUP(C1390&amp;F1390&amp;I1390&amp;J1390,'[1]2025年已发货'!$F:$F&amp;'[1]2025年已发货'!$C:$C&amp;'[1]2025年已发货'!$G:$G&amp;'[1]2025年已发货'!$H:$H,'[1]2025年已发货'!$E:$E,"未发货")</f>
        <v>20</v>
      </c>
      <c r="I1390" s="41" t="str">
        <f>VLOOKUP(B1390,辅助信息!E:I,3,FALSE)</f>
        <v>(宜宾兴港三江新区长江工业园建设项目-3#8#土建)宜宾市翠屏区宜宾汽车零部件配套产业基地(纬五路南)</v>
      </c>
      <c r="J1390" s="41" t="str">
        <f>VLOOKUP(B1390,辅助信息!E:I,4,FALSE)</f>
        <v>严石林</v>
      </c>
      <c r="K1390" s="41">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175</v>
      </c>
      <c r="Q1390" s="30" t="str">
        <f>VLOOKUP(B1390,辅助信息!E:M,9,FALSE)</f>
        <v>ZTWM-CDGS-XS-2025-0059-宜宾兴港建材-宜宾冷链项目</v>
      </c>
      <c r="R1390" s="119" t="str">
        <f>_xlfn._xlws.FILTER(辅助信息!D:D,辅助信息!E:E=B1390)</f>
        <v>宜宾兴港三江新区长江工业园建设项目</v>
      </c>
    </row>
    <row r="1391" hidden="1" spans="2:18">
      <c r="B1391" s="41" t="s">
        <v>148</v>
      </c>
      <c r="C1391" s="71">
        <v>45783</v>
      </c>
      <c r="D1391" s="41" t="str">
        <f>VLOOKUP(B1391,辅助信息!E:K,7,FALSE)</f>
        <v>JWDDCD2025050800080</v>
      </c>
      <c r="E1391" s="41" t="str">
        <f>VLOOKUP(F1391,辅助信息!A:B,2,FALSE)</f>
        <v>螺纹钢</v>
      </c>
      <c r="F1391" s="41" t="s">
        <v>141</v>
      </c>
      <c r="G1391" s="37">
        <v>15</v>
      </c>
      <c r="H1391" s="37">
        <f>_xlfn.XLOOKUP(C1391&amp;F1391&amp;I1391&amp;J1391,'[1]2025年已发货'!$F:$F&amp;'[1]2025年已发货'!$C:$C&amp;'[1]2025年已发货'!$G:$G&amp;'[1]2025年已发货'!$H:$H,'[1]2025年已发货'!$E:$E,"未发货")</f>
        <v>15</v>
      </c>
      <c r="I1391" s="41" t="str">
        <f>VLOOKUP(B1391,辅助信息!E:I,3,FALSE)</f>
        <v>(宜宾兴港三江新区长江工业园建设项目-3#8#土建)宜宾市翠屏区宜宾汽车零部件配套产业基地(纬五路南)</v>
      </c>
      <c r="J1391" s="41" t="str">
        <f>VLOOKUP(B1391,辅助信息!E:I,4,FALSE)</f>
        <v>严石林</v>
      </c>
      <c r="K1391" s="41">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175</v>
      </c>
      <c r="Q1391" s="30" t="str">
        <f>VLOOKUP(B1391,辅助信息!E:M,9,FALSE)</f>
        <v>ZTWM-CDGS-XS-2025-0059-宜宾兴港建材-宜宾冷链项目</v>
      </c>
      <c r="R1391" s="119" t="str">
        <f>_xlfn._xlws.FILTER(辅助信息!D:D,辅助信息!E:E=B1391)</f>
        <v>宜宾兴港三江新区长江工业园建设项目</v>
      </c>
    </row>
    <row r="1392" hidden="1" spans="2:18">
      <c r="B1392" s="41" t="s">
        <v>92</v>
      </c>
      <c r="C1392" s="71">
        <v>45783</v>
      </c>
      <c r="D1392" s="41" t="str">
        <f>VLOOKUP(B1392,辅助信息!E:K,7,FALSE)</f>
        <v>JWDDCD2025051800046</v>
      </c>
      <c r="E1392" s="41" t="str">
        <f>VLOOKUP(F1392,辅助信息!A:B,2,FALSE)</f>
        <v>盘螺</v>
      </c>
      <c r="F1392" s="41" t="s">
        <v>40</v>
      </c>
      <c r="G1392" s="37">
        <v>10</v>
      </c>
      <c r="H1392" s="37">
        <f>_xlfn.XLOOKUP(C1392&amp;F1392&amp;I1392&amp;J1392,'[1]2025年已发货'!$F:$F&amp;'[1]2025年已发货'!$C:$C&amp;'[1]2025年已发货'!$G:$G&amp;'[1]2025年已发货'!$H:$H,'[1]2025年已发货'!$E:$E,"未发货")</f>
        <v>10</v>
      </c>
      <c r="I1392" s="41" t="str">
        <f>VLOOKUP(B1392,辅助信息!E:I,3,FALSE)</f>
        <v>（华西萌海科创农业生态谷）成都市简阳市白金山水库</v>
      </c>
      <c r="J1392" s="41" t="str">
        <f>VLOOKUP(B1392,辅助信息!E:I,4,FALSE)</f>
        <v>石清国</v>
      </c>
      <c r="K1392" s="41">
        <f>VLOOKUP(J1392,辅助信息!H:I,2,FALSE)</f>
        <v>13458642015</v>
      </c>
      <c r="L1392" s="110" t="str">
        <f>VLOOKUP(B1392,辅助信息!E:J,6,FALSE)</f>
        <v>优先威钢,我方卸车,新老国标钢厂不加价可直发</v>
      </c>
      <c r="M1392" s="92">
        <v>45784</v>
      </c>
      <c r="O1392" s="63">
        <f ca="1" t="shared" si="67"/>
        <v>0</v>
      </c>
      <c r="P1392" s="63">
        <f ca="1" t="shared" si="68"/>
        <v>175</v>
      </c>
      <c r="Q1392" s="30" t="str">
        <f>VLOOKUP(B1392,辅助信息!E:M,9,FALSE)</f>
        <v>ZTWM-CDGS-XS-2024-0092-华西-萌海科创农业生态谷</v>
      </c>
      <c r="R1392" s="119" t="str">
        <f>_xlfn._xlws.FILTER(辅助信息!D:D,辅助信息!E:E=B1392)</f>
        <v>华西萌海-科创农业生态谷</v>
      </c>
    </row>
    <row r="1393" hidden="1" spans="2:18">
      <c r="B1393" s="41" t="s">
        <v>92</v>
      </c>
      <c r="C1393" s="71">
        <v>45783</v>
      </c>
      <c r="D1393" s="41" t="str">
        <f>VLOOKUP(B1393,辅助信息!E:K,7,FALSE)</f>
        <v>JWDDCD2025051800046</v>
      </c>
      <c r="E1393" s="41" t="str">
        <f>VLOOKUP(F1393,辅助信息!A:B,2,FALSE)</f>
        <v>盘螺</v>
      </c>
      <c r="F1393" s="41" t="s">
        <v>26</v>
      </c>
      <c r="G1393" s="37">
        <v>10</v>
      </c>
      <c r="H1393" s="37">
        <f>_xlfn.XLOOKUP(C1393&amp;F1393&amp;I1393&amp;J1393,'[1]2025年已发货'!$F:$F&amp;'[1]2025年已发货'!$C:$C&amp;'[1]2025年已发货'!$G:$G&amp;'[1]2025年已发货'!$H:$H,'[1]2025年已发货'!$E:$E,"未发货")</f>
        <v>10</v>
      </c>
      <c r="I1393" s="41" t="str">
        <f>VLOOKUP(B1393,辅助信息!E:I,3,FALSE)</f>
        <v>（华西萌海科创农业生态谷）成都市简阳市白金山水库</v>
      </c>
      <c r="J1393" s="41" t="str">
        <f>VLOOKUP(B1393,辅助信息!E:I,4,FALSE)</f>
        <v>石清国</v>
      </c>
      <c r="K1393" s="41">
        <f>VLOOKUP(J1393,辅助信息!H:I,2,FALSE)</f>
        <v>13458642015</v>
      </c>
      <c r="L1393" s="110" t="str">
        <f>VLOOKUP(B1393,辅助信息!E:J,6,FALSE)</f>
        <v>优先威钢,我方卸车,新老国标钢厂不加价可直发</v>
      </c>
      <c r="M1393" s="92">
        <v>45784</v>
      </c>
      <c r="O1393" s="63">
        <f ca="1" t="shared" si="67"/>
        <v>0</v>
      </c>
      <c r="P1393" s="63">
        <f ca="1" t="shared" si="68"/>
        <v>175</v>
      </c>
      <c r="Q1393" s="30" t="str">
        <f>VLOOKUP(B1393,辅助信息!E:M,9,FALSE)</f>
        <v>ZTWM-CDGS-XS-2024-0092-华西-萌海科创农业生态谷</v>
      </c>
      <c r="R1393" s="119" t="str">
        <f>_xlfn._xlws.FILTER(辅助信息!D:D,辅助信息!E:E=B1393)</f>
        <v>华西萌海-科创农业生态谷</v>
      </c>
    </row>
    <row r="1394" hidden="1" spans="2:18">
      <c r="B1394" s="41" t="s">
        <v>92</v>
      </c>
      <c r="C1394" s="71">
        <v>45783</v>
      </c>
      <c r="D1394" s="41" t="str">
        <f>VLOOKUP(B1394,辅助信息!E:K,7,FALSE)</f>
        <v>JWDDCD2025051800046</v>
      </c>
      <c r="E1394" s="41" t="str">
        <f>VLOOKUP(F1394,辅助信息!A:B,2,FALSE)</f>
        <v>螺纹钢</v>
      </c>
      <c r="F1394" s="41" t="s">
        <v>27</v>
      </c>
      <c r="G1394" s="37">
        <v>8</v>
      </c>
      <c r="H1394" s="37">
        <f>_xlfn.XLOOKUP(C1394&amp;F1394&amp;I1394&amp;J1394,'[1]2025年已发货'!$F:$F&amp;'[1]2025年已发货'!$C:$C&amp;'[1]2025年已发货'!$G:$G&amp;'[1]2025年已发货'!$H:$H,'[1]2025年已发货'!$E:$E,"未发货")</f>
        <v>8</v>
      </c>
      <c r="I1394" s="41" t="str">
        <f>VLOOKUP(B1394,辅助信息!E:I,3,FALSE)</f>
        <v>（华西萌海科创农业生态谷）成都市简阳市白金山水库</v>
      </c>
      <c r="J1394" s="41" t="str">
        <f>VLOOKUP(B1394,辅助信息!E:I,4,FALSE)</f>
        <v>石清国</v>
      </c>
      <c r="K1394" s="41">
        <f>VLOOKUP(J1394,辅助信息!H:I,2,FALSE)</f>
        <v>13458642015</v>
      </c>
      <c r="L1394" s="110" t="str">
        <f>VLOOKUP(B1394,辅助信息!E:J,6,FALSE)</f>
        <v>优先威钢,我方卸车,新老国标钢厂不加价可直发</v>
      </c>
      <c r="M1394" s="92">
        <v>45784</v>
      </c>
      <c r="O1394" s="63">
        <f ca="1" t="shared" si="67"/>
        <v>0</v>
      </c>
      <c r="P1394" s="63">
        <f ca="1" t="shared" si="68"/>
        <v>175</v>
      </c>
      <c r="Q1394" s="30" t="str">
        <f>VLOOKUP(B1394,辅助信息!E:M,9,FALSE)</f>
        <v>ZTWM-CDGS-XS-2024-0092-华西-萌海科创农业生态谷</v>
      </c>
      <c r="R1394" s="119" t="str">
        <f>_xlfn._xlws.FILTER(辅助信息!D:D,辅助信息!E:E=B1394)</f>
        <v>华西萌海-科创农业生态谷</v>
      </c>
    </row>
    <row r="1395" hidden="1" spans="2:18">
      <c r="B1395" s="41" t="s">
        <v>92</v>
      </c>
      <c r="C1395" s="71">
        <v>45783</v>
      </c>
      <c r="D1395" s="41" t="str">
        <f>VLOOKUP(B1395,辅助信息!E:K,7,FALSE)</f>
        <v>JWDDCD2025051800046</v>
      </c>
      <c r="E1395" s="41" t="str">
        <f>VLOOKUP(F1395,辅助信息!A:B,2,FALSE)</f>
        <v>螺纹钢</v>
      </c>
      <c r="F1395" s="41" t="s">
        <v>66</v>
      </c>
      <c r="G1395" s="37">
        <v>3</v>
      </c>
      <c r="H1395" s="37">
        <f>_xlfn.XLOOKUP(C1395&amp;F1395&amp;I1395&amp;J1395,'[1]2025年已发货'!$F:$F&amp;'[1]2025年已发货'!$C:$C&amp;'[1]2025年已发货'!$G:$G&amp;'[1]2025年已发货'!$H:$H,'[1]2025年已发货'!$E:$E,"未发货")</f>
        <v>3</v>
      </c>
      <c r="I1395" s="41" t="str">
        <f>VLOOKUP(B1395,辅助信息!E:I,3,FALSE)</f>
        <v>（华西萌海科创农业生态谷）成都市简阳市白金山水库</v>
      </c>
      <c r="J1395" s="41" t="str">
        <f>VLOOKUP(B1395,辅助信息!E:I,4,FALSE)</f>
        <v>石清国</v>
      </c>
      <c r="K1395" s="41">
        <f>VLOOKUP(J1395,辅助信息!H:I,2,FALSE)</f>
        <v>13458642015</v>
      </c>
      <c r="L1395" s="110" t="str">
        <f>VLOOKUP(B1395,辅助信息!E:J,6,FALSE)</f>
        <v>优先威钢,我方卸车,新老国标钢厂不加价可直发</v>
      </c>
      <c r="M1395" s="92">
        <v>45784</v>
      </c>
      <c r="O1395" s="63">
        <f ca="1" t="shared" si="67"/>
        <v>0</v>
      </c>
      <c r="P1395" s="63">
        <f ca="1" t="shared" si="68"/>
        <v>175</v>
      </c>
      <c r="Q1395" s="30" t="str">
        <f>VLOOKUP(B1395,辅助信息!E:M,9,FALSE)</f>
        <v>ZTWM-CDGS-XS-2024-0092-华西-萌海科创农业生态谷</v>
      </c>
      <c r="R1395" s="119" t="str">
        <f>_xlfn._xlws.FILTER(辅助信息!D:D,辅助信息!E:E=B1395)</f>
        <v>华西萌海-科创农业生态谷</v>
      </c>
    </row>
    <row r="1396" hidden="1" spans="2:18">
      <c r="B1396" s="41" t="s">
        <v>92</v>
      </c>
      <c r="C1396" s="71">
        <v>45783</v>
      </c>
      <c r="D1396" s="41" t="str">
        <f>VLOOKUP(B1396,辅助信息!E:K,7,FALSE)</f>
        <v>JWDDCD2025051800046</v>
      </c>
      <c r="E1396" s="41" t="str">
        <f>VLOOKUP(F1396,辅助信息!A:B,2,FALSE)</f>
        <v>螺纹钢</v>
      </c>
      <c r="F1396" s="41" t="s">
        <v>82</v>
      </c>
      <c r="G1396" s="37">
        <v>3</v>
      </c>
      <c r="H1396" s="37">
        <f>_xlfn.XLOOKUP(C1396&amp;F1396&amp;I1396&amp;J1396,'[1]2025年已发货'!$F:$F&amp;'[1]2025年已发货'!$C:$C&amp;'[1]2025年已发货'!$G:$G&amp;'[1]2025年已发货'!$H:$H,'[1]2025年已发货'!$E:$E,"未发货")</f>
        <v>3</v>
      </c>
      <c r="I1396" s="41" t="str">
        <f>VLOOKUP(B1396,辅助信息!E:I,3,FALSE)</f>
        <v>（华西萌海科创农业生态谷）成都市简阳市白金山水库</v>
      </c>
      <c r="J1396" s="41" t="str">
        <f>VLOOKUP(B1396,辅助信息!E:I,4,FALSE)</f>
        <v>石清国</v>
      </c>
      <c r="K1396" s="41">
        <f>VLOOKUP(J1396,辅助信息!H:I,2,FALSE)</f>
        <v>13458642015</v>
      </c>
      <c r="L1396" s="110" t="str">
        <f>VLOOKUP(B1396,辅助信息!E:J,6,FALSE)</f>
        <v>优先威钢,我方卸车,新老国标钢厂不加价可直发</v>
      </c>
      <c r="M1396" s="92">
        <v>45784</v>
      </c>
      <c r="O1396" s="63">
        <f ca="1" t="shared" si="67"/>
        <v>0</v>
      </c>
      <c r="P1396" s="63">
        <f ca="1" t="shared" si="68"/>
        <v>175</v>
      </c>
      <c r="Q1396" s="30" t="str">
        <f>VLOOKUP(B1396,辅助信息!E:M,9,FALSE)</f>
        <v>ZTWM-CDGS-XS-2024-0092-华西-萌海科创农业生态谷</v>
      </c>
      <c r="R1396" s="119" t="str">
        <f>_xlfn._xlws.FILTER(辅助信息!D:D,辅助信息!E:E=B1396)</f>
        <v>华西萌海-科创农业生态谷</v>
      </c>
    </row>
    <row r="1397" hidden="1" spans="2:18">
      <c r="B1397" s="41" t="s">
        <v>92</v>
      </c>
      <c r="C1397" s="71">
        <v>45783</v>
      </c>
      <c r="D1397" s="41" t="str">
        <f>VLOOKUP(B1397,辅助信息!E:K,7,FALSE)</f>
        <v>JWDDCD2025051800046</v>
      </c>
      <c r="E1397" s="41" t="str">
        <f>VLOOKUP(F1397,辅助信息!A:B,2,FALSE)</f>
        <v>螺纹钢</v>
      </c>
      <c r="F1397" s="41" t="s">
        <v>58</v>
      </c>
      <c r="G1397" s="37">
        <v>3</v>
      </c>
      <c r="H1397" s="37">
        <f>_xlfn.XLOOKUP(C1397&amp;F1397&amp;I1397&amp;J1397,'[1]2025年已发货'!$F:$F&amp;'[1]2025年已发货'!$C:$C&amp;'[1]2025年已发货'!$G:$G&amp;'[1]2025年已发货'!$H:$H,'[1]2025年已发货'!$E:$E,"未发货")</f>
        <v>3</v>
      </c>
      <c r="I1397" s="41" t="str">
        <f>VLOOKUP(B1397,辅助信息!E:I,3,FALSE)</f>
        <v>（华西萌海科创农业生态谷）成都市简阳市白金山水库</v>
      </c>
      <c r="J1397" s="41" t="str">
        <f>VLOOKUP(B1397,辅助信息!E:I,4,FALSE)</f>
        <v>石清国</v>
      </c>
      <c r="K1397" s="41">
        <f>VLOOKUP(J1397,辅助信息!H:I,2,FALSE)</f>
        <v>13458642015</v>
      </c>
      <c r="L1397" s="110" t="str">
        <f>VLOOKUP(B1397,辅助信息!E:J,6,FALSE)</f>
        <v>优先威钢,我方卸车,新老国标钢厂不加价可直发</v>
      </c>
      <c r="M1397" s="92">
        <v>45784</v>
      </c>
      <c r="O1397" s="63">
        <f ca="1" t="shared" si="67"/>
        <v>0</v>
      </c>
      <c r="P1397" s="63">
        <f ca="1" t="shared" si="68"/>
        <v>175</v>
      </c>
      <c r="Q1397" s="30" t="str">
        <f>VLOOKUP(B1397,辅助信息!E:M,9,FALSE)</f>
        <v>ZTWM-CDGS-XS-2024-0092-华西-萌海科创农业生态谷</v>
      </c>
      <c r="R1397" s="119" t="str">
        <f>_xlfn._xlws.FILTER(辅助信息!D:D,辅助信息!E:E=B1397)</f>
        <v>华西萌海-科创农业生态谷</v>
      </c>
    </row>
    <row r="1398" hidden="1" spans="2:18">
      <c r="B1398" s="41" t="s">
        <v>147</v>
      </c>
      <c r="C1398" s="71">
        <v>45783</v>
      </c>
      <c r="D1398" s="41" t="str">
        <f>VLOOKUP(B1398,辅助信息!E:K,7,FALSE)</f>
        <v>JWDDCD2025052800131</v>
      </c>
      <c r="E1398" s="41" t="str">
        <f>VLOOKUP(F1398,辅助信息!A:B,2,FALSE)</f>
        <v>高线</v>
      </c>
      <c r="F1398" s="41" t="s">
        <v>57</v>
      </c>
      <c r="G1398" s="37">
        <v>7.5</v>
      </c>
      <c r="H1398" s="37" t="str">
        <f>_xlfn.XLOOKUP(C1398&amp;F1398&amp;I1398&amp;J1398,'[1]2025年已发货'!$F:$F&amp;'[1]2025年已发货'!$C:$C&amp;'[1]2025年已发货'!$G:$G&amp;'[1]2025年已发货'!$H:$H,'[1]2025年已发货'!$E:$E,"未发货")</f>
        <v>未发货</v>
      </c>
      <c r="I1398" s="41" t="str">
        <f>VLOOKUP(B1398,辅助信息!E:I,3,FALSE)</f>
        <v>（商投建工达州中医药科技园-4工区-11号楼）达州市通川区达州中医药职业学院犀牛大道北段</v>
      </c>
      <c r="J1398" s="41" t="str">
        <f>VLOOKUP(B1398,辅助信息!E:I,4,FALSE)</f>
        <v>张扬</v>
      </c>
      <c r="K1398" s="41">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175</v>
      </c>
      <c r="Q1398" s="30" t="str">
        <f>VLOOKUP(B1398,辅助信息!E:M,9,FALSE)</f>
        <v>ZTWM-CDGS-XS-2024-0134-商投建工达州中医药科技成果示范园项目</v>
      </c>
      <c r="R1398" s="119" t="str">
        <f>_xlfn._xlws.FILTER(辅助信息!D:D,辅助信息!E:E=B1398)</f>
        <v>商投建工达州中医药科技园</v>
      </c>
    </row>
    <row r="1399" hidden="1" spans="2:18">
      <c r="B1399" s="41" t="s">
        <v>147</v>
      </c>
      <c r="C1399" s="71">
        <v>45783</v>
      </c>
      <c r="D1399" s="41" t="str">
        <f>VLOOKUP(B1399,辅助信息!E:K,7,FALSE)</f>
        <v>JWDDCD2025052800131</v>
      </c>
      <c r="E1399" s="41" t="str">
        <f>VLOOKUP(F1399,辅助信息!A:B,2,FALSE)</f>
        <v>盘螺</v>
      </c>
      <c r="F1399" s="41" t="s">
        <v>41</v>
      </c>
      <c r="G1399" s="37">
        <v>37.5</v>
      </c>
      <c r="H1399" s="37" t="str">
        <f>_xlfn.XLOOKUP(C1399&amp;F1399&amp;I1399&amp;J1399,'[1]2025年已发货'!$F:$F&amp;'[1]2025年已发货'!$C:$C&amp;'[1]2025年已发货'!$G:$G&amp;'[1]2025年已发货'!$H:$H,'[1]2025年已发货'!$E:$E,"未发货")</f>
        <v>未发货</v>
      </c>
      <c r="I1399" s="41" t="str">
        <f>VLOOKUP(B1399,辅助信息!E:I,3,FALSE)</f>
        <v>（商投建工达州中医药科技园-4工区-11号楼）达州市通川区达州中医药职业学院犀牛大道北段</v>
      </c>
      <c r="J1399" s="41" t="str">
        <f>VLOOKUP(B1399,辅助信息!E:I,4,FALSE)</f>
        <v>张扬</v>
      </c>
      <c r="K1399" s="41">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175</v>
      </c>
      <c r="Q1399" s="30" t="str">
        <f>VLOOKUP(B1399,辅助信息!E:M,9,FALSE)</f>
        <v>ZTWM-CDGS-XS-2024-0134-商投建工达州中医药科技成果示范园项目</v>
      </c>
      <c r="R1399" s="119" t="str">
        <f>_xlfn._xlws.FILTER(辅助信息!D:D,辅助信息!E:E=B1399)</f>
        <v>商投建工达州中医药科技园</v>
      </c>
    </row>
    <row r="1400" hidden="1" spans="2:18">
      <c r="B1400" s="41" t="s">
        <v>147</v>
      </c>
      <c r="C1400" s="71">
        <v>45783</v>
      </c>
      <c r="D1400" s="41" t="str">
        <f>VLOOKUP(B1400,辅助信息!E:K,7,FALSE)</f>
        <v>JWDDCD2025052800131</v>
      </c>
      <c r="E1400" s="41" t="str">
        <f>VLOOKUP(F1400,辅助信息!A:B,2,FALSE)</f>
        <v>螺纹钢</v>
      </c>
      <c r="F1400" s="41" t="s">
        <v>30</v>
      </c>
      <c r="G1400" s="37">
        <v>7</v>
      </c>
      <c r="H1400" s="37" t="str">
        <f>_xlfn.XLOOKUP(C1400&amp;F1400&amp;I1400&amp;J1400,'[1]2025年已发货'!$F:$F&amp;'[1]2025年已发货'!$C:$C&amp;'[1]2025年已发货'!$G:$G&amp;'[1]2025年已发货'!$H:$H,'[1]2025年已发货'!$E:$E,"未发货")</f>
        <v>未发货</v>
      </c>
      <c r="I1400" s="41" t="str">
        <f>VLOOKUP(B1400,辅助信息!E:I,3,FALSE)</f>
        <v>（商投建工达州中医药科技园-4工区-11号楼）达州市通川区达州中医药职业学院犀牛大道北段</v>
      </c>
      <c r="J1400" s="41" t="str">
        <f>VLOOKUP(B1400,辅助信息!E:I,4,FALSE)</f>
        <v>张扬</v>
      </c>
      <c r="K1400" s="41">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175</v>
      </c>
      <c r="Q1400" s="30" t="str">
        <f>VLOOKUP(B1400,辅助信息!E:M,9,FALSE)</f>
        <v>ZTWM-CDGS-XS-2024-0134-商投建工达州中医药科技成果示范园项目</v>
      </c>
      <c r="R1400" s="119" t="str">
        <f>_xlfn._xlws.FILTER(辅助信息!D:D,辅助信息!E:E=B1400)</f>
        <v>商投建工达州中医药科技园</v>
      </c>
    </row>
    <row r="1401" hidden="1" spans="2:18">
      <c r="B1401" s="41" t="s">
        <v>147</v>
      </c>
      <c r="C1401" s="71">
        <v>45783</v>
      </c>
      <c r="D1401" s="41" t="str">
        <f>VLOOKUP(B1401,辅助信息!E:K,7,FALSE)</f>
        <v>JWDDCD2025052800131</v>
      </c>
      <c r="E1401" s="41" t="str">
        <f>VLOOKUP(F1401,辅助信息!A:B,2,FALSE)</f>
        <v>螺纹钢</v>
      </c>
      <c r="F1401" s="41" t="s">
        <v>18</v>
      </c>
      <c r="G1401" s="37">
        <v>18</v>
      </c>
      <c r="H1401" s="37" t="str">
        <f>_xlfn.XLOOKUP(C1401&amp;F1401&amp;I1401&amp;J1401,'[1]2025年已发货'!$F:$F&amp;'[1]2025年已发货'!$C:$C&amp;'[1]2025年已发货'!$G:$G&amp;'[1]2025年已发货'!$H:$H,'[1]2025年已发货'!$E:$E,"未发货")</f>
        <v>未发货</v>
      </c>
      <c r="I1401" s="41" t="str">
        <f>VLOOKUP(B1401,辅助信息!E:I,3,FALSE)</f>
        <v>（商投建工达州中医药科技园-4工区-11号楼）达州市通川区达州中医药职业学院犀牛大道北段</v>
      </c>
      <c r="J1401" s="41" t="str">
        <f>VLOOKUP(B1401,辅助信息!E:I,4,FALSE)</f>
        <v>张扬</v>
      </c>
      <c r="K1401" s="41">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175</v>
      </c>
      <c r="Q1401" s="30" t="str">
        <f>VLOOKUP(B1401,辅助信息!E:M,9,FALSE)</f>
        <v>ZTWM-CDGS-XS-2024-0134-商投建工达州中医药科技成果示范园项目</v>
      </c>
      <c r="R1401" s="119" t="str">
        <f>_xlfn._xlws.FILTER(辅助信息!D:D,辅助信息!E:E=B1401)</f>
        <v>商投建工达州中医药科技园</v>
      </c>
    </row>
    <row r="1402" hidden="1" spans="2:18">
      <c r="B1402" s="41" t="s">
        <v>81</v>
      </c>
      <c r="C1402" s="71">
        <v>45785</v>
      </c>
      <c r="D1402" s="41" t="str">
        <f>VLOOKUP(B1402,辅助信息!E:K,7,FALSE)</f>
        <v>JWDDCD2025060900080</v>
      </c>
      <c r="E1402" s="41" t="str">
        <f>VLOOKUP(F1402,辅助信息!A:B,2,FALSE)</f>
        <v>螺纹钢</v>
      </c>
      <c r="F1402" s="41" t="s">
        <v>30</v>
      </c>
      <c r="G1402" s="37">
        <v>50</v>
      </c>
      <c r="H1402" s="37" t="str">
        <f>_xlfn.XLOOKUP(C1402&amp;F1402&amp;I1402&amp;J1402,'[1]2025年已发货'!$F:$F&amp;'[1]2025年已发货'!$C:$C&amp;'[1]2025年已发货'!$G:$G&amp;'[1]2025年已发货'!$H:$H,'[1]2025年已发货'!$E:$E,"未发货")</f>
        <v>未发货</v>
      </c>
      <c r="I1402" s="41" t="str">
        <f>VLOOKUP(B1402,辅助信息!E:I,3,FALSE)</f>
        <v>（华西简阳西城嘉苑）四川省成都市简阳市简城街道高屋村</v>
      </c>
      <c r="J1402" s="41" t="str">
        <f>VLOOKUP(B1402,辅助信息!E:I,4,FALSE)</f>
        <v>张瀚镭</v>
      </c>
      <c r="K1402" s="41">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175</v>
      </c>
      <c r="Q1402" s="30" t="str">
        <f>VLOOKUP(B1402,辅助信息!E:M,9,FALSE)</f>
        <v>ZTWM-CDGS-XS-2024-0030-华西集采-简州大道</v>
      </c>
      <c r="R1402" s="30" t="str">
        <f>_xlfn._xlws.FILTER(辅助信息!D:D,辅助信息!E:E=B1402)</f>
        <v>华西简阳西城嘉苑</v>
      </c>
    </row>
    <row r="1403" hidden="1" spans="2:18">
      <c r="B1403" s="41" t="s">
        <v>147</v>
      </c>
      <c r="C1403" s="71">
        <v>45785</v>
      </c>
      <c r="D1403" s="41" t="str">
        <f>VLOOKUP(B1403,辅助信息!E:K,7,FALSE)</f>
        <v>JWDDCD2025052800131</v>
      </c>
      <c r="E1403" s="41" t="str">
        <f>VLOOKUP(F1403,辅助信息!A:B,2,FALSE)</f>
        <v>高线</v>
      </c>
      <c r="F1403" s="41" t="s">
        <v>57</v>
      </c>
      <c r="G1403" s="37">
        <v>7.5</v>
      </c>
      <c r="H1403" s="37" t="str">
        <f>_xlfn.XLOOKUP(C1403&amp;F1403&amp;I1403&amp;J1403,'[1]2025年已发货'!$F:$F&amp;'[1]2025年已发货'!$C:$C&amp;'[1]2025年已发货'!$G:$G&amp;'[1]2025年已发货'!$H:$H,'[1]2025年已发货'!$E:$E,"未发货")</f>
        <v>未发货</v>
      </c>
      <c r="I1403" s="41" t="str">
        <f>VLOOKUP(B1403,辅助信息!E:I,3,FALSE)</f>
        <v>（商投建工达州中医药科技园-4工区-11号楼）达州市通川区达州中医药职业学院犀牛大道北段</v>
      </c>
      <c r="J1403" s="41" t="str">
        <f>VLOOKUP(B1403,辅助信息!E:I,4,FALSE)</f>
        <v>张扬</v>
      </c>
      <c r="K1403" s="41">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175</v>
      </c>
      <c r="Q1403" s="30" t="str">
        <f>VLOOKUP(B1403,辅助信息!E:M,9,FALSE)</f>
        <v>ZTWM-CDGS-XS-2024-0134-商投建工达州中医药科技成果示范园项目</v>
      </c>
      <c r="R1403" s="30" t="str">
        <f>_xlfn._xlws.FILTER(辅助信息!D:D,辅助信息!E:E=B1403)</f>
        <v>商投建工达州中医药科技园</v>
      </c>
    </row>
    <row r="1404" hidden="1" spans="2:18">
      <c r="B1404" s="41" t="s">
        <v>147</v>
      </c>
      <c r="C1404" s="71">
        <v>45785</v>
      </c>
      <c r="D1404" s="41" t="str">
        <f>VLOOKUP(B1404,辅助信息!E:K,7,FALSE)</f>
        <v>JWDDCD2025052800131</v>
      </c>
      <c r="E1404" s="41" t="str">
        <f>VLOOKUP(F1404,辅助信息!A:B,2,FALSE)</f>
        <v>盘螺</v>
      </c>
      <c r="F1404" s="41" t="s">
        <v>41</v>
      </c>
      <c r="G1404" s="37">
        <v>37.5</v>
      </c>
      <c r="H1404" s="37">
        <f>_xlfn.XLOOKUP(C1404&amp;F1404&amp;I1404&amp;J1404,'[1]2025年已发货'!$F:$F&amp;'[1]2025年已发货'!$C:$C&amp;'[1]2025年已发货'!$G:$G&amp;'[1]2025年已发货'!$H:$H,'[1]2025年已发货'!$E:$E,"未发货")</f>
        <v>20</v>
      </c>
      <c r="I1404" s="41" t="str">
        <f>VLOOKUP(B1404,辅助信息!E:I,3,FALSE)</f>
        <v>（商投建工达州中医药科技园-4工区-11号楼）达州市通川区达州中医药职业学院犀牛大道北段</v>
      </c>
      <c r="J1404" s="41" t="str">
        <f>VLOOKUP(B1404,辅助信息!E:I,4,FALSE)</f>
        <v>张扬</v>
      </c>
      <c r="K1404" s="41">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175</v>
      </c>
      <c r="Q1404" s="30" t="str">
        <f>VLOOKUP(B1404,辅助信息!E:M,9,FALSE)</f>
        <v>ZTWM-CDGS-XS-2024-0134-商投建工达州中医药科技成果示范园项目</v>
      </c>
      <c r="R1404" s="30" t="str">
        <f>_xlfn._xlws.FILTER(辅助信息!D:D,辅助信息!E:E=B1404)</f>
        <v>商投建工达州中医药科技园</v>
      </c>
    </row>
    <row r="1405" hidden="1" spans="2:18">
      <c r="B1405" s="41" t="s">
        <v>147</v>
      </c>
      <c r="C1405" s="71">
        <v>45785</v>
      </c>
      <c r="D1405" s="41" t="str">
        <f>VLOOKUP(B1405,辅助信息!E:K,7,FALSE)</f>
        <v>JWDDCD2025052800131</v>
      </c>
      <c r="E1405" s="41" t="str">
        <f>VLOOKUP(F1405,辅助信息!A:B,2,FALSE)</f>
        <v>螺纹钢</v>
      </c>
      <c r="F1405" s="41" t="s">
        <v>30</v>
      </c>
      <c r="G1405" s="37">
        <v>7</v>
      </c>
      <c r="H1405" s="37" t="str">
        <f>_xlfn.XLOOKUP(C1405&amp;F1405&amp;I1405&amp;J1405,'[1]2025年已发货'!$F:$F&amp;'[1]2025年已发货'!$C:$C&amp;'[1]2025年已发货'!$G:$G&amp;'[1]2025年已发货'!$H:$H,'[1]2025年已发货'!$E:$E,"未发货")</f>
        <v>未发货</v>
      </c>
      <c r="I1405" s="41" t="str">
        <f>VLOOKUP(B1405,辅助信息!E:I,3,FALSE)</f>
        <v>（商投建工达州中医药科技园-4工区-11号楼）达州市通川区达州中医药职业学院犀牛大道北段</v>
      </c>
      <c r="J1405" s="41" t="str">
        <f>VLOOKUP(B1405,辅助信息!E:I,4,FALSE)</f>
        <v>张扬</v>
      </c>
      <c r="K1405" s="41">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175</v>
      </c>
      <c r="Q1405" s="30" t="str">
        <f>VLOOKUP(B1405,辅助信息!E:M,9,FALSE)</f>
        <v>ZTWM-CDGS-XS-2024-0134-商投建工达州中医药科技成果示范园项目</v>
      </c>
      <c r="R1405" s="30" t="str">
        <f>_xlfn._xlws.FILTER(辅助信息!D:D,辅助信息!E:E=B1405)</f>
        <v>商投建工达州中医药科技园</v>
      </c>
    </row>
    <row r="1406" hidden="1" spans="2:18">
      <c r="B1406" s="41" t="s">
        <v>147</v>
      </c>
      <c r="C1406" s="71">
        <v>45785</v>
      </c>
      <c r="D1406" s="41" t="str">
        <f>VLOOKUP(B1406,辅助信息!E:K,7,FALSE)</f>
        <v>JWDDCD2025052800131</v>
      </c>
      <c r="E1406" s="41" t="str">
        <f>VLOOKUP(F1406,辅助信息!A:B,2,FALSE)</f>
        <v>螺纹钢</v>
      </c>
      <c r="F1406" s="41" t="s">
        <v>130</v>
      </c>
      <c r="G1406" s="37">
        <v>35</v>
      </c>
      <c r="H1406" s="37">
        <f>_xlfn.XLOOKUP(C1406&amp;F1406&amp;I1406&amp;J1406,'[1]2025年已发货'!$F:$F&amp;'[1]2025年已发货'!$C:$C&amp;'[1]2025年已发货'!$G:$G&amp;'[1]2025年已发货'!$H:$H,'[1]2025年已发货'!$E:$E,"未发货")</f>
        <v>38</v>
      </c>
      <c r="I1406" s="41" t="str">
        <f>VLOOKUP(B1406,辅助信息!E:I,3,FALSE)</f>
        <v>（商投建工达州中医药科技园-4工区-11号楼）达州市通川区达州中医药职业学院犀牛大道北段</v>
      </c>
      <c r="J1406" s="41" t="str">
        <f>VLOOKUP(B1406,辅助信息!E:I,4,FALSE)</f>
        <v>张扬</v>
      </c>
      <c r="K1406" s="41">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175</v>
      </c>
      <c r="Q1406" s="30" t="str">
        <f>VLOOKUP(B1406,辅助信息!E:M,9,FALSE)</f>
        <v>ZTWM-CDGS-XS-2024-0134-商投建工达州中医药科技成果示范园项目</v>
      </c>
      <c r="R1406" s="30" t="str">
        <f>_xlfn._xlws.FILTER(辅助信息!D:D,辅助信息!E:E=B1406)</f>
        <v>商投建工达州中医药科技园</v>
      </c>
    </row>
    <row r="1407" hidden="1" spans="2:18">
      <c r="B1407" s="41" t="s">
        <v>147</v>
      </c>
      <c r="C1407" s="71">
        <v>45785</v>
      </c>
      <c r="D1407" s="41" t="str">
        <f>VLOOKUP(B1407,辅助信息!E:K,7,FALSE)</f>
        <v>JWDDCD2025052800131</v>
      </c>
      <c r="E1407" s="41" t="str">
        <f>VLOOKUP(F1407,辅助信息!A:B,2,FALSE)</f>
        <v>螺纹钢</v>
      </c>
      <c r="F1407" s="41" t="s">
        <v>18</v>
      </c>
      <c r="G1407" s="37">
        <v>18</v>
      </c>
      <c r="H1407" s="37">
        <f>_xlfn.XLOOKUP(C1407&amp;F1407&amp;I1407&amp;J1407,'[1]2025年已发货'!$F:$F&amp;'[1]2025年已发货'!$C:$C&amp;'[1]2025年已发货'!$G:$G&amp;'[1]2025年已发货'!$H:$H,'[1]2025年已发货'!$E:$E,"未发货")</f>
        <v>18</v>
      </c>
      <c r="I1407" s="41" t="str">
        <f>VLOOKUP(B1407,辅助信息!E:I,3,FALSE)</f>
        <v>（商投建工达州中医药科技园-4工区-11号楼）达州市通川区达州中医药职业学院犀牛大道北段</v>
      </c>
      <c r="J1407" s="41" t="str">
        <f>VLOOKUP(B1407,辅助信息!E:I,4,FALSE)</f>
        <v>张扬</v>
      </c>
      <c r="K1407" s="41">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175</v>
      </c>
      <c r="Q1407" s="30" t="str">
        <f>VLOOKUP(B1407,辅助信息!E:M,9,FALSE)</f>
        <v>ZTWM-CDGS-XS-2024-0134-商投建工达州中医药科技成果示范园项目</v>
      </c>
      <c r="R1407" s="30" t="str">
        <f>_xlfn._xlws.FILTER(辅助信息!D:D,辅助信息!E:E=B1407)</f>
        <v>商投建工达州中医药科技园</v>
      </c>
    </row>
    <row r="1408" hidden="1" spans="2:18">
      <c r="B1408" s="41" t="s">
        <v>106</v>
      </c>
      <c r="C1408" s="71">
        <v>45785</v>
      </c>
      <c r="D1408" s="41" t="str">
        <f>VLOOKUP(B1408,辅助信息!E:K,7,FALSE)</f>
        <v>JWDDCD2024101600133</v>
      </c>
      <c r="E1408" s="41" t="str">
        <f>VLOOKUP(F1408,辅助信息!A:B,2,FALSE)</f>
        <v>盘螺</v>
      </c>
      <c r="F1408" s="41" t="s">
        <v>40</v>
      </c>
      <c r="G1408" s="37">
        <v>57.5</v>
      </c>
      <c r="H1408" s="37" t="str">
        <f>_xlfn.XLOOKUP(C1408&amp;F1408&amp;I1408&amp;J1408,'[1]2025年已发货'!$F:$F&amp;'[1]2025年已发货'!$C:$C&amp;'[1]2025年已发货'!$G:$G&amp;'[1]2025年已发货'!$H:$H,'[1]2025年已发货'!$E:$E,"未发货")</f>
        <v>未发货</v>
      </c>
      <c r="I1408" s="41" t="str">
        <f>VLOOKUP(B1408,辅助信息!E:I,3,FALSE)</f>
        <v>（五冶钢构宜宾高县月江镇建设项目）  四川省宜宾市高县月江镇刚记超市斜对面(还阳组团沪碳二期项目)</v>
      </c>
      <c r="J1408" s="41" t="str">
        <f>VLOOKUP(B1408,辅助信息!E:I,4,FALSE)</f>
        <v>张朝亮</v>
      </c>
      <c r="K1408" s="41">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174</v>
      </c>
      <c r="Q1408" s="30" t="str">
        <f>VLOOKUP(B1408,辅助信息!E:M,9,FALSE)</f>
        <v>ZTWM-CDGS-XS-2024-0169-中冶西部钢构-宜宾市南溪区幸福路东路,高县月江镇建设项目</v>
      </c>
      <c r="R1408" s="30" t="str">
        <f>_xlfn._xlws.FILTER(辅助信息!D:D,辅助信息!E:E=B1408)</f>
        <v>五冶钢构-宜宾市南溪区高县月江镇建设项目</v>
      </c>
    </row>
    <row r="1409" hidden="1" spans="2:18">
      <c r="B1409" s="41" t="s">
        <v>106</v>
      </c>
      <c r="C1409" s="71">
        <v>45785</v>
      </c>
      <c r="D1409" s="41" t="str">
        <f>VLOOKUP(B1409,辅助信息!E:K,7,FALSE)</f>
        <v>JWDDCD2024101600133</v>
      </c>
      <c r="E1409" s="41" t="str">
        <f>VLOOKUP(F1409,辅助信息!A:B,2,FALSE)</f>
        <v>螺纹钢</v>
      </c>
      <c r="F1409" s="41" t="s">
        <v>27</v>
      </c>
      <c r="G1409" s="37">
        <v>21</v>
      </c>
      <c r="H1409" s="37">
        <f>_xlfn.XLOOKUP(C1409&amp;F1409&amp;I1409&amp;J1409,'[1]2025年已发货'!$F:$F&amp;'[1]2025年已发货'!$C:$C&amp;'[1]2025年已发货'!$G:$G&amp;'[1]2025年已发货'!$H:$H,'[1]2025年已发货'!$E:$E,"未发货")</f>
        <v>12</v>
      </c>
      <c r="I1409" s="41" t="str">
        <f>VLOOKUP(B1409,辅助信息!E:I,3,FALSE)</f>
        <v>（五冶钢构宜宾高县月江镇建设项目）  四川省宜宾市高县月江镇刚记超市斜对面(还阳组团沪碳二期项目)</v>
      </c>
      <c r="J1409" s="41" t="str">
        <f>VLOOKUP(B1409,辅助信息!E:I,4,FALSE)</f>
        <v>张朝亮</v>
      </c>
      <c r="K1409" s="41">
        <f>VLOOKUP(J1409,辅助信息!H:I,2,FALSE)</f>
        <v>15228205853</v>
      </c>
      <c r="L1409" s="110" t="str">
        <f>VLOOKUP(B1409,辅助信息!E:J,6,FALSE)</f>
        <v>提前联系到场规格</v>
      </c>
      <c r="M1409" s="92">
        <v>45785</v>
      </c>
      <c r="O1409" s="63">
        <f ca="1" t="shared" si="69"/>
        <v>0</v>
      </c>
      <c r="P1409" s="63">
        <f ca="1" t="shared" si="70"/>
        <v>174</v>
      </c>
      <c r="Q1409" s="30" t="str">
        <f>VLOOKUP(B1409,辅助信息!E:M,9,FALSE)</f>
        <v>ZTWM-CDGS-XS-2024-0169-中冶西部钢构-宜宾市南溪区幸福路东路,高县月江镇建设项目</v>
      </c>
      <c r="R1409" s="30" t="str">
        <f>_xlfn._xlws.FILTER(辅助信息!D:D,辅助信息!E:E=B1409)</f>
        <v>五冶钢构-宜宾市南溪区高县月江镇建设项目</v>
      </c>
    </row>
    <row r="1410" hidden="1" spans="2:18">
      <c r="B1410" s="41" t="s">
        <v>106</v>
      </c>
      <c r="C1410" s="71">
        <v>45785</v>
      </c>
      <c r="D1410" s="41" t="str">
        <f>VLOOKUP(B1410,辅助信息!E:K,7,FALSE)</f>
        <v>JWDDCD2024101600133</v>
      </c>
      <c r="E1410" s="41" t="str">
        <f>VLOOKUP(F1410,辅助信息!A:B,2,FALSE)</f>
        <v>螺纹钢</v>
      </c>
      <c r="F1410" s="41" t="s">
        <v>19</v>
      </c>
      <c r="G1410" s="37">
        <v>21</v>
      </c>
      <c r="H1410" s="37">
        <f>_xlfn.XLOOKUP(C1410&amp;F1410&amp;I1410&amp;J1410,'[1]2025年已发货'!$F:$F&amp;'[1]2025年已发货'!$C:$C&amp;'[1]2025年已发货'!$G:$G&amp;'[1]2025年已发货'!$H:$H,'[1]2025年已发货'!$E:$E,"未发货")</f>
        <v>12</v>
      </c>
      <c r="I1410" s="41" t="str">
        <f>VLOOKUP(B1410,辅助信息!E:I,3,FALSE)</f>
        <v>（五冶钢构宜宾高县月江镇建设项目）  四川省宜宾市高县月江镇刚记超市斜对面(还阳组团沪碳二期项目)</v>
      </c>
      <c r="J1410" s="41" t="str">
        <f>VLOOKUP(B1410,辅助信息!E:I,4,FALSE)</f>
        <v>张朝亮</v>
      </c>
      <c r="K1410" s="41">
        <f>VLOOKUP(J1410,辅助信息!H:I,2,FALSE)</f>
        <v>15228205853</v>
      </c>
      <c r="L1410" s="110" t="str">
        <f>VLOOKUP(B1410,辅助信息!E:J,6,FALSE)</f>
        <v>提前联系到场规格</v>
      </c>
      <c r="M1410" s="92">
        <v>45785</v>
      </c>
      <c r="O1410" s="63">
        <f ca="1" t="shared" si="69"/>
        <v>0</v>
      </c>
      <c r="P1410" s="63">
        <f ca="1" t="shared" si="70"/>
        <v>174</v>
      </c>
      <c r="Q1410" s="30" t="str">
        <f>VLOOKUP(B1410,辅助信息!E:M,9,FALSE)</f>
        <v>ZTWM-CDGS-XS-2024-0169-中冶西部钢构-宜宾市南溪区幸福路东路,高县月江镇建设项目</v>
      </c>
      <c r="R1410" s="30" t="str">
        <f>_xlfn._xlws.FILTER(辅助信息!D:D,辅助信息!E:E=B1410)</f>
        <v>五冶钢构-宜宾市南溪区高县月江镇建设项目</v>
      </c>
    </row>
    <row r="1411" hidden="1" spans="2:18">
      <c r="B1411" s="41" t="s">
        <v>106</v>
      </c>
      <c r="C1411" s="71">
        <v>45785</v>
      </c>
      <c r="D1411" s="41" t="str">
        <f>VLOOKUP(B1411,辅助信息!E:K,7,FALSE)</f>
        <v>JWDDCD2024101600133</v>
      </c>
      <c r="E1411" s="41" t="str">
        <f>VLOOKUP(F1411,辅助信息!A:B,2,FALSE)</f>
        <v>螺纹钢</v>
      </c>
      <c r="F1411" s="41" t="s">
        <v>33</v>
      </c>
      <c r="G1411" s="37">
        <v>9</v>
      </c>
      <c r="H1411" s="37" t="str">
        <f>_xlfn.XLOOKUP(C1411&amp;F1411&amp;I1411&amp;J1411,'[1]2025年已发货'!$F:$F&amp;'[1]2025年已发货'!$C:$C&amp;'[1]2025年已发货'!$G:$G&amp;'[1]2025年已发货'!$H:$H,'[1]2025年已发货'!$E:$E,"未发货")</f>
        <v>未发货</v>
      </c>
      <c r="I1411" s="41" t="str">
        <f>VLOOKUP(B1411,辅助信息!E:I,3,FALSE)</f>
        <v>（五冶钢构宜宾高县月江镇建设项目）  四川省宜宾市高县月江镇刚记超市斜对面(还阳组团沪碳二期项目)</v>
      </c>
      <c r="J1411" s="41" t="str">
        <f>VLOOKUP(B1411,辅助信息!E:I,4,FALSE)</f>
        <v>张朝亮</v>
      </c>
      <c r="K1411" s="41">
        <f>VLOOKUP(J1411,辅助信息!H:I,2,FALSE)</f>
        <v>15228205853</v>
      </c>
      <c r="L1411" s="110" t="str">
        <f>VLOOKUP(B1411,辅助信息!E:J,6,FALSE)</f>
        <v>提前联系到场规格</v>
      </c>
      <c r="M1411" s="92">
        <v>45785</v>
      </c>
      <c r="O1411" s="63">
        <f ca="1" t="shared" si="69"/>
        <v>0</v>
      </c>
      <c r="P1411" s="63">
        <f ca="1" t="shared" si="70"/>
        <v>174</v>
      </c>
      <c r="Q1411" s="30" t="str">
        <f>VLOOKUP(B1411,辅助信息!E:M,9,FALSE)</f>
        <v>ZTWM-CDGS-XS-2024-0169-中冶西部钢构-宜宾市南溪区幸福路东路,高县月江镇建设项目</v>
      </c>
      <c r="R1411" s="30" t="str">
        <f>_xlfn._xlws.FILTER(辅助信息!D:D,辅助信息!E:E=B1411)</f>
        <v>五冶钢构-宜宾市南溪区高县月江镇建设项目</v>
      </c>
    </row>
    <row r="1412" hidden="1" spans="2:18">
      <c r="B1412" s="41" t="s">
        <v>106</v>
      </c>
      <c r="C1412" s="71">
        <v>45785</v>
      </c>
      <c r="D1412" s="41" t="str">
        <f>VLOOKUP(B1412,辅助信息!E:K,7,FALSE)</f>
        <v>JWDDCD2024101600133</v>
      </c>
      <c r="E1412" s="41" t="str">
        <f>VLOOKUP(F1412,辅助信息!A:B,2,FALSE)</f>
        <v>螺纹钢</v>
      </c>
      <c r="F1412" s="41" t="s">
        <v>28</v>
      </c>
      <c r="G1412" s="37">
        <v>21</v>
      </c>
      <c r="H1412" s="37" t="str">
        <f>_xlfn.XLOOKUP(C1412&amp;F1412&amp;I1412&amp;J1412,'[1]2025年已发货'!$F:$F&amp;'[1]2025年已发货'!$C:$C&amp;'[1]2025年已发货'!$G:$G&amp;'[1]2025年已发货'!$H:$H,'[1]2025年已发货'!$E:$E,"未发货")</f>
        <v>未发货</v>
      </c>
      <c r="I1412" s="41" t="str">
        <f>VLOOKUP(B1412,辅助信息!E:I,3,FALSE)</f>
        <v>（五冶钢构宜宾高县月江镇建设项目）  四川省宜宾市高县月江镇刚记超市斜对面(还阳组团沪碳二期项目)</v>
      </c>
      <c r="J1412" s="41" t="str">
        <f>VLOOKUP(B1412,辅助信息!E:I,4,FALSE)</f>
        <v>张朝亮</v>
      </c>
      <c r="K1412" s="41">
        <f>VLOOKUP(J1412,辅助信息!H:I,2,FALSE)</f>
        <v>15228205853</v>
      </c>
      <c r="L1412" s="110" t="str">
        <f>VLOOKUP(B1412,辅助信息!E:J,6,FALSE)</f>
        <v>提前联系到场规格</v>
      </c>
      <c r="M1412" s="92">
        <v>45785</v>
      </c>
      <c r="O1412" s="63">
        <f ca="1" t="shared" si="69"/>
        <v>0</v>
      </c>
      <c r="P1412" s="63">
        <f ca="1" t="shared" si="70"/>
        <v>174</v>
      </c>
      <c r="Q1412" s="30" t="str">
        <f>VLOOKUP(B1412,辅助信息!E:M,9,FALSE)</f>
        <v>ZTWM-CDGS-XS-2024-0169-中冶西部钢构-宜宾市南溪区幸福路东路,高县月江镇建设项目</v>
      </c>
      <c r="R1412" s="30" t="str">
        <f>_xlfn._xlws.FILTER(辅助信息!D:D,辅助信息!E:E=B1412)</f>
        <v>五冶钢构-宜宾市南溪区高县月江镇建设项目</v>
      </c>
    </row>
    <row r="1413" hidden="1" spans="2:18">
      <c r="B1413" s="41" t="s">
        <v>106</v>
      </c>
      <c r="C1413" s="71">
        <v>45785</v>
      </c>
      <c r="D1413" s="41" t="str">
        <f>VLOOKUP(B1413,辅助信息!E:K,7,FALSE)</f>
        <v>JWDDCD2024101600133</v>
      </c>
      <c r="E1413" s="41" t="str">
        <f>VLOOKUP(F1413,辅助信息!A:B,2,FALSE)</f>
        <v>螺纹钢</v>
      </c>
      <c r="F1413" s="41" t="s">
        <v>18</v>
      </c>
      <c r="G1413" s="37">
        <v>12</v>
      </c>
      <c r="H1413" s="37">
        <f>_xlfn.XLOOKUP(C1413&amp;F1413&amp;I1413&amp;J1413,'[1]2025年已发货'!$F:$F&amp;'[1]2025年已发货'!$C:$C&amp;'[1]2025年已发货'!$G:$G&amp;'[1]2025年已发货'!$H:$H,'[1]2025年已发货'!$E:$E,"未发货")</f>
        <v>12</v>
      </c>
      <c r="I1413" s="41" t="str">
        <f>VLOOKUP(B1413,辅助信息!E:I,3,FALSE)</f>
        <v>（五冶钢构宜宾高县月江镇建设项目）  四川省宜宾市高县月江镇刚记超市斜对面(还阳组团沪碳二期项目)</v>
      </c>
      <c r="J1413" s="41" t="str">
        <f>VLOOKUP(B1413,辅助信息!E:I,4,FALSE)</f>
        <v>张朝亮</v>
      </c>
      <c r="K1413" s="41">
        <f>VLOOKUP(J1413,辅助信息!H:I,2,FALSE)</f>
        <v>15228205853</v>
      </c>
      <c r="L1413" s="110" t="str">
        <f>VLOOKUP(B1413,辅助信息!E:J,6,FALSE)</f>
        <v>提前联系到场规格</v>
      </c>
      <c r="M1413" s="92">
        <v>45785</v>
      </c>
      <c r="O1413" s="63">
        <f ca="1" t="shared" si="69"/>
        <v>0</v>
      </c>
      <c r="P1413" s="63">
        <f ca="1" t="shared" si="70"/>
        <v>174</v>
      </c>
      <c r="Q1413" s="30" t="str">
        <f>VLOOKUP(B1413,辅助信息!E:M,9,FALSE)</f>
        <v>ZTWM-CDGS-XS-2024-0169-中冶西部钢构-宜宾市南溪区幸福路东路,高县月江镇建设项目</v>
      </c>
      <c r="R1413" s="30" t="str">
        <f>_xlfn._xlws.FILTER(辅助信息!D:D,辅助信息!E:E=B1413)</f>
        <v>五冶钢构-宜宾市南溪区高县月江镇建设项目</v>
      </c>
    </row>
    <row r="1414" hidden="1" spans="2:18">
      <c r="B1414" s="98" t="s">
        <v>127</v>
      </c>
      <c r="C1414" s="71">
        <v>45785</v>
      </c>
      <c r="D1414" s="41" t="str">
        <f>VLOOKUP(B1414,辅助信息!E:K,7,FALSE)</f>
        <v>JWDDCD2025051000019</v>
      </c>
      <c r="E1414" s="41" t="str">
        <f>VLOOKUP(F1414,辅助信息!A:B,2,FALSE)</f>
        <v>盘螺</v>
      </c>
      <c r="F1414" s="41" t="s">
        <v>49</v>
      </c>
      <c r="G1414" s="37">
        <v>12</v>
      </c>
      <c r="H1414" s="37" t="str">
        <f>_xlfn.XLOOKUP(C1414&amp;F1414&amp;I1414&amp;J1414,'[1]2025年已发货'!$F:$F&amp;'[1]2025年已发货'!$C:$C&amp;'[1]2025年已发货'!$G:$G&amp;'[1]2025年已发货'!$H:$H,'[1]2025年已发货'!$E:$E,"未发货")</f>
        <v>未发货</v>
      </c>
      <c r="I1414" s="41" t="str">
        <f>VLOOKUP(B1414,辅助信息!E:I,3,FALSE)</f>
        <v>(五冶钢构医学科学产业园建设项目房建三部-管网总坪)四川省南充市顺庆区搬罾街道学府大道二段</v>
      </c>
      <c r="J1414" s="41" t="str">
        <f>VLOOKUP(B1414,辅助信息!E:I,4,FALSE)</f>
        <v>郑林</v>
      </c>
      <c r="K1414" s="41">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174</v>
      </c>
      <c r="Q1414" s="30" t="str">
        <f>VLOOKUP(B1414,辅助信息!E:M,9,FALSE)</f>
        <v>ZTWM-CDGS-XS-2024-0248-五冶钢构-南充市医学院项目</v>
      </c>
      <c r="R1414" s="30" t="str">
        <f>_xlfn._xlws.FILTER(辅助信息!D:D,辅助信息!E:E=B1414)</f>
        <v>五冶钢构南充医学科学产业园建设项目</v>
      </c>
    </row>
    <row r="1415" hidden="1" spans="2:18">
      <c r="B1415" s="98" t="s">
        <v>127</v>
      </c>
      <c r="C1415" s="71">
        <v>45785</v>
      </c>
      <c r="D1415" s="41" t="str">
        <f>VLOOKUP(B1415,辅助信息!E:K,7,FALSE)</f>
        <v>JWDDCD2025051000019</v>
      </c>
      <c r="E1415" s="41" t="str">
        <f>VLOOKUP(F1415,辅助信息!A:B,2,FALSE)</f>
        <v>盘螺</v>
      </c>
      <c r="F1415" s="41" t="s">
        <v>41</v>
      </c>
      <c r="G1415" s="37">
        <v>10</v>
      </c>
      <c r="H1415" s="37" t="str">
        <f>_xlfn.XLOOKUP(C1415&amp;F1415&amp;I1415&amp;J1415,'[1]2025年已发货'!$F:$F&amp;'[1]2025年已发货'!$C:$C&amp;'[1]2025年已发货'!$G:$G&amp;'[1]2025年已发货'!$H:$H,'[1]2025年已发货'!$E:$E,"未发货")</f>
        <v>未发货</v>
      </c>
      <c r="I1415" s="41" t="str">
        <f>VLOOKUP(B1415,辅助信息!E:I,3,FALSE)</f>
        <v>(五冶钢构医学科学产业园建设项目房建三部-管网总坪)四川省南充市顺庆区搬罾街道学府大道二段</v>
      </c>
      <c r="J1415" s="41" t="str">
        <f>VLOOKUP(B1415,辅助信息!E:I,4,FALSE)</f>
        <v>郑林</v>
      </c>
      <c r="K1415" s="41">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174</v>
      </c>
      <c r="Q1415" s="30" t="str">
        <f>VLOOKUP(B1415,辅助信息!E:M,9,FALSE)</f>
        <v>ZTWM-CDGS-XS-2024-0248-五冶钢构-南充市医学院项目</v>
      </c>
      <c r="R1415" s="30" t="str">
        <f>_xlfn._xlws.FILTER(辅助信息!D:D,辅助信息!E:E=B1415)</f>
        <v>五冶钢构南充医学科学产业园建设项目</v>
      </c>
    </row>
    <row r="1416" hidden="1" spans="2:18">
      <c r="B1416" s="98" t="s">
        <v>127</v>
      </c>
      <c r="C1416" s="71">
        <v>45785</v>
      </c>
      <c r="D1416" s="41" t="str">
        <f>VLOOKUP(B1416,辅助信息!E:K,7,FALSE)</f>
        <v>JWDDCD2025051000019</v>
      </c>
      <c r="E1416" s="41" t="str">
        <f>VLOOKUP(F1416,辅助信息!A:B,2,FALSE)</f>
        <v>螺纹钢</v>
      </c>
      <c r="F1416" s="41" t="s">
        <v>27</v>
      </c>
      <c r="G1416" s="37">
        <v>13</v>
      </c>
      <c r="H1416" s="37" t="str">
        <f>_xlfn.XLOOKUP(C1416&amp;F1416&amp;I1416&amp;J1416,'[1]2025年已发货'!$F:$F&amp;'[1]2025年已发货'!$C:$C&amp;'[1]2025年已发货'!$G:$G&amp;'[1]2025年已发货'!$H:$H,'[1]2025年已发货'!$E:$E,"未发货")</f>
        <v>未发货</v>
      </c>
      <c r="I1416" s="41" t="str">
        <f>VLOOKUP(B1416,辅助信息!E:I,3,FALSE)</f>
        <v>(五冶钢构医学科学产业园建设项目房建三部-管网总坪)四川省南充市顺庆区搬罾街道学府大道二段</v>
      </c>
      <c r="J1416" s="41" t="str">
        <f>VLOOKUP(B1416,辅助信息!E:I,4,FALSE)</f>
        <v>郑林</v>
      </c>
      <c r="K1416" s="41">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174</v>
      </c>
      <c r="Q1416" s="30" t="str">
        <f>VLOOKUP(B1416,辅助信息!E:M,9,FALSE)</f>
        <v>ZTWM-CDGS-XS-2024-0248-五冶钢构-南充市医学院项目</v>
      </c>
      <c r="R1416" s="30" t="str">
        <f>_xlfn._xlws.FILTER(辅助信息!D:D,辅助信息!E:E=B1416)</f>
        <v>五冶钢构南充医学科学产业园建设项目</v>
      </c>
    </row>
    <row r="1417" hidden="1" spans="2:18">
      <c r="B1417" s="98" t="s">
        <v>72</v>
      </c>
      <c r="C1417" s="71">
        <v>45785</v>
      </c>
      <c r="D1417" s="41" t="str">
        <f>VLOOKUP(B1417,辅助信息!E:K,7,FALSE)</f>
        <v>JWDDCD2025051000019</v>
      </c>
      <c r="E1417" s="41" t="str">
        <f>VLOOKUP(F1417,辅助信息!A:B,2,FALSE)</f>
        <v>盘螺</v>
      </c>
      <c r="F1417" s="41" t="s">
        <v>49</v>
      </c>
      <c r="G1417" s="37">
        <v>5</v>
      </c>
      <c r="H1417" s="37" t="str">
        <f>_xlfn.XLOOKUP(C1417&amp;F1417&amp;I1417&amp;J1417,'[1]2025年已发货'!$F:$F&amp;'[1]2025年已发货'!$C:$C&amp;'[1]2025年已发货'!$G:$G&amp;'[1]2025年已发货'!$H:$H,'[1]2025年已发货'!$E:$E,"未发货")</f>
        <v>未发货</v>
      </c>
      <c r="I1417" s="41" t="str">
        <f>VLOOKUP(B1417,辅助信息!E:I,3,FALSE)</f>
        <v>(五冶钢构医学科学产业园建设项目房建二部-网羽馆（6-5）)四川省南充市顺庆区搬罾街道学府大道二段</v>
      </c>
      <c r="J1417" s="41" t="str">
        <f>VLOOKUP(B1417,辅助信息!E:I,4,FALSE)</f>
        <v>安南</v>
      </c>
      <c r="K1417" s="41">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174</v>
      </c>
      <c r="Q1417" s="30" t="str">
        <f>VLOOKUP(B1417,辅助信息!E:M,9,FALSE)</f>
        <v>ZTWM-CDGS-XS-2024-0248-五冶钢构-南充市医学院项目</v>
      </c>
      <c r="R1417" s="30" t="str">
        <f>_xlfn._xlws.FILTER(辅助信息!D:D,辅助信息!E:E=B1417)</f>
        <v>五冶钢构南充医学科学产业园建设项目</v>
      </c>
    </row>
    <row r="1418" hidden="1" spans="2:18">
      <c r="B1418" s="98" t="s">
        <v>72</v>
      </c>
      <c r="C1418" s="71">
        <v>45785</v>
      </c>
      <c r="D1418" s="41" t="str">
        <f>VLOOKUP(B1418,辅助信息!E:K,7,FALSE)</f>
        <v>JWDDCD2025051000019</v>
      </c>
      <c r="E1418" s="41" t="str">
        <f>VLOOKUP(F1418,辅助信息!A:B,2,FALSE)</f>
        <v>盘螺</v>
      </c>
      <c r="F1418" s="41" t="s">
        <v>40</v>
      </c>
      <c r="G1418" s="37">
        <v>2.5</v>
      </c>
      <c r="H1418" s="37" t="str">
        <f>_xlfn.XLOOKUP(C1418&amp;F1418&amp;I1418&amp;J1418,'[1]2025年已发货'!$F:$F&amp;'[1]2025年已发货'!$C:$C&amp;'[1]2025年已发货'!$G:$G&amp;'[1]2025年已发货'!$H:$H,'[1]2025年已发货'!$E:$E,"未发货")</f>
        <v>未发货</v>
      </c>
      <c r="I1418" s="41" t="str">
        <f>VLOOKUP(B1418,辅助信息!E:I,3,FALSE)</f>
        <v>(五冶钢构医学科学产业园建设项目房建二部-网羽馆（6-5）)四川省南充市顺庆区搬罾街道学府大道二段</v>
      </c>
      <c r="J1418" s="41" t="str">
        <f>VLOOKUP(B1418,辅助信息!E:I,4,FALSE)</f>
        <v>安南</v>
      </c>
      <c r="K1418" s="41">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174</v>
      </c>
      <c r="Q1418" s="30" t="str">
        <f>VLOOKUP(B1418,辅助信息!E:M,9,FALSE)</f>
        <v>ZTWM-CDGS-XS-2024-0248-五冶钢构-南充市医学院项目</v>
      </c>
      <c r="R1418" s="30" t="str">
        <f>_xlfn._xlws.FILTER(辅助信息!D:D,辅助信息!E:E=B1418)</f>
        <v>五冶钢构南充医学科学产业园建设项目</v>
      </c>
    </row>
    <row r="1419" hidden="1" spans="2:18">
      <c r="B1419" s="98" t="s">
        <v>72</v>
      </c>
      <c r="C1419" s="71">
        <v>45785</v>
      </c>
      <c r="D1419" s="41" t="str">
        <f>VLOOKUP(B1419,辅助信息!E:K,7,FALSE)</f>
        <v>JWDDCD2025051000019</v>
      </c>
      <c r="E1419" s="41" t="str">
        <f>VLOOKUP(F1419,辅助信息!A:B,2,FALSE)</f>
        <v>螺纹钢</v>
      </c>
      <c r="F1419" s="41" t="s">
        <v>27</v>
      </c>
      <c r="G1419" s="37">
        <v>25</v>
      </c>
      <c r="H1419" s="37" t="str">
        <f>_xlfn.XLOOKUP(C1419&amp;F1419&amp;I1419&amp;J1419,'[1]2025年已发货'!$F:$F&amp;'[1]2025年已发货'!$C:$C&amp;'[1]2025年已发货'!$G:$G&amp;'[1]2025年已发货'!$H:$H,'[1]2025年已发货'!$E:$E,"未发货")</f>
        <v>未发货</v>
      </c>
      <c r="I1419" s="41" t="str">
        <f>VLOOKUP(B1419,辅助信息!E:I,3,FALSE)</f>
        <v>(五冶钢构医学科学产业园建设项目房建二部-网羽馆（6-5）)四川省南充市顺庆区搬罾街道学府大道二段</v>
      </c>
      <c r="J1419" s="41" t="str">
        <f>VLOOKUP(B1419,辅助信息!E:I,4,FALSE)</f>
        <v>安南</v>
      </c>
      <c r="K1419" s="41">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174</v>
      </c>
      <c r="Q1419" s="30" t="str">
        <f>VLOOKUP(B1419,辅助信息!E:M,9,FALSE)</f>
        <v>ZTWM-CDGS-XS-2024-0248-五冶钢构-南充市医学院项目</v>
      </c>
      <c r="R1419" s="30" t="str">
        <f>_xlfn._xlws.FILTER(辅助信息!D:D,辅助信息!E:E=B1419)</f>
        <v>五冶钢构南充医学科学产业园建设项目</v>
      </c>
    </row>
    <row r="1420" hidden="1" spans="1:18">
      <c r="A1420" s="58" t="s">
        <v>100</v>
      </c>
      <c r="B1420" s="41" t="s">
        <v>135</v>
      </c>
      <c r="C1420" s="71">
        <v>45785</v>
      </c>
      <c r="D1420" s="41" t="str">
        <f>VLOOKUP(B1420,辅助信息!E:K,7,FALSE)</f>
        <v>JWDDCD2025050800080</v>
      </c>
      <c r="E1420" s="41" t="str">
        <f>VLOOKUP(F1420,辅助信息!A:B,2,FALSE)</f>
        <v>螺纹钢</v>
      </c>
      <c r="F1420" s="41" t="s">
        <v>130</v>
      </c>
      <c r="G1420" s="37">
        <v>70</v>
      </c>
      <c r="H1420" s="37" t="str">
        <f>_xlfn.XLOOKUP(C1420&amp;F1420&amp;I1420&amp;J1420,'[1]2025年已发货'!$F:$F&amp;'[1]2025年已发货'!$C:$C&amp;'[1]2025年已发货'!$G:$G&amp;'[1]2025年已发货'!$H:$H,'[1]2025年已发货'!$E:$E,"未发货")</f>
        <v>未发货</v>
      </c>
      <c r="I1420" s="41" t="str">
        <f>VLOOKUP(B1420,辅助信息!E:I,3,FALSE)</f>
        <v>(宜宾兴港三江新区长江工业园建设项目-M2-2#厂房)宜宾市翠屏区宜宾汽车零部件配套产业基地(纬五路南)</v>
      </c>
      <c r="J1420" s="41" t="str">
        <f>VLOOKUP(B1420,辅助信息!E:I,4,FALSE)</f>
        <v>李国享</v>
      </c>
      <c r="K1420" s="41">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174</v>
      </c>
      <c r="Q1420" s="30" t="str">
        <f>VLOOKUP(B1420,辅助信息!E:M,9,FALSE)</f>
        <v>ZTWM-CDGS-XS-2025-0059-宜宾兴港建材-宜宾冷链项目</v>
      </c>
      <c r="R1420" s="30" t="str">
        <f>_xlfn._xlws.FILTER(辅助信息!D:D,辅助信息!E:E=B1420)</f>
        <v>宜宾兴港三江新区长江工业园建设项目</v>
      </c>
    </row>
    <row r="1421" hidden="1" spans="2:18">
      <c r="B1421" s="41" t="s">
        <v>81</v>
      </c>
      <c r="C1421" s="71">
        <v>45785</v>
      </c>
      <c r="D1421" s="41" t="str">
        <f>VLOOKUP(B1421,辅助信息!E:K,7,FALSE)</f>
        <v>JWDDCD2025060900080</v>
      </c>
      <c r="E1421" s="41" t="str">
        <f>VLOOKUP(F1421,辅助信息!A:B,2,FALSE)</f>
        <v>高线</v>
      </c>
      <c r="F1421" s="41" t="s">
        <v>53</v>
      </c>
      <c r="G1421" s="37">
        <v>5</v>
      </c>
      <c r="H1421" s="37" t="str">
        <f>_xlfn.XLOOKUP(C1421&amp;F1421&amp;I1421&amp;J1421,'[1]2025年已发货'!$F:$F&amp;'[1]2025年已发货'!$C:$C&amp;'[1]2025年已发货'!$G:$G&amp;'[1]2025年已发货'!$H:$H,'[1]2025年已发货'!$E:$E,"未发货")</f>
        <v>未发货</v>
      </c>
      <c r="I1421" s="41" t="str">
        <f>VLOOKUP(B1421,辅助信息!E:I,3,FALSE)</f>
        <v>（华西简阳西城嘉苑）四川省成都市简阳市简城街道高屋村</v>
      </c>
      <c r="J1421" s="41" t="str">
        <f>VLOOKUP(B1421,辅助信息!E:I,4,FALSE)</f>
        <v>张瀚镭</v>
      </c>
      <c r="K1421" s="41">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172</v>
      </c>
      <c r="Q1421" s="30" t="str">
        <f>VLOOKUP(B1421,辅助信息!E:M,9,FALSE)</f>
        <v>ZTWM-CDGS-XS-2024-0030-华西集采-简州大道</v>
      </c>
      <c r="R1421" s="30" t="str">
        <f>_xlfn._xlws.FILTER(辅助信息!D:D,辅助信息!E:E=B1421)</f>
        <v>华西简阳西城嘉苑</v>
      </c>
    </row>
    <row r="1422" hidden="1" spans="2:18">
      <c r="B1422" s="41" t="s">
        <v>81</v>
      </c>
      <c r="C1422" s="71">
        <v>45785</v>
      </c>
      <c r="D1422" s="41" t="str">
        <f>VLOOKUP(B1422,辅助信息!E:K,7,FALSE)</f>
        <v>JWDDCD2025060900080</v>
      </c>
      <c r="E1422" s="41" t="str">
        <f>VLOOKUP(F1422,辅助信息!A:B,2,FALSE)</f>
        <v>盘螺</v>
      </c>
      <c r="F1422" s="41" t="s">
        <v>49</v>
      </c>
      <c r="G1422" s="37">
        <v>2</v>
      </c>
      <c r="H1422" s="37" t="str">
        <f>_xlfn.XLOOKUP(C1422&amp;F1422&amp;I1422&amp;J1422,'[1]2025年已发货'!$F:$F&amp;'[1]2025年已发货'!$C:$C&amp;'[1]2025年已发货'!$G:$G&amp;'[1]2025年已发货'!$H:$H,'[1]2025年已发货'!$E:$E,"未发货")</f>
        <v>未发货</v>
      </c>
      <c r="I1422" s="41" t="str">
        <f>VLOOKUP(B1422,辅助信息!E:I,3,FALSE)</f>
        <v>（华西简阳西城嘉苑）四川省成都市简阳市简城街道高屋村</v>
      </c>
      <c r="J1422" s="41" t="str">
        <f>VLOOKUP(B1422,辅助信息!E:I,4,FALSE)</f>
        <v>张瀚镭</v>
      </c>
      <c r="K1422" s="41">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172</v>
      </c>
      <c r="Q1422" s="30" t="str">
        <f>VLOOKUP(B1422,辅助信息!E:M,9,FALSE)</f>
        <v>ZTWM-CDGS-XS-2024-0030-华西集采-简州大道</v>
      </c>
      <c r="R1422" s="30" t="str">
        <f>_xlfn._xlws.FILTER(辅助信息!D:D,辅助信息!E:E=B1422)</f>
        <v>华西简阳西城嘉苑</v>
      </c>
    </row>
    <row r="1423" hidden="1" spans="2:18">
      <c r="B1423" s="41" t="s">
        <v>81</v>
      </c>
      <c r="C1423" s="71">
        <v>45785</v>
      </c>
      <c r="D1423" s="41" t="str">
        <f>VLOOKUP(B1423,辅助信息!E:K,7,FALSE)</f>
        <v>JWDDCD2025060900080</v>
      </c>
      <c r="E1423" s="41" t="str">
        <f>VLOOKUP(F1423,辅助信息!A:B,2,FALSE)</f>
        <v>盘螺</v>
      </c>
      <c r="F1423" s="41" t="s">
        <v>40</v>
      </c>
      <c r="G1423" s="37">
        <v>11</v>
      </c>
      <c r="H1423" s="37" t="str">
        <f>_xlfn.XLOOKUP(C1423&amp;F1423&amp;I1423&amp;J1423,'[1]2025年已发货'!$F:$F&amp;'[1]2025年已发货'!$C:$C&amp;'[1]2025年已发货'!$G:$G&amp;'[1]2025年已发货'!$H:$H,'[1]2025年已发货'!$E:$E,"未发货")</f>
        <v>未发货</v>
      </c>
      <c r="I1423" s="41" t="str">
        <f>VLOOKUP(B1423,辅助信息!E:I,3,FALSE)</f>
        <v>（华西简阳西城嘉苑）四川省成都市简阳市简城街道高屋村</v>
      </c>
      <c r="J1423" s="41" t="str">
        <f>VLOOKUP(B1423,辅助信息!E:I,4,FALSE)</f>
        <v>张瀚镭</v>
      </c>
      <c r="K1423" s="41">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172</v>
      </c>
      <c r="Q1423" s="30" t="str">
        <f>VLOOKUP(B1423,辅助信息!E:M,9,FALSE)</f>
        <v>ZTWM-CDGS-XS-2024-0030-华西集采-简州大道</v>
      </c>
      <c r="R1423" s="30" t="str">
        <f>_xlfn._xlws.FILTER(辅助信息!D:D,辅助信息!E:E=B1423)</f>
        <v>华西简阳西城嘉苑</v>
      </c>
    </row>
    <row r="1424" hidden="1" spans="2:18">
      <c r="B1424" s="41" t="s">
        <v>81</v>
      </c>
      <c r="C1424" s="71">
        <v>45785</v>
      </c>
      <c r="D1424" s="41" t="str">
        <f>VLOOKUP(B1424,辅助信息!E:K,7,FALSE)</f>
        <v>JWDDCD2025060900080</v>
      </c>
      <c r="E1424" s="41" t="str">
        <f>VLOOKUP(F1424,辅助信息!A:B,2,FALSE)</f>
        <v>盘螺</v>
      </c>
      <c r="F1424" s="41" t="s">
        <v>41</v>
      </c>
      <c r="G1424" s="37">
        <v>68</v>
      </c>
      <c r="H1424" s="37" t="str">
        <f>_xlfn.XLOOKUP(C1424&amp;F1424&amp;I1424&amp;J1424,'[1]2025年已发货'!$F:$F&amp;'[1]2025年已发货'!$C:$C&amp;'[1]2025年已发货'!$G:$G&amp;'[1]2025年已发货'!$H:$H,'[1]2025年已发货'!$E:$E,"未发货")</f>
        <v>未发货</v>
      </c>
      <c r="I1424" s="41" t="str">
        <f>VLOOKUP(B1424,辅助信息!E:I,3,FALSE)</f>
        <v>（华西简阳西城嘉苑）四川省成都市简阳市简城街道高屋村</v>
      </c>
      <c r="J1424" s="41" t="str">
        <f>VLOOKUP(B1424,辅助信息!E:I,4,FALSE)</f>
        <v>张瀚镭</v>
      </c>
      <c r="K1424" s="41">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172</v>
      </c>
      <c r="Q1424" s="30" t="str">
        <f>VLOOKUP(B1424,辅助信息!E:M,9,FALSE)</f>
        <v>ZTWM-CDGS-XS-2024-0030-华西集采-简州大道</v>
      </c>
      <c r="R1424" s="30" t="str">
        <f>_xlfn._xlws.FILTER(辅助信息!D:D,辅助信息!E:E=B1424)</f>
        <v>华西简阳西城嘉苑</v>
      </c>
    </row>
    <row r="1425" hidden="1" spans="2:18">
      <c r="B1425" s="41" t="s">
        <v>81</v>
      </c>
      <c r="C1425" s="71">
        <v>45785</v>
      </c>
      <c r="D1425" s="41" t="str">
        <f>VLOOKUP(B1425,辅助信息!E:K,7,FALSE)</f>
        <v>JWDDCD2025060900080</v>
      </c>
      <c r="E1425" s="41" t="str">
        <f>VLOOKUP(F1425,辅助信息!A:B,2,FALSE)</f>
        <v>盘螺</v>
      </c>
      <c r="F1425" s="41" t="s">
        <v>26</v>
      </c>
      <c r="G1425" s="37">
        <v>5</v>
      </c>
      <c r="H1425" s="37" t="str">
        <f>_xlfn.XLOOKUP(C1425&amp;F1425&amp;I1425&amp;J1425,'[1]2025年已发货'!$F:$F&amp;'[1]2025年已发货'!$C:$C&amp;'[1]2025年已发货'!$G:$G&amp;'[1]2025年已发货'!$H:$H,'[1]2025年已发货'!$E:$E,"未发货")</f>
        <v>未发货</v>
      </c>
      <c r="I1425" s="41" t="str">
        <f>VLOOKUP(B1425,辅助信息!E:I,3,FALSE)</f>
        <v>（华西简阳西城嘉苑）四川省成都市简阳市简城街道高屋村</v>
      </c>
      <c r="J1425" s="41" t="str">
        <f>VLOOKUP(B1425,辅助信息!E:I,4,FALSE)</f>
        <v>张瀚镭</v>
      </c>
      <c r="K1425" s="41">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172</v>
      </c>
      <c r="Q1425" s="30" t="str">
        <f>VLOOKUP(B1425,辅助信息!E:M,9,FALSE)</f>
        <v>ZTWM-CDGS-XS-2024-0030-华西集采-简州大道</v>
      </c>
      <c r="R1425" s="30" t="str">
        <f>_xlfn._xlws.FILTER(辅助信息!D:D,辅助信息!E:E=B1425)</f>
        <v>华西简阳西城嘉苑</v>
      </c>
    </row>
    <row r="1426" hidden="1" spans="2:18">
      <c r="B1426" s="41" t="s">
        <v>81</v>
      </c>
      <c r="C1426" s="71">
        <v>45785</v>
      </c>
      <c r="D1426" s="41" t="str">
        <f>VLOOKUP(B1426,辅助信息!E:K,7,FALSE)</f>
        <v>JWDDCD2025060900080</v>
      </c>
      <c r="E1426" s="41" t="str">
        <f>VLOOKUP(F1426,辅助信息!A:B,2,FALSE)</f>
        <v>螺纹钢</v>
      </c>
      <c r="F1426" s="41" t="s">
        <v>19</v>
      </c>
      <c r="G1426" s="37">
        <v>10.5</v>
      </c>
      <c r="H1426" s="37">
        <f>_xlfn.XLOOKUP(C1426&amp;F1426&amp;I1426&amp;J1426,'[1]2025年已发货'!$F:$F&amp;'[1]2025年已发货'!$C:$C&amp;'[1]2025年已发货'!$G:$G&amp;'[1]2025年已发货'!$H:$H,'[1]2025年已发货'!$E:$E,"未发货")</f>
        <v>9</v>
      </c>
      <c r="I1426" s="41" t="str">
        <f>VLOOKUP(B1426,辅助信息!E:I,3,FALSE)</f>
        <v>（华西简阳西城嘉苑）四川省成都市简阳市简城街道高屋村</v>
      </c>
      <c r="J1426" s="41" t="str">
        <f>VLOOKUP(B1426,辅助信息!E:I,4,FALSE)</f>
        <v>张瀚镭</v>
      </c>
      <c r="K1426" s="41">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172</v>
      </c>
      <c r="Q1426" s="30" t="str">
        <f>VLOOKUP(B1426,辅助信息!E:M,9,FALSE)</f>
        <v>ZTWM-CDGS-XS-2024-0030-华西集采-简州大道</v>
      </c>
      <c r="R1426" s="30" t="str">
        <f>_xlfn._xlws.FILTER(辅助信息!D:D,辅助信息!E:E=B1426)</f>
        <v>华西简阳西城嘉苑</v>
      </c>
    </row>
    <row r="1427" hidden="1" spans="2:18">
      <c r="B1427" s="41" t="s">
        <v>81</v>
      </c>
      <c r="C1427" s="71">
        <v>45785</v>
      </c>
      <c r="D1427" s="41" t="str">
        <f>VLOOKUP(B1427,辅助信息!E:K,7,FALSE)</f>
        <v>JWDDCD2025060900080</v>
      </c>
      <c r="E1427" s="41" t="str">
        <f>VLOOKUP(F1427,辅助信息!A:B,2,FALSE)</f>
        <v>螺纹钢</v>
      </c>
      <c r="F1427" s="41" t="s">
        <v>32</v>
      </c>
      <c r="G1427" s="37">
        <v>10.5</v>
      </c>
      <c r="H1427" s="37" t="str">
        <f>_xlfn.XLOOKUP(C1427&amp;F1427&amp;I1427&amp;J1427,'[1]2025年已发货'!$F:$F&amp;'[1]2025年已发货'!$C:$C&amp;'[1]2025年已发货'!$G:$G&amp;'[1]2025年已发货'!$H:$H,'[1]2025年已发货'!$E:$E,"未发货")</f>
        <v>未发货</v>
      </c>
      <c r="I1427" s="41" t="str">
        <f>VLOOKUP(B1427,辅助信息!E:I,3,FALSE)</f>
        <v>（华西简阳西城嘉苑）四川省成都市简阳市简城街道高屋村</v>
      </c>
      <c r="J1427" s="41" t="str">
        <f>VLOOKUP(B1427,辅助信息!E:I,4,FALSE)</f>
        <v>张瀚镭</v>
      </c>
      <c r="K1427" s="41">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172</v>
      </c>
      <c r="Q1427" s="30" t="str">
        <f>VLOOKUP(B1427,辅助信息!E:M,9,FALSE)</f>
        <v>ZTWM-CDGS-XS-2024-0030-华西集采-简州大道</v>
      </c>
      <c r="R1427" s="30" t="str">
        <f>_xlfn._xlws.FILTER(辅助信息!D:D,辅助信息!E:E=B1427)</f>
        <v>华西简阳西城嘉苑</v>
      </c>
    </row>
    <row r="1428" hidden="1" spans="2:18">
      <c r="B1428" s="41" t="s">
        <v>81</v>
      </c>
      <c r="C1428" s="71">
        <v>45785</v>
      </c>
      <c r="D1428" s="41" t="str">
        <f>VLOOKUP(B1428,辅助信息!E:K,7,FALSE)</f>
        <v>JWDDCD2025060900080</v>
      </c>
      <c r="E1428" s="41" t="str">
        <f>VLOOKUP(F1428,辅助信息!A:B,2,FALSE)</f>
        <v>螺纹钢</v>
      </c>
      <c r="F1428" s="41" t="s">
        <v>30</v>
      </c>
      <c r="G1428" s="37">
        <v>4.5</v>
      </c>
      <c r="H1428" s="37" t="str">
        <f>_xlfn.XLOOKUP(C1428&amp;F1428&amp;I1428&amp;J1428,'[1]2025年已发货'!$F:$F&amp;'[1]2025年已发货'!$C:$C&amp;'[1]2025年已发货'!$G:$G&amp;'[1]2025年已发货'!$H:$H,'[1]2025年已发货'!$E:$E,"未发货")</f>
        <v>未发货</v>
      </c>
      <c r="I1428" s="41" t="str">
        <f>VLOOKUP(B1428,辅助信息!E:I,3,FALSE)</f>
        <v>（华西简阳西城嘉苑）四川省成都市简阳市简城街道高屋村</v>
      </c>
      <c r="J1428" s="41" t="str">
        <f>VLOOKUP(B1428,辅助信息!E:I,4,FALSE)</f>
        <v>张瀚镭</v>
      </c>
      <c r="K1428" s="41">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172</v>
      </c>
      <c r="Q1428" s="30" t="str">
        <f>VLOOKUP(B1428,辅助信息!E:M,9,FALSE)</f>
        <v>ZTWM-CDGS-XS-2024-0030-华西集采-简州大道</v>
      </c>
      <c r="R1428" s="30" t="str">
        <f>_xlfn._xlws.FILTER(辅助信息!D:D,辅助信息!E:E=B1428)</f>
        <v>华西简阳西城嘉苑</v>
      </c>
    </row>
    <row r="1429" hidden="1" spans="2:18">
      <c r="B1429" s="41" t="s">
        <v>81</v>
      </c>
      <c r="C1429" s="71">
        <v>45785</v>
      </c>
      <c r="D1429" s="41" t="str">
        <f>VLOOKUP(B1429,辅助信息!E:K,7,FALSE)</f>
        <v>JWDDCD2025060900080</v>
      </c>
      <c r="E1429" s="41" t="str">
        <f>VLOOKUP(F1429,辅助信息!A:B,2,FALSE)</f>
        <v>螺纹钢</v>
      </c>
      <c r="F1429" s="41" t="s">
        <v>33</v>
      </c>
      <c r="G1429" s="37">
        <v>16</v>
      </c>
      <c r="H1429" s="37" t="str">
        <f>_xlfn.XLOOKUP(C1429&amp;F1429&amp;I1429&amp;J1429,'[1]2025年已发货'!$F:$F&amp;'[1]2025年已发货'!$C:$C&amp;'[1]2025年已发货'!$G:$G&amp;'[1]2025年已发货'!$H:$H,'[1]2025年已发货'!$E:$E,"未发货")</f>
        <v>未发货</v>
      </c>
      <c r="I1429" s="41" t="str">
        <f>VLOOKUP(B1429,辅助信息!E:I,3,FALSE)</f>
        <v>（华西简阳西城嘉苑）四川省成都市简阳市简城街道高屋村</v>
      </c>
      <c r="J1429" s="41" t="str">
        <f>VLOOKUP(B1429,辅助信息!E:I,4,FALSE)</f>
        <v>张瀚镭</v>
      </c>
      <c r="K1429" s="41">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172</v>
      </c>
      <c r="Q1429" s="30" t="str">
        <f>VLOOKUP(B1429,辅助信息!E:M,9,FALSE)</f>
        <v>ZTWM-CDGS-XS-2024-0030-华西集采-简州大道</v>
      </c>
      <c r="R1429" s="30" t="str">
        <f>_xlfn._xlws.FILTER(辅助信息!D:D,辅助信息!E:E=B1429)</f>
        <v>华西简阳西城嘉苑</v>
      </c>
    </row>
    <row r="1430" hidden="1" spans="2:18">
      <c r="B1430" s="41" t="s">
        <v>81</v>
      </c>
      <c r="C1430" s="71">
        <v>45785</v>
      </c>
      <c r="D1430" s="41" t="str">
        <f>VLOOKUP(B1430,辅助信息!E:K,7,FALSE)</f>
        <v>JWDDCD2025060900080</v>
      </c>
      <c r="E1430" s="41" t="str">
        <f>VLOOKUP(F1430,辅助信息!A:B,2,FALSE)</f>
        <v>螺纹钢</v>
      </c>
      <c r="F1430" s="41" t="s">
        <v>28</v>
      </c>
      <c r="G1430" s="37">
        <v>5</v>
      </c>
      <c r="H1430" s="37" t="str">
        <f>_xlfn.XLOOKUP(C1430&amp;F1430&amp;I1430&amp;J1430,'[1]2025年已发货'!$F:$F&amp;'[1]2025年已发货'!$C:$C&amp;'[1]2025年已发货'!$G:$G&amp;'[1]2025年已发货'!$H:$H,'[1]2025年已发货'!$E:$E,"未发货")</f>
        <v>未发货</v>
      </c>
      <c r="I1430" s="41" t="str">
        <f>VLOOKUP(B1430,辅助信息!E:I,3,FALSE)</f>
        <v>（华西简阳西城嘉苑）四川省成都市简阳市简城街道高屋村</v>
      </c>
      <c r="J1430" s="41" t="str">
        <f>VLOOKUP(B1430,辅助信息!E:I,4,FALSE)</f>
        <v>张瀚镭</v>
      </c>
      <c r="K1430" s="41">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172</v>
      </c>
      <c r="Q1430" s="30" t="str">
        <f>VLOOKUP(B1430,辅助信息!E:M,9,FALSE)</f>
        <v>ZTWM-CDGS-XS-2024-0030-华西集采-简州大道</v>
      </c>
      <c r="R1430" s="30" t="str">
        <f>_xlfn._xlws.FILTER(辅助信息!D:D,辅助信息!E:E=B1430)</f>
        <v>华西简阳西城嘉苑</v>
      </c>
    </row>
    <row r="1431" hidden="1" spans="2:18">
      <c r="B1431" s="41" t="s">
        <v>81</v>
      </c>
      <c r="C1431" s="71">
        <v>45785</v>
      </c>
      <c r="D1431" s="41" t="str">
        <f>VLOOKUP(B1431,辅助信息!E:K,7,FALSE)</f>
        <v>JWDDCD2025060900080</v>
      </c>
      <c r="E1431" s="41" t="str">
        <f>VLOOKUP(F1431,辅助信息!A:B,2,FALSE)</f>
        <v>螺纹钢</v>
      </c>
      <c r="F1431" s="41" t="s">
        <v>18</v>
      </c>
      <c r="G1431" s="37">
        <v>5</v>
      </c>
      <c r="H1431" s="37">
        <f>_xlfn.XLOOKUP(C1431&amp;F1431&amp;I1431&amp;J1431,'[1]2025年已发货'!$F:$F&amp;'[1]2025年已发货'!$C:$C&amp;'[1]2025年已发货'!$G:$G&amp;'[1]2025年已发货'!$H:$H,'[1]2025年已发货'!$E:$E,"未发货")</f>
        <v>6</v>
      </c>
      <c r="I1431" s="41" t="str">
        <f>VLOOKUP(B1431,辅助信息!E:I,3,FALSE)</f>
        <v>（华西简阳西城嘉苑）四川省成都市简阳市简城街道高屋村</v>
      </c>
      <c r="J1431" s="41" t="str">
        <f>VLOOKUP(B1431,辅助信息!E:I,4,FALSE)</f>
        <v>张瀚镭</v>
      </c>
      <c r="K1431" s="41">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172</v>
      </c>
      <c r="Q1431" s="30" t="str">
        <f>VLOOKUP(B1431,辅助信息!E:M,9,FALSE)</f>
        <v>ZTWM-CDGS-XS-2024-0030-华西集采-简州大道</v>
      </c>
      <c r="R1431" s="30" t="str">
        <f>_xlfn._xlws.FILTER(辅助信息!D:D,辅助信息!E:E=B1431)</f>
        <v>华西简阳西城嘉苑</v>
      </c>
    </row>
    <row r="1432" hidden="1" spans="2:18">
      <c r="B1432" s="41" t="s">
        <v>81</v>
      </c>
      <c r="C1432" s="71">
        <v>45785</v>
      </c>
      <c r="D1432" s="41" t="str">
        <f>VLOOKUP(B1432,辅助信息!E:K,7,FALSE)</f>
        <v>JWDDCD2025060900080</v>
      </c>
      <c r="E1432" s="41" t="str">
        <f>VLOOKUP(F1432,辅助信息!A:B,2,FALSE)</f>
        <v>螺纹钢</v>
      </c>
      <c r="F1432" s="41" t="s">
        <v>58</v>
      </c>
      <c r="G1432" s="37">
        <v>10</v>
      </c>
      <c r="H1432" s="37">
        <f>_xlfn.XLOOKUP(C1432&amp;F1432&amp;I1432&amp;J1432,'[1]2025年已发货'!$F:$F&amp;'[1]2025年已发货'!$C:$C&amp;'[1]2025年已发货'!$G:$G&amp;'[1]2025年已发货'!$H:$H,'[1]2025年已发货'!$E:$E,"未发货")</f>
        <v>9</v>
      </c>
      <c r="I1432" s="41" t="str">
        <f>VLOOKUP(B1432,辅助信息!E:I,3,FALSE)</f>
        <v>（华西简阳西城嘉苑）四川省成都市简阳市简城街道高屋村</v>
      </c>
      <c r="J1432" s="41" t="str">
        <f>VLOOKUP(B1432,辅助信息!E:I,4,FALSE)</f>
        <v>张瀚镭</v>
      </c>
      <c r="K1432" s="41">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172</v>
      </c>
      <c r="Q1432" s="30" t="str">
        <f>VLOOKUP(B1432,辅助信息!E:M,9,FALSE)</f>
        <v>ZTWM-CDGS-XS-2024-0030-华西集采-简州大道</v>
      </c>
      <c r="R1432" s="30" t="str">
        <f>_xlfn._xlws.FILTER(辅助信息!D:D,辅助信息!E:E=B1432)</f>
        <v>华西简阳西城嘉苑</v>
      </c>
    </row>
    <row r="1433" hidden="1" spans="2:18">
      <c r="B1433" s="41" t="s">
        <v>81</v>
      </c>
      <c r="C1433" s="71">
        <v>45785</v>
      </c>
      <c r="D1433" s="41" t="str">
        <f>VLOOKUP(B1433,辅助信息!E:K,7,FALSE)</f>
        <v>JWDDCD2025060900080</v>
      </c>
      <c r="E1433" s="41" t="str">
        <f>VLOOKUP(F1433,辅助信息!A:B,2,FALSE)</f>
        <v>螺纹钢</v>
      </c>
      <c r="F1433" s="41" t="s">
        <v>46</v>
      </c>
      <c r="G1433" s="37">
        <v>6</v>
      </c>
      <c r="H1433" s="37" t="str">
        <f>_xlfn.XLOOKUP(C1433&amp;F1433&amp;I1433&amp;J1433,'[1]2025年已发货'!$F:$F&amp;'[1]2025年已发货'!$C:$C&amp;'[1]2025年已发货'!$G:$G&amp;'[1]2025年已发货'!$H:$H,'[1]2025年已发货'!$E:$E,"未发货")</f>
        <v>未发货</v>
      </c>
      <c r="I1433" s="41" t="str">
        <f>VLOOKUP(B1433,辅助信息!E:I,3,FALSE)</f>
        <v>（华西简阳西城嘉苑）四川省成都市简阳市简城街道高屋村</v>
      </c>
      <c r="J1433" s="41" t="str">
        <f>VLOOKUP(B1433,辅助信息!E:I,4,FALSE)</f>
        <v>张瀚镭</v>
      </c>
      <c r="K1433" s="41">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172</v>
      </c>
      <c r="Q1433" s="30" t="str">
        <f>VLOOKUP(B1433,辅助信息!E:M,9,FALSE)</f>
        <v>ZTWM-CDGS-XS-2024-0030-华西集采-简州大道</v>
      </c>
      <c r="R1433" s="30" t="str">
        <f>_xlfn._xlws.FILTER(辅助信息!D:D,辅助信息!E:E=B1433)</f>
        <v>华西简阳西城嘉苑</v>
      </c>
    </row>
    <row r="1434" hidden="1" spans="2:18">
      <c r="B1434" s="41" t="s">
        <v>81</v>
      </c>
      <c r="C1434" s="71">
        <v>45785</v>
      </c>
      <c r="D1434" s="41" t="str">
        <f>VLOOKUP(B1434,辅助信息!E:K,7,FALSE)</f>
        <v>JWDDCD2025060900080</v>
      </c>
      <c r="E1434" s="41" t="str">
        <f>VLOOKUP(F1434,辅助信息!A:B,2,FALSE)</f>
        <v>螺纹钢</v>
      </c>
      <c r="F1434" s="41" t="s">
        <v>22</v>
      </c>
      <c r="G1434" s="37">
        <v>13</v>
      </c>
      <c r="H1434" s="37">
        <f>_xlfn.XLOOKUP(C1434&amp;F1434&amp;I1434&amp;J1434,'[1]2025年已发货'!$F:$F&amp;'[1]2025年已发货'!$C:$C&amp;'[1]2025年已发货'!$G:$G&amp;'[1]2025年已发货'!$H:$H,'[1]2025年已发货'!$E:$E,"未发货")</f>
        <v>12</v>
      </c>
      <c r="I1434" s="41" t="str">
        <f>VLOOKUP(B1434,辅助信息!E:I,3,FALSE)</f>
        <v>（华西简阳西城嘉苑）四川省成都市简阳市简城街道高屋村</v>
      </c>
      <c r="J1434" s="41" t="str">
        <f>VLOOKUP(B1434,辅助信息!E:I,4,FALSE)</f>
        <v>张瀚镭</v>
      </c>
      <c r="K1434" s="41">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172</v>
      </c>
      <c r="Q1434" s="30" t="str">
        <f>VLOOKUP(B1434,辅助信息!E:M,9,FALSE)</f>
        <v>ZTWM-CDGS-XS-2024-0030-华西集采-简州大道</v>
      </c>
      <c r="R1434" s="30" t="str">
        <f>_xlfn._xlws.FILTER(辅助信息!D:D,辅助信息!E:E=B1434)</f>
        <v>华西简阳西城嘉苑</v>
      </c>
    </row>
    <row r="1435" hidden="1" spans="2:18">
      <c r="B1435" s="41" t="s">
        <v>31</v>
      </c>
      <c r="C1435" s="71">
        <v>45785</v>
      </c>
      <c r="D1435" s="41" t="str">
        <f>VLOOKUP(B1435,辅助信息!E:K,7,FALSE)</f>
        <v>JWDDCD2024121000136</v>
      </c>
      <c r="E1435" s="41" t="str">
        <f>VLOOKUP(F1435,辅助信息!A:B,2,FALSE)</f>
        <v>螺纹钢</v>
      </c>
      <c r="F1435" s="41" t="s">
        <v>22</v>
      </c>
      <c r="G1435" s="37">
        <v>35</v>
      </c>
      <c r="H1435" s="37" t="str">
        <f>_xlfn.XLOOKUP(C1435&amp;F1435&amp;I1435&amp;J1435,'[1]2025年已发货'!$F:$F&amp;'[1]2025年已发货'!$C:$C&amp;'[1]2025年已发货'!$G:$G&amp;'[1]2025年已发货'!$H:$H,'[1]2025年已发货'!$E:$E,"未发货")</f>
        <v>未发货</v>
      </c>
      <c r="I1435" s="41" t="str">
        <f>VLOOKUP(B1435,辅助信息!E:I,3,FALSE)</f>
        <v>（四川商建-射洪城乡一体化项目）遂宁市射洪市忠新幼儿园北侧约220米新溪小区</v>
      </c>
      <c r="J1435" s="41" t="str">
        <f>VLOOKUP(B1435,辅助信息!E:I,4,FALSE)</f>
        <v>柏子刚</v>
      </c>
      <c r="K1435" s="41">
        <f>VLOOKUP(J1435,辅助信息!H:I,2,FALSE)</f>
        <v>15692885305</v>
      </c>
      <c r="L1435" s="110" t="str">
        <f>VLOOKUP(B1435,辅助信息!E:J,6,FALSE)</f>
        <v>提前联系到场规格及数量</v>
      </c>
      <c r="M1435" s="92">
        <v>45787</v>
      </c>
      <c r="O1435" s="63">
        <f ca="1" t="shared" si="72"/>
        <v>0</v>
      </c>
      <c r="P1435" s="63">
        <f ca="1" t="shared" si="73"/>
        <v>172</v>
      </c>
      <c r="Q1435" s="30" t="str">
        <f>VLOOKUP(B1435,辅助信息!E:M,9,FALSE)</f>
        <v>ZTWM-CDGS-XS-2024-0179-四川商投-射洪城乡一体化建设项目</v>
      </c>
      <c r="R1435" s="30" t="str">
        <f>_xlfn._xlws.FILTER(辅助信息!D:D,辅助信息!E:E=B1435)</f>
        <v>四川商建
射洪城乡一体化项目</v>
      </c>
    </row>
    <row r="1436" hidden="1" spans="2:18">
      <c r="B1436" s="41" t="s">
        <v>81</v>
      </c>
      <c r="C1436" s="71">
        <v>45786</v>
      </c>
      <c r="D1436" s="41" t="str">
        <f>VLOOKUP(B1436,辅助信息!E:K,7,FALSE)</f>
        <v>JWDDCD2025060900080</v>
      </c>
      <c r="E1436" s="41" t="str">
        <f>VLOOKUP(F1436,辅助信息!A:B,2,FALSE)</f>
        <v>螺纹钢</v>
      </c>
      <c r="F1436" s="41" t="s">
        <v>30</v>
      </c>
      <c r="G1436" s="37">
        <v>50</v>
      </c>
      <c r="H1436" s="37" t="str">
        <f>_xlfn.XLOOKUP(C1436&amp;F1436&amp;I1436&amp;J1436,'[1]2025年已发货'!$F:$F&amp;'[1]2025年已发货'!$C:$C&amp;'[1]2025年已发货'!$G:$G&amp;'[1]2025年已发货'!$H:$H,'[1]2025年已发货'!$E:$E,"未发货")</f>
        <v>未发货</v>
      </c>
      <c r="I1436" s="41" t="str">
        <f>VLOOKUP(B1436,辅助信息!E:I,3,FALSE)</f>
        <v>（华西简阳西城嘉苑）四川省成都市简阳市简城街道高屋村</v>
      </c>
      <c r="J1436" s="41" t="str">
        <f>VLOOKUP(B1436,辅助信息!E:I,4,FALSE)</f>
        <v>张瀚镭</v>
      </c>
      <c r="K1436" s="41">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175</v>
      </c>
      <c r="Q1436" s="30" t="str">
        <f>VLOOKUP(B1436,辅助信息!E:M,9,FALSE)</f>
        <v>ZTWM-CDGS-XS-2024-0030-华西集采-简州大道</v>
      </c>
      <c r="R1436" s="30" t="str">
        <f>_xlfn._xlws.FILTER(辅助信息!D:D,辅助信息!E:E=B1436)</f>
        <v>华西简阳西城嘉苑</v>
      </c>
    </row>
    <row r="1437" hidden="1" spans="2:18">
      <c r="B1437" s="41" t="s">
        <v>147</v>
      </c>
      <c r="C1437" s="71">
        <v>45786</v>
      </c>
      <c r="D1437" s="41" t="str">
        <f>VLOOKUP(B1437,辅助信息!E:K,7,FALSE)</f>
        <v>JWDDCD2025052800131</v>
      </c>
      <c r="E1437" s="41" t="str">
        <f>VLOOKUP(F1437,辅助信息!A:B,2,FALSE)</f>
        <v>高线</v>
      </c>
      <c r="F1437" s="41" t="s">
        <v>57</v>
      </c>
      <c r="G1437" s="37">
        <v>7.5</v>
      </c>
      <c r="H1437" s="37" t="str">
        <f>_xlfn.XLOOKUP(C1437&amp;F1437&amp;I1437&amp;J1437,'[1]2025年已发货'!$F:$F&amp;'[1]2025年已发货'!$C:$C&amp;'[1]2025年已发货'!$G:$G&amp;'[1]2025年已发货'!$H:$H,'[1]2025年已发货'!$E:$E,"未发货")</f>
        <v>未发货</v>
      </c>
      <c r="I1437" s="41" t="str">
        <f>VLOOKUP(B1437,辅助信息!E:I,3,FALSE)</f>
        <v>（商投建工达州中医药科技园-4工区-11号楼）达州市通川区达州中医药职业学院犀牛大道北段</v>
      </c>
      <c r="J1437" s="41" t="str">
        <f>VLOOKUP(B1437,辅助信息!E:I,4,FALSE)</f>
        <v>张扬</v>
      </c>
      <c r="K1437" s="41">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175</v>
      </c>
      <c r="Q1437" s="30" t="str">
        <f>VLOOKUP(B1437,辅助信息!E:M,9,FALSE)</f>
        <v>ZTWM-CDGS-XS-2024-0134-商投建工达州中医药科技成果示范园项目</v>
      </c>
      <c r="R1437" s="30" t="str">
        <f>_xlfn._xlws.FILTER(辅助信息!D:D,辅助信息!E:E=B1437)</f>
        <v>商投建工达州中医药科技园</v>
      </c>
    </row>
    <row r="1438" hidden="1" spans="2:18">
      <c r="B1438" s="41" t="s">
        <v>147</v>
      </c>
      <c r="C1438" s="71">
        <v>45786</v>
      </c>
      <c r="D1438" s="41" t="str">
        <f>VLOOKUP(B1438,辅助信息!E:K,7,FALSE)</f>
        <v>JWDDCD2025052800131</v>
      </c>
      <c r="E1438" s="41" t="str">
        <f>VLOOKUP(F1438,辅助信息!A:B,2,FALSE)</f>
        <v>盘螺</v>
      </c>
      <c r="F1438" s="41" t="s">
        <v>41</v>
      </c>
      <c r="G1438" s="37">
        <v>17.5</v>
      </c>
      <c r="H1438" s="37">
        <f>_xlfn.XLOOKUP(C1438&amp;F1438&amp;I1438&amp;J1438,'[1]2025年已发货'!$F:$F&amp;'[1]2025年已发货'!$C:$C&amp;'[1]2025年已发货'!$G:$G&amp;'[1]2025年已发货'!$H:$H,'[1]2025年已发货'!$E:$E,"未发货")</f>
        <v>17.5</v>
      </c>
      <c r="I1438" s="41" t="str">
        <f>VLOOKUP(B1438,辅助信息!E:I,3,FALSE)</f>
        <v>（商投建工达州中医药科技园-4工区-11号楼）达州市通川区达州中医药职业学院犀牛大道北段</v>
      </c>
      <c r="J1438" s="41" t="str">
        <f>VLOOKUP(B1438,辅助信息!E:I,4,FALSE)</f>
        <v>张扬</v>
      </c>
      <c r="K1438" s="41">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175</v>
      </c>
      <c r="Q1438" s="30" t="str">
        <f>VLOOKUP(B1438,辅助信息!E:M,9,FALSE)</f>
        <v>ZTWM-CDGS-XS-2024-0134-商投建工达州中医药科技成果示范园项目</v>
      </c>
      <c r="R1438" s="30" t="str">
        <f>_xlfn._xlws.FILTER(辅助信息!D:D,辅助信息!E:E=B1438)</f>
        <v>商投建工达州中医药科技园</v>
      </c>
    </row>
    <row r="1439" hidden="1" spans="2:18">
      <c r="B1439" s="41" t="s">
        <v>147</v>
      </c>
      <c r="C1439" s="71">
        <v>45786</v>
      </c>
      <c r="D1439" s="41" t="str">
        <f>VLOOKUP(B1439,辅助信息!E:K,7,FALSE)</f>
        <v>JWDDCD2025052800131</v>
      </c>
      <c r="E1439" s="41" t="str">
        <f>VLOOKUP(F1439,辅助信息!A:B,2,FALSE)</f>
        <v>螺纹钢</v>
      </c>
      <c r="F1439" s="41" t="s">
        <v>30</v>
      </c>
      <c r="G1439" s="37">
        <v>7</v>
      </c>
      <c r="H1439" s="37" t="str">
        <f>_xlfn.XLOOKUP(C1439&amp;F1439&amp;I1439&amp;J1439,'[1]2025年已发货'!$F:$F&amp;'[1]2025年已发货'!$C:$C&amp;'[1]2025年已发货'!$G:$G&amp;'[1]2025年已发货'!$H:$H,'[1]2025年已发货'!$E:$E,"未发货")</f>
        <v>未发货</v>
      </c>
      <c r="I1439" s="41" t="str">
        <f>VLOOKUP(B1439,辅助信息!E:I,3,FALSE)</f>
        <v>（商投建工达州中医药科技园-4工区-11号楼）达州市通川区达州中医药职业学院犀牛大道北段</v>
      </c>
      <c r="J1439" s="41" t="str">
        <f>VLOOKUP(B1439,辅助信息!E:I,4,FALSE)</f>
        <v>张扬</v>
      </c>
      <c r="K1439" s="41">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175</v>
      </c>
      <c r="Q1439" s="30" t="str">
        <f>VLOOKUP(B1439,辅助信息!E:M,9,FALSE)</f>
        <v>ZTWM-CDGS-XS-2024-0134-商投建工达州中医药科技成果示范园项目</v>
      </c>
      <c r="R1439" s="30" t="str">
        <f>_xlfn._xlws.FILTER(辅助信息!D:D,辅助信息!E:E=B1439)</f>
        <v>商投建工达州中医药科技园</v>
      </c>
    </row>
    <row r="1440" hidden="1" spans="2:18">
      <c r="B1440" s="41" t="s">
        <v>106</v>
      </c>
      <c r="C1440" s="71">
        <v>45786</v>
      </c>
      <c r="D1440" s="41" t="str">
        <f>VLOOKUP(B1440,辅助信息!E:K,7,FALSE)</f>
        <v>JWDDCD2024101600133</v>
      </c>
      <c r="E1440" s="41" t="str">
        <f>VLOOKUP(F1440,辅助信息!A:B,2,FALSE)</f>
        <v>盘螺</v>
      </c>
      <c r="F1440" s="41" t="s">
        <v>40</v>
      </c>
      <c r="G1440" s="37">
        <v>57.5</v>
      </c>
      <c r="H1440" s="37" t="str">
        <f>_xlfn.XLOOKUP(C1440&amp;F1440&amp;I1440&amp;J1440,'[1]2025年已发货'!$F:$F&amp;'[1]2025年已发货'!$C:$C&amp;'[1]2025年已发货'!$G:$G&amp;'[1]2025年已发货'!$H:$H,'[1]2025年已发货'!$E:$E,"未发货")</f>
        <v>未发货</v>
      </c>
      <c r="I1440" s="41" t="str">
        <f>VLOOKUP(B1440,辅助信息!E:I,3,FALSE)</f>
        <v>（五冶钢构宜宾高县月江镇建设项目）  四川省宜宾市高县月江镇刚记超市斜对面(还阳组团沪碳二期项目)</v>
      </c>
      <c r="J1440" s="41" t="str">
        <f>VLOOKUP(B1440,辅助信息!E:I,4,FALSE)</f>
        <v>张朝亮</v>
      </c>
      <c r="K1440" s="41">
        <f>VLOOKUP(J1440,辅助信息!H:I,2,FALSE)</f>
        <v>15228205853</v>
      </c>
      <c r="L1440" s="110" t="str">
        <f>VLOOKUP(B1440,辅助信息!E:J,6,FALSE)</f>
        <v>提前联系到场规格</v>
      </c>
      <c r="M1440" s="92">
        <v>45785</v>
      </c>
      <c r="O1440" s="63">
        <f ca="1" t="shared" si="72"/>
        <v>0</v>
      </c>
      <c r="P1440" s="63">
        <f ca="1" t="shared" si="70"/>
        <v>174</v>
      </c>
      <c r="Q1440" s="30" t="str">
        <f>VLOOKUP(B1440,辅助信息!E:M,9,FALSE)</f>
        <v>ZTWM-CDGS-XS-2024-0169-中冶西部钢构-宜宾市南溪区幸福路东路,高县月江镇建设项目</v>
      </c>
      <c r="R1440" s="30" t="str">
        <f>_xlfn._xlws.FILTER(辅助信息!D:D,辅助信息!E:E=B1440)</f>
        <v>五冶钢构-宜宾市南溪区高县月江镇建设项目</v>
      </c>
    </row>
    <row r="1441" hidden="1" spans="2:18">
      <c r="B1441" s="41" t="s">
        <v>106</v>
      </c>
      <c r="C1441" s="71">
        <v>45786</v>
      </c>
      <c r="D1441" s="41" t="str">
        <f>VLOOKUP(B1441,辅助信息!E:K,7,FALSE)</f>
        <v>JWDDCD2024101600133</v>
      </c>
      <c r="E1441" s="41" t="str">
        <f>VLOOKUP(F1441,辅助信息!A:B,2,FALSE)</f>
        <v>螺纹钢</v>
      </c>
      <c r="F1441" s="41" t="s">
        <v>27</v>
      </c>
      <c r="G1441" s="37">
        <v>9</v>
      </c>
      <c r="H1441" s="37" t="str">
        <f>_xlfn.XLOOKUP(C1441&amp;F1441&amp;I1441&amp;J1441,'[1]2025年已发货'!$F:$F&amp;'[1]2025年已发货'!$C:$C&amp;'[1]2025年已发货'!$G:$G&amp;'[1]2025年已发货'!$H:$H,'[1]2025年已发货'!$E:$E,"未发货")</f>
        <v>未发货</v>
      </c>
      <c r="I1441" s="41" t="str">
        <f>VLOOKUP(B1441,辅助信息!E:I,3,FALSE)</f>
        <v>（五冶钢构宜宾高县月江镇建设项目）  四川省宜宾市高县月江镇刚记超市斜对面(还阳组团沪碳二期项目)</v>
      </c>
      <c r="J1441" s="41" t="str">
        <f>VLOOKUP(B1441,辅助信息!E:I,4,FALSE)</f>
        <v>张朝亮</v>
      </c>
      <c r="K1441" s="41">
        <f>VLOOKUP(J1441,辅助信息!H:I,2,FALSE)</f>
        <v>15228205853</v>
      </c>
      <c r="L1441" s="110" t="str">
        <f>VLOOKUP(B1441,辅助信息!E:J,6,FALSE)</f>
        <v>提前联系到场规格</v>
      </c>
      <c r="M1441" s="92">
        <v>45785</v>
      </c>
      <c r="O1441" s="63">
        <f ca="1" t="shared" si="72"/>
        <v>0</v>
      </c>
      <c r="P1441" s="63">
        <f ca="1" t="shared" si="70"/>
        <v>174</v>
      </c>
      <c r="Q1441" s="30" t="str">
        <f>VLOOKUP(B1441,辅助信息!E:M,9,FALSE)</f>
        <v>ZTWM-CDGS-XS-2024-0169-中冶西部钢构-宜宾市南溪区幸福路东路,高县月江镇建设项目</v>
      </c>
      <c r="R1441" s="30" t="str">
        <f>_xlfn._xlws.FILTER(辅助信息!D:D,辅助信息!E:E=B1441)</f>
        <v>五冶钢构-宜宾市南溪区高县月江镇建设项目</v>
      </c>
    </row>
    <row r="1442" hidden="1" spans="2:18">
      <c r="B1442" s="41" t="s">
        <v>106</v>
      </c>
      <c r="C1442" s="71">
        <v>45786</v>
      </c>
      <c r="D1442" s="41" t="str">
        <f>VLOOKUP(B1442,辅助信息!E:K,7,FALSE)</f>
        <v>JWDDCD2024101600133</v>
      </c>
      <c r="E1442" s="41" t="str">
        <f>VLOOKUP(F1442,辅助信息!A:B,2,FALSE)</f>
        <v>螺纹钢</v>
      </c>
      <c r="F1442" s="41" t="s">
        <v>19</v>
      </c>
      <c r="G1442" s="37">
        <v>9</v>
      </c>
      <c r="H1442" s="37" t="str">
        <f>_xlfn.XLOOKUP(C1442&amp;F1442&amp;I1442&amp;J1442,'[1]2025年已发货'!$F:$F&amp;'[1]2025年已发货'!$C:$C&amp;'[1]2025年已发货'!$G:$G&amp;'[1]2025年已发货'!$H:$H,'[1]2025年已发货'!$E:$E,"未发货")</f>
        <v>未发货</v>
      </c>
      <c r="I1442" s="41" t="str">
        <f>VLOOKUP(B1442,辅助信息!E:I,3,FALSE)</f>
        <v>（五冶钢构宜宾高县月江镇建设项目）  四川省宜宾市高县月江镇刚记超市斜对面(还阳组团沪碳二期项目)</v>
      </c>
      <c r="J1442" s="41" t="str">
        <f>VLOOKUP(B1442,辅助信息!E:I,4,FALSE)</f>
        <v>张朝亮</v>
      </c>
      <c r="K1442" s="41">
        <f>VLOOKUP(J1442,辅助信息!H:I,2,FALSE)</f>
        <v>15228205853</v>
      </c>
      <c r="L1442" s="110" t="str">
        <f>VLOOKUP(B1442,辅助信息!E:J,6,FALSE)</f>
        <v>提前联系到场规格</v>
      </c>
      <c r="M1442" s="92">
        <v>45785</v>
      </c>
      <c r="O1442" s="63">
        <f ca="1" t="shared" si="72"/>
        <v>0</v>
      </c>
      <c r="P1442" s="63">
        <f ca="1" t="shared" si="70"/>
        <v>174</v>
      </c>
      <c r="Q1442" s="30" t="str">
        <f>VLOOKUP(B1442,辅助信息!E:M,9,FALSE)</f>
        <v>ZTWM-CDGS-XS-2024-0169-中冶西部钢构-宜宾市南溪区幸福路东路,高县月江镇建设项目</v>
      </c>
      <c r="R1442" s="30" t="str">
        <f>_xlfn._xlws.FILTER(辅助信息!D:D,辅助信息!E:E=B1442)</f>
        <v>五冶钢构-宜宾市南溪区高县月江镇建设项目</v>
      </c>
    </row>
    <row r="1443" hidden="1" spans="2:18">
      <c r="B1443" s="41" t="s">
        <v>106</v>
      </c>
      <c r="C1443" s="71">
        <v>45786</v>
      </c>
      <c r="D1443" s="41" t="str">
        <f>VLOOKUP(B1443,辅助信息!E:K,7,FALSE)</f>
        <v>JWDDCD2024101600133</v>
      </c>
      <c r="E1443" s="41" t="str">
        <f>VLOOKUP(F1443,辅助信息!A:B,2,FALSE)</f>
        <v>螺纹钢</v>
      </c>
      <c r="F1443" s="41" t="s">
        <v>33</v>
      </c>
      <c r="G1443" s="37">
        <v>9</v>
      </c>
      <c r="H1443" s="37" t="str">
        <f>_xlfn.XLOOKUP(C1443&amp;F1443&amp;I1443&amp;J1443,'[1]2025年已发货'!$F:$F&amp;'[1]2025年已发货'!$C:$C&amp;'[1]2025年已发货'!$G:$G&amp;'[1]2025年已发货'!$H:$H,'[1]2025年已发货'!$E:$E,"未发货")</f>
        <v>未发货</v>
      </c>
      <c r="I1443" s="41" t="str">
        <f>VLOOKUP(B1443,辅助信息!E:I,3,FALSE)</f>
        <v>（五冶钢构宜宾高县月江镇建设项目）  四川省宜宾市高县月江镇刚记超市斜对面(还阳组团沪碳二期项目)</v>
      </c>
      <c r="J1443" s="41" t="str">
        <f>VLOOKUP(B1443,辅助信息!E:I,4,FALSE)</f>
        <v>张朝亮</v>
      </c>
      <c r="K1443" s="41">
        <f>VLOOKUP(J1443,辅助信息!H:I,2,FALSE)</f>
        <v>15228205853</v>
      </c>
      <c r="L1443" s="110" t="str">
        <f>VLOOKUP(B1443,辅助信息!E:J,6,FALSE)</f>
        <v>提前联系到场规格</v>
      </c>
      <c r="M1443" s="92">
        <v>45785</v>
      </c>
      <c r="O1443" s="63">
        <f ca="1" t="shared" si="72"/>
        <v>0</v>
      </c>
      <c r="P1443" s="63">
        <f ca="1" t="shared" si="70"/>
        <v>174</v>
      </c>
      <c r="Q1443" s="30" t="str">
        <f>VLOOKUP(B1443,辅助信息!E:M,9,FALSE)</f>
        <v>ZTWM-CDGS-XS-2024-0169-中冶西部钢构-宜宾市南溪区幸福路东路,高县月江镇建设项目</v>
      </c>
      <c r="R1443" s="30" t="str">
        <f>_xlfn._xlws.FILTER(辅助信息!D:D,辅助信息!E:E=B1443)</f>
        <v>五冶钢构-宜宾市南溪区高县月江镇建设项目</v>
      </c>
    </row>
    <row r="1444" hidden="1" spans="2:18">
      <c r="B1444" s="41" t="s">
        <v>106</v>
      </c>
      <c r="C1444" s="71">
        <v>45786</v>
      </c>
      <c r="D1444" s="41" t="str">
        <f>VLOOKUP(B1444,辅助信息!E:K,7,FALSE)</f>
        <v>JWDDCD2024101600133</v>
      </c>
      <c r="E1444" s="41" t="str">
        <f>VLOOKUP(F1444,辅助信息!A:B,2,FALSE)</f>
        <v>螺纹钢</v>
      </c>
      <c r="F1444" s="41" t="s">
        <v>28</v>
      </c>
      <c r="G1444" s="37">
        <v>21</v>
      </c>
      <c r="H1444" s="37" t="str">
        <f>_xlfn.XLOOKUP(C1444&amp;F1444&amp;I1444&amp;J1444,'[1]2025年已发货'!$F:$F&amp;'[1]2025年已发货'!$C:$C&amp;'[1]2025年已发货'!$G:$G&amp;'[1]2025年已发货'!$H:$H,'[1]2025年已发货'!$E:$E,"未发货")</f>
        <v>未发货</v>
      </c>
      <c r="I1444" s="41" t="str">
        <f>VLOOKUP(B1444,辅助信息!E:I,3,FALSE)</f>
        <v>（五冶钢构宜宾高县月江镇建设项目）  四川省宜宾市高县月江镇刚记超市斜对面(还阳组团沪碳二期项目)</v>
      </c>
      <c r="J1444" s="41" t="str">
        <f>VLOOKUP(B1444,辅助信息!E:I,4,FALSE)</f>
        <v>张朝亮</v>
      </c>
      <c r="K1444" s="41">
        <f>VLOOKUP(J1444,辅助信息!H:I,2,FALSE)</f>
        <v>15228205853</v>
      </c>
      <c r="L1444" s="110" t="str">
        <f>VLOOKUP(B1444,辅助信息!E:J,6,FALSE)</f>
        <v>提前联系到场规格</v>
      </c>
      <c r="M1444" s="92">
        <v>45785</v>
      </c>
      <c r="O1444" s="63">
        <f ca="1" t="shared" si="72"/>
        <v>0</v>
      </c>
      <c r="P1444" s="63">
        <f ca="1" t="shared" si="70"/>
        <v>174</v>
      </c>
      <c r="Q1444" s="30" t="str">
        <f>VLOOKUP(B1444,辅助信息!E:M,9,FALSE)</f>
        <v>ZTWM-CDGS-XS-2024-0169-中冶西部钢构-宜宾市南溪区幸福路东路,高县月江镇建设项目</v>
      </c>
      <c r="R1444" s="30" t="str">
        <f>_xlfn._xlws.FILTER(辅助信息!D:D,辅助信息!E:E=B1444)</f>
        <v>五冶钢构-宜宾市南溪区高县月江镇建设项目</v>
      </c>
    </row>
    <row r="1445" hidden="1" spans="2:18">
      <c r="B1445" s="41" t="s">
        <v>127</v>
      </c>
      <c r="C1445" s="71">
        <v>45786</v>
      </c>
      <c r="D1445" s="41" t="str">
        <f>VLOOKUP(B1445,辅助信息!E:K,7,FALSE)</f>
        <v>JWDDCD2025051000019</v>
      </c>
      <c r="E1445" s="41" t="str">
        <f>VLOOKUP(F1445,辅助信息!A:B,2,FALSE)</f>
        <v>盘螺</v>
      </c>
      <c r="F1445" s="41" t="s">
        <v>49</v>
      </c>
      <c r="G1445" s="37">
        <v>12</v>
      </c>
      <c r="H1445" s="37" t="str">
        <f>_xlfn.XLOOKUP(C1445&amp;F1445&amp;I1445&amp;J1445,'[1]2025年已发货'!$F:$F&amp;'[1]2025年已发货'!$C:$C&amp;'[1]2025年已发货'!$G:$G&amp;'[1]2025年已发货'!$H:$H,'[1]2025年已发货'!$E:$E,"未发货")</f>
        <v>未发货</v>
      </c>
      <c r="I1445" s="41" t="str">
        <f>VLOOKUP(B1445,辅助信息!E:I,3,FALSE)</f>
        <v>(五冶钢构医学科学产业园建设项目房建三部-管网总坪)四川省南充市顺庆区搬罾街道学府大道二段</v>
      </c>
      <c r="J1445" s="41" t="str">
        <f>VLOOKUP(B1445,辅助信息!E:I,4,FALSE)</f>
        <v>郑林</v>
      </c>
      <c r="K1445" s="41">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174</v>
      </c>
      <c r="Q1445" s="30" t="str">
        <f>VLOOKUP(B1445,辅助信息!E:M,9,FALSE)</f>
        <v>ZTWM-CDGS-XS-2024-0248-五冶钢构-南充市医学院项目</v>
      </c>
      <c r="R1445" s="30" t="str">
        <f>_xlfn._xlws.FILTER(辅助信息!D:D,辅助信息!E:E=B1445)</f>
        <v>五冶钢构南充医学科学产业园建设项目</v>
      </c>
    </row>
    <row r="1446" hidden="1" spans="2:18">
      <c r="B1446" s="41" t="s">
        <v>127</v>
      </c>
      <c r="C1446" s="71">
        <v>45786</v>
      </c>
      <c r="D1446" s="41" t="str">
        <f>VLOOKUP(B1446,辅助信息!E:K,7,FALSE)</f>
        <v>JWDDCD2025051000019</v>
      </c>
      <c r="E1446" s="41" t="str">
        <f>VLOOKUP(F1446,辅助信息!A:B,2,FALSE)</f>
        <v>盘螺</v>
      </c>
      <c r="F1446" s="41" t="s">
        <v>41</v>
      </c>
      <c r="G1446" s="37">
        <v>10</v>
      </c>
      <c r="H1446" s="37" t="str">
        <f>_xlfn.XLOOKUP(C1446&amp;F1446&amp;I1446&amp;J1446,'[1]2025年已发货'!$F:$F&amp;'[1]2025年已发货'!$C:$C&amp;'[1]2025年已发货'!$G:$G&amp;'[1]2025年已发货'!$H:$H,'[1]2025年已发货'!$E:$E,"未发货")</f>
        <v>未发货</v>
      </c>
      <c r="I1446" s="41" t="str">
        <f>VLOOKUP(B1446,辅助信息!E:I,3,FALSE)</f>
        <v>(五冶钢构医学科学产业园建设项目房建三部-管网总坪)四川省南充市顺庆区搬罾街道学府大道二段</v>
      </c>
      <c r="J1446" s="41" t="str">
        <f>VLOOKUP(B1446,辅助信息!E:I,4,FALSE)</f>
        <v>郑林</v>
      </c>
      <c r="K1446" s="41">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174</v>
      </c>
      <c r="Q1446" s="30" t="str">
        <f>VLOOKUP(B1446,辅助信息!E:M,9,FALSE)</f>
        <v>ZTWM-CDGS-XS-2024-0248-五冶钢构-南充市医学院项目</v>
      </c>
      <c r="R1446" s="30" t="str">
        <f>_xlfn._xlws.FILTER(辅助信息!D:D,辅助信息!E:E=B1446)</f>
        <v>五冶钢构南充医学科学产业园建设项目</v>
      </c>
    </row>
    <row r="1447" hidden="1" spans="2:18">
      <c r="B1447" s="41" t="s">
        <v>127</v>
      </c>
      <c r="C1447" s="71">
        <v>45786</v>
      </c>
      <c r="D1447" s="41" t="str">
        <f>VLOOKUP(B1447,辅助信息!E:K,7,FALSE)</f>
        <v>JWDDCD2025051000019</v>
      </c>
      <c r="E1447" s="41" t="str">
        <f>VLOOKUP(F1447,辅助信息!A:B,2,FALSE)</f>
        <v>螺纹钢</v>
      </c>
      <c r="F1447" s="41" t="s">
        <v>27</v>
      </c>
      <c r="G1447" s="37">
        <v>13</v>
      </c>
      <c r="H1447" s="37" t="str">
        <f>_xlfn.XLOOKUP(C1447&amp;F1447&amp;I1447&amp;J1447,'[1]2025年已发货'!$F:$F&amp;'[1]2025年已发货'!$C:$C&amp;'[1]2025年已发货'!$G:$G&amp;'[1]2025年已发货'!$H:$H,'[1]2025年已发货'!$E:$E,"未发货")</f>
        <v>未发货</v>
      </c>
      <c r="I1447" s="41" t="str">
        <f>VLOOKUP(B1447,辅助信息!E:I,3,FALSE)</f>
        <v>(五冶钢构医学科学产业园建设项目房建三部-管网总坪)四川省南充市顺庆区搬罾街道学府大道二段</v>
      </c>
      <c r="J1447" s="41" t="str">
        <f>VLOOKUP(B1447,辅助信息!E:I,4,FALSE)</f>
        <v>郑林</v>
      </c>
      <c r="K1447" s="41">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174</v>
      </c>
      <c r="Q1447" s="30" t="str">
        <f>VLOOKUP(B1447,辅助信息!E:M,9,FALSE)</f>
        <v>ZTWM-CDGS-XS-2024-0248-五冶钢构-南充市医学院项目</v>
      </c>
      <c r="R1447" s="30" t="str">
        <f>_xlfn._xlws.FILTER(辅助信息!D:D,辅助信息!E:E=B1447)</f>
        <v>五冶钢构南充医学科学产业园建设项目</v>
      </c>
    </row>
    <row r="1448" hidden="1" spans="2:18">
      <c r="B1448" s="41" t="s">
        <v>72</v>
      </c>
      <c r="C1448" s="71">
        <v>45786</v>
      </c>
      <c r="D1448" s="41" t="str">
        <f>VLOOKUP(B1448,辅助信息!E:K,7,FALSE)</f>
        <v>JWDDCD2025051000019</v>
      </c>
      <c r="E1448" s="41" t="str">
        <f>VLOOKUP(F1448,辅助信息!A:B,2,FALSE)</f>
        <v>盘螺</v>
      </c>
      <c r="F1448" s="41" t="s">
        <v>49</v>
      </c>
      <c r="G1448" s="37">
        <v>5</v>
      </c>
      <c r="H1448" s="37" t="str">
        <f>_xlfn.XLOOKUP(C1448&amp;F1448&amp;I1448&amp;J1448,'[1]2025年已发货'!$F:$F&amp;'[1]2025年已发货'!$C:$C&amp;'[1]2025年已发货'!$G:$G&amp;'[1]2025年已发货'!$H:$H,'[1]2025年已发货'!$E:$E,"未发货")</f>
        <v>未发货</v>
      </c>
      <c r="I1448" s="41" t="str">
        <f>VLOOKUP(B1448,辅助信息!E:I,3,FALSE)</f>
        <v>(五冶钢构医学科学产业园建设项目房建二部-网羽馆（6-5）)四川省南充市顺庆区搬罾街道学府大道二段</v>
      </c>
      <c r="J1448" s="41" t="str">
        <f>VLOOKUP(B1448,辅助信息!E:I,4,FALSE)</f>
        <v>安南</v>
      </c>
      <c r="K1448" s="41">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174</v>
      </c>
      <c r="Q1448" s="30" t="str">
        <f>VLOOKUP(B1448,辅助信息!E:M,9,FALSE)</f>
        <v>ZTWM-CDGS-XS-2024-0248-五冶钢构-南充市医学院项目</v>
      </c>
      <c r="R1448" s="30" t="str">
        <f>_xlfn._xlws.FILTER(辅助信息!D:D,辅助信息!E:E=B1448)</f>
        <v>五冶钢构南充医学科学产业园建设项目</v>
      </c>
    </row>
    <row r="1449" hidden="1" spans="2:18">
      <c r="B1449" s="41" t="s">
        <v>72</v>
      </c>
      <c r="C1449" s="71">
        <v>45786</v>
      </c>
      <c r="D1449" s="41" t="str">
        <f>VLOOKUP(B1449,辅助信息!E:K,7,FALSE)</f>
        <v>JWDDCD2025051000019</v>
      </c>
      <c r="E1449" s="41" t="str">
        <f>VLOOKUP(F1449,辅助信息!A:B,2,FALSE)</f>
        <v>盘螺</v>
      </c>
      <c r="F1449" s="41" t="s">
        <v>40</v>
      </c>
      <c r="G1449" s="37">
        <v>2.5</v>
      </c>
      <c r="H1449" s="37" t="str">
        <f>_xlfn.XLOOKUP(C1449&amp;F1449&amp;I1449&amp;J1449,'[1]2025年已发货'!$F:$F&amp;'[1]2025年已发货'!$C:$C&amp;'[1]2025年已发货'!$G:$G&amp;'[1]2025年已发货'!$H:$H,'[1]2025年已发货'!$E:$E,"未发货")</f>
        <v>未发货</v>
      </c>
      <c r="I1449" s="41" t="str">
        <f>VLOOKUP(B1449,辅助信息!E:I,3,FALSE)</f>
        <v>(五冶钢构医学科学产业园建设项目房建二部-网羽馆（6-5）)四川省南充市顺庆区搬罾街道学府大道二段</v>
      </c>
      <c r="J1449" s="41" t="str">
        <f>VLOOKUP(B1449,辅助信息!E:I,4,FALSE)</f>
        <v>安南</v>
      </c>
      <c r="K1449" s="41">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174</v>
      </c>
      <c r="Q1449" s="30" t="str">
        <f>VLOOKUP(B1449,辅助信息!E:M,9,FALSE)</f>
        <v>ZTWM-CDGS-XS-2024-0248-五冶钢构-南充市医学院项目</v>
      </c>
      <c r="R1449" s="30" t="str">
        <f>_xlfn._xlws.FILTER(辅助信息!D:D,辅助信息!E:E=B1449)</f>
        <v>五冶钢构南充医学科学产业园建设项目</v>
      </c>
    </row>
    <row r="1450" hidden="1" spans="2:18">
      <c r="B1450" s="41" t="s">
        <v>72</v>
      </c>
      <c r="C1450" s="71">
        <v>45786</v>
      </c>
      <c r="D1450" s="41" t="str">
        <f>VLOOKUP(B1450,辅助信息!E:K,7,FALSE)</f>
        <v>JWDDCD2025051000019</v>
      </c>
      <c r="E1450" s="41" t="str">
        <f>VLOOKUP(F1450,辅助信息!A:B,2,FALSE)</f>
        <v>螺纹钢</v>
      </c>
      <c r="F1450" s="41" t="s">
        <v>27</v>
      </c>
      <c r="G1450" s="37">
        <v>25</v>
      </c>
      <c r="H1450" s="37" t="str">
        <f>_xlfn.XLOOKUP(C1450&amp;F1450&amp;I1450&amp;J1450,'[1]2025年已发货'!$F:$F&amp;'[1]2025年已发货'!$C:$C&amp;'[1]2025年已发货'!$G:$G&amp;'[1]2025年已发货'!$H:$H,'[1]2025年已发货'!$E:$E,"未发货")</f>
        <v>未发货</v>
      </c>
      <c r="I1450" s="41" t="str">
        <f>VLOOKUP(B1450,辅助信息!E:I,3,FALSE)</f>
        <v>(五冶钢构医学科学产业园建设项目房建二部-网羽馆（6-5）)四川省南充市顺庆区搬罾街道学府大道二段</v>
      </c>
      <c r="J1450" s="41" t="str">
        <f>VLOOKUP(B1450,辅助信息!E:I,4,FALSE)</f>
        <v>安南</v>
      </c>
      <c r="K1450" s="41">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174</v>
      </c>
      <c r="Q1450" s="30" t="str">
        <f>VLOOKUP(B1450,辅助信息!E:M,9,FALSE)</f>
        <v>ZTWM-CDGS-XS-2024-0248-五冶钢构-南充市医学院项目</v>
      </c>
      <c r="R1450" s="30" t="str">
        <f>_xlfn._xlws.FILTER(辅助信息!D:D,辅助信息!E:E=B1450)</f>
        <v>五冶钢构南充医学科学产业园建设项目</v>
      </c>
    </row>
    <row r="1451" hidden="1" spans="1:18">
      <c r="A1451" s="72" t="s">
        <v>100</v>
      </c>
      <c r="B1451" s="41" t="s">
        <v>135</v>
      </c>
      <c r="C1451" s="71">
        <v>45786</v>
      </c>
      <c r="D1451" s="41" t="str">
        <f>VLOOKUP(B1451,辅助信息!E:K,7,FALSE)</f>
        <v>JWDDCD2025050800080</v>
      </c>
      <c r="E1451" s="41" t="str">
        <f>VLOOKUP(F1451,辅助信息!A:B,2,FALSE)</f>
        <v>螺纹钢</v>
      </c>
      <c r="F1451" s="41" t="s">
        <v>130</v>
      </c>
      <c r="G1451" s="37">
        <v>35</v>
      </c>
      <c r="H1451" s="37" t="str">
        <f>_xlfn.XLOOKUP(C1451&amp;F1451&amp;I1451&amp;J1451,'[1]2025年已发货'!$F:$F&amp;'[1]2025年已发货'!$C:$C&amp;'[1]2025年已发货'!$G:$G&amp;'[1]2025年已发货'!$H:$H,'[1]2025年已发货'!$E:$E,"未发货")</f>
        <v>未发货</v>
      </c>
      <c r="I1451" s="41" t="str">
        <f>VLOOKUP(B1451,辅助信息!E:I,3,FALSE)</f>
        <v>(宜宾兴港三江新区长江工业园建设项目-M2-2#厂房)宜宾市翠屏区宜宾汽车零部件配套产业基地(纬五路南)</v>
      </c>
      <c r="J1451" s="41" t="str">
        <f>VLOOKUP(B1451,辅助信息!E:I,4,FALSE)</f>
        <v>李国享</v>
      </c>
      <c r="K1451" s="41">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174</v>
      </c>
      <c r="Q1451" s="30" t="str">
        <f>VLOOKUP(B1451,辅助信息!E:M,9,FALSE)</f>
        <v>ZTWM-CDGS-XS-2025-0059-宜宾兴港建材-宜宾冷链项目</v>
      </c>
      <c r="R1451" s="30" t="str">
        <f>_xlfn._xlws.FILTER(辅助信息!D:D,辅助信息!E:E=B1451)</f>
        <v>宜宾兴港三江新区长江工业园建设项目</v>
      </c>
    </row>
    <row r="1452" hidden="1" spans="2:18">
      <c r="B1452" s="41" t="s">
        <v>81</v>
      </c>
      <c r="C1452" s="71">
        <v>45786</v>
      </c>
      <c r="D1452" s="41" t="str">
        <f>VLOOKUP(B1452,辅助信息!E:K,7,FALSE)</f>
        <v>JWDDCD2025060900080</v>
      </c>
      <c r="E1452" s="41" t="str">
        <f>VLOOKUP(F1452,辅助信息!A:B,2,FALSE)</f>
        <v>高线</v>
      </c>
      <c r="F1452" s="41" t="s">
        <v>53</v>
      </c>
      <c r="G1452" s="37">
        <v>5</v>
      </c>
      <c r="H1452" s="37" t="str">
        <f>_xlfn.XLOOKUP(C1452&amp;F1452&amp;I1452&amp;J1452,'[1]2025年已发货'!$F:$F&amp;'[1]2025年已发货'!$C:$C&amp;'[1]2025年已发货'!$G:$G&amp;'[1]2025年已发货'!$H:$H,'[1]2025年已发货'!$E:$E,"未发货")</f>
        <v>未发货</v>
      </c>
      <c r="I1452" s="41" t="str">
        <f>VLOOKUP(B1452,辅助信息!E:I,3,FALSE)</f>
        <v>（华西简阳西城嘉苑）四川省成都市简阳市简城街道高屋村</v>
      </c>
      <c r="J1452" s="41" t="str">
        <f>VLOOKUP(B1452,辅助信息!E:I,4,FALSE)</f>
        <v>张瀚镭</v>
      </c>
      <c r="K1452" s="41">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172</v>
      </c>
      <c r="Q1452" s="30" t="str">
        <f>VLOOKUP(B1452,辅助信息!E:M,9,FALSE)</f>
        <v>ZTWM-CDGS-XS-2024-0030-华西集采-简州大道</v>
      </c>
      <c r="R1452" s="30" t="str">
        <f>_xlfn._xlws.FILTER(辅助信息!D:D,辅助信息!E:E=B1452)</f>
        <v>华西简阳西城嘉苑</v>
      </c>
    </row>
    <row r="1453" hidden="1" spans="2:18">
      <c r="B1453" s="41" t="s">
        <v>81</v>
      </c>
      <c r="C1453" s="71">
        <v>45786</v>
      </c>
      <c r="D1453" s="41" t="str">
        <f>VLOOKUP(B1453,辅助信息!E:K,7,FALSE)</f>
        <v>JWDDCD2025060900080</v>
      </c>
      <c r="E1453" s="41" t="str">
        <f>VLOOKUP(F1453,辅助信息!A:B,2,FALSE)</f>
        <v>盘螺</v>
      </c>
      <c r="F1453" s="41" t="s">
        <v>49</v>
      </c>
      <c r="G1453" s="37">
        <v>2</v>
      </c>
      <c r="H1453" s="37" t="str">
        <f>_xlfn.XLOOKUP(C1453&amp;F1453&amp;I1453&amp;J1453,'[1]2025年已发货'!$F:$F&amp;'[1]2025年已发货'!$C:$C&amp;'[1]2025年已发货'!$G:$G&amp;'[1]2025年已发货'!$H:$H,'[1]2025年已发货'!$E:$E,"未发货")</f>
        <v>未发货</v>
      </c>
      <c r="I1453" s="41" t="str">
        <f>VLOOKUP(B1453,辅助信息!E:I,3,FALSE)</f>
        <v>（华西简阳西城嘉苑）四川省成都市简阳市简城街道高屋村</v>
      </c>
      <c r="J1453" s="41" t="str">
        <f>VLOOKUP(B1453,辅助信息!E:I,4,FALSE)</f>
        <v>张瀚镭</v>
      </c>
      <c r="K1453" s="41">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172</v>
      </c>
      <c r="Q1453" s="30" t="str">
        <f>VLOOKUP(B1453,辅助信息!E:M,9,FALSE)</f>
        <v>ZTWM-CDGS-XS-2024-0030-华西集采-简州大道</v>
      </c>
      <c r="R1453" s="30" t="str">
        <f>_xlfn._xlws.FILTER(辅助信息!D:D,辅助信息!E:E=B1453)</f>
        <v>华西简阳西城嘉苑</v>
      </c>
    </row>
    <row r="1454" hidden="1" spans="2:18">
      <c r="B1454" s="41" t="s">
        <v>81</v>
      </c>
      <c r="C1454" s="71">
        <v>45786</v>
      </c>
      <c r="D1454" s="41" t="str">
        <f>VLOOKUP(B1454,辅助信息!E:K,7,FALSE)</f>
        <v>JWDDCD2025060900080</v>
      </c>
      <c r="E1454" s="41" t="str">
        <f>VLOOKUP(F1454,辅助信息!A:B,2,FALSE)</f>
        <v>盘螺</v>
      </c>
      <c r="F1454" s="41" t="s">
        <v>40</v>
      </c>
      <c r="G1454" s="37">
        <v>11</v>
      </c>
      <c r="H1454" s="37" t="str">
        <f>_xlfn.XLOOKUP(C1454&amp;F1454&amp;I1454&amp;J1454,'[1]2025年已发货'!$F:$F&amp;'[1]2025年已发货'!$C:$C&amp;'[1]2025年已发货'!$G:$G&amp;'[1]2025年已发货'!$H:$H,'[1]2025年已发货'!$E:$E,"未发货")</f>
        <v>未发货</v>
      </c>
      <c r="I1454" s="41" t="str">
        <f>VLOOKUP(B1454,辅助信息!E:I,3,FALSE)</f>
        <v>（华西简阳西城嘉苑）四川省成都市简阳市简城街道高屋村</v>
      </c>
      <c r="J1454" s="41" t="str">
        <f>VLOOKUP(B1454,辅助信息!E:I,4,FALSE)</f>
        <v>张瀚镭</v>
      </c>
      <c r="K1454" s="41">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172</v>
      </c>
      <c r="Q1454" s="30" t="str">
        <f>VLOOKUP(B1454,辅助信息!E:M,9,FALSE)</f>
        <v>ZTWM-CDGS-XS-2024-0030-华西集采-简州大道</v>
      </c>
      <c r="R1454" s="30" t="str">
        <f>_xlfn._xlws.FILTER(辅助信息!D:D,辅助信息!E:E=B1454)</f>
        <v>华西简阳西城嘉苑</v>
      </c>
    </row>
    <row r="1455" hidden="1" spans="2:18">
      <c r="B1455" s="41" t="s">
        <v>81</v>
      </c>
      <c r="C1455" s="71">
        <v>45786</v>
      </c>
      <c r="D1455" s="41" t="str">
        <f>VLOOKUP(B1455,辅助信息!E:K,7,FALSE)</f>
        <v>JWDDCD2025060900080</v>
      </c>
      <c r="E1455" s="41" t="str">
        <f>VLOOKUP(F1455,辅助信息!A:B,2,FALSE)</f>
        <v>盘螺</v>
      </c>
      <c r="F1455" s="41" t="s">
        <v>41</v>
      </c>
      <c r="G1455" s="37">
        <v>68</v>
      </c>
      <c r="H1455" s="37" t="str">
        <f>_xlfn.XLOOKUP(C1455&amp;F1455&amp;I1455&amp;J1455,'[1]2025年已发货'!$F:$F&amp;'[1]2025年已发货'!$C:$C&amp;'[1]2025年已发货'!$G:$G&amp;'[1]2025年已发货'!$H:$H,'[1]2025年已发货'!$E:$E,"未发货")</f>
        <v>未发货</v>
      </c>
      <c r="I1455" s="41" t="str">
        <f>VLOOKUP(B1455,辅助信息!E:I,3,FALSE)</f>
        <v>（华西简阳西城嘉苑）四川省成都市简阳市简城街道高屋村</v>
      </c>
      <c r="J1455" s="41" t="str">
        <f>VLOOKUP(B1455,辅助信息!E:I,4,FALSE)</f>
        <v>张瀚镭</v>
      </c>
      <c r="K1455" s="41">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172</v>
      </c>
      <c r="Q1455" s="30" t="str">
        <f>VLOOKUP(B1455,辅助信息!E:M,9,FALSE)</f>
        <v>ZTWM-CDGS-XS-2024-0030-华西集采-简州大道</v>
      </c>
      <c r="R1455" s="30" t="str">
        <f>_xlfn._xlws.FILTER(辅助信息!D:D,辅助信息!E:E=B1455)</f>
        <v>华西简阳西城嘉苑</v>
      </c>
    </row>
    <row r="1456" hidden="1" spans="2:18">
      <c r="B1456" s="41" t="s">
        <v>81</v>
      </c>
      <c r="C1456" s="71">
        <v>45786</v>
      </c>
      <c r="D1456" s="41" t="str">
        <f>VLOOKUP(B1456,辅助信息!E:K,7,FALSE)</f>
        <v>JWDDCD2025060900080</v>
      </c>
      <c r="E1456" s="41" t="str">
        <f>VLOOKUP(F1456,辅助信息!A:B,2,FALSE)</f>
        <v>盘螺</v>
      </c>
      <c r="F1456" s="41" t="s">
        <v>26</v>
      </c>
      <c r="G1456" s="37">
        <v>5</v>
      </c>
      <c r="H1456" s="37" t="str">
        <f>_xlfn.XLOOKUP(C1456&amp;F1456&amp;I1456&amp;J1456,'[1]2025年已发货'!$F:$F&amp;'[1]2025年已发货'!$C:$C&amp;'[1]2025年已发货'!$G:$G&amp;'[1]2025年已发货'!$H:$H,'[1]2025年已发货'!$E:$E,"未发货")</f>
        <v>未发货</v>
      </c>
      <c r="I1456" s="41" t="str">
        <f>VLOOKUP(B1456,辅助信息!E:I,3,FALSE)</f>
        <v>（华西简阳西城嘉苑）四川省成都市简阳市简城街道高屋村</v>
      </c>
      <c r="J1456" s="41" t="str">
        <f>VLOOKUP(B1456,辅助信息!E:I,4,FALSE)</f>
        <v>张瀚镭</v>
      </c>
      <c r="K1456" s="41">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172</v>
      </c>
      <c r="Q1456" s="30" t="str">
        <f>VLOOKUP(B1456,辅助信息!E:M,9,FALSE)</f>
        <v>ZTWM-CDGS-XS-2024-0030-华西集采-简州大道</v>
      </c>
      <c r="R1456" s="30" t="str">
        <f>_xlfn._xlws.FILTER(辅助信息!D:D,辅助信息!E:E=B1456)</f>
        <v>华西简阳西城嘉苑</v>
      </c>
    </row>
    <row r="1457" hidden="1" spans="2:18">
      <c r="B1457" s="41" t="s">
        <v>81</v>
      </c>
      <c r="C1457" s="71">
        <v>45786</v>
      </c>
      <c r="D1457" s="41" t="str">
        <f>VLOOKUP(B1457,辅助信息!E:K,7,FALSE)</f>
        <v>JWDDCD2025060900080</v>
      </c>
      <c r="E1457" s="41" t="str">
        <f>VLOOKUP(F1457,辅助信息!A:B,2,FALSE)</f>
        <v>螺纹钢</v>
      </c>
      <c r="F1457" s="41" t="s">
        <v>32</v>
      </c>
      <c r="G1457" s="37">
        <v>10.5</v>
      </c>
      <c r="H1457" s="37" t="str">
        <f>_xlfn.XLOOKUP(C1457&amp;F1457&amp;I1457&amp;J1457,'[1]2025年已发货'!$F:$F&amp;'[1]2025年已发货'!$C:$C&amp;'[1]2025年已发货'!$G:$G&amp;'[1]2025年已发货'!$H:$H,'[1]2025年已发货'!$E:$E,"未发货")</f>
        <v>未发货</v>
      </c>
      <c r="I1457" s="41" t="str">
        <f>VLOOKUP(B1457,辅助信息!E:I,3,FALSE)</f>
        <v>（华西简阳西城嘉苑）四川省成都市简阳市简城街道高屋村</v>
      </c>
      <c r="J1457" s="41" t="str">
        <f>VLOOKUP(B1457,辅助信息!E:I,4,FALSE)</f>
        <v>张瀚镭</v>
      </c>
      <c r="K1457" s="41">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172</v>
      </c>
      <c r="Q1457" s="30" t="str">
        <f>VLOOKUP(B1457,辅助信息!E:M,9,FALSE)</f>
        <v>ZTWM-CDGS-XS-2024-0030-华西集采-简州大道</v>
      </c>
      <c r="R1457" s="30" t="str">
        <f>_xlfn._xlws.FILTER(辅助信息!D:D,辅助信息!E:E=B1457)</f>
        <v>华西简阳西城嘉苑</v>
      </c>
    </row>
    <row r="1458" hidden="1" spans="2:18">
      <c r="B1458" s="41" t="s">
        <v>81</v>
      </c>
      <c r="C1458" s="71">
        <v>45786</v>
      </c>
      <c r="D1458" s="41" t="str">
        <f>VLOOKUP(B1458,辅助信息!E:K,7,FALSE)</f>
        <v>JWDDCD2025060900080</v>
      </c>
      <c r="E1458" s="41" t="str">
        <f>VLOOKUP(F1458,辅助信息!A:B,2,FALSE)</f>
        <v>螺纹钢</v>
      </c>
      <c r="F1458" s="41" t="s">
        <v>30</v>
      </c>
      <c r="G1458" s="37">
        <v>4.5</v>
      </c>
      <c r="H1458" s="37" t="str">
        <f>_xlfn.XLOOKUP(C1458&amp;F1458&amp;I1458&amp;J1458,'[1]2025年已发货'!$F:$F&amp;'[1]2025年已发货'!$C:$C&amp;'[1]2025年已发货'!$G:$G&amp;'[1]2025年已发货'!$H:$H,'[1]2025年已发货'!$E:$E,"未发货")</f>
        <v>未发货</v>
      </c>
      <c r="I1458" s="41" t="str">
        <f>VLOOKUP(B1458,辅助信息!E:I,3,FALSE)</f>
        <v>（华西简阳西城嘉苑）四川省成都市简阳市简城街道高屋村</v>
      </c>
      <c r="J1458" s="41" t="str">
        <f>VLOOKUP(B1458,辅助信息!E:I,4,FALSE)</f>
        <v>张瀚镭</v>
      </c>
      <c r="K1458" s="41">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172</v>
      </c>
      <c r="Q1458" s="30" t="str">
        <f>VLOOKUP(B1458,辅助信息!E:M,9,FALSE)</f>
        <v>ZTWM-CDGS-XS-2024-0030-华西集采-简州大道</v>
      </c>
      <c r="R1458" s="30" t="str">
        <f>_xlfn._xlws.FILTER(辅助信息!D:D,辅助信息!E:E=B1458)</f>
        <v>华西简阳西城嘉苑</v>
      </c>
    </row>
    <row r="1459" hidden="1" spans="2:18">
      <c r="B1459" s="41" t="s">
        <v>81</v>
      </c>
      <c r="C1459" s="71">
        <v>45786</v>
      </c>
      <c r="D1459" s="41" t="str">
        <f>VLOOKUP(B1459,辅助信息!E:K,7,FALSE)</f>
        <v>JWDDCD2025060900080</v>
      </c>
      <c r="E1459" s="41" t="str">
        <f>VLOOKUP(F1459,辅助信息!A:B,2,FALSE)</f>
        <v>螺纹钢</v>
      </c>
      <c r="F1459" s="41" t="s">
        <v>33</v>
      </c>
      <c r="G1459" s="37">
        <v>16</v>
      </c>
      <c r="H1459" s="37" t="str">
        <f>_xlfn.XLOOKUP(C1459&amp;F1459&amp;I1459&amp;J1459,'[1]2025年已发货'!$F:$F&amp;'[1]2025年已发货'!$C:$C&amp;'[1]2025年已发货'!$G:$G&amp;'[1]2025年已发货'!$H:$H,'[1]2025年已发货'!$E:$E,"未发货")</f>
        <v>未发货</v>
      </c>
      <c r="I1459" s="41" t="str">
        <f>VLOOKUP(B1459,辅助信息!E:I,3,FALSE)</f>
        <v>（华西简阳西城嘉苑）四川省成都市简阳市简城街道高屋村</v>
      </c>
      <c r="J1459" s="41" t="str">
        <f>VLOOKUP(B1459,辅助信息!E:I,4,FALSE)</f>
        <v>张瀚镭</v>
      </c>
      <c r="K1459" s="41">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172</v>
      </c>
      <c r="Q1459" s="30" t="str">
        <f>VLOOKUP(B1459,辅助信息!E:M,9,FALSE)</f>
        <v>ZTWM-CDGS-XS-2024-0030-华西集采-简州大道</v>
      </c>
      <c r="R1459" s="30" t="str">
        <f>_xlfn._xlws.FILTER(辅助信息!D:D,辅助信息!E:E=B1459)</f>
        <v>华西简阳西城嘉苑</v>
      </c>
    </row>
    <row r="1460" hidden="1" spans="2:18">
      <c r="B1460" s="41" t="s">
        <v>81</v>
      </c>
      <c r="C1460" s="71">
        <v>45786</v>
      </c>
      <c r="D1460" s="41" t="str">
        <f>VLOOKUP(B1460,辅助信息!E:K,7,FALSE)</f>
        <v>JWDDCD2025060900080</v>
      </c>
      <c r="E1460" s="41" t="str">
        <f>VLOOKUP(F1460,辅助信息!A:B,2,FALSE)</f>
        <v>螺纹钢</v>
      </c>
      <c r="F1460" s="41" t="s">
        <v>28</v>
      </c>
      <c r="G1460" s="37">
        <v>5</v>
      </c>
      <c r="H1460" s="37" t="str">
        <f>_xlfn.XLOOKUP(C1460&amp;F1460&amp;I1460&amp;J1460,'[1]2025年已发货'!$F:$F&amp;'[1]2025年已发货'!$C:$C&amp;'[1]2025年已发货'!$G:$G&amp;'[1]2025年已发货'!$H:$H,'[1]2025年已发货'!$E:$E,"未发货")</f>
        <v>未发货</v>
      </c>
      <c r="I1460" s="41" t="str">
        <f>VLOOKUP(B1460,辅助信息!E:I,3,FALSE)</f>
        <v>（华西简阳西城嘉苑）四川省成都市简阳市简城街道高屋村</v>
      </c>
      <c r="J1460" s="41" t="str">
        <f>VLOOKUP(B1460,辅助信息!E:I,4,FALSE)</f>
        <v>张瀚镭</v>
      </c>
      <c r="K1460" s="41">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172</v>
      </c>
      <c r="Q1460" s="30" t="str">
        <f>VLOOKUP(B1460,辅助信息!E:M,9,FALSE)</f>
        <v>ZTWM-CDGS-XS-2024-0030-华西集采-简州大道</v>
      </c>
      <c r="R1460" s="30" t="str">
        <f>_xlfn._xlws.FILTER(辅助信息!D:D,辅助信息!E:E=B1460)</f>
        <v>华西简阳西城嘉苑</v>
      </c>
    </row>
    <row r="1461" hidden="1" spans="2:18">
      <c r="B1461" s="41" t="s">
        <v>81</v>
      </c>
      <c r="C1461" s="71">
        <v>45786</v>
      </c>
      <c r="D1461" s="41" t="str">
        <f>VLOOKUP(B1461,辅助信息!E:K,7,FALSE)</f>
        <v>JWDDCD2025060900080</v>
      </c>
      <c r="E1461" s="41" t="str">
        <f>VLOOKUP(F1461,辅助信息!A:B,2,FALSE)</f>
        <v>螺纹钢</v>
      </c>
      <c r="F1461" s="41" t="s">
        <v>46</v>
      </c>
      <c r="G1461" s="37">
        <v>6</v>
      </c>
      <c r="H1461" s="37" t="str">
        <f>_xlfn.XLOOKUP(C1461&amp;F1461&amp;I1461&amp;J1461,'[1]2025年已发货'!$F:$F&amp;'[1]2025年已发货'!$C:$C&amp;'[1]2025年已发货'!$G:$G&amp;'[1]2025年已发货'!$H:$H,'[1]2025年已发货'!$E:$E,"未发货")</f>
        <v>未发货</v>
      </c>
      <c r="I1461" s="41" t="str">
        <f>VLOOKUP(B1461,辅助信息!E:I,3,FALSE)</f>
        <v>（华西简阳西城嘉苑）四川省成都市简阳市简城街道高屋村</v>
      </c>
      <c r="J1461" s="41" t="str">
        <f>VLOOKUP(B1461,辅助信息!E:I,4,FALSE)</f>
        <v>张瀚镭</v>
      </c>
      <c r="K1461" s="41">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172</v>
      </c>
      <c r="Q1461" s="30" t="str">
        <f>VLOOKUP(B1461,辅助信息!E:M,9,FALSE)</f>
        <v>ZTWM-CDGS-XS-2024-0030-华西集采-简州大道</v>
      </c>
      <c r="R1461" s="30" t="str">
        <f>_xlfn._xlws.FILTER(辅助信息!D:D,辅助信息!E:E=B1461)</f>
        <v>华西简阳西城嘉苑</v>
      </c>
    </row>
    <row r="1462" hidden="1" spans="2:18">
      <c r="B1462" s="41" t="s">
        <v>31</v>
      </c>
      <c r="C1462" s="71">
        <v>45786</v>
      </c>
      <c r="D1462" s="41" t="str">
        <f>VLOOKUP(B1462,辅助信息!E:K,7,FALSE)</f>
        <v>JWDDCD2024121000136</v>
      </c>
      <c r="E1462" s="41" t="str">
        <f>VLOOKUP(F1462,辅助信息!A:B,2,FALSE)</f>
        <v>螺纹钢</v>
      </c>
      <c r="F1462" s="41" t="s">
        <v>22</v>
      </c>
      <c r="G1462" s="37">
        <v>35</v>
      </c>
      <c r="H1462" s="37">
        <f>_xlfn.XLOOKUP(C1462&amp;F1462&amp;I1462&amp;J1462,'[1]2025年已发货'!$F:$F&amp;'[1]2025年已发货'!$C:$C&amp;'[1]2025年已发货'!$G:$G&amp;'[1]2025年已发货'!$H:$H,'[1]2025年已发货'!$E:$E,"未发货")</f>
        <v>35</v>
      </c>
      <c r="I1462" s="41" t="str">
        <f>VLOOKUP(B1462,辅助信息!E:I,3,FALSE)</f>
        <v>（四川商建-射洪城乡一体化项目）遂宁市射洪市忠新幼儿园北侧约220米新溪小区</v>
      </c>
      <c r="J1462" s="41" t="str">
        <f>VLOOKUP(B1462,辅助信息!E:I,4,FALSE)</f>
        <v>柏子刚</v>
      </c>
      <c r="K1462" s="41">
        <f>VLOOKUP(J1462,辅助信息!H:I,2,FALSE)</f>
        <v>15692885305</v>
      </c>
      <c r="L1462" s="110" t="str">
        <f>VLOOKUP(B1462,辅助信息!E:J,6,FALSE)</f>
        <v>提前联系到场规格及数量</v>
      </c>
      <c r="M1462" s="92">
        <v>45787</v>
      </c>
      <c r="O1462" s="63">
        <f ca="1" t="shared" si="72"/>
        <v>0</v>
      </c>
      <c r="P1462" s="63">
        <f ca="1" t="shared" si="70"/>
        <v>172</v>
      </c>
      <c r="Q1462" s="30" t="str">
        <f>VLOOKUP(B1462,辅助信息!E:M,9,FALSE)</f>
        <v>ZTWM-CDGS-XS-2024-0179-四川商投-射洪城乡一体化建设项目</v>
      </c>
      <c r="R1462" s="30" t="str">
        <f>_xlfn._xlws.FILTER(辅助信息!D:D,辅助信息!E:E=B1462)</f>
        <v>四川商建
射洪城乡一体化项目</v>
      </c>
    </row>
    <row r="1463" hidden="1" spans="1:18">
      <c r="A1463" s="72" t="s">
        <v>149</v>
      </c>
      <c r="B1463" s="41" t="s">
        <v>68</v>
      </c>
      <c r="C1463" s="71">
        <v>45786</v>
      </c>
      <c r="D1463" s="41" t="str">
        <f>VLOOKUP(B1463,辅助信息!E:K,7,FALSE)</f>
        <v>JWDDCD2025052800131</v>
      </c>
      <c r="E1463" s="41" t="str">
        <f>VLOOKUP(F1463,辅助信息!A:B,2,FALSE)</f>
        <v>盘螺</v>
      </c>
      <c r="F1463" s="41" t="s">
        <v>40</v>
      </c>
      <c r="G1463" s="37">
        <v>8</v>
      </c>
      <c r="H1463" s="37">
        <f>_xlfn.XLOOKUP(C1463&amp;F1463&amp;I1463&amp;J1463,'[1]2025年已发货'!$F:$F&amp;'[1]2025年已发货'!$C:$C&amp;'[1]2025年已发货'!$G:$G&amp;'[1]2025年已发货'!$H:$H,'[1]2025年已发货'!$E:$E,"未发货")</f>
        <v>8</v>
      </c>
      <c r="I1463" s="41" t="str">
        <f>VLOOKUP(B1463,辅助信息!E:I,3,FALSE)</f>
        <v>（商投建工达州中医药科技园-2工区-景观桥）达州市通川区达州中医药职业学院犀牛大道北段</v>
      </c>
      <c r="J1463" s="41" t="str">
        <f>VLOOKUP(B1463,辅助信息!E:I,4,FALSE)</f>
        <v>李波</v>
      </c>
      <c r="K1463" s="41">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172</v>
      </c>
      <c r="Q1463" s="30" t="str">
        <f>VLOOKUP(B1463,辅助信息!E:M,9,FALSE)</f>
        <v>ZTWM-CDGS-XS-2024-0134-商投建工达州中医药科技成果示范园项目</v>
      </c>
      <c r="R1463" s="30" t="str">
        <f>_xlfn._xlws.FILTER(辅助信息!D:D,辅助信息!E:E=B1463)</f>
        <v>商投建工达州中医药科技园</v>
      </c>
    </row>
    <row r="1464" hidden="1" spans="1:18">
      <c r="A1464" s="72"/>
      <c r="B1464" s="41" t="s">
        <v>68</v>
      </c>
      <c r="C1464" s="71">
        <v>45786</v>
      </c>
      <c r="D1464" s="41" t="str">
        <f>VLOOKUP(B1464,辅助信息!E:K,7,FALSE)</f>
        <v>JWDDCD2025052800131</v>
      </c>
      <c r="E1464" s="41" t="str">
        <f>VLOOKUP(F1464,辅助信息!A:B,2,FALSE)</f>
        <v>螺纹钢</v>
      </c>
      <c r="F1464" s="41" t="s">
        <v>27</v>
      </c>
      <c r="G1464" s="37">
        <v>3</v>
      </c>
      <c r="H1464" s="37">
        <f>_xlfn.XLOOKUP(C1464&amp;F1464&amp;I1464&amp;J1464,'[1]2025年已发货'!$F:$F&amp;'[1]2025年已发货'!$C:$C&amp;'[1]2025年已发货'!$G:$G&amp;'[1]2025年已发货'!$H:$H,'[1]2025年已发货'!$E:$E,"未发货")</f>
        <v>3</v>
      </c>
      <c r="I1464" s="41" t="str">
        <f>VLOOKUP(B1464,辅助信息!E:I,3,FALSE)</f>
        <v>（商投建工达州中医药科技园-2工区-景观桥）达州市通川区达州中医药职业学院犀牛大道北段</v>
      </c>
      <c r="J1464" s="41" t="str">
        <f>VLOOKUP(B1464,辅助信息!E:I,4,FALSE)</f>
        <v>李波</v>
      </c>
      <c r="K1464" s="41">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172</v>
      </c>
      <c r="Q1464" s="30" t="str">
        <f>VLOOKUP(B1464,辅助信息!E:M,9,FALSE)</f>
        <v>ZTWM-CDGS-XS-2024-0134-商投建工达州中医药科技成果示范园项目</v>
      </c>
      <c r="R1464" s="30" t="str">
        <f>_xlfn._xlws.FILTER(辅助信息!D:D,辅助信息!E:E=B1464)</f>
        <v>商投建工达州中医药科技园</v>
      </c>
    </row>
    <row r="1465" hidden="1" spans="1:18">
      <c r="A1465" s="72"/>
      <c r="B1465" s="41" t="s">
        <v>68</v>
      </c>
      <c r="C1465" s="71">
        <v>45786</v>
      </c>
      <c r="D1465" s="41" t="str">
        <f>VLOOKUP(B1465,辅助信息!E:K,7,FALSE)</f>
        <v>JWDDCD2025052800131</v>
      </c>
      <c r="E1465" s="41" t="str">
        <f>VLOOKUP(F1465,辅助信息!A:B,2,FALSE)</f>
        <v>螺纹钢</v>
      </c>
      <c r="F1465" s="41" t="s">
        <v>19</v>
      </c>
      <c r="G1465" s="37">
        <v>10</v>
      </c>
      <c r="H1465" s="37">
        <f>_xlfn.XLOOKUP(C1465&amp;F1465&amp;I1465&amp;J1465,'[1]2025年已发货'!$F:$F&amp;'[1]2025年已发货'!$C:$C&amp;'[1]2025年已发货'!$G:$G&amp;'[1]2025年已发货'!$H:$H,'[1]2025年已发货'!$E:$E,"未发货")</f>
        <v>10</v>
      </c>
      <c r="I1465" s="41" t="str">
        <f>VLOOKUP(B1465,辅助信息!E:I,3,FALSE)</f>
        <v>（商投建工达州中医药科技园-2工区-景观桥）达州市通川区达州中医药职业学院犀牛大道北段</v>
      </c>
      <c r="J1465" s="41" t="str">
        <f>VLOOKUP(B1465,辅助信息!E:I,4,FALSE)</f>
        <v>李波</v>
      </c>
      <c r="K1465" s="41">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172</v>
      </c>
      <c r="Q1465" s="30" t="str">
        <f>VLOOKUP(B1465,辅助信息!E:M,9,FALSE)</f>
        <v>ZTWM-CDGS-XS-2024-0134-商投建工达州中医药科技成果示范园项目</v>
      </c>
      <c r="R1465" s="30" t="str">
        <f>_xlfn._xlws.FILTER(辅助信息!D:D,辅助信息!E:E=B1465)</f>
        <v>商投建工达州中医药科技园</v>
      </c>
    </row>
    <row r="1466" hidden="1" spans="1:18">
      <c r="A1466" s="72"/>
      <c r="B1466" s="41" t="s">
        <v>68</v>
      </c>
      <c r="C1466" s="71">
        <v>45786</v>
      </c>
      <c r="D1466" s="41" t="str">
        <f>VLOOKUP(B1466,辅助信息!E:K,7,FALSE)</f>
        <v>JWDDCD2025052800131</v>
      </c>
      <c r="E1466" s="41" t="str">
        <f>VLOOKUP(F1466,辅助信息!A:B,2,FALSE)</f>
        <v>螺纹钢</v>
      </c>
      <c r="F1466" s="41" t="s">
        <v>33</v>
      </c>
      <c r="G1466" s="37">
        <v>60</v>
      </c>
      <c r="H1466" s="37">
        <f>_xlfn.XLOOKUP(C1466&amp;F1466&amp;I1466&amp;J1466,'[1]2025年已发货'!$F:$F&amp;'[1]2025年已发货'!$C:$C&amp;'[1]2025年已发货'!$G:$G&amp;'[1]2025年已发货'!$H:$H,'[1]2025年已发货'!$E:$E,"未发货")</f>
        <v>50</v>
      </c>
      <c r="I1466" s="41" t="str">
        <f>VLOOKUP(B1466,辅助信息!E:I,3,FALSE)</f>
        <v>（商投建工达州中医药科技园-2工区-景观桥）达州市通川区达州中医药职业学院犀牛大道北段</v>
      </c>
      <c r="J1466" s="41" t="str">
        <f>VLOOKUP(B1466,辅助信息!E:I,4,FALSE)</f>
        <v>李波</v>
      </c>
      <c r="K1466" s="41">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172</v>
      </c>
      <c r="Q1466" s="30" t="str">
        <f>VLOOKUP(B1466,辅助信息!E:M,9,FALSE)</f>
        <v>ZTWM-CDGS-XS-2024-0134-商投建工达州中医药科技成果示范园项目</v>
      </c>
      <c r="R1466" s="30" t="str">
        <f>_xlfn._xlws.FILTER(辅助信息!D:D,辅助信息!E:E=B1466)</f>
        <v>商投建工达州中医药科技园</v>
      </c>
    </row>
    <row r="1467" hidden="1" spans="2:18">
      <c r="B1467" s="41" t="s">
        <v>56</v>
      </c>
      <c r="C1467" s="71">
        <v>45786</v>
      </c>
      <c r="D1467" s="41" t="str">
        <f>VLOOKUP(B1467,辅助信息!E:K,7,FALSE)</f>
        <v>JWDDCD2025052800131</v>
      </c>
      <c r="E1467" s="41" t="str">
        <f>VLOOKUP(F1467,辅助信息!A:B,2,FALSE)</f>
        <v>盘螺</v>
      </c>
      <c r="F1467" s="41" t="s">
        <v>40</v>
      </c>
      <c r="G1467" s="37">
        <v>45</v>
      </c>
      <c r="H1467" s="37">
        <f>_xlfn.XLOOKUP(C1467&amp;F1467&amp;I1467&amp;J1467,'[1]2025年已发货'!$F:$F&amp;'[1]2025年已发货'!$C:$C&amp;'[1]2025年已发货'!$G:$G&amp;'[1]2025年已发货'!$H:$H,'[1]2025年已发货'!$E:$E,"未发货")</f>
        <v>45</v>
      </c>
      <c r="I1467" s="41" t="str">
        <f>VLOOKUP(B1467,辅助信息!E:I,3,FALSE)</f>
        <v>（商投建工达州中医药科技园-4工区-7号楼）达州市通川区达州中医药职业学院犀牛大道北段</v>
      </c>
      <c r="J1467" s="41" t="str">
        <f>VLOOKUP(B1467,辅助信息!E:I,4,FALSE)</f>
        <v>张扬</v>
      </c>
      <c r="K1467" s="41">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172</v>
      </c>
      <c r="Q1467" s="30" t="str">
        <f>VLOOKUP(B1467,辅助信息!E:M,9,FALSE)</f>
        <v>ZTWM-CDGS-XS-2024-0134-商投建工达州中医药科技成果示范园项目</v>
      </c>
      <c r="R1467" s="30" t="str">
        <f>_xlfn._xlws.FILTER(辅助信息!D:D,辅助信息!E:E=B1467)</f>
        <v>商投建工达州中医药科技园</v>
      </c>
    </row>
    <row r="1468" hidden="1" spans="2:18">
      <c r="B1468" s="41" t="s">
        <v>56</v>
      </c>
      <c r="C1468" s="71">
        <v>45786</v>
      </c>
      <c r="D1468" s="41" t="str">
        <f>VLOOKUP(B1468,辅助信息!E:K,7,FALSE)</f>
        <v>JWDDCD2025052800131</v>
      </c>
      <c r="E1468" s="41" t="str">
        <f>VLOOKUP(F1468,辅助信息!A:B,2,FALSE)</f>
        <v>螺纹钢</v>
      </c>
      <c r="F1468" s="41" t="s">
        <v>66</v>
      </c>
      <c r="G1468" s="37">
        <v>15</v>
      </c>
      <c r="H1468" s="37" t="str">
        <f>_xlfn.XLOOKUP(C1468&amp;F1468&amp;I1468&amp;J1468,'[1]2025年已发货'!$F:$F&amp;'[1]2025年已发货'!$C:$C&amp;'[1]2025年已发货'!$G:$G&amp;'[1]2025年已发货'!$H:$H,'[1]2025年已发货'!$E:$E,"未发货")</f>
        <v>未发货</v>
      </c>
      <c r="I1468" s="41" t="str">
        <f>VLOOKUP(B1468,辅助信息!E:I,3,FALSE)</f>
        <v>（商投建工达州中医药科技园-4工区-7号楼）达州市通川区达州中医药职业学院犀牛大道北段</v>
      </c>
      <c r="J1468" s="41" t="str">
        <f>VLOOKUP(B1468,辅助信息!E:I,4,FALSE)</f>
        <v>张扬</v>
      </c>
      <c r="K1468" s="41">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172</v>
      </c>
      <c r="Q1468" s="30" t="str">
        <f>VLOOKUP(B1468,辅助信息!E:M,9,FALSE)</f>
        <v>ZTWM-CDGS-XS-2024-0134-商投建工达州中医药科技成果示范园项目</v>
      </c>
      <c r="R1468" s="30" t="str">
        <f>_xlfn._xlws.FILTER(辅助信息!D:D,辅助信息!E:E=B1468)</f>
        <v>商投建工达州中医药科技园</v>
      </c>
    </row>
    <row r="1469" hidden="1" spans="2:18">
      <c r="B1469" s="41" t="s">
        <v>56</v>
      </c>
      <c r="C1469" s="71">
        <v>45786</v>
      </c>
      <c r="D1469" s="41" t="str">
        <f>VLOOKUP(B1469,辅助信息!E:K,7,FALSE)</f>
        <v>JWDDCD2025052800131</v>
      </c>
      <c r="E1469" s="41" t="str">
        <f>VLOOKUP(F1469,辅助信息!A:B,2,FALSE)</f>
        <v>螺纹钢</v>
      </c>
      <c r="F1469" s="41" t="s">
        <v>22</v>
      </c>
      <c r="G1469" s="37">
        <v>21</v>
      </c>
      <c r="H1469" s="37" t="str">
        <f>_xlfn.XLOOKUP(C1469&amp;F1469&amp;I1469&amp;J1469,'[1]2025年已发货'!$F:$F&amp;'[1]2025年已发货'!$C:$C&amp;'[1]2025年已发货'!$G:$G&amp;'[1]2025年已发货'!$H:$H,'[1]2025年已发货'!$E:$E,"未发货")</f>
        <v>未发货</v>
      </c>
      <c r="I1469" s="41" t="str">
        <f>VLOOKUP(B1469,辅助信息!E:I,3,FALSE)</f>
        <v>（商投建工达州中医药科技园-4工区-7号楼）达州市通川区达州中医药职业学院犀牛大道北段</v>
      </c>
      <c r="J1469" s="41" t="str">
        <f>VLOOKUP(B1469,辅助信息!E:I,4,FALSE)</f>
        <v>张扬</v>
      </c>
      <c r="K1469" s="41">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172</v>
      </c>
      <c r="Q1469" s="30" t="str">
        <f>VLOOKUP(B1469,辅助信息!E:M,9,FALSE)</f>
        <v>ZTWM-CDGS-XS-2024-0134-商投建工达州中医药科技成果示范园项目</v>
      </c>
      <c r="R1469" s="30" t="str">
        <f>_xlfn._xlws.FILTER(辅助信息!D:D,辅助信息!E:E=B1469)</f>
        <v>商投建工达州中医药科技园</v>
      </c>
    </row>
    <row r="1470" hidden="1" spans="2:18">
      <c r="B1470" s="41" t="s">
        <v>81</v>
      </c>
      <c r="C1470" s="71">
        <v>45786</v>
      </c>
      <c r="D1470" s="41" t="str">
        <f>VLOOKUP(B1470,辅助信息!E:K,7,FALSE)</f>
        <v>JWDDCD2025060900080</v>
      </c>
      <c r="E1470" s="41" t="str">
        <f>VLOOKUP(F1470,辅助信息!A:B,2,FALSE)</f>
        <v>高线</v>
      </c>
      <c r="F1470" s="41" t="s">
        <v>53</v>
      </c>
      <c r="G1470" s="37">
        <v>2</v>
      </c>
      <c r="H1470" s="37" t="str">
        <f>_xlfn.XLOOKUP(C1470&amp;F1470&amp;I1470&amp;J1470,'[1]2025年已发货'!$F:$F&amp;'[1]2025年已发货'!$C:$C&amp;'[1]2025年已发货'!$G:$G&amp;'[1]2025年已发货'!$H:$H,'[1]2025年已发货'!$E:$E,"未发货")</f>
        <v>未发货</v>
      </c>
      <c r="I1470" s="41" t="str">
        <f>VLOOKUP(B1470,辅助信息!E:I,3,FALSE)</f>
        <v>（华西简阳西城嘉苑）四川省成都市简阳市简城街道高屋村</v>
      </c>
      <c r="J1470" s="41" t="str">
        <f>VLOOKUP(B1470,辅助信息!E:I,4,FALSE)</f>
        <v>张瀚镭</v>
      </c>
      <c r="K1470" s="41">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172</v>
      </c>
      <c r="Q1470" s="30" t="str">
        <f>VLOOKUP(B1470,辅助信息!E:M,9,FALSE)</f>
        <v>ZTWM-CDGS-XS-2024-0030-华西集采-简州大道</v>
      </c>
      <c r="R1470" s="30" t="str">
        <f>_xlfn._xlws.FILTER(辅助信息!D:D,辅助信息!E:E=B1470)</f>
        <v>华西简阳西城嘉苑</v>
      </c>
    </row>
    <row r="1471" hidden="1" spans="2:18">
      <c r="B1471" s="41" t="s">
        <v>81</v>
      </c>
      <c r="C1471" s="71">
        <v>45786</v>
      </c>
      <c r="D1471" s="41" t="str">
        <f>VLOOKUP(B1471,辅助信息!E:K,7,FALSE)</f>
        <v>JWDDCD2025060900080</v>
      </c>
      <c r="E1471" s="41" t="str">
        <f>VLOOKUP(F1471,辅助信息!A:B,2,FALSE)</f>
        <v>盘螺</v>
      </c>
      <c r="F1471" s="41" t="s">
        <v>41</v>
      </c>
      <c r="G1471" s="37">
        <v>66.5</v>
      </c>
      <c r="H1471" s="37" t="str">
        <f>_xlfn.XLOOKUP(C1471&amp;F1471&amp;I1471&amp;J1471,'[1]2025年已发货'!$F:$F&amp;'[1]2025年已发货'!$C:$C&amp;'[1]2025年已发货'!$G:$G&amp;'[1]2025年已发货'!$H:$H,'[1]2025年已发货'!$E:$E,"未发货")</f>
        <v>未发货</v>
      </c>
      <c r="I1471" s="41" t="str">
        <f>VLOOKUP(B1471,辅助信息!E:I,3,FALSE)</f>
        <v>（华西简阳西城嘉苑）四川省成都市简阳市简城街道高屋村</v>
      </c>
      <c r="J1471" s="41" t="str">
        <f>VLOOKUP(B1471,辅助信息!E:I,4,FALSE)</f>
        <v>张瀚镭</v>
      </c>
      <c r="K1471" s="41">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172</v>
      </c>
      <c r="Q1471" s="30" t="str">
        <f>VLOOKUP(B1471,辅助信息!E:M,9,FALSE)</f>
        <v>ZTWM-CDGS-XS-2024-0030-华西集采-简州大道</v>
      </c>
      <c r="R1471" s="30" t="str">
        <f>_xlfn._xlws.FILTER(辅助信息!D:D,辅助信息!E:E=B1471)</f>
        <v>华西简阳西城嘉苑</v>
      </c>
    </row>
    <row r="1472" hidden="1" spans="2:18">
      <c r="B1472" s="41" t="s">
        <v>81</v>
      </c>
      <c r="C1472" s="71">
        <v>45786</v>
      </c>
      <c r="D1472" s="41" t="str">
        <f>VLOOKUP(B1472,辅助信息!E:K,7,FALSE)</f>
        <v>JWDDCD2025060900080</v>
      </c>
      <c r="E1472" s="41" t="str">
        <f>VLOOKUP(F1472,辅助信息!A:B,2,FALSE)</f>
        <v>盘螺</v>
      </c>
      <c r="F1472" s="41" t="s">
        <v>26</v>
      </c>
      <c r="G1472" s="37">
        <v>52</v>
      </c>
      <c r="H1472" s="37" t="str">
        <f>_xlfn.XLOOKUP(C1472&amp;F1472&amp;I1472&amp;J1472,'[1]2025年已发货'!$F:$F&amp;'[1]2025年已发货'!$C:$C&amp;'[1]2025年已发货'!$G:$G&amp;'[1]2025年已发货'!$H:$H,'[1]2025年已发货'!$E:$E,"未发货")</f>
        <v>未发货</v>
      </c>
      <c r="I1472" s="41" t="str">
        <f>VLOOKUP(B1472,辅助信息!E:I,3,FALSE)</f>
        <v>（华西简阳西城嘉苑）四川省成都市简阳市简城街道高屋村</v>
      </c>
      <c r="J1472" s="41" t="str">
        <f>VLOOKUP(B1472,辅助信息!E:I,4,FALSE)</f>
        <v>张瀚镭</v>
      </c>
      <c r="K1472" s="41">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172</v>
      </c>
      <c r="Q1472" s="30" t="str">
        <f>VLOOKUP(B1472,辅助信息!E:M,9,FALSE)</f>
        <v>ZTWM-CDGS-XS-2024-0030-华西集采-简州大道</v>
      </c>
      <c r="R1472" s="30" t="str">
        <f>_xlfn._xlws.FILTER(辅助信息!D:D,辅助信息!E:E=B1472)</f>
        <v>华西简阳西城嘉苑</v>
      </c>
    </row>
    <row r="1473" hidden="1" spans="2:18">
      <c r="B1473" s="41" t="s">
        <v>81</v>
      </c>
      <c r="C1473" s="71">
        <v>45786</v>
      </c>
      <c r="D1473" s="41" t="str">
        <f>VLOOKUP(B1473,辅助信息!E:K,7,FALSE)</f>
        <v>JWDDCD2025060900080</v>
      </c>
      <c r="E1473" s="41" t="str">
        <f>VLOOKUP(F1473,辅助信息!A:B,2,FALSE)</f>
        <v>螺纹钢</v>
      </c>
      <c r="F1473" s="41" t="s">
        <v>19</v>
      </c>
      <c r="G1473" s="37">
        <v>14</v>
      </c>
      <c r="H1473" s="37" t="str">
        <f>_xlfn.XLOOKUP(C1473&amp;F1473&amp;I1473&amp;J1473,'[1]2025年已发货'!$F:$F&amp;'[1]2025年已发货'!$C:$C&amp;'[1]2025年已发货'!$G:$G&amp;'[1]2025年已发货'!$H:$H,'[1]2025年已发货'!$E:$E,"未发货")</f>
        <v>未发货</v>
      </c>
      <c r="I1473" s="41" t="str">
        <f>VLOOKUP(B1473,辅助信息!E:I,3,FALSE)</f>
        <v>（华西简阳西城嘉苑）四川省成都市简阳市简城街道高屋村</v>
      </c>
      <c r="J1473" s="41" t="str">
        <f>VLOOKUP(B1473,辅助信息!E:I,4,FALSE)</f>
        <v>张瀚镭</v>
      </c>
      <c r="K1473" s="41">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172</v>
      </c>
      <c r="Q1473" s="30" t="str">
        <f>VLOOKUP(B1473,辅助信息!E:M,9,FALSE)</f>
        <v>ZTWM-CDGS-XS-2024-0030-华西集采-简州大道</v>
      </c>
      <c r="R1473" s="30" t="str">
        <f>_xlfn._xlws.FILTER(辅助信息!D:D,辅助信息!E:E=B1473)</f>
        <v>华西简阳西城嘉苑</v>
      </c>
    </row>
    <row r="1474" hidden="1" spans="2:18">
      <c r="B1474" s="41" t="s">
        <v>81</v>
      </c>
      <c r="C1474" s="71">
        <v>45786</v>
      </c>
      <c r="D1474" s="41" t="str">
        <f>VLOOKUP(B1474,辅助信息!E:K,7,FALSE)</f>
        <v>JWDDCD2025060900080</v>
      </c>
      <c r="E1474" s="41" t="str">
        <f>VLOOKUP(F1474,辅助信息!A:B,2,FALSE)</f>
        <v>螺纹钢</v>
      </c>
      <c r="F1474" s="41" t="s">
        <v>32</v>
      </c>
      <c r="G1474" s="37">
        <v>48</v>
      </c>
      <c r="H1474" s="37" t="str">
        <f>_xlfn.XLOOKUP(C1474&amp;F1474&amp;I1474&amp;J1474,'[1]2025年已发货'!$F:$F&amp;'[1]2025年已发货'!$C:$C&amp;'[1]2025年已发货'!$G:$G&amp;'[1]2025年已发货'!$H:$H,'[1]2025年已发货'!$E:$E,"未发货")</f>
        <v>未发货</v>
      </c>
      <c r="I1474" s="41" t="str">
        <f>VLOOKUP(B1474,辅助信息!E:I,3,FALSE)</f>
        <v>（华西简阳西城嘉苑）四川省成都市简阳市简城街道高屋村</v>
      </c>
      <c r="J1474" s="41" t="str">
        <f>VLOOKUP(B1474,辅助信息!E:I,4,FALSE)</f>
        <v>张瀚镭</v>
      </c>
      <c r="K1474" s="41">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172</v>
      </c>
      <c r="Q1474" s="30" t="str">
        <f>VLOOKUP(B1474,辅助信息!E:M,9,FALSE)</f>
        <v>ZTWM-CDGS-XS-2024-0030-华西集采-简州大道</v>
      </c>
      <c r="R1474" s="30" t="str">
        <f>_xlfn._xlws.FILTER(辅助信息!D:D,辅助信息!E:E=B1474)</f>
        <v>华西简阳西城嘉苑</v>
      </c>
    </row>
    <row r="1475" hidden="1" spans="2:18">
      <c r="B1475" s="41" t="s">
        <v>81</v>
      </c>
      <c r="C1475" s="71">
        <v>45786</v>
      </c>
      <c r="D1475" s="41" t="str">
        <f>VLOOKUP(B1475,辅助信息!E:K,7,FALSE)</f>
        <v>JWDDCD2025060900080</v>
      </c>
      <c r="E1475" s="41" t="str">
        <f>VLOOKUP(F1475,辅助信息!A:B,2,FALSE)</f>
        <v>螺纹钢</v>
      </c>
      <c r="F1475" s="41" t="s">
        <v>30</v>
      </c>
      <c r="G1475" s="37">
        <v>4.5</v>
      </c>
      <c r="H1475" s="37" t="str">
        <f>_xlfn.XLOOKUP(C1475&amp;F1475&amp;I1475&amp;J1475,'[1]2025年已发货'!$F:$F&amp;'[1]2025年已发货'!$C:$C&amp;'[1]2025年已发货'!$G:$G&amp;'[1]2025年已发货'!$H:$H,'[1]2025年已发货'!$E:$E,"未发货")</f>
        <v>未发货</v>
      </c>
      <c r="I1475" s="41" t="str">
        <f>VLOOKUP(B1475,辅助信息!E:I,3,FALSE)</f>
        <v>（华西简阳西城嘉苑）四川省成都市简阳市简城街道高屋村</v>
      </c>
      <c r="J1475" s="41" t="str">
        <f>VLOOKUP(B1475,辅助信息!E:I,4,FALSE)</f>
        <v>张瀚镭</v>
      </c>
      <c r="K1475" s="41">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172</v>
      </c>
      <c r="Q1475" s="30" t="str">
        <f>VLOOKUP(B1475,辅助信息!E:M,9,FALSE)</f>
        <v>ZTWM-CDGS-XS-2024-0030-华西集采-简州大道</v>
      </c>
      <c r="R1475" s="30" t="str">
        <f>_xlfn._xlws.FILTER(辅助信息!D:D,辅助信息!E:E=B1475)</f>
        <v>华西简阳西城嘉苑</v>
      </c>
    </row>
    <row r="1476" hidden="1" spans="2:18">
      <c r="B1476" s="41" t="s">
        <v>81</v>
      </c>
      <c r="C1476" s="71">
        <v>45786</v>
      </c>
      <c r="D1476" s="41" t="str">
        <f>VLOOKUP(B1476,辅助信息!E:K,7,FALSE)</f>
        <v>JWDDCD2025060900080</v>
      </c>
      <c r="E1476" s="41" t="str">
        <f>VLOOKUP(F1476,辅助信息!A:B,2,FALSE)</f>
        <v>螺纹钢</v>
      </c>
      <c r="F1476" s="41" t="s">
        <v>33</v>
      </c>
      <c r="G1476" s="37">
        <v>9.5</v>
      </c>
      <c r="H1476" s="37" t="str">
        <f>_xlfn.XLOOKUP(C1476&amp;F1476&amp;I1476&amp;J1476,'[1]2025年已发货'!$F:$F&amp;'[1]2025年已发货'!$C:$C&amp;'[1]2025年已发货'!$G:$G&amp;'[1]2025年已发货'!$H:$H,'[1]2025年已发货'!$E:$E,"未发货")</f>
        <v>未发货</v>
      </c>
      <c r="I1476" s="41" t="str">
        <f>VLOOKUP(B1476,辅助信息!E:I,3,FALSE)</f>
        <v>（华西简阳西城嘉苑）四川省成都市简阳市简城街道高屋村</v>
      </c>
      <c r="J1476" s="41" t="str">
        <f>VLOOKUP(B1476,辅助信息!E:I,4,FALSE)</f>
        <v>张瀚镭</v>
      </c>
      <c r="K1476" s="41">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172</v>
      </c>
      <c r="Q1476" s="30" t="str">
        <f>VLOOKUP(B1476,辅助信息!E:M,9,FALSE)</f>
        <v>ZTWM-CDGS-XS-2024-0030-华西集采-简州大道</v>
      </c>
      <c r="R1476" s="30" t="str">
        <f>_xlfn._xlws.FILTER(辅助信息!D:D,辅助信息!E:E=B1476)</f>
        <v>华西简阳西城嘉苑</v>
      </c>
    </row>
    <row r="1477" hidden="1" spans="2:18">
      <c r="B1477" s="41" t="s">
        <v>81</v>
      </c>
      <c r="C1477" s="71">
        <v>45786</v>
      </c>
      <c r="D1477" s="41" t="str">
        <f>VLOOKUP(B1477,辅助信息!E:K,7,FALSE)</f>
        <v>JWDDCD2025060900080</v>
      </c>
      <c r="E1477" s="41" t="str">
        <f>VLOOKUP(F1477,辅助信息!A:B,2,FALSE)</f>
        <v>螺纹钢</v>
      </c>
      <c r="F1477" s="41" t="s">
        <v>28</v>
      </c>
      <c r="G1477" s="37">
        <v>2</v>
      </c>
      <c r="H1477" s="37" t="str">
        <f>_xlfn.XLOOKUP(C1477&amp;F1477&amp;I1477&amp;J1477,'[1]2025年已发货'!$F:$F&amp;'[1]2025年已发货'!$C:$C&amp;'[1]2025年已发货'!$G:$G&amp;'[1]2025年已发货'!$H:$H,'[1]2025年已发货'!$E:$E,"未发货")</f>
        <v>未发货</v>
      </c>
      <c r="I1477" s="41" t="str">
        <f>VLOOKUP(B1477,辅助信息!E:I,3,FALSE)</f>
        <v>（华西简阳西城嘉苑）四川省成都市简阳市简城街道高屋村</v>
      </c>
      <c r="J1477" s="41" t="str">
        <f>VLOOKUP(B1477,辅助信息!E:I,4,FALSE)</f>
        <v>张瀚镭</v>
      </c>
      <c r="K1477" s="41">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172</v>
      </c>
      <c r="Q1477" s="30" t="str">
        <f>VLOOKUP(B1477,辅助信息!E:M,9,FALSE)</f>
        <v>ZTWM-CDGS-XS-2024-0030-华西集采-简州大道</v>
      </c>
      <c r="R1477" s="30" t="str">
        <f>_xlfn._xlws.FILTER(辅助信息!D:D,辅助信息!E:E=B1477)</f>
        <v>华西简阳西城嘉苑</v>
      </c>
    </row>
    <row r="1478" hidden="1" spans="2:18">
      <c r="B1478" s="41" t="s">
        <v>81</v>
      </c>
      <c r="C1478" s="71">
        <v>45786</v>
      </c>
      <c r="D1478" s="41" t="str">
        <f>VLOOKUP(B1478,辅助信息!E:K,7,FALSE)</f>
        <v>JWDDCD2025060900080</v>
      </c>
      <c r="E1478" s="41" t="str">
        <f>VLOOKUP(F1478,辅助信息!A:B,2,FALSE)</f>
        <v>螺纹钢</v>
      </c>
      <c r="F1478" s="41" t="s">
        <v>18</v>
      </c>
      <c r="G1478" s="37">
        <v>14.5</v>
      </c>
      <c r="H1478" s="37" t="str">
        <f>_xlfn.XLOOKUP(C1478&amp;F1478&amp;I1478&amp;J1478,'[1]2025年已发货'!$F:$F&amp;'[1]2025年已发货'!$C:$C&amp;'[1]2025年已发货'!$G:$G&amp;'[1]2025年已发货'!$H:$H,'[1]2025年已发货'!$E:$E,"未发货")</f>
        <v>未发货</v>
      </c>
      <c r="I1478" s="41" t="str">
        <f>VLOOKUP(B1478,辅助信息!E:I,3,FALSE)</f>
        <v>（华西简阳西城嘉苑）四川省成都市简阳市简城街道高屋村</v>
      </c>
      <c r="J1478" s="41" t="str">
        <f>VLOOKUP(B1478,辅助信息!E:I,4,FALSE)</f>
        <v>张瀚镭</v>
      </c>
      <c r="K1478" s="41">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172</v>
      </c>
      <c r="Q1478" s="30" t="str">
        <f>VLOOKUP(B1478,辅助信息!E:M,9,FALSE)</f>
        <v>ZTWM-CDGS-XS-2024-0030-华西集采-简州大道</v>
      </c>
      <c r="R1478" s="30" t="str">
        <f>_xlfn._xlws.FILTER(辅助信息!D:D,辅助信息!E:E=B1478)</f>
        <v>华西简阳西城嘉苑</v>
      </c>
    </row>
    <row r="1479" hidden="1" spans="2:18">
      <c r="B1479" s="41" t="s">
        <v>81</v>
      </c>
      <c r="C1479" s="71">
        <v>45786</v>
      </c>
      <c r="D1479" s="41" t="str">
        <f>VLOOKUP(B1479,辅助信息!E:K,7,FALSE)</f>
        <v>JWDDCD2025060900080</v>
      </c>
      <c r="E1479" s="41" t="str">
        <f>VLOOKUP(F1479,辅助信息!A:B,2,FALSE)</f>
        <v>盘螺</v>
      </c>
      <c r="F1479" s="41" t="s">
        <v>49</v>
      </c>
      <c r="G1479" s="37">
        <v>2</v>
      </c>
      <c r="H1479" s="37" t="str">
        <f>_xlfn.XLOOKUP(C1479&amp;F1479&amp;I1479&amp;J1479,'[1]2025年已发货'!$F:$F&amp;'[1]2025年已发货'!$C:$C&amp;'[1]2025年已发货'!$G:$G&amp;'[1]2025年已发货'!$H:$H,'[1]2025年已发货'!$E:$E,"未发货")</f>
        <v>未发货</v>
      </c>
      <c r="I1479" s="41" t="str">
        <f>VLOOKUP(B1479,辅助信息!E:I,3,FALSE)</f>
        <v>（华西简阳西城嘉苑）四川省成都市简阳市简城街道高屋村</v>
      </c>
      <c r="J1479" s="41" t="str">
        <f>VLOOKUP(B1479,辅助信息!E:I,4,FALSE)</f>
        <v>张瀚镭</v>
      </c>
      <c r="K1479" s="41">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172</v>
      </c>
      <c r="Q1479" s="30" t="str">
        <f>VLOOKUP(B1479,辅助信息!E:M,9,FALSE)</f>
        <v>ZTWM-CDGS-XS-2024-0030-华西集采-简州大道</v>
      </c>
      <c r="R1479" s="30" t="str">
        <f>_xlfn._xlws.FILTER(辅助信息!D:D,辅助信息!E:E=B1479)</f>
        <v>华西简阳西城嘉苑</v>
      </c>
    </row>
    <row r="1480" hidden="1" spans="2:18">
      <c r="B1480" s="41" t="s">
        <v>81</v>
      </c>
      <c r="C1480" s="71">
        <v>45786</v>
      </c>
      <c r="D1480" s="41" t="str">
        <f>VLOOKUP(B1480,辅助信息!E:K,7,FALSE)</f>
        <v>JWDDCD2025060900080</v>
      </c>
      <c r="E1480" s="41" t="str">
        <f>VLOOKUP(F1480,辅助信息!A:B,2,FALSE)</f>
        <v>盘螺</v>
      </c>
      <c r="F1480" s="41" t="s">
        <v>40</v>
      </c>
      <c r="G1480" s="37">
        <v>51</v>
      </c>
      <c r="H1480" s="37" t="str">
        <f>_xlfn.XLOOKUP(C1480&amp;F1480&amp;I1480&amp;J1480,'[1]2025年已发货'!$F:$F&amp;'[1]2025年已发货'!$C:$C&amp;'[1]2025年已发货'!$G:$G&amp;'[1]2025年已发货'!$H:$H,'[1]2025年已发货'!$E:$E,"未发货")</f>
        <v>未发货</v>
      </c>
      <c r="I1480" s="41" t="str">
        <f>VLOOKUP(B1480,辅助信息!E:I,3,FALSE)</f>
        <v>（华西简阳西城嘉苑）四川省成都市简阳市简城街道高屋村</v>
      </c>
      <c r="J1480" s="41" t="str">
        <f>VLOOKUP(B1480,辅助信息!E:I,4,FALSE)</f>
        <v>张瀚镭</v>
      </c>
      <c r="K1480" s="41">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172</v>
      </c>
      <c r="Q1480" s="30" t="str">
        <f>VLOOKUP(B1480,辅助信息!E:M,9,FALSE)</f>
        <v>ZTWM-CDGS-XS-2024-0030-华西集采-简州大道</v>
      </c>
      <c r="R1480" s="30" t="str">
        <f>_xlfn._xlws.FILTER(辅助信息!D:D,辅助信息!E:E=B1480)</f>
        <v>华西简阳西城嘉苑</v>
      </c>
    </row>
    <row r="1481" hidden="1" spans="2:18">
      <c r="B1481" s="41" t="s">
        <v>81</v>
      </c>
      <c r="C1481" s="71">
        <v>45786</v>
      </c>
      <c r="D1481" s="41" t="str">
        <f>VLOOKUP(B1481,辅助信息!E:K,7,FALSE)</f>
        <v>JWDDCD2025060900080</v>
      </c>
      <c r="E1481" s="41" t="str">
        <f>VLOOKUP(F1481,辅助信息!A:B,2,FALSE)</f>
        <v>螺纹钢</v>
      </c>
      <c r="F1481" s="41" t="s">
        <v>66</v>
      </c>
      <c r="G1481" s="37">
        <v>2.5</v>
      </c>
      <c r="H1481" s="37" t="str">
        <f>_xlfn.XLOOKUP(C1481&amp;F1481&amp;I1481&amp;J1481,'[1]2025年已发货'!$F:$F&amp;'[1]2025年已发货'!$C:$C&amp;'[1]2025年已发货'!$G:$G&amp;'[1]2025年已发货'!$H:$H,'[1]2025年已发货'!$E:$E,"未发货")</f>
        <v>未发货</v>
      </c>
      <c r="I1481" s="41" t="str">
        <f>VLOOKUP(B1481,辅助信息!E:I,3,FALSE)</f>
        <v>（华西简阳西城嘉苑）四川省成都市简阳市简城街道高屋村</v>
      </c>
      <c r="J1481" s="41" t="str">
        <f>VLOOKUP(B1481,辅助信息!E:I,4,FALSE)</f>
        <v>张瀚镭</v>
      </c>
      <c r="K1481" s="41">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172</v>
      </c>
      <c r="Q1481" s="30" t="str">
        <f>VLOOKUP(B1481,辅助信息!E:M,9,FALSE)</f>
        <v>ZTWM-CDGS-XS-2024-0030-华西集采-简州大道</v>
      </c>
      <c r="R1481" s="30" t="str">
        <f>_xlfn._xlws.FILTER(辅助信息!D:D,辅助信息!E:E=B1481)</f>
        <v>华西简阳西城嘉苑</v>
      </c>
    </row>
    <row r="1482" hidden="1" spans="2:18">
      <c r="B1482" s="41" t="s">
        <v>81</v>
      </c>
      <c r="C1482" s="71">
        <v>45786</v>
      </c>
      <c r="D1482" s="41" t="str">
        <f>VLOOKUP(B1482,辅助信息!E:K,7,FALSE)</f>
        <v>JWDDCD2025060900080</v>
      </c>
      <c r="E1482" s="41" t="str">
        <f>VLOOKUP(F1482,辅助信息!A:B,2,FALSE)</f>
        <v>螺纹钢</v>
      </c>
      <c r="F1482" s="41" t="s">
        <v>82</v>
      </c>
      <c r="G1482" s="37">
        <v>2.5</v>
      </c>
      <c r="H1482" s="37" t="str">
        <f>_xlfn.XLOOKUP(C1482&amp;F1482&amp;I1482&amp;J1482,'[1]2025年已发货'!$F:$F&amp;'[1]2025年已发货'!$C:$C&amp;'[1]2025年已发货'!$G:$G&amp;'[1]2025年已发货'!$H:$H,'[1]2025年已发货'!$E:$E,"未发货")</f>
        <v>未发货</v>
      </c>
      <c r="I1482" s="41" t="str">
        <f>VLOOKUP(B1482,辅助信息!E:I,3,FALSE)</f>
        <v>（华西简阳西城嘉苑）四川省成都市简阳市简城街道高屋村</v>
      </c>
      <c r="J1482" s="41" t="str">
        <f>VLOOKUP(B1482,辅助信息!E:I,4,FALSE)</f>
        <v>张瀚镭</v>
      </c>
      <c r="K1482" s="41">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172</v>
      </c>
      <c r="Q1482" s="30" t="str">
        <f>VLOOKUP(B1482,辅助信息!E:M,9,FALSE)</f>
        <v>ZTWM-CDGS-XS-2024-0030-华西集采-简州大道</v>
      </c>
      <c r="R1482" s="30" t="str">
        <f>_xlfn._xlws.FILTER(辅助信息!D:D,辅助信息!E:E=B1482)</f>
        <v>华西简阳西城嘉苑</v>
      </c>
    </row>
    <row r="1483" hidden="1" spans="2:18">
      <c r="B1483" s="41" t="s">
        <v>81</v>
      </c>
      <c r="C1483" s="71">
        <v>45786</v>
      </c>
      <c r="D1483" s="41" t="str">
        <f>VLOOKUP(B1483,辅助信息!E:K,7,FALSE)</f>
        <v>JWDDCD2025060900080</v>
      </c>
      <c r="E1483" s="41" t="str">
        <f>VLOOKUP(F1483,辅助信息!A:B,2,FALSE)</f>
        <v>螺纹钢</v>
      </c>
      <c r="F1483" s="41" t="s">
        <v>45</v>
      </c>
      <c r="G1483" s="37">
        <v>2.5</v>
      </c>
      <c r="H1483" s="37" t="str">
        <f>_xlfn.XLOOKUP(C1483&amp;F1483&amp;I1483&amp;J1483,'[1]2025年已发货'!$F:$F&amp;'[1]2025年已发货'!$C:$C&amp;'[1]2025年已发货'!$G:$G&amp;'[1]2025年已发货'!$H:$H,'[1]2025年已发货'!$E:$E,"未发货")</f>
        <v>未发货</v>
      </c>
      <c r="I1483" s="41" t="str">
        <f>VLOOKUP(B1483,辅助信息!E:I,3,FALSE)</f>
        <v>（华西简阳西城嘉苑）四川省成都市简阳市简城街道高屋村</v>
      </c>
      <c r="J1483" s="41" t="str">
        <f>VLOOKUP(B1483,辅助信息!E:I,4,FALSE)</f>
        <v>张瀚镭</v>
      </c>
      <c r="K1483" s="41">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172</v>
      </c>
      <c r="Q1483" s="30" t="str">
        <f>VLOOKUP(B1483,辅助信息!E:M,9,FALSE)</f>
        <v>ZTWM-CDGS-XS-2024-0030-华西集采-简州大道</v>
      </c>
      <c r="R1483" s="30" t="str">
        <f>_xlfn._xlws.FILTER(辅助信息!D:D,辅助信息!E:E=B1483)</f>
        <v>华西简阳西城嘉苑</v>
      </c>
    </row>
    <row r="1484" hidden="1" spans="2:18">
      <c r="B1484" s="41" t="s">
        <v>81</v>
      </c>
      <c r="C1484" s="71">
        <v>45786</v>
      </c>
      <c r="D1484" s="41" t="str">
        <f>VLOOKUP(B1484,辅助信息!E:K,7,FALSE)</f>
        <v>JWDDCD2025060900080</v>
      </c>
      <c r="E1484" s="41" t="str">
        <f>VLOOKUP(F1484,辅助信息!A:B,2,FALSE)</f>
        <v>螺纹钢</v>
      </c>
      <c r="F1484" s="41" t="s">
        <v>21</v>
      </c>
      <c r="G1484" s="37">
        <v>2.5</v>
      </c>
      <c r="H1484" s="37" t="str">
        <f>_xlfn.XLOOKUP(C1484&amp;F1484&amp;I1484&amp;J1484,'[1]2025年已发货'!$F:$F&amp;'[1]2025年已发货'!$C:$C&amp;'[1]2025年已发货'!$G:$G&amp;'[1]2025年已发货'!$H:$H,'[1]2025年已发货'!$E:$E,"未发货")</f>
        <v>未发货</v>
      </c>
      <c r="I1484" s="41" t="str">
        <f>VLOOKUP(B1484,辅助信息!E:I,3,FALSE)</f>
        <v>（华西简阳西城嘉苑）四川省成都市简阳市简城街道高屋村</v>
      </c>
      <c r="J1484" s="41" t="str">
        <f>VLOOKUP(B1484,辅助信息!E:I,4,FALSE)</f>
        <v>张瀚镭</v>
      </c>
      <c r="K1484" s="41">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172</v>
      </c>
      <c r="Q1484" s="30" t="str">
        <f>VLOOKUP(B1484,辅助信息!E:M,9,FALSE)</f>
        <v>ZTWM-CDGS-XS-2024-0030-华西集采-简州大道</v>
      </c>
      <c r="R1484" s="30" t="str">
        <f>_xlfn._xlws.FILTER(辅助信息!D:D,辅助信息!E:E=B1484)</f>
        <v>华西简阳西城嘉苑</v>
      </c>
    </row>
    <row r="1485" hidden="1" spans="2:18">
      <c r="B1485" s="41" t="s">
        <v>81</v>
      </c>
      <c r="C1485" s="71">
        <v>45786</v>
      </c>
      <c r="D1485" s="41" t="str">
        <f>VLOOKUP(B1485,辅助信息!E:K,7,FALSE)</f>
        <v>JWDDCD2025060900080</v>
      </c>
      <c r="E1485" s="41" t="str">
        <f>VLOOKUP(F1485,辅助信息!A:B,2,FALSE)</f>
        <v>螺纹钢</v>
      </c>
      <c r="F1485" s="41" t="s">
        <v>58</v>
      </c>
      <c r="G1485" s="37">
        <v>3.5</v>
      </c>
      <c r="H1485" s="37" t="str">
        <f>_xlfn.XLOOKUP(C1485&amp;F1485&amp;I1485&amp;J1485,'[1]2025年已发货'!$F:$F&amp;'[1]2025年已发货'!$C:$C&amp;'[1]2025年已发货'!$G:$G&amp;'[1]2025年已发货'!$H:$H,'[1]2025年已发货'!$E:$E,"未发货")</f>
        <v>未发货</v>
      </c>
      <c r="I1485" s="41" t="str">
        <f>VLOOKUP(B1485,辅助信息!E:I,3,FALSE)</f>
        <v>（华西简阳西城嘉苑）四川省成都市简阳市简城街道高屋村</v>
      </c>
      <c r="J1485" s="41" t="str">
        <f>VLOOKUP(B1485,辅助信息!E:I,4,FALSE)</f>
        <v>张瀚镭</v>
      </c>
      <c r="K1485" s="41">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172</v>
      </c>
      <c r="Q1485" s="30" t="str">
        <f>VLOOKUP(B1485,辅助信息!E:M,9,FALSE)</f>
        <v>ZTWM-CDGS-XS-2024-0030-华西集采-简州大道</v>
      </c>
      <c r="R1485" s="30" t="str">
        <f>_xlfn._xlws.FILTER(辅助信息!D:D,辅助信息!E:E=B1485)</f>
        <v>华西简阳西城嘉苑</v>
      </c>
    </row>
    <row r="1486" hidden="1" spans="2:18">
      <c r="B1486" s="41" t="s">
        <v>81</v>
      </c>
      <c r="C1486" s="71">
        <v>45786</v>
      </c>
      <c r="D1486" s="41" t="str">
        <f>VLOOKUP(B1486,辅助信息!E:K,7,FALSE)</f>
        <v>JWDDCD2025060900080</v>
      </c>
      <c r="E1486" s="41" t="str">
        <f>VLOOKUP(F1486,辅助信息!A:B,2,FALSE)</f>
        <v>螺纹钢</v>
      </c>
      <c r="F1486" s="41" t="s">
        <v>46</v>
      </c>
      <c r="G1486" s="37">
        <v>2.5</v>
      </c>
      <c r="H1486" s="37" t="str">
        <f>_xlfn.XLOOKUP(C1486&amp;F1486&amp;I1486&amp;J1486,'[1]2025年已发货'!$F:$F&amp;'[1]2025年已发货'!$C:$C&amp;'[1]2025年已发货'!$G:$G&amp;'[1]2025年已发货'!$H:$H,'[1]2025年已发货'!$E:$E,"未发货")</f>
        <v>未发货</v>
      </c>
      <c r="I1486" s="41" t="str">
        <f>VLOOKUP(B1486,辅助信息!E:I,3,FALSE)</f>
        <v>（华西简阳西城嘉苑）四川省成都市简阳市简城街道高屋村</v>
      </c>
      <c r="J1486" s="41" t="str">
        <f>VLOOKUP(B1486,辅助信息!E:I,4,FALSE)</f>
        <v>张瀚镭</v>
      </c>
      <c r="K1486" s="41">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172</v>
      </c>
      <c r="Q1486" s="30" t="str">
        <f>VLOOKUP(B1486,辅助信息!E:M,9,FALSE)</f>
        <v>ZTWM-CDGS-XS-2024-0030-华西集采-简州大道</v>
      </c>
      <c r="R1486" s="30" t="str">
        <f>_xlfn._xlws.FILTER(辅助信息!D:D,辅助信息!E:E=B1486)</f>
        <v>华西简阳西城嘉苑</v>
      </c>
    </row>
    <row r="1487" hidden="1" spans="2:18">
      <c r="B1487" s="41" t="s">
        <v>81</v>
      </c>
      <c r="C1487" s="71">
        <v>45786</v>
      </c>
      <c r="D1487" s="41" t="str">
        <f>VLOOKUP(B1487,辅助信息!E:K,7,FALSE)</f>
        <v>JWDDCD2025060900080</v>
      </c>
      <c r="E1487" s="41" t="str">
        <f>VLOOKUP(F1487,辅助信息!A:B,2,FALSE)</f>
        <v>螺纹钢</v>
      </c>
      <c r="F1487" s="41" t="s">
        <v>22</v>
      </c>
      <c r="G1487" s="37">
        <v>4.5</v>
      </c>
      <c r="H1487" s="37" t="str">
        <f>_xlfn.XLOOKUP(C1487&amp;F1487&amp;I1487&amp;J1487,'[1]2025年已发货'!$F:$F&amp;'[1]2025年已发货'!$C:$C&amp;'[1]2025年已发货'!$G:$G&amp;'[1]2025年已发货'!$H:$H,'[1]2025年已发货'!$E:$E,"未发货")</f>
        <v>未发货</v>
      </c>
      <c r="I1487" s="41" t="str">
        <f>VLOOKUP(B1487,辅助信息!E:I,3,FALSE)</f>
        <v>（华西简阳西城嘉苑）四川省成都市简阳市简城街道高屋村</v>
      </c>
      <c r="J1487" s="41" t="str">
        <f>VLOOKUP(B1487,辅助信息!E:I,4,FALSE)</f>
        <v>张瀚镭</v>
      </c>
      <c r="K1487" s="41">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172</v>
      </c>
      <c r="Q1487" s="30" t="str">
        <f>VLOOKUP(B1487,辅助信息!E:M,9,FALSE)</f>
        <v>ZTWM-CDGS-XS-2024-0030-华西集采-简州大道</v>
      </c>
      <c r="R1487" s="30" t="str">
        <f>_xlfn._xlws.FILTER(辅助信息!D:D,辅助信息!E:E=B1487)</f>
        <v>华西简阳西城嘉苑</v>
      </c>
    </row>
    <row r="1488" hidden="1" spans="2:18">
      <c r="B1488" s="41" t="s">
        <v>147</v>
      </c>
      <c r="C1488" s="71">
        <v>45787</v>
      </c>
      <c r="D1488" s="41" t="str">
        <f>VLOOKUP(B1488,辅助信息!E:K,7,FALSE)</f>
        <v>JWDDCD2025052800131</v>
      </c>
      <c r="E1488" s="41" t="str">
        <f>VLOOKUP(F1488,辅助信息!A:B,2,FALSE)</f>
        <v>高线</v>
      </c>
      <c r="F1488" s="41" t="s">
        <v>57</v>
      </c>
      <c r="G1488" s="37">
        <v>7.5</v>
      </c>
      <c r="H1488" s="37" t="str">
        <f>_xlfn.XLOOKUP(C1488&amp;F1488&amp;I1488&amp;J1488,'[1]2025年已发货'!$F:$F&amp;'[1]2025年已发货'!$C:$C&amp;'[1]2025年已发货'!$G:$G&amp;'[1]2025年已发货'!$H:$H,'[1]2025年已发货'!$E:$E,"未发货")</f>
        <v>未发货</v>
      </c>
      <c r="I1488" s="41" t="str">
        <f>VLOOKUP(B1488,辅助信息!E:I,3,FALSE)</f>
        <v>（商投建工达州中医药科技园-4工区-11号楼）达州市通川区达州中医药职业学院犀牛大道北段</v>
      </c>
      <c r="J1488" s="41" t="str">
        <f>VLOOKUP(B1488,辅助信息!E:I,4,FALSE)</f>
        <v>张扬</v>
      </c>
      <c r="K1488" s="41">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175</v>
      </c>
      <c r="Q1488" s="30" t="str">
        <f>VLOOKUP(B1488,辅助信息!E:M,9,FALSE)</f>
        <v>ZTWM-CDGS-XS-2024-0134-商投建工达州中医药科技成果示范园项目</v>
      </c>
      <c r="R1488" s="30" t="str">
        <f>_xlfn._xlws.FILTER(辅助信息!D:D,辅助信息!E:E=B1488)</f>
        <v>商投建工达州中医药科技园</v>
      </c>
    </row>
    <row r="1489" hidden="1" spans="2:18">
      <c r="B1489" s="41" t="s">
        <v>147</v>
      </c>
      <c r="C1489" s="71">
        <v>45787</v>
      </c>
      <c r="D1489" s="41" t="str">
        <f>VLOOKUP(B1489,辅助信息!E:K,7,FALSE)</f>
        <v>JWDDCD2025052800131</v>
      </c>
      <c r="E1489" s="41" t="str">
        <f>VLOOKUP(F1489,辅助信息!A:B,2,FALSE)</f>
        <v>螺纹钢</v>
      </c>
      <c r="F1489" s="41" t="s">
        <v>30</v>
      </c>
      <c r="G1489" s="37">
        <v>7</v>
      </c>
      <c r="H1489" s="37" t="str">
        <f>_xlfn.XLOOKUP(C1489&amp;F1489&amp;I1489&amp;J1489,'[1]2025年已发货'!$F:$F&amp;'[1]2025年已发货'!$C:$C&amp;'[1]2025年已发货'!$G:$G&amp;'[1]2025年已发货'!$H:$H,'[1]2025年已发货'!$E:$E,"未发货")</f>
        <v>未发货</v>
      </c>
      <c r="I1489" s="41" t="str">
        <f>VLOOKUP(B1489,辅助信息!E:I,3,FALSE)</f>
        <v>（商投建工达州中医药科技园-4工区-11号楼）达州市通川区达州中医药职业学院犀牛大道北段</v>
      </c>
      <c r="J1489" s="41" t="str">
        <f>VLOOKUP(B1489,辅助信息!E:I,4,FALSE)</f>
        <v>张扬</v>
      </c>
      <c r="K1489" s="41">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175</v>
      </c>
      <c r="Q1489" s="30" t="str">
        <f>VLOOKUP(B1489,辅助信息!E:M,9,FALSE)</f>
        <v>ZTWM-CDGS-XS-2024-0134-商投建工达州中医药科技成果示范园项目</v>
      </c>
      <c r="R1489" s="30" t="str">
        <f>_xlfn._xlws.FILTER(辅助信息!D:D,辅助信息!E:E=B1489)</f>
        <v>商投建工达州中医药科技园</v>
      </c>
    </row>
    <row r="1490" hidden="1" spans="1:18">
      <c r="A1490" s="83" t="s">
        <v>100</v>
      </c>
      <c r="B1490" s="41" t="s">
        <v>106</v>
      </c>
      <c r="C1490" s="71">
        <v>45787</v>
      </c>
      <c r="D1490" s="41" t="str">
        <f>VLOOKUP(B1490,辅助信息!E:K,7,FALSE)</f>
        <v>JWDDCD2024101600133</v>
      </c>
      <c r="E1490" s="41" t="str">
        <f>VLOOKUP(F1490,辅助信息!A:B,2,FALSE)</f>
        <v>盘螺</v>
      </c>
      <c r="F1490" s="41" t="s">
        <v>40</v>
      </c>
      <c r="G1490" s="37">
        <v>57.5</v>
      </c>
      <c r="H1490" s="37" t="str">
        <f>_xlfn.XLOOKUP(C1490&amp;F1490&amp;I1490&amp;J1490,'[1]2025年已发货'!$F:$F&amp;'[1]2025年已发货'!$C:$C&amp;'[1]2025年已发货'!$G:$G&amp;'[1]2025年已发货'!$H:$H,'[1]2025年已发货'!$E:$E,"未发货")</f>
        <v>未发货</v>
      </c>
      <c r="I1490" s="41" t="str">
        <f>VLOOKUP(B1490,辅助信息!E:I,3,FALSE)</f>
        <v>（五冶钢构宜宾高县月江镇建设项目）  四川省宜宾市高县月江镇刚记超市斜对面(还阳组团沪碳二期项目)</v>
      </c>
      <c r="J1490" s="41" t="str">
        <f>VLOOKUP(B1490,辅助信息!E:I,4,FALSE)</f>
        <v>张朝亮</v>
      </c>
      <c r="K1490" s="41">
        <f>VLOOKUP(J1490,辅助信息!H:I,2,FALSE)</f>
        <v>15228205853</v>
      </c>
      <c r="L1490" s="110" t="str">
        <f>VLOOKUP(B1490,辅助信息!E:J,6,FALSE)</f>
        <v>提前联系到场规格</v>
      </c>
      <c r="M1490" s="92">
        <v>45785</v>
      </c>
      <c r="O1490" s="63">
        <f ca="1" t="shared" si="74"/>
        <v>0</v>
      </c>
      <c r="P1490" s="63">
        <f ca="1" t="shared" si="75"/>
        <v>174</v>
      </c>
      <c r="Q1490" s="30" t="str">
        <f>VLOOKUP(B1490,辅助信息!E:M,9,FALSE)</f>
        <v>ZTWM-CDGS-XS-2024-0169-中冶西部钢构-宜宾市南溪区幸福路东路,高县月江镇建设项目</v>
      </c>
      <c r="R1490" s="30" t="str">
        <f>_xlfn._xlws.FILTER(辅助信息!D:D,辅助信息!E:E=B1490)</f>
        <v>五冶钢构-宜宾市南溪区高县月江镇建设项目</v>
      </c>
    </row>
    <row r="1491" hidden="1" spans="1:18">
      <c r="A1491" s="83"/>
      <c r="B1491" s="41" t="s">
        <v>106</v>
      </c>
      <c r="C1491" s="71">
        <v>45787</v>
      </c>
      <c r="D1491" s="41" t="str">
        <f>VLOOKUP(B1491,辅助信息!E:K,7,FALSE)</f>
        <v>JWDDCD2024101600133</v>
      </c>
      <c r="E1491" s="41" t="str">
        <f>VLOOKUP(F1491,辅助信息!A:B,2,FALSE)</f>
        <v>螺纹钢</v>
      </c>
      <c r="F1491" s="41" t="s">
        <v>27</v>
      </c>
      <c r="G1491" s="37">
        <v>9</v>
      </c>
      <c r="H1491" s="37" t="str">
        <f>_xlfn.XLOOKUP(C1491&amp;F1491&amp;I1491&amp;J1491,'[1]2025年已发货'!$F:$F&amp;'[1]2025年已发货'!$C:$C&amp;'[1]2025年已发货'!$G:$G&amp;'[1]2025年已发货'!$H:$H,'[1]2025年已发货'!$E:$E,"未发货")</f>
        <v>未发货</v>
      </c>
      <c r="I1491" s="41" t="str">
        <f>VLOOKUP(B1491,辅助信息!E:I,3,FALSE)</f>
        <v>（五冶钢构宜宾高县月江镇建设项目）  四川省宜宾市高县月江镇刚记超市斜对面(还阳组团沪碳二期项目)</v>
      </c>
      <c r="J1491" s="41" t="str">
        <f>VLOOKUP(B1491,辅助信息!E:I,4,FALSE)</f>
        <v>张朝亮</v>
      </c>
      <c r="K1491" s="41">
        <f>VLOOKUP(J1491,辅助信息!H:I,2,FALSE)</f>
        <v>15228205853</v>
      </c>
      <c r="L1491" s="110" t="str">
        <f>VLOOKUP(B1491,辅助信息!E:J,6,FALSE)</f>
        <v>提前联系到场规格</v>
      </c>
      <c r="M1491" s="92">
        <v>45785</v>
      </c>
      <c r="O1491" s="63">
        <f ca="1" t="shared" si="74"/>
        <v>0</v>
      </c>
      <c r="P1491" s="63">
        <f ca="1" t="shared" si="75"/>
        <v>174</v>
      </c>
      <c r="Q1491" s="30" t="str">
        <f>VLOOKUP(B1491,辅助信息!E:M,9,FALSE)</f>
        <v>ZTWM-CDGS-XS-2024-0169-中冶西部钢构-宜宾市南溪区幸福路东路,高县月江镇建设项目</v>
      </c>
      <c r="R1491" s="30" t="str">
        <f>_xlfn._xlws.FILTER(辅助信息!D:D,辅助信息!E:E=B1491)</f>
        <v>五冶钢构-宜宾市南溪区高县月江镇建设项目</v>
      </c>
    </row>
    <row r="1492" hidden="1" spans="1:18">
      <c r="A1492" s="83"/>
      <c r="B1492" s="41" t="s">
        <v>106</v>
      </c>
      <c r="C1492" s="71">
        <v>45787</v>
      </c>
      <c r="D1492" s="41" t="str">
        <f>VLOOKUP(B1492,辅助信息!E:K,7,FALSE)</f>
        <v>JWDDCD2024101600133</v>
      </c>
      <c r="E1492" s="41" t="str">
        <f>VLOOKUP(F1492,辅助信息!A:B,2,FALSE)</f>
        <v>螺纹钢</v>
      </c>
      <c r="F1492" s="41" t="s">
        <v>19</v>
      </c>
      <c r="G1492" s="37">
        <v>9</v>
      </c>
      <c r="H1492" s="37" t="str">
        <f>_xlfn.XLOOKUP(C1492&amp;F1492&amp;I1492&amp;J1492,'[1]2025年已发货'!$F:$F&amp;'[1]2025年已发货'!$C:$C&amp;'[1]2025年已发货'!$G:$G&amp;'[1]2025年已发货'!$H:$H,'[1]2025年已发货'!$E:$E,"未发货")</f>
        <v>未发货</v>
      </c>
      <c r="I1492" s="41" t="str">
        <f>VLOOKUP(B1492,辅助信息!E:I,3,FALSE)</f>
        <v>（五冶钢构宜宾高县月江镇建设项目）  四川省宜宾市高县月江镇刚记超市斜对面(还阳组团沪碳二期项目)</v>
      </c>
      <c r="J1492" s="41" t="str">
        <f>VLOOKUP(B1492,辅助信息!E:I,4,FALSE)</f>
        <v>张朝亮</v>
      </c>
      <c r="K1492" s="41">
        <f>VLOOKUP(J1492,辅助信息!H:I,2,FALSE)</f>
        <v>15228205853</v>
      </c>
      <c r="L1492" s="110" t="str">
        <f>VLOOKUP(B1492,辅助信息!E:J,6,FALSE)</f>
        <v>提前联系到场规格</v>
      </c>
      <c r="M1492" s="92">
        <v>45785</v>
      </c>
      <c r="O1492" s="63">
        <f ca="1" t="shared" si="74"/>
        <v>0</v>
      </c>
      <c r="P1492" s="63">
        <f ca="1" t="shared" si="75"/>
        <v>174</v>
      </c>
      <c r="Q1492" s="30" t="str">
        <f>VLOOKUP(B1492,辅助信息!E:M,9,FALSE)</f>
        <v>ZTWM-CDGS-XS-2024-0169-中冶西部钢构-宜宾市南溪区幸福路东路,高县月江镇建设项目</v>
      </c>
      <c r="R1492" s="30" t="str">
        <f>_xlfn._xlws.FILTER(辅助信息!D:D,辅助信息!E:E=B1492)</f>
        <v>五冶钢构-宜宾市南溪区高县月江镇建设项目</v>
      </c>
    </row>
    <row r="1493" hidden="1" spans="1:18">
      <c r="A1493" s="83"/>
      <c r="B1493" s="41" t="s">
        <v>106</v>
      </c>
      <c r="C1493" s="71">
        <v>45787</v>
      </c>
      <c r="D1493" s="41" t="str">
        <f>VLOOKUP(B1493,辅助信息!E:K,7,FALSE)</f>
        <v>JWDDCD2024101600133</v>
      </c>
      <c r="E1493" s="41" t="str">
        <f>VLOOKUP(F1493,辅助信息!A:B,2,FALSE)</f>
        <v>螺纹钢</v>
      </c>
      <c r="F1493" s="41" t="s">
        <v>33</v>
      </c>
      <c r="G1493" s="37">
        <v>9</v>
      </c>
      <c r="H1493" s="37" t="str">
        <f>_xlfn.XLOOKUP(C1493&amp;F1493&amp;I1493&amp;J1493,'[1]2025年已发货'!$F:$F&amp;'[1]2025年已发货'!$C:$C&amp;'[1]2025年已发货'!$G:$G&amp;'[1]2025年已发货'!$H:$H,'[1]2025年已发货'!$E:$E,"未发货")</f>
        <v>未发货</v>
      </c>
      <c r="I1493" s="41" t="str">
        <f>VLOOKUP(B1493,辅助信息!E:I,3,FALSE)</f>
        <v>（五冶钢构宜宾高县月江镇建设项目）  四川省宜宾市高县月江镇刚记超市斜对面(还阳组团沪碳二期项目)</v>
      </c>
      <c r="J1493" s="41" t="str">
        <f>VLOOKUP(B1493,辅助信息!E:I,4,FALSE)</f>
        <v>张朝亮</v>
      </c>
      <c r="K1493" s="41">
        <f>VLOOKUP(J1493,辅助信息!H:I,2,FALSE)</f>
        <v>15228205853</v>
      </c>
      <c r="L1493" s="110" t="str">
        <f>VLOOKUP(B1493,辅助信息!E:J,6,FALSE)</f>
        <v>提前联系到场规格</v>
      </c>
      <c r="M1493" s="92">
        <v>45785</v>
      </c>
      <c r="O1493" s="63">
        <f ca="1" t="shared" si="74"/>
        <v>0</v>
      </c>
      <c r="P1493" s="63">
        <f ca="1" t="shared" si="75"/>
        <v>174</v>
      </c>
      <c r="Q1493" s="30" t="str">
        <f>VLOOKUP(B1493,辅助信息!E:M,9,FALSE)</f>
        <v>ZTWM-CDGS-XS-2024-0169-中冶西部钢构-宜宾市南溪区幸福路东路,高县月江镇建设项目</v>
      </c>
      <c r="R1493" s="30" t="str">
        <f>_xlfn._xlws.FILTER(辅助信息!D:D,辅助信息!E:E=B1493)</f>
        <v>五冶钢构-宜宾市南溪区高县月江镇建设项目</v>
      </c>
    </row>
    <row r="1494" hidden="1" spans="1:18">
      <c r="A1494" s="83"/>
      <c r="B1494" s="41" t="s">
        <v>106</v>
      </c>
      <c r="C1494" s="71">
        <v>45787</v>
      </c>
      <c r="D1494" s="41" t="str">
        <f>VLOOKUP(B1494,辅助信息!E:K,7,FALSE)</f>
        <v>JWDDCD2024101600133</v>
      </c>
      <c r="E1494" s="41" t="str">
        <f>VLOOKUP(F1494,辅助信息!A:B,2,FALSE)</f>
        <v>螺纹钢</v>
      </c>
      <c r="F1494" s="41" t="s">
        <v>28</v>
      </c>
      <c r="G1494" s="37">
        <v>21</v>
      </c>
      <c r="H1494" s="37" t="str">
        <f>_xlfn.XLOOKUP(C1494&amp;F1494&amp;I1494&amp;J1494,'[1]2025年已发货'!$F:$F&amp;'[1]2025年已发货'!$C:$C&amp;'[1]2025年已发货'!$G:$G&amp;'[1]2025年已发货'!$H:$H,'[1]2025年已发货'!$E:$E,"未发货")</f>
        <v>未发货</v>
      </c>
      <c r="I1494" s="41" t="str">
        <f>VLOOKUP(B1494,辅助信息!E:I,3,FALSE)</f>
        <v>（五冶钢构宜宾高县月江镇建设项目）  四川省宜宾市高县月江镇刚记超市斜对面(还阳组团沪碳二期项目)</v>
      </c>
      <c r="J1494" s="41" t="str">
        <f>VLOOKUP(B1494,辅助信息!E:I,4,FALSE)</f>
        <v>张朝亮</v>
      </c>
      <c r="K1494" s="41">
        <f>VLOOKUP(J1494,辅助信息!H:I,2,FALSE)</f>
        <v>15228205853</v>
      </c>
      <c r="L1494" s="110" t="str">
        <f>VLOOKUP(B1494,辅助信息!E:J,6,FALSE)</f>
        <v>提前联系到场规格</v>
      </c>
      <c r="M1494" s="92">
        <v>45785</v>
      </c>
      <c r="O1494" s="63">
        <f ca="1" t="shared" si="74"/>
        <v>0</v>
      </c>
      <c r="P1494" s="63">
        <f ca="1" t="shared" si="75"/>
        <v>174</v>
      </c>
      <c r="Q1494" s="30" t="str">
        <f>VLOOKUP(B1494,辅助信息!E:M,9,FALSE)</f>
        <v>ZTWM-CDGS-XS-2024-0169-中冶西部钢构-宜宾市南溪区幸福路东路,高县月江镇建设项目</v>
      </c>
      <c r="R1494" s="30" t="str">
        <f>_xlfn._xlws.FILTER(辅助信息!D:D,辅助信息!E:E=B1494)</f>
        <v>五冶钢构-宜宾市南溪区高县月江镇建设项目</v>
      </c>
    </row>
    <row r="1495" hidden="1" spans="1:18">
      <c r="A1495" s="83" t="s">
        <v>100</v>
      </c>
      <c r="B1495" s="41" t="s">
        <v>127</v>
      </c>
      <c r="C1495" s="71">
        <v>45787</v>
      </c>
      <c r="D1495" s="41" t="str">
        <f>VLOOKUP(B1495,辅助信息!E:K,7,FALSE)</f>
        <v>JWDDCD2025051000019</v>
      </c>
      <c r="E1495" s="41" t="str">
        <f>VLOOKUP(F1495,辅助信息!A:B,2,FALSE)</f>
        <v>盘螺</v>
      </c>
      <c r="F1495" s="41" t="s">
        <v>49</v>
      </c>
      <c r="G1495" s="37">
        <v>12</v>
      </c>
      <c r="H1495" s="37">
        <f>_xlfn.XLOOKUP(C1495&amp;F1495&amp;I1495&amp;J1495,'[1]2025年已发货'!$F:$F&amp;'[1]2025年已发货'!$C:$C&amp;'[1]2025年已发货'!$G:$G&amp;'[1]2025年已发货'!$H:$H,'[1]2025年已发货'!$E:$E,"未发货")</f>
        <v>12</v>
      </c>
      <c r="I1495" s="41" t="str">
        <f>VLOOKUP(B1495,辅助信息!E:I,3,FALSE)</f>
        <v>(五冶钢构医学科学产业园建设项目房建三部-管网总坪)四川省南充市顺庆区搬罾街道学府大道二段</v>
      </c>
      <c r="J1495" s="41" t="str">
        <f>VLOOKUP(B1495,辅助信息!E:I,4,FALSE)</f>
        <v>郑林</v>
      </c>
      <c r="K1495" s="41">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174</v>
      </c>
      <c r="Q1495" s="30" t="str">
        <f>VLOOKUP(B1495,辅助信息!E:M,9,FALSE)</f>
        <v>ZTWM-CDGS-XS-2024-0248-五冶钢构-南充市医学院项目</v>
      </c>
      <c r="R1495" s="30" t="str">
        <f>_xlfn._xlws.FILTER(辅助信息!D:D,辅助信息!E:E=B1495)</f>
        <v>五冶钢构南充医学科学产业园建设项目</v>
      </c>
    </row>
    <row r="1496" hidden="1" spans="1:18">
      <c r="A1496" s="83"/>
      <c r="B1496" s="41" t="s">
        <v>127</v>
      </c>
      <c r="C1496" s="71">
        <v>45787</v>
      </c>
      <c r="D1496" s="41" t="str">
        <f>VLOOKUP(B1496,辅助信息!E:K,7,FALSE)</f>
        <v>JWDDCD2025051000019</v>
      </c>
      <c r="E1496" s="41" t="str">
        <f>VLOOKUP(F1496,辅助信息!A:B,2,FALSE)</f>
        <v>盘螺</v>
      </c>
      <c r="F1496" s="41" t="s">
        <v>41</v>
      </c>
      <c r="G1496" s="37">
        <v>10</v>
      </c>
      <c r="H1496" s="37">
        <f>_xlfn.XLOOKUP(C1496&amp;F1496&amp;I1496&amp;J1496,'[1]2025年已发货'!$F:$F&amp;'[1]2025年已发货'!$C:$C&amp;'[1]2025年已发货'!$G:$G&amp;'[1]2025年已发货'!$H:$H,'[1]2025年已发货'!$E:$E,"未发货")</f>
        <v>10</v>
      </c>
      <c r="I1496" s="41" t="str">
        <f>VLOOKUP(B1496,辅助信息!E:I,3,FALSE)</f>
        <v>(五冶钢构医学科学产业园建设项目房建三部-管网总坪)四川省南充市顺庆区搬罾街道学府大道二段</v>
      </c>
      <c r="J1496" s="41" t="str">
        <f>VLOOKUP(B1496,辅助信息!E:I,4,FALSE)</f>
        <v>郑林</v>
      </c>
      <c r="K1496" s="41">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174</v>
      </c>
      <c r="Q1496" s="30" t="str">
        <f>VLOOKUP(B1496,辅助信息!E:M,9,FALSE)</f>
        <v>ZTWM-CDGS-XS-2024-0248-五冶钢构-南充市医学院项目</v>
      </c>
      <c r="R1496" s="30" t="str">
        <f>_xlfn._xlws.FILTER(辅助信息!D:D,辅助信息!E:E=B1496)</f>
        <v>五冶钢构南充医学科学产业园建设项目</v>
      </c>
    </row>
    <row r="1497" hidden="1" spans="1:18">
      <c r="A1497" s="83"/>
      <c r="B1497" s="41" t="s">
        <v>127</v>
      </c>
      <c r="C1497" s="71">
        <v>45787</v>
      </c>
      <c r="D1497" s="41" t="str">
        <f>VLOOKUP(B1497,辅助信息!E:K,7,FALSE)</f>
        <v>JWDDCD2025051000019</v>
      </c>
      <c r="E1497" s="41" t="str">
        <f>VLOOKUP(F1497,辅助信息!A:B,2,FALSE)</f>
        <v>螺纹钢</v>
      </c>
      <c r="F1497" s="41" t="s">
        <v>27</v>
      </c>
      <c r="G1497" s="37">
        <v>13</v>
      </c>
      <c r="H1497" s="37">
        <f>_xlfn.XLOOKUP(C1497&amp;F1497&amp;I1497&amp;J1497,'[1]2025年已发货'!$F:$F&amp;'[1]2025年已发货'!$C:$C&amp;'[1]2025年已发货'!$G:$G&amp;'[1]2025年已发货'!$H:$H,'[1]2025年已发货'!$E:$E,"未发货")</f>
        <v>13</v>
      </c>
      <c r="I1497" s="41" t="str">
        <f>VLOOKUP(B1497,辅助信息!E:I,3,FALSE)</f>
        <v>(五冶钢构医学科学产业园建设项目房建三部-管网总坪)四川省南充市顺庆区搬罾街道学府大道二段</v>
      </c>
      <c r="J1497" s="41" t="str">
        <f>VLOOKUP(B1497,辅助信息!E:I,4,FALSE)</f>
        <v>郑林</v>
      </c>
      <c r="K1497" s="41">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174</v>
      </c>
      <c r="Q1497" s="30" t="str">
        <f>VLOOKUP(B1497,辅助信息!E:M,9,FALSE)</f>
        <v>ZTWM-CDGS-XS-2024-0248-五冶钢构-南充市医学院项目</v>
      </c>
      <c r="R1497" s="30" t="str">
        <f>_xlfn._xlws.FILTER(辅助信息!D:D,辅助信息!E:E=B1497)</f>
        <v>五冶钢构南充医学科学产业园建设项目</v>
      </c>
    </row>
    <row r="1498" hidden="1" spans="1:18">
      <c r="A1498" s="83" t="s">
        <v>100</v>
      </c>
      <c r="B1498" s="41" t="s">
        <v>68</v>
      </c>
      <c r="C1498" s="71">
        <v>45787</v>
      </c>
      <c r="D1498" s="41" t="str">
        <f>VLOOKUP(B1498,辅助信息!E:K,7,FALSE)</f>
        <v>JWDDCD2025052800131</v>
      </c>
      <c r="E1498" s="41" t="str">
        <f>VLOOKUP(F1498,辅助信息!A:B,2,FALSE)</f>
        <v>盘螺</v>
      </c>
      <c r="F1498" s="41" t="s">
        <v>41</v>
      </c>
      <c r="G1498" s="37">
        <v>8</v>
      </c>
      <c r="H1498" s="37">
        <f>_xlfn.XLOOKUP(C1498&amp;F1498&amp;I1498&amp;J1498,'[1]2025年已发货'!$F:$F&amp;'[1]2025年已发货'!$C:$C&amp;'[1]2025年已发货'!$G:$G&amp;'[1]2025年已发货'!$H:$H,'[1]2025年已发货'!$E:$E,"未发货")</f>
        <v>8</v>
      </c>
      <c r="I1498" s="41" t="str">
        <f>VLOOKUP(B1498,辅助信息!E:I,3,FALSE)</f>
        <v>（商投建工达州中医药科技园-2工区-景观桥）达州市通川区达州中医药职业学院犀牛大道北段</v>
      </c>
      <c r="J1498" s="41" t="str">
        <f>VLOOKUP(B1498,辅助信息!E:I,4,FALSE)</f>
        <v>李波</v>
      </c>
      <c r="K1498" s="41">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174</v>
      </c>
      <c r="Q1498" s="30" t="str">
        <f>VLOOKUP(B1498,辅助信息!E:M,9,FALSE)</f>
        <v>ZTWM-CDGS-XS-2024-0134-商投建工达州中医药科技成果示范园项目</v>
      </c>
      <c r="R1498" s="30" t="str">
        <f>_xlfn._xlws.FILTER(辅助信息!D:D,辅助信息!E:E=B1498)</f>
        <v>商投建工达州中医药科技园</v>
      </c>
    </row>
    <row r="1499" hidden="1" spans="1:18">
      <c r="A1499" s="83"/>
      <c r="B1499" s="41" t="s">
        <v>68</v>
      </c>
      <c r="C1499" s="71">
        <v>45787</v>
      </c>
      <c r="D1499" s="41" t="str">
        <f>VLOOKUP(B1499,辅助信息!E:K,7,FALSE)</f>
        <v>JWDDCD2025052800131</v>
      </c>
      <c r="E1499" s="41" t="str">
        <f>VLOOKUP(F1499,辅助信息!A:B,2,FALSE)</f>
        <v>螺纹钢</v>
      </c>
      <c r="F1499" s="41" t="s">
        <v>52</v>
      </c>
      <c r="G1499" s="37">
        <v>17</v>
      </c>
      <c r="H1499" s="37">
        <f>_xlfn.XLOOKUP(C1499&amp;F1499&amp;I1499&amp;J1499,'[1]2025年已发货'!$F:$F&amp;'[1]2025年已发货'!$C:$C&amp;'[1]2025年已发货'!$G:$G&amp;'[1]2025年已发货'!$H:$H,'[1]2025年已发货'!$E:$E,"未发货")</f>
        <v>17</v>
      </c>
      <c r="I1499" s="41" t="str">
        <f>VLOOKUP(B1499,辅助信息!E:I,3,FALSE)</f>
        <v>（商投建工达州中医药科技园-2工区-景观桥）达州市通川区达州中医药职业学院犀牛大道北段</v>
      </c>
      <c r="J1499" s="41" t="str">
        <f>VLOOKUP(B1499,辅助信息!E:I,4,FALSE)</f>
        <v>李波</v>
      </c>
      <c r="K1499" s="41">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174</v>
      </c>
      <c r="Q1499" s="30" t="str">
        <f>VLOOKUP(B1499,辅助信息!E:M,9,FALSE)</f>
        <v>ZTWM-CDGS-XS-2024-0134-商投建工达州中医药科技成果示范园项目</v>
      </c>
      <c r="R1499" s="30" t="str">
        <f>_xlfn._xlws.FILTER(辅助信息!D:D,辅助信息!E:E=B1499)</f>
        <v>商投建工达州中医药科技园</v>
      </c>
    </row>
    <row r="1500" hidden="1" spans="1:18">
      <c r="A1500" s="83"/>
      <c r="B1500" s="41" t="s">
        <v>68</v>
      </c>
      <c r="C1500" s="71">
        <v>45787</v>
      </c>
      <c r="D1500" s="41" t="str">
        <f>VLOOKUP(B1500,辅助信息!E:K,7,FALSE)</f>
        <v>JWDDCD2025052800131</v>
      </c>
      <c r="E1500" s="41" t="str">
        <f>VLOOKUP(F1500,辅助信息!A:B,2,FALSE)</f>
        <v>螺纹钢</v>
      </c>
      <c r="F1500" s="41" t="s">
        <v>33</v>
      </c>
      <c r="G1500" s="37">
        <v>10</v>
      </c>
      <c r="H1500" s="37">
        <f>_xlfn.XLOOKUP(C1500&amp;F1500&amp;I1500&amp;J1500,'[1]2025年已发货'!$F:$F&amp;'[1]2025年已发货'!$C:$C&amp;'[1]2025年已发货'!$G:$G&amp;'[1]2025年已发货'!$H:$H,'[1]2025年已发货'!$E:$E,"未发货")</f>
        <v>10</v>
      </c>
      <c r="I1500" s="41" t="str">
        <f>VLOOKUP(B1500,辅助信息!E:I,3,FALSE)</f>
        <v>（商投建工达州中医药科技园-2工区-景观桥）达州市通川区达州中医药职业学院犀牛大道北段</v>
      </c>
      <c r="J1500" s="41" t="str">
        <f>VLOOKUP(B1500,辅助信息!E:I,4,FALSE)</f>
        <v>李波</v>
      </c>
      <c r="K1500" s="41">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172</v>
      </c>
      <c r="Q1500" s="30" t="str">
        <f>VLOOKUP(B1500,辅助信息!E:M,9,FALSE)</f>
        <v>ZTWM-CDGS-XS-2024-0134-商投建工达州中医药科技成果示范园项目</v>
      </c>
      <c r="R1500" s="30" t="str">
        <f>_xlfn._xlws.FILTER(辅助信息!D:D,辅助信息!E:E=B1500)</f>
        <v>商投建工达州中医药科技园</v>
      </c>
    </row>
    <row r="1501" hidden="1" spans="2:18">
      <c r="B1501" s="41" t="s">
        <v>56</v>
      </c>
      <c r="C1501" s="71">
        <v>45787</v>
      </c>
      <c r="D1501" s="41" t="str">
        <f>VLOOKUP(B1501,辅助信息!E:K,7,FALSE)</f>
        <v>JWDDCD2025052800131</v>
      </c>
      <c r="E1501" s="41" t="str">
        <f>VLOOKUP(F1501,辅助信息!A:B,2,FALSE)</f>
        <v>螺纹钢</v>
      </c>
      <c r="F1501" s="41" t="s">
        <v>66</v>
      </c>
      <c r="G1501" s="37">
        <v>15</v>
      </c>
      <c r="H1501" s="37">
        <f>_xlfn.XLOOKUP(C1501&amp;F1501&amp;I1501&amp;J1501,'[1]2025年已发货'!$F:$F&amp;'[1]2025年已发货'!$C:$C&amp;'[1]2025年已发货'!$G:$G&amp;'[1]2025年已发货'!$H:$H,'[1]2025年已发货'!$E:$E,"未发货")</f>
        <v>20</v>
      </c>
      <c r="I1501" s="41" t="str">
        <f>VLOOKUP(B1501,辅助信息!E:I,3,FALSE)</f>
        <v>（商投建工达州中医药科技园-4工区-7号楼）达州市通川区达州中医药职业学院犀牛大道北段</v>
      </c>
      <c r="J1501" s="41" t="str">
        <f>VLOOKUP(B1501,辅助信息!E:I,4,FALSE)</f>
        <v>张扬</v>
      </c>
      <c r="K1501" s="41">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172</v>
      </c>
      <c r="Q1501" s="30" t="str">
        <f>VLOOKUP(B1501,辅助信息!E:M,9,FALSE)</f>
        <v>ZTWM-CDGS-XS-2024-0134-商投建工达州中医药科技成果示范园项目</v>
      </c>
      <c r="R1501" s="30" t="str">
        <f>_xlfn._xlws.FILTER(辅助信息!D:D,辅助信息!E:E=B1501)</f>
        <v>商投建工达州中医药科技园</v>
      </c>
    </row>
    <row r="1502" hidden="1" spans="2:18">
      <c r="B1502" s="41" t="s">
        <v>56</v>
      </c>
      <c r="C1502" s="71">
        <v>45787</v>
      </c>
      <c r="D1502" s="41" t="str">
        <f>VLOOKUP(B1502,辅助信息!E:K,7,FALSE)</f>
        <v>JWDDCD2025052800131</v>
      </c>
      <c r="E1502" s="41" t="str">
        <f>VLOOKUP(F1502,辅助信息!A:B,2,FALSE)</f>
        <v>螺纹钢</v>
      </c>
      <c r="F1502" s="41" t="s">
        <v>22</v>
      </c>
      <c r="G1502" s="37">
        <v>21</v>
      </c>
      <c r="H1502" s="37">
        <f>_xlfn.XLOOKUP(C1502&amp;F1502&amp;I1502&amp;J1502,'[1]2025年已发货'!$F:$F&amp;'[1]2025年已发货'!$C:$C&amp;'[1]2025年已发货'!$G:$G&amp;'[1]2025年已发货'!$H:$H,'[1]2025年已发货'!$E:$E,"未发货")</f>
        <v>25</v>
      </c>
      <c r="I1502" s="41" t="str">
        <f>VLOOKUP(B1502,辅助信息!E:I,3,FALSE)</f>
        <v>（商投建工达州中医药科技园-4工区-7号楼）达州市通川区达州中医药职业学院犀牛大道北段</v>
      </c>
      <c r="J1502" s="41" t="str">
        <f>VLOOKUP(B1502,辅助信息!E:I,4,FALSE)</f>
        <v>张扬</v>
      </c>
      <c r="K1502" s="41">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172</v>
      </c>
      <c r="Q1502" s="30" t="str">
        <f>VLOOKUP(B1502,辅助信息!E:M,9,FALSE)</f>
        <v>ZTWM-CDGS-XS-2024-0134-商投建工达州中医药科技成果示范园项目</v>
      </c>
      <c r="R1502" s="30" t="str">
        <f>_xlfn._xlws.FILTER(辅助信息!D:D,辅助信息!E:E=B1502)</f>
        <v>商投建工达州中医药科技园</v>
      </c>
    </row>
    <row r="1503" hidden="1" spans="1:18">
      <c r="A1503" s="83" t="s">
        <v>100</v>
      </c>
      <c r="B1503" s="41" t="s">
        <v>81</v>
      </c>
      <c r="C1503" s="71">
        <v>45787</v>
      </c>
      <c r="D1503" s="41" t="str">
        <f>VLOOKUP(B1503,辅助信息!E:K,7,FALSE)</f>
        <v>JWDDCD2025060900080</v>
      </c>
      <c r="E1503" s="41" t="str">
        <f>VLOOKUP(F1503,辅助信息!A:B,2,FALSE)</f>
        <v>高线</v>
      </c>
      <c r="F1503" s="41" t="s">
        <v>53</v>
      </c>
      <c r="G1503" s="37">
        <v>7</v>
      </c>
      <c r="H1503" s="37" t="str">
        <f>_xlfn.XLOOKUP(C1503&amp;F1503&amp;I1503&amp;J1503,'[1]2025年已发货'!$F:$F&amp;'[1]2025年已发货'!$C:$C&amp;'[1]2025年已发货'!$G:$G&amp;'[1]2025年已发货'!$H:$H,'[1]2025年已发货'!$E:$E,"未发货")</f>
        <v>未发货</v>
      </c>
      <c r="I1503" s="41" t="str">
        <f>VLOOKUP(B1503,辅助信息!E:I,3,FALSE)</f>
        <v>（华西简阳西城嘉苑）四川省成都市简阳市简城街道高屋村</v>
      </c>
      <c r="J1503" s="41" t="str">
        <f>VLOOKUP(B1503,辅助信息!E:I,4,FALSE)</f>
        <v>张瀚镭</v>
      </c>
      <c r="K1503" s="41">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172</v>
      </c>
      <c r="Q1503" s="30" t="str">
        <f>VLOOKUP(B1503,辅助信息!E:M,9,FALSE)</f>
        <v>ZTWM-CDGS-XS-2024-0030-华西集采-简州大道</v>
      </c>
      <c r="R1503" s="30" t="str">
        <f>_xlfn._xlws.FILTER(辅助信息!D:D,辅助信息!E:E=B1503)</f>
        <v>华西简阳西城嘉苑</v>
      </c>
    </row>
    <row r="1504" hidden="1" spans="1:18">
      <c r="A1504" s="83"/>
      <c r="B1504" s="41" t="s">
        <v>81</v>
      </c>
      <c r="C1504" s="71">
        <v>45787</v>
      </c>
      <c r="D1504" s="41" t="str">
        <f>VLOOKUP(B1504,辅助信息!E:K,7,FALSE)</f>
        <v>JWDDCD2025060900080</v>
      </c>
      <c r="E1504" s="41" t="str">
        <f>VLOOKUP(F1504,辅助信息!A:B,2,FALSE)</f>
        <v>盘螺</v>
      </c>
      <c r="F1504" s="41" t="s">
        <v>49</v>
      </c>
      <c r="G1504" s="37">
        <v>4</v>
      </c>
      <c r="H1504" s="37" t="str">
        <f>_xlfn.XLOOKUP(C1504&amp;F1504&amp;I1504&amp;J1504,'[1]2025年已发货'!$F:$F&amp;'[1]2025年已发货'!$C:$C&amp;'[1]2025年已发货'!$G:$G&amp;'[1]2025年已发货'!$H:$H,'[1]2025年已发货'!$E:$E,"未发货")</f>
        <v>未发货</v>
      </c>
      <c r="I1504" s="41" t="str">
        <f>VLOOKUP(B1504,辅助信息!E:I,3,FALSE)</f>
        <v>（华西简阳西城嘉苑）四川省成都市简阳市简城街道高屋村</v>
      </c>
      <c r="J1504" s="41" t="str">
        <f>VLOOKUP(B1504,辅助信息!E:I,4,FALSE)</f>
        <v>张瀚镭</v>
      </c>
      <c r="K1504" s="41">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171</v>
      </c>
      <c r="Q1504" s="30" t="str">
        <f>VLOOKUP(B1504,辅助信息!E:M,9,FALSE)</f>
        <v>ZTWM-CDGS-XS-2024-0030-华西集采-简州大道</v>
      </c>
      <c r="R1504" s="30" t="str">
        <f>_xlfn._xlws.FILTER(辅助信息!D:D,辅助信息!E:E=B1504)</f>
        <v>华西简阳西城嘉苑</v>
      </c>
    </row>
    <row r="1505" hidden="1" spans="1:18">
      <c r="A1505" s="83"/>
      <c r="B1505" s="41" t="s">
        <v>81</v>
      </c>
      <c r="C1505" s="71">
        <v>45787</v>
      </c>
      <c r="D1505" s="41" t="str">
        <f>VLOOKUP(B1505,辅助信息!E:K,7,FALSE)</f>
        <v>JWDDCD2025060900080</v>
      </c>
      <c r="E1505" s="41" t="str">
        <f>VLOOKUP(F1505,辅助信息!A:B,2,FALSE)</f>
        <v>盘螺</v>
      </c>
      <c r="F1505" s="41" t="s">
        <v>40</v>
      </c>
      <c r="G1505" s="37">
        <v>62</v>
      </c>
      <c r="H1505" s="37" t="str">
        <f>_xlfn.XLOOKUP(C1505&amp;F1505&amp;I1505&amp;J1505,'[1]2025年已发货'!$F:$F&amp;'[1]2025年已发货'!$C:$C&amp;'[1]2025年已发货'!$G:$G&amp;'[1]2025年已发货'!$H:$H,'[1]2025年已发货'!$E:$E,"未发货")</f>
        <v>未发货</v>
      </c>
      <c r="I1505" s="41" t="str">
        <f>VLOOKUP(B1505,辅助信息!E:I,3,FALSE)</f>
        <v>（华西简阳西城嘉苑）四川省成都市简阳市简城街道高屋村</v>
      </c>
      <c r="J1505" s="41" t="str">
        <f>VLOOKUP(B1505,辅助信息!E:I,4,FALSE)</f>
        <v>张瀚镭</v>
      </c>
      <c r="K1505" s="41">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171</v>
      </c>
      <c r="Q1505" s="30" t="str">
        <f>VLOOKUP(B1505,辅助信息!E:M,9,FALSE)</f>
        <v>ZTWM-CDGS-XS-2024-0030-华西集采-简州大道</v>
      </c>
      <c r="R1505" s="30" t="str">
        <f>_xlfn._xlws.FILTER(辅助信息!D:D,辅助信息!E:E=B1505)</f>
        <v>华西简阳西城嘉苑</v>
      </c>
    </row>
    <row r="1506" hidden="1" spans="1:18">
      <c r="A1506" s="83"/>
      <c r="B1506" s="41" t="s">
        <v>81</v>
      </c>
      <c r="C1506" s="71">
        <v>45787</v>
      </c>
      <c r="D1506" s="41" t="str">
        <f>VLOOKUP(B1506,辅助信息!E:K,7,FALSE)</f>
        <v>JWDDCD2025060900080</v>
      </c>
      <c r="E1506" s="41" t="str">
        <f>VLOOKUP(F1506,辅助信息!A:B,2,FALSE)</f>
        <v>盘螺</v>
      </c>
      <c r="F1506" s="41" t="s">
        <v>41</v>
      </c>
      <c r="G1506" s="37">
        <v>134.5</v>
      </c>
      <c r="H1506" s="37" t="str">
        <f>_xlfn.XLOOKUP(C1506&amp;F1506&amp;I1506&amp;J1506,'[1]2025年已发货'!$F:$F&amp;'[1]2025年已发货'!$C:$C&amp;'[1]2025年已发货'!$G:$G&amp;'[1]2025年已发货'!$H:$H,'[1]2025年已发货'!$E:$E,"未发货")</f>
        <v>未发货</v>
      </c>
      <c r="I1506" s="41" t="str">
        <f>VLOOKUP(B1506,辅助信息!E:I,3,FALSE)</f>
        <v>（华西简阳西城嘉苑）四川省成都市简阳市简城街道高屋村</v>
      </c>
      <c r="J1506" s="41" t="str">
        <f>VLOOKUP(B1506,辅助信息!E:I,4,FALSE)</f>
        <v>张瀚镭</v>
      </c>
      <c r="K1506" s="41">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172</v>
      </c>
      <c r="Q1506" s="30" t="str">
        <f>VLOOKUP(B1506,辅助信息!E:M,9,FALSE)</f>
        <v>ZTWM-CDGS-XS-2024-0030-华西集采-简州大道</v>
      </c>
      <c r="R1506" s="30" t="str">
        <f>_xlfn._xlws.FILTER(辅助信息!D:D,辅助信息!E:E=B1506)</f>
        <v>华西简阳西城嘉苑</v>
      </c>
    </row>
    <row r="1507" hidden="1" spans="1:18">
      <c r="A1507" s="83"/>
      <c r="B1507" s="41" t="s">
        <v>81</v>
      </c>
      <c r="C1507" s="71">
        <v>45787</v>
      </c>
      <c r="D1507" s="41" t="str">
        <f>VLOOKUP(B1507,辅助信息!E:K,7,FALSE)</f>
        <v>JWDDCD2025060900080</v>
      </c>
      <c r="E1507" s="41" t="str">
        <f>VLOOKUP(F1507,辅助信息!A:B,2,FALSE)</f>
        <v>盘螺</v>
      </c>
      <c r="F1507" s="41" t="s">
        <v>26</v>
      </c>
      <c r="G1507" s="37">
        <v>57</v>
      </c>
      <c r="H1507" s="37">
        <f>_xlfn.XLOOKUP(C1507&amp;F1507&amp;I1507&amp;J1507,'[1]2025年已发货'!$F:$F&amp;'[1]2025年已发货'!$C:$C&amp;'[1]2025年已发货'!$G:$G&amp;'[1]2025年已发货'!$H:$H,'[1]2025年已发货'!$E:$E,"未发货")</f>
        <v>57</v>
      </c>
      <c r="I1507" s="41" t="str">
        <f>VLOOKUP(B1507,辅助信息!E:I,3,FALSE)</f>
        <v>（华西简阳西城嘉苑）四川省成都市简阳市简城街道高屋村</v>
      </c>
      <c r="J1507" s="41" t="str">
        <f>VLOOKUP(B1507,辅助信息!E:I,4,FALSE)</f>
        <v>张瀚镭</v>
      </c>
      <c r="K1507" s="41">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172</v>
      </c>
      <c r="Q1507" s="30" t="str">
        <f>VLOOKUP(B1507,辅助信息!E:M,9,FALSE)</f>
        <v>ZTWM-CDGS-XS-2024-0030-华西集采-简州大道</v>
      </c>
      <c r="R1507" s="30" t="str">
        <f>_xlfn._xlws.FILTER(辅助信息!D:D,辅助信息!E:E=B1507)</f>
        <v>华西简阳西城嘉苑</v>
      </c>
    </row>
    <row r="1508" hidden="1" spans="1:18">
      <c r="A1508" s="83"/>
      <c r="B1508" s="41" t="s">
        <v>81</v>
      </c>
      <c r="C1508" s="71">
        <v>45787</v>
      </c>
      <c r="D1508" s="41" t="str">
        <f>VLOOKUP(B1508,辅助信息!E:K,7,FALSE)</f>
        <v>JWDDCD2025060900080</v>
      </c>
      <c r="E1508" s="41" t="str">
        <f>VLOOKUP(F1508,辅助信息!A:B,2,FALSE)</f>
        <v>螺纹钢</v>
      </c>
      <c r="F1508" s="41" t="s">
        <v>19</v>
      </c>
      <c r="G1508" s="37">
        <v>14</v>
      </c>
      <c r="H1508" s="37">
        <f>_xlfn.XLOOKUP(C1508&amp;F1508&amp;I1508&amp;J1508,'[1]2025年已发货'!$F:$F&amp;'[1]2025年已发货'!$C:$C&amp;'[1]2025年已发货'!$G:$G&amp;'[1]2025年已发货'!$H:$H,'[1]2025年已发货'!$E:$E,"未发货")</f>
        <v>14</v>
      </c>
      <c r="I1508" s="41" t="str">
        <f>VLOOKUP(B1508,辅助信息!E:I,3,FALSE)</f>
        <v>（华西简阳西城嘉苑）四川省成都市简阳市简城街道高屋村</v>
      </c>
      <c r="J1508" s="41" t="str">
        <f>VLOOKUP(B1508,辅助信息!E:I,4,FALSE)</f>
        <v>张瀚镭</v>
      </c>
      <c r="K1508" s="41">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172</v>
      </c>
      <c r="Q1508" s="30" t="str">
        <f>VLOOKUP(B1508,辅助信息!E:M,9,FALSE)</f>
        <v>ZTWM-CDGS-XS-2024-0030-华西集采-简州大道</v>
      </c>
      <c r="R1508" s="30" t="str">
        <f>_xlfn._xlws.FILTER(辅助信息!D:D,辅助信息!E:E=B1508)</f>
        <v>华西简阳西城嘉苑</v>
      </c>
    </row>
    <row r="1509" hidden="1" spans="1:18">
      <c r="A1509" s="83"/>
      <c r="B1509" s="41" t="s">
        <v>81</v>
      </c>
      <c r="C1509" s="71">
        <v>45787</v>
      </c>
      <c r="D1509" s="41" t="str">
        <f>VLOOKUP(B1509,辅助信息!E:K,7,FALSE)</f>
        <v>JWDDCD2025060900080</v>
      </c>
      <c r="E1509" s="41" t="str">
        <f>VLOOKUP(F1509,辅助信息!A:B,2,FALSE)</f>
        <v>螺纹钢</v>
      </c>
      <c r="F1509" s="41" t="s">
        <v>32</v>
      </c>
      <c r="G1509" s="37">
        <v>58.5</v>
      </c>
      <c r="H1509" s="37">
        <f>_xlfn.XLOOKUP(C1509&amp;F1509&amp;I1509&amp;J1509,'[1]2025年已发货'!$F:$F&amp;'[1]2025年已发货'!$C:$C&amp;'[1]2025年已发货'!$G:$G&amp;'[1]2025年已发货'!$H:$H,'[1]2025年已发货'!$E:$E,"未发货")</f>
        <v>57</v>
      </c>
      <c r="I1509" s="41" t="str">
        <f>VLOOKUP(B1509,辅助信息!E:I,3,FALSE)</f>
        <v>（华西简阳西城嘉苑）四川省成都市简阳市简城街道高屋村</v>
      </c>
      <c r="J1509" s="41" t="str">
        <f>VLOOKUP(B1509,辅助信息!E:I,4,FALSE)</f>
        <v>张瀚镭</v>
      </c>
      <c r="K1509" s="41">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172</v>
      </c>
      <c r="Q1509" s="30" t="str">
        <f>VLOOKUP(B1509,辅助信息!E:M,9,FALSE)</f>
        <v>ZTWM-CDGS-XS-2024-0030-华西集采-简州大道</v>
      </c>
      <c r="R1509" s="30" t="str">
        <f>_xlfn._xlws.FILTER(辅助信息!D:D,辅助信息!E:E=B1509)</f>
        <v>华西简阳西城嘉苑</v>
      </c>
    </row>
    <row r="1510" hidden="1" spans="1:18">
      <c r="A1510" s="83"/>
      <c r="B1510" s="41" t="s">
        <v>81</v>
      </c>
      <c r="C1510" s="71">
        <v>45787</v>
      </c>
      <c r="D1510" s="41" t="str">
        <f>VLOOKUP(B1510,辅助信息!E:K,7,FALSE)</f>
        <v>JWDDCD2025060900080</v>
      </c>
      <c r="E1510" s="41" t="str">
        <f>VLOOKUP(F1510,辅助信息!A:B,2,FALSE)</f>
        <v>螺纹钢</v>
      </c>
      <c r="F1510" s="41" t="s">
        <v>30</v>
      </c>
      <c r="G1510" s="37">
        <v>59</v>
      </c>
      <c r="H1510" s="37" t="str">
        <f>_xlfn.XLOOKUP(C1510&amp;F1510&amp;I1510&amp;J1510,'[1]2025年已发货'!$F:$F&amp;'[1]2025年已发货'!$C:$C&amp;'[1]2025年已发货'!$G:$G&amp;'[1]2025年已发货'!$H:$H,'[1]2025年已发货'!$E:$E,"未发货")</f>
        <v>未发货</v>
      </c>
      <c r="I1510" s="41" t="str">
        <f>VLOOKUP(B1510,辅助信息!E:I,3,FALSE)</f>
        <v>（华西简阳西城嘉苑）四川省成都市简阳市简城街道高屋村</v>
      </c>
      <c r="J1510" s="41" t="str">
        <f>VLOOKUP(B1510,辅助信息!E:I,4,FALSE)</f>
        <v>张瀚镭</v>
      </c>
      <c r="K1510" s="41">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172</v>
      </c>
      <c r="Q1510" s="30" t="str">
        <f>VLOOKUP(B1510,辅助信息!E:M,9,FALSE)</f>
        <v>ZTWM-CDGS-XS-2024-0030-华西集采-简州大道</v>
      </c>
      <c r="R1510" s="30" t="str">
        <f>_xlfn._xlws.FILTER(辅助信息!D:D,辅助信息!E:E=B1510)</f>
        <v>华西简阳西城嘉苑</v>
      </c>
    </row>
    <row r="1511" hidden="1" spans="1:18">
      <c r="A1511" s="83"/>
      <c r="B1511" s="41" t="s">
        <v>81</v>
      </c>
      <c r="C1511" s="71">
        <v>45787</v>
      </c>
      <c r="D1511" s="41" t="str">
        <f>VLOOKUP(B1511,辅助信息!E:K,7,FALSE)</f>
        <v>JWDDCD2025060900080</v>
      </c>
      <c r="E1511" s="41" t="str">
        <f>VLOOKUP(F1511,辅助信息!A:B,2,FALSE)</f>
        <v>螺纹钢</v>
      </c>
      <c r="F1511" s="41" t="s">
        <v>33</v>
      </c>
      <c r="G1511" s="37">
        <v>25.5</v>
      </c>
      <c r="H1511" s="37" t="str">
        <f>_xlfn.XLOOKUP(C1511&amp;F1511&amp;I1511&amp;J1511,'[1]2025年已发货'!$F:$F&amp;'[1]2025年已发货'!$C:$C&amp;'[1]2025年已发货'!$G:$G&amp;'[1]2025年已发货'!$H:$H,'[1]2025年已发货'!$E:$E,"未发货")</f>
        <v>未发货</v>
      </c>
      <c r="I1511" s="41" t="str">
        <f>VLOOKUP(B1511,辅助信息!E:I,3,FALSE)</f>
        <v>（华西简阳西城嘉苑）四川省成都市简阳市简城街道高屋村</v>
      </c>
      <c r="J1511" s="41" t="str">
        <f>VLOOKUP(B1511,辅助信息!E:I,4,FALSE)</f>
        <v>张瀚镭</v>
      </c>
      <c r="K1511" s="41">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172</v>
      </c>
      <c r="Q1511" s="30" t="str">
        <f>VLOOKUP(B1511,辅助信息!E:M,9,FALSE)</f>
        <v>ZTWM-CDGS-XS-2024-0030-华西集采-简州大道</v>
      </c>
      <c r="R1511" s="30" t="str">
        <f>_xlfn._xlws.FILTER(辅助信息!D:D,辅助信息!E:E=B1511)</f>
        <v>华西简阳西城嘉苑</v>
      </c>
    </row>
    <row r="1512" hidden="1" spans="1:18">
      <c r="A1512" s="83"/>
      <c r="B1512" s="41" t="s">
        <v>81</v>
      </c>
      <c r="C1512" s="71">
        <v>45787</v>
      </c>
      <c r="D1512" s="41" t="str">
        <f>VLOOKUP(B1512,辅助信息!E:K,7,FALSE)</f>
        <v>JWDDCD2025060900080</v>
      </c>
      <c r="E1512" s="41" t="str">
        <f>VLOOKUP(F1512,辅助信息!A:B,2,FALSE)</f>
        <v>螺纹钢</v>
      </c>
      <c r="F1512" s="41" t="s">
        <v>28</v>
      </c>
      <c r="G1512" s="37">
        <v>7</v>
      </c>
      <c r="H1512" s="37" t="str">
        <f>_xlfn.XLOOKUP(C1512&amp;F1512&amp;I1512&amp;J1512,'[1]2025年已发货'!$F:$F&amp;'[1]2025年已发货'!$C:$C&amp;'[1]2025年已发货'!$G:$G&amp;'[1]2025年已发货'!$H:$H,'[1]2025年已发货'!$E:$E,"未发货")</f>
        <v>未发货</v>
      </c>
      <c r="I1512" s="41" t="str">
        <f>VLOOKUP(B1512,辅助信息!E:I,3,FALSE)</f>
        <v>（华西简阳西城嘉苑）四川省成都市简阳市简城街道高屋村</v>
      </c>
      <c r="J1512" s="41" t="str">
        <f>VLOOKUP(B1512,辅助信息!E:I,4,FALSE)</f>
        <v>张瀚镭</v>
      </c>
      <c r="K1512" s="41">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172</v>
      </c>
      <c r="Q1512" s="30" t="str">
        <f>VLOOKUP(B1512,辅助信息!E:M,9,FALSE)</f>
        <v>ZTWM-CDGS-XS-2024-0030-华西集采-简州大道</v>
      </c>
      <c r="R1512" s="30" t="str">
        <f>_xlfn._xlws.FILTER(辅助信息!D:D,辅助信息!E:E=B1512)</f>
        <v>华西简阳西城嘉苑</v>
      </c>
    </row>
    <row r="1513" hidden="1" spans="1:18">
      <c r="A1513" s="83"/>
      <c r="B1513" s="41" t="s">
        <v>81</v>
      </c>
      <c r="C1513" s="71">
        <v>45787</v>
      </c>
      <c r="D1513" s="41" t="str">
        <f>VLOOKUP(B1513,辅助信息!E:K,7,FALSE)</f>
        <v>JWDDCD2025060900080</v>
      </c>
      <c r="E1513" s="41" t="str">
        <f>VLOOKUP(F1513,辅助信息!A:B,2,FALSE)</f>
        <v>螺纹钢</v>
      </c>
      <c r="F1513" s="41" t="s">
        <v>18</v>
      </c>
      <c r="G1513" s="37">
        <v>14.5</v>
      </c>
      <c r="H1513" s="37" t="str">
        <f>_xlfn.XLOOKUP(C1513&amp;F1513&amp;I1513&amp;J1513,'[1]2025年已发货'!$F:$F&amp;'[1]2025年已发货'!$C:$C&amp;'[1]2025年已发货'!$G:$G&amp;'[1]2025年已发货'!$H:$H,'[1]2025年已发货'!$E:$E,"未发货")</f>
        <v>未发货</v>
      </c>
      <c r="I1513" s="41" t="str">
        <f>VLOOKUP(B1513,辅助信息!E:I,3,FALSE)</f>
        <v>（华西简阳西城嘉苑）四川省成都市简阳市简城街道高屋村</v>
      </c>
      <c r="J1513" s="41" t="str">
        <f>VLOOKUP(B1513,辅助信息!E:I,4,FALSE)</f>
        <v>张瀚镭</v>
      </c>
      <c r="K1513" s="41">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172</v>
      </c>
      <c r="Q1513" s="30" t="str">
        <f>VLOOKUP(B1513,辅助信息!E:M,9,FALSE)</f>
        <v>ZTWM-CDGS-XS-2024-0030-华西集采-简州大道</v>
      </c>
      <c r="R1513" s="30" t="str">
        <f>_xlfn._xlws.FILTER(辅助信息!D:D,辅助信息!E:E=B1513)</f>
        <v>华西简阳西城嘉苑</v>
      </c>
    </row>
    <row r="1514" hidden="1" spans="1:18">
      <c r="A1514" s="83"/>
      <c r="B1514" s="41" t="s">
        <v>81</v>
      </c>
      <c r="C1514" s="71">
        <v>45787</v>
      </c>
      <c r="D1514" s="41" t="str">
        <f>VLOOKUP(B1514,辅助信息!E:K,7,FALSE)</f>
        <v>JWDDCD2025060900080</v>
      </c>
      <c r="E1514" s="41" t="str">
        <f>VLOOKUP(F1514,辅助信息!A:B,2,FALSE)</f>
        <v>螺纹钢</v>
      </c>
      <c r="F1514" s="41" t="s">
        <v>66</v>
      </c>
      <c r="G1514" s="37">
        <v>2.5</v>
      </c>
      <c r="H1514" s="37">
        <f>_xlfn.XLOOKUP(C1514&amp;F1514&amp;I1514&amp;J1514,'[1]2025年已发货'!$F:$F&amp;'[1]2025年已发货'!$C:$C&amp;'[1]2025年已发货'!$G:$G&amp;'[1]2025年已发货'!$H:$H,'[1]2025年已发货'!$E:$E,"未发货")</f>
        <v>3</v>
      </c>
      <c r="I1514" s="41" t="str">
        <f>VLOOKUP(B1514,辅助信息!E:I,3,FALSE)</f>
        <v>（华西简阳西城嘉苑）四川省成都市简阳市简城街道高屋村</v>
      </c>
      <c r="J1514" s="41" t="str">
        <f>VLOOKUP(B1514,辅助信息!E:I,4,FALSE)</f>
        <v>张瀚镭</v>
      </c>
      <c r="K1514" s="41">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171</v>
      </c>
      <c r="Q1514" s="30" t="str">
        <f>VLOOKUP(B1514,辅助信息!E:M,9,FALSE)</f>
        <v>ZTWM-CDGS-XS-2024-0030-华西集采-简州大道</v>
      </c>
      <c r="R1514" s="30" t="str">
        <f>_xlfn._xlws.FILTER(辅助信息!D:D,辅助信息!E:E=B1514)</f>
        <v>华西简阳西城嘉苑</v>
      </c>
    </row>
    <row r="1515" hidden="1" spans="1:18">
      <c r="A1515" s="83"/>
      <c r="B1515" s="41" t="s">
        <v>81</v>
      </c>
      <c r="C1515" s="71">
        <v>45787</v>
      </c>
      <c r="D1515" s="41" t="str">
        <f>VLOOKUP(B1515,辅助信息!E:K,7,FALSE)</f>
        <v>JWDDCD2025060900080</v>
      </c>
      <c r="E1515" s="41" t="str">
        <f>VLOOKUP(F1515,辅助信息!A:B,2,FALSE)</f>
        <v>螺纹钢</v>
      </c>
      <c r="F1515" s="41" t="s">
        <v>82</v>
      </c>
      <c r="G1515" s="37">
        <v>2.5</v>
      </c>
      <c r="H1515" s="37">
        <f>_xlfn.XLOOKUP(C1515&amp;F1515&amp;I1515&amp;J1515,'[1]2025年已发货'!$F:$F&amp;'[1]2025年已发货'!$C:$C&amp;'[1]2025年已发货'!$G:$G&amp;'[1]2025年已发货'!$H:$H,'[1]2025年已发货'!$E:$E,"未发货")</f>
        <v>3</v>
      </c>
      <c r="I1515" s="41" t="str">
        <f>VLOOKUP(B1515,辅助信息!E:I,3,FALSE)</f>
        <v>（华西简阳西城嘉苑）四川省成都市简阳市简城街道高屋村</v>
      </c>
      <c r="J1515" s="41" t="str">
        <f>VLOOKUP(B1515,辅助信息!E:I,4,FALSE)</f>
        <v>张瀚镭</v>
      </c>
      <c r="K1515" s="41">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171</v>
      </c>
      <c r="Q1515" s="30" t="str">
        <f>VLOOKUP(B1515,辅助信息!E:M,9,FALSE)</f>
        <v>ZTWM-CDGS-XS-2024-0030-华西集采-简州大道</v>
      </c>
      <c r="R1515" s="30" t="str">
        <f>_xlfn._xlws.FILTER(辅助信息!D:D,辅助信息!E:E=B1515)</f>
        <v>华西简阳西城嘉苑</v>
      </c>
    </row>
    <row r="1516" hidden="1" spans="1:18">
      <c r="A1516" s="83"/>
      <c r="B1516" s="41" t="s">
        <v>81</v>
      </c>
      <c r="C1516" s="71">
        <v>45787</v>
      </c>
      <c r="D1516" s="41" t="str">
        <f>VLOOKUP(B1516,辅助信息!E:K,7,FALSE)</f>
        <v>JWDDCD2025060900080</v>
      </c>
      <c r="E1516" s="41" t="str">
        <f>VLOOKUP(F1516,辅助信息!A:B,2,FALSE)</f>
        <v>螺纹钢</v>
      </c>
      <c r="F1516" s="41" t="s">
        <v>45</v>
      </c>
      <c r="G1516" s="37">
        <v>2.5</v>
      </c>
      <c r="H1516" s="37">
        <f>_xlfn.XLOOKUP(C1516&amp;F1516&amp;I1516&amp;J1516,'[1]2025年已发货'!$F:$F&amp;'[1]2025年已发货'!$C:$C&amp;'[1]2025年已发货'!$G:$G&amp;'[1]2025年已发货'!$H:$H,'[1]2025年已发货'!$E:$E,"未发货")</f>
        <v>3</v>
      </c>
      <c r="I1516" s="41" t="str">
        <f>VLOOKUP(B1516,辅助信息!E:I,3,FALSE)</f>
        <v>（华西简阳西城嘉苑）四川省成都市简阳市简城街道高屋村</v>
      </c>
      <c r="J1516" s="41" t="str">
        <f>VLOOKUP(B1516,辅助信息!E:I,4,FALSE)</f>
        <v>张瀚镭</v>
      </c>
      <c r="K1516" s="41">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171</v>
      </c>
      <c r="Q1516" s="30" t="str">
        <f>VLOOKUP(B1516,辅助信息!E:M,9,FALSE)</f>
        <v>ZTWM-CDGS-XS-2024-0030-华西集采-简州大道</v>
      </c>
      <c r="R1516" s="30" t="str">
        <f>_xlfn._xlws.FILTER(辅助信息!D:D,辅助信息!E:E=B1516)</f>
        <v>华西简阳西城嘉苑</v>
      </c>
    </row>
    <row r="1517" hidden="1" spans="1:18">
      <c r="A1517" s="83"/>
      <c r="B1517" s="41" t="s">
        <v>81</v>
      </c>
      <c r="C1517" s="71">
        <v>45787</v>
      </c>
      <c r="D1517" s="41" t="str">
        <f>VLOOKUP(B1517,辅助信息!E:K,7,FALSE)</f>
        <v>JWDDCD2025060900080</v>
      </c>
      <c r="E1517" s="41" t="str">
        <f>VLOOKUP(F1517,辅助信息!A:B,2,FALSE)</f>
        <v>螺纹钢</v>
      </c>
      <c r="F1517" s="41" t="s">
        <v>21</v>
      </c>
      <c r="G1517" s="37">
        <v>2.5</v>
      </c>
      <c r="H1517" s="37" t="str">
        <f>_xlfn.XLOOKUP(C1517&amp;F1517&amp;I1517&amp;J1517,'[1]2025年已发货'!$F:$F&amp;'[1]2025年已发货'!$C:$C&amp;'[1]2025年已发货'!$G:$G&amp;'[1]2025年已发货'!$H:$H,'[1]2025年已发货'!$E:$E,"未发货")</f>
        <v>未发货</v>
      </c>
      <c r="I1517" s="41" t="str">
        <f>VLOOKUP(B1517,辅助信息!E:I,3,FALSE)</f>
        <v>（华西简阳西城嘉苑）四川省成都市简阳市简城街道高屋村</v>
      </c>
      <c r="J1517" s="41" t="str">
        <f>VLOOKUP(B1517,辅助信息!E:I,4,FALSE)</f>
        <v>张瀚镭</v>
      </c>
      <c r="K1517" s="41">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171</v>
      </c>
      <c r="Q1517" s="30" t="str">
        <f>VLOOKUP(B1517,辅助信息!E:M,9,FALSE)</f>
        <v>ZTWM-CDGS-XS-2024-0030-华西集采-简州大道</v>
      </c>
      <c r="R1517" s="30" t="str">
        <f>_xlfn._xlws.FILTER(辅助信息!D:D,辅助信息!E:E=B1517)</f>
        <v>华西简阳西城嘉苑</v>
      </c>
    </row>
    <row r="1518" hidden="1" spans="1:18">
      <c r="A1518" s="83"/>
      <c r="B1518" s="41" t="s">
        <v>81</v>
      </c>
      <c r="C1518" s="71">
        <v>45787</v>
      </c>
      <c r="D1518" s="41" t="str">
        <f>VLOOKUP(B1518,辅助信息!E:K,7,FALSE)</f>
        <v>JWDDCD2025060900080</v>
      </c>
      <c r="E1518" s="41" t="str">
        <f>VLOOKUP(F1518,辅助信息!A:B,2,FALSE)</f>
        <v>螺纹钢</v>
      </c>
      <c r="F1518" s="41" t="s">
        <v>58</v>
      </c>
      <c r="G1518" s="37">
        <v>3.5</v>
      </c>
      <c r="H1518" s="37">
        <f>_xlfn.XLOOKUP(C1518&amp;F1518&amp;I1518&amp;J1518,'[1]2025年已发货'!$F:$F&amp;'[1]2025年已发货'!$C:$C&amp;'[1]2025年已发货'!$G:$G&amp;'[1]2025年已发货'!$H:$H,'[1]2025年已发货'!$E:$E,"未发货")</f>
        <v>3</v>
      </c>
      <c r="I1518" s="41" t="str">
        <f>VLOOKUP(B1518,辅助信息!E:I,3,FALSE)</f>
        <v>（华西简阳西城嘉苑）四川省成都市简阳市简城街道高屋村</v>
      </c>
      <c r="J1518" s="41" t="str">
        <f>VLOOKUP(B1518,辅助信息!E:I,4,FALSE)</f>
        <v>张瀚镭</v>
      </c>
      <c r="K1518" s="41">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171</v>
      </c>
      <c r="Q1518" s="30" t="str">
        <f>VLOOKUP(B1518,辅助信息!E:M,9,FALSE)</f>
        <v>ZTWM-CDGS-XS-2024-0030-华西集采-简州大道</v>
      </c>
      <c r="R1518" s="30" t="str">
        <f>_xlfn._xlws.FILTER(辅助信息!D:D,辅助信息!E:E=B1518)</f>
        <v>华西简阳西城嘉苑</v>
      </c>
    </row>
    <row r="1519" hidden="1" spans="1:18">
      <c r="A1519" s="83"/>
      <c r="B1519" s="41" t="s">
        <v>81</v>
      </c>
      <c r="C1519" s="71">
        <v>45787</v>
      </c>
      <c r="D1519" s="41" t="str">
        <f>VLOOKUP(B1519,辅助信息!E:K,7,FALSE)</f>
        <v>JWDDCD2025060900080</v>
      </c>
      <c r="E1519" s="41" t="str">
        <f>VLOOKUP(F1519,辅助信息!A:B,2,FALSE)</f>
        <v>螺纹钢</v>
      </c>
      <c r="F1519" s="41" t="s">
        <v>46</v>
      </c>
      <c r="G1519" s="37">
        <v>8.5</v>
      </c>
      <c r="H1519" s="37" t="str">
        <f>_xlfn.XLOOKUP(C1519&amp;F1519&amp;I1519&amp;J1519,'[1]2025年已发货'!$F:$F&amp;'[1]2025年已发货'!$C:$C&amp;'[1]2025年已发货'!$G:$G&amp;'[1]2025年已发货'!$H:$H,'[1]2025年已发货'!$E:$E,"未发货")</f>
        <v>未发货</v>
      </c>
      <c r="I1519" s="41" t="str">
        <f>VLOOKUP(B1519,辅助信息!E:I,3,FALSE)</f>
        <v>（华西简阳西城嘉苑）四川省成都市简阳市简城街道高屋村</v>
      </c>
      <c r="J1519" s="41" t="str">
        <f>VLOOKUP(B1519,辅助信息!E:I,4,FALSE)</f>
        <v>张瀚镭</v>
      </c>
      <c r="K1519" s="41">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171</v>
      </c>
      <c r="Q1519" s="30" t="str">
        <f>VLOOKUP(B1519,辅助信息!E:M,9,FALSE)</f>
        <v>ZTWM-CDGS-XS-2024-0030-华西集采-简州大道</v>
      </c>
      <c r="R1519" s="30" t="str">
        <f>_xlfn._xlws.FILTER(辅助信息!D:D,辅助信息!E:E=B1519)</f>
        <v>华西简阳西城嘉苑</v>
      </c>
    </row>
    <row r="1520" hidden="1" spans="1:18">
      <c r="A1520" s="83"/>
      <c r="B1520" s="41" t="s">
        <v>81</v>
      </c>
      <c r="C1520" s="71">
        <v>45787</v>
      </c>
      <c r="D1520" s="41" t="str">
        <f>VLOOKUP(B1520,辅助信息!E:K,7,FALSE)</f>
        <v>JWDDCD2025060900080</v>
      </c>
      <c r="E1520" s="41" t="str">
        <f>VLOOKUP(F1520,辅助信息!A:B,2,FALSE)</f>
        <v>螺纹钢</v>
      </c>
      <c r="F1520" s="41" t="s">
        <v>22</v>
      </c>
      <c r="G1520" s="37">
        <v>4.5</v>
      </c>
      <c r="H1520" s="37">
        <f>_xlfn.XLOOKUP(C1520&amp;F1520&amp;I1520&amp;J1520,'[1]2025年已发货'!$F:$F&amp;'[1]2025年已发货'!$C:$C&amp;'[1]2025年已发货'!$G:$G&amp;'[1]2025年已发货'!$H:$H,'[1]2025年已发货'!$E:$E,"未发货")</f>
        <v>3</v>
      </c>
      <c r="I1520" s="41" t="str">
        <f>VLOOKUP(B1520,辅助信息!E:I,3,FALSE)</f>
        <v>（华西简阳西城嘉苑）四川省成都市简阳市简城街道高屋村</v>
      </c>
      <c r="J1520" s="41" t="str">
        <f>VLOOKUP(B1520,辅助信息!E:I,4,FALSE)</f>
        <v>张瀚镭</v>
      </c>
      <c r="K1520" s="41">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171</v>
      </c>
      <c r="Q1520" s="30" t="str">
        <f>VLOOKUP(B1520,辅助信息!E:M,9,FALSE)</f>
        <v>ZTWM-CDGS-XS-2024-0030-华西集采-简州大道</v>
      </c>
      <c r="R1520" s="30" t="str">
        <f>_xlfn._xlws.FILTER(辅助信息!D:D,辅助信息!E:E=B1520)</f>
        <v>华西简阳西城嘉苑</v>
      </c>
    </row>
    <row r="1521" hidden="1" spans="1:18">
      <c r="A1521" s="83" t="s">
        <v>100</v>
      </c>
      <c r="B1521" s="41" t="s">
        <v>31</v>
      </c>
      <c r="C1521" s="71">
        <v>45787</v>
      </c>
      <c r="D1521" s="41" t="str">
        <f>VLOOKUP(B1521,辅助信息!E:K,7,FALSE)</f>
        <v>JWDDCD2024121000136</v>
      </c>
      <c r="E1521" s="41" t="str">
        <f>VLOOKUP(F1521,辅助信息!A:B,2,FALSE)</f>
        <v>盘螺</v>
      </c>
      <c r="F1521" s="41" t="s">
        <v>49</v>
      </c>
      <c r="G1521" s="37">
        <v>35</v>
      </c>
      <c r="H1521" s="37" t="str">
        <f>_xlfn.XLOOKUP(C1521&amp;F1521&amp;I1521&amp;J1521,'[1]2025年已发货'!$F:$F&amp;'[1]2025年已发货'!$C:$C&amp;'[1]2025年已发货'!$G:$G&amp;'[1]2025年已发货'!$H:$H,'[1]2025年已发货'!$E:$E,"未发货")</f>
        <v>未发货</v>
      </c>
      <c r="I1521" s="41" t="str">
        <f>VLOOKUP(B1521,辅助信息!E:I,3,FALSE)</f>
        <v>（四川商建-射洪城乡一体化项目）遂宁市射洪市忠新幼儿园北侧约220米新溪小区</v>
      </c>
      <c r="J1521" s="41" t="str">
        <f>VLOOKUP(B1521,辅助信息!E:I,4,FALSE)</f>
        <v>柏子刚</v>
      </c>
      <c r="K1521" s="41">
        <f>VLOOKUP(J1521,辅助信息!H:I,2,FALSE)</f>
        <v>15692885305</v>
      </c>
      <c r="L1521" s="110" t="str">
        <f>VLOOKUP(B1521,辅助信息!E:J,6,FALSE)</f>
        <v>提前联系到场规格及数量</v>
      </c>
      <c r="M1521" s="92">
        <v>45788</v>
      </c>
      <c r="O1521" s="63">
        <f ca="1" t="shared" si="76"/>
        <v>0</v>
      </c>
      <c r="P1521" s="63">
        <f ca="1" t="shared" si="77"/>
        <v>171</v>
      </c>
      <c r="Q1521" s="30" t="str">
        <f>VLOOKUP(B1521,辅助信息!E:M,9,FALSE)</f>
        <v>ZTWM-CDGS-XS-2024-0179-四川商投-射洪城乡一体化建设项目</v>
      </c>
      <c r="R1521" s="30" t="str">
        <f>_xlfn._xlws.FILTER(辅助信息!D:D,辅助信息!E:E=B1521)</f>
        <v>四川商建
射洪城乡一体化项目</v>
      </c>
    </row>
    <row r="1522" hidden="1" spans="2:18">
      <c r="B1522" s="41" t="s">
        <v>150</v>
      </c>
      <c r="C1522" s="71">
        <v>45787</v>
      </c>
      <c r="D1522" s="41" t="str">
        <f>VLOOKUP(B1522,辅助信息!E:K,7,FALSE)</f>
        <v>JWDDCD2025050800101</v>
      </c>
      <c r="E1522" s="41" t="str">
        <f>VLOOKUP(F1522,辅助信息!A:B,2,FALSE)</f>
        <v>螺纹钢</v>
      </c>
      <c r="F1522" s="41" t="s">
        <v>28</v>
      </c>
      <c r="G1522" s="37">
        <v>27</v>
      </c>
      <c r="H1522" s="37" t="str">
        <f>_xlfn.XLOOKUP(C1522&amp;F1522&amp;I1522&amp;J1522,'[1]2025年已发货'!$F:$F&amp;'[1]2025年已发货'!$C:$C&amp;'[1]2025年已发货'!$G:$G&amp;'[1]2025年已发货'!$H:$H,'[1]2025年已发货'!$E:$E,"未发货")</f>
        <v>未发货</v>
      </c>
      <c r="I1522" s="41" t="str">
        <f>VLOOKUP(B1522,辅助信息!E:I,3,FALSE)</f>
        <v>(中铁科研院宜宾泥溪项目)中铁科研院集团有限公司宜宾市泥溪东互通式立交下穿成贵客专铁路工程项目钢筋加工厂</v>
      </c>
      <c r="J1522" s="41" t="str">
        <f>VLOOKUP(B1522,辅助信息!E:I,4,FALSE)</f>
        <v>蔡鹏</v>
      </c>
      <c r="K1522" s="41">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167</v>
      </c>
      <c r="Q1522" s="30" t="str">
        <f>VLOOKUP(B1522,辅助信息!E:M,9,FALSE)</f>
        <v>ZTWM-CDGS-XS-2025-0050-中铁科研院-宜宾泥溪项目</v>
      </c>
      <c r="R1522" s="30" t="str">
        <f>_xlfn._xlws.FILTER(辅助信息!D:D,辅助信息!E:E=B1522)</f>
        <v>中铁科研院宜宾泥溪项目</v>
      </c>
    </row>
    <row r="1523" hidden="1" spans="2:18">
      <c r="B1523" s="41" t="s">
        <v>150</v>
      </c>
      <c r="C1523" s="71">
        <v>45787</v>
      </c>
      <c r="D1523" s="41" t="str">
        <f>VLOOKUP(B1523,辅助信息!E:K,7,FALSE)</f>
        <v>JWDDCD2025050800101</v>
      </c>
      <c r="E1523" s="41" t="str">
        <f>VLOOKUP(F1523,辅助信息!A:B,2,FALSE)</f>
        <v>螺纹钢</v>
      </c>
      <c r="F1523" s="41" t="s">
        <v>65</v>
      </c>
      <c r="G1523" s="37">
        <v>36</v>
      </c>
      <c r="H1523" s="37" t="str">
        <f>_xlfn.XLOOKUP(C1523&amp;F1523&amp;I1523&amp;J1523,'[1]2025年已发货'!$F:$F&amp;'[1]2025年已发货'!$C:$C&amp;'[1]2025年已发货'!$G:$G&amp;'[1]2025年已发货'!$H:$H,'[1]2025年已发货'!$E:$E,"未发货")</f>
        <v>未发货</v>
      </c>
      <c r="I1523" s="41" t="str">
        <f>VLOOKUP(B1523,辅助信息!E:I,3,FALSE)</f>
        <v>(中铁科研院宜宾泥溪项目)中铁科研院集团有限公司宜宾市泥溪东互通式立交下穿成贵客专铁路工程项目钢筋加工厂</v>
      </c>
      <c r="J1523" s="41" t="str">
        <f>VLOOKUP(B1523,辅助信息!E:I,4,FALSE)</f>
        <v>蔡鹏</v>
      </c>
      <c r="K1523" s="41">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167</v>
      </c>
      <c r="Q1523" s="30" t="str">
        <f>VLOOKUP(B1523,辅助信息!E:M,9,FALSE)</f>
        <v>ZTWM-CDGS-XS-2025-0050-中铁科研院-宜宾泥溪项目</v>
      </c>
      <c r="R1523" s="30" t="str">
        <f>_xlfn._xlws.FILTER(辅助信息!D:D,辅助信息!E:E=B1523)</f>
        <v>中铁科研院宜宾泥溪项目</v>
      </c>
    </row>
    <row r="1524" hidden="1" spans="2:18">
      <c r="B1524" s="41" t="s">
        <v>150</v>
      </c>
      <c r="C1524" s="71">
        <v>45787</v>
      </c>
      <c r="D1524" s="41" t="str">
        <f>VLOOKUP(B1524,辅助信息!E:K,7,FALSE)</f>
        <v>JWDDCD2025050800101</v>
      </c>
      <c r="E1524" s="41" t="str">
        <f>VLOOKUP(F1524,辅助信息!A:B,2,FALSE)</f>
        <v>螺纹钢</v>
      </c>
      <c r="F1524" s="41" t="s">
        <v>32</v>
      </c>
      <c r="G1524" s="37">
        <v>6</v>
      </c>
      <c r="H1524" s="37" t="str">
        <f>_xlfn.XLOOKUP(C1524&amp;F1524&amp;I1524&amp;J1524,'[1]2025年已发货'!$F:$F&amp;'[1]2025年已发货'!$C:$C&amp;'[1]2025年已发货'!$G:$G&amp;'[1]2025年已发货'!$H:$H,'[1]2025年已发货'!$E:$E,"未发货")</f>
        <v>未发货</v>
      </c>
      <c r="I1524" s="41" t="str">
        <f>VLOOKUP(B1524,辅助信息!E:I,3,FALSE)</f>
        <v>(中铁科研院宜宾泥溪项目)中铁科研院集团有限公司宜宾市泥溪东互通式立交下穿成贵客专铁路工程项目钢筋加工厂</v>
      </c>
      <c r="J1524" s="41" t="str">
        <f>VLOOKUP(B1524,辅助信息!E:I,4,FALSE)</f>
        <v>蔡鹏</v>
      </c>
      <c r="K1524" s="41">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167</v>
      </c>
      <c r="Q1524" s="30" t="str">
        <f>VLOOKUP(B1524,辅助信息!E:M,9,FALSE)</f>
        <v>ZTWM-CDGS-XS-2025-0050-中铁科研院-宜宾泥溪项目</v>
      </c>
      <c r="R1524" s="30" t="str">
        <f>_xlfn._xlws.FILTER(辅助信息!D:D,辅助信息!E:E=B1524)</f>
        <v>中铁科研院宜宾泥溪项目</v>
      </c>
    </row>
    <row r="1525" hidden="1" spans="2:18">
      <c r="B1525" s="41" t="s">
        <v>147</v>
      </c>
      <c r="C1525" s="71">
        <v>45788</v>
      </c>
      <c r="D1525" s="41" t="str">
        <f>VLOOKUP(B1525,辅助信息!E:K,7,FALSE)</f>
        <v>JWDDCD2025052800131</v>
      </c>
      <c r="E1525" s="41" t="str">
        <f>VLOOKUP(F1525,辅助信息!A:B,2,FALSE)</f>
        <v>高线</v>
      </c>
      <c r="F1525" s="41" t="s">
        <v>57</v>
      </c>
      <c r="G1525" s="37">
        <v>7.5</v>
      </c>
      <c r="H1525" s="37" t="str">
        <f>_xlfn.XLOOKUP(C1525&amp;F1525&amp;I1525&amp;J1525,'[1]2025年已发货'!$F:$F&amp;'[1]2025年已发货'!$C:$C&amp;'[1]2025年已发货'!$G:$G&amp;'[1]2025年已发货'!$H:$H,'[1]2025年已发货'!$E:$E,"未发货")</f>
        <v>未发货</v>
      </c>
      <c r="I1525" s="41" t="str">
        <f>VLOOKUP(B1525,辅助信息!E:I,3,FALSE)</f>
        <v>（商投建工达州中医药科技园-4工区-11号楼）达州市通川区达州中医药职业学院犀牛大道北段</v>
      </c>
      <c r="J1525" s="41" t="str">
        <f>VLOOKUP(B1525,辅助信息!E:I,4,FALSE)</f>
        <v>张扬</v>
      </c>
      <c r="K1525" s="41">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175</v>
      </c>
      <c r="Q1525" s="30" t="str">
        <f>VLOOKUP(B1525,辅助信息!E:M,9,FALSE)</f>
        <v>ZTWM-CDGS-XS-2024-0134-商投建工达州中医药科技成果示范园项目</v>
      </c>
      <c r="R1525" s="30" t="str">
        <f>_xlfn._xlws.FILTER(辅助信息!D:D,辅助信息!E:E=B1525)</f>
        <v>商投建工达州中医药科技园</v>
      </c>
    </row>
    <row r="1526" hidden="1" spans="2:18">
      <c r="B1526" s="41" t="s">
        <v>147</v>
      </c>
      <c r="C1526" s="71">
        <v>45788</v>
      </c>
      <c r="D1526" s="41" t="str">
        <f>VLOOKUP(B1526,辅助信息!E:K,7,FALSE)</f>
        <v>JWDDCD2025052800131</v>
      </c>
      <c r="E1526" s="41" t="str">
        <f>VLOOKUP(F1526,辅助信息!A:B,2,FALSE)</f>
        <v>螺纹钢</v>
      </c>
      <c r="F1526" s="41" t="s">
        <v>30</v>
      </c>
      <c r="G1526" s="37">
        <v>7</v>
      </c>
      <c r="H1526" s="37" t="str">
        <f>_xlfn.XLOOKUP(C1526&amp;F1526&amp;I1526&amp;J1526,'[1]2025年已发货'!$F:$F&amp;'[1]2025年已发货'!$C:$C&amp;'[1]2025年已发货'!$G:$G&amp;'[1]2025年已发货'!$H:$H,'[1]2025年已发货'!$E:$E,"未发货")</f>
        <v>未发货</v>
      </c>
      <c r="I1526" s="41" t="str">
        <f>VLOOKUP(B1526,辅助信息!E:I,3,FALSE)</f>
        <v>（商投建工达州中医药科技园-4工区-11号楼）达州市通川区达州中医药职业学院犀牛大道北段</v>
      </c>
      <c r="J1526" s="41" t="str">
        <f>VLOOKUP(B1526,辅助信息!E:I,4,FALSE)</f>
        <v>张扬</v>
      </c>
      <c r="K1526" s="41">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175</v>
      </c>
      <c r="Q1526" s="30" t="str">
        <f>VLOOKUP(B1526,辅助信息!E:M,9,FALSE)</f>
        <v>ZTWM-CDGS-XS-2024-0134-商投建工达州中医药科技成果示范园项目</v>
      </c>
      <c r="R1526" s="30" t="str">
        <f>_xlfn._xlws.FILTER(辅助信息!D:D,辅助信息!E:E=B1526)</f>
        <v>商投建工达州中医药科技园</v>
      </c>
    </row>
    <row r="1527" hidden="1" spans="1:18">
      <c r="A1527" s="58" t="s">
        <v>100</v>
      </c>
      <c r="B1527" s="41" t="s">
        <v>106</v>
      </c>
      <c r="C1527" s="71">
        <v>45788</v>
      </c>
      <c r="D1527" s="41" t="str">
        <f>VLOOKUP(B1527,辅助信息!E:K,7,FALSE)</f>
        <v>JWDDCD2024101600133</v>
      </c>
      <c r="E1527" s="41" t="str">
        <f>VLOOKUP(F1527,辅助信息!A:B,2,FALSE)</f>
        <v>盘螺</v>
      </c>
      <c r="F1527" s="41" t="s">
        <v>40</v>
      </c>
      <c r="G1527" s="37">
        <v>57.5</v>
      </c>
      <c r="H1527" s="37">
        <f>_xlfn.XLOOKUP(C1527&amp;F1527&amp;I1527&amp;J1527,'[1]2025年已发货'!$F:$F&amp;'[1]2025年已发货'!$C:$C&amp;'[1]2025年已发货'!$G:$G&amp;'[1]2025年已发货'!$H:$H,'[1]2025年已发货'!$E:$E,"未发货")</f>
        <v>35</v>
      </c>
      <c r="I1527" s="41" t="str">
        <f>VLOOKUP(B1527,辅助信息!E:I,3,FALSE)</f>
        <v>（五冶钢构宜宾高县月江镇建设项目）  四川省宜宾市高县月江镇刚记超市斜对面(还阳组团沪碳二期项目)</v>
      </c>
      <c r="J1527" s="41" t="str">
        <f>VLOOKUP(B1527,辅助信息!E:I,4,FALSE)</f>
        <v>张朝亮</v>
      </c>
      <c r="K1527" s="41">
        <f>VLOOKUP(J1527,辅助信息!H:I,2,FALSE)</f>
        <v>15228205853</v>
      </c>
      <c r="L1527" s="110" t="str">
        <f>VLOOKUP(B1527,辅助信息!E:J,6,FALSE)</f>
        <v>提前联系到场规格</v>
      </c>
      <c r="M1527" s="92">
        <v>45785</v>
      </c>
      <c r="O1527" s="63">
        <f ca="1" t="shared" si="78"/>
        <v>0</v>
      </c>
      <c r="P1527" s="63">
        <f ca="1" t="shared" si="77"/>
        <v>174</v>
      </c>
      <c r="Q1527" s="30" t="str">
        <f>VLOOKUP(B1527,辅助信息!E:M,9,FALSE)</f>
        <v>ZTWM-CDGS-XS-2024-0169-中冶西部钢构-宜宾市南溪区幸福路东路,高县月江镇建设项目</v>
      </c>
      <c r="R1527" s="30" t="str">
        <f>_xlfn._xlws.FILTER(辅助信息!D:D,辅助信息!E:E=B1527)</f>
        <v>五冶钢构-宜宾市南溪区高县月江镇建设项目</v>
      </c>
    </row>
    <row r="1528" hidden="1" spans="2:18">
      <c r="B1528" s="41" t="s">
        <v>106</v>
      </c>
      <c r="C1528" s="71">
        <v>45788</v>
      </c>
      <c r="D1528" s="41" t="str">
        <f>VLOOKUP(B1528,辅助信息!E:K,7,FALSE)</f>
        <v>JWDDCD2024101600133</v>
      </c>
      <c r="E1528" s="41" t="str">
        <f>VLOOKUP(F1528,辅助信息!A:B,2,FALSE)</f>
        <v>螺纹钢</v>
      </c>
      <c r="F1528" s="41" t="s">
        <v>27</v>
      </c>
      <c r="G1528" s="37">
        <v>9</v>
      </c>
      <c r="H1528" s="37">
        <f>_xlfn.XLOOKUP(C1528&amp;F1528&amp;I1528&amp;J1528,'[1]2025年已发货'!$F:$F&amp;'[1]2025年已发货'!$C:$C&amp;'[1]2025年已发货'!$G:$G&amp;'[1]2025年已发货'!$H:$H,'[1]2025年已发货'!$E:$E,"未发货")</f>
        <v>9</v>
      </c>
      <c r="I1528" s="41" t="str">
        <f>VLOOKUP(B1528,辅助信息!E:I,3,FALSE)</f>
        <v>（五冶钢构宜宾高县月江镇建设项目）  四川省宜宾市高县月江镇刚记超市斜对面(还阳组团沪碳二期项目)</v>
      </c>
      <c r="J1528" s="41" t="str">
        <f>VLOOKUP(B1528,辅助信息!E:I,4,FALSE)</f>
        <v>张朝亮</v>
      </c>
      <c r="K1528" s="41">
        <f>VLOOKUP(J1528,辅助信息!H:I,2,FALSE)</f>
        <v>15228205853</v>
      </c>
      <c r="L1528" s="110" t="str">
        <f>VLOOKUP(B1528,辅助信息!E:J,6,FALSE)</f>
        <v>提前联系到场规格</v>
      </c>
      <c r="M1528" s="92">
        <v>45785</v>
      </c>
      <c r="O1528" s="63">
        <f ca="1" t="shared" si="78"/>
        <v>0</v>
      </c>
      <c r="P1528" s="63">
        <f ca="1" t="shared" si="77"/>
        <v>174</v>
      </c>
      <c r="Q1528" s="30" t="str">
        <f>VLOOKUP(B1528,辅助信息!E:M,9,FALSE)</f>
        <v>ZTWM-CDGS-XS-2024-0169-中冶西部钢构-宜宾市南溪区幸福路东路,高县月江镇建设项目</v>
      </c>
      <c r="R1528" s="30" t="str">
        <f>_xlfn._xlws.FILTER(辅助信息!D:D,辅助信息!E:E=B1528)</f>
        <v>五冶钢构-宜宾市南溪区高县月江镇建设项目</v>
      </c>
    </row>
    <row r="1529" hidden="1" spans="2:18">
      <c r="B1529" s="41" t="s">
        <v>106</v>
      </c>
      <c r="C1529" s="71">
        <v>45788</v>
      </c>
      <c r="D1529" s="41" t="str">
        <f>VLOOKUP(B1529,辅助信息!E:K,7,FALSE)</f>
        <v>JWDDCD2024101600133</v>
      </c>
      <c r="E1529" s="41" t="str">
        <f>VLOOKUP(F1529,辅助信息!A:B,2,FALSE)</f>
        <v>螺纹钢</v>
      </c>
      <c r="F1529" s="41" t="s">
        <v>19</v>
      </c>
      <c r="G1529" s="37">
        <v>9</v>
      </c>
      <c r="H1529" s="37">
        <f>_xlfn.XLOOKUP(C1529&amp;F1529&amp;I1529&amp;J1529,'[1]2025年已发货'!$F:$F&amp;'[1]2025年已发货'!$C:$C&amp;'[1]2025年已发货'!$G:$G&amp;'[1]2025年已发货'!$H:$H,'[1]2025年已发货'!$E:$E,"未发货")</f>
        <v>9</v>
      </c>
      <c r="I1529" s="41" t="str">
        <f>VLOOKUP(B1529,辅助信息!E:I,3,FALSE)</f>
        <v>（五冶钢构宜宾高县月江镇建设项目）  四川省宜宾市高县月江镇刚记超市斜对面(还阳组团沪碳二期项目)</v>
      </c>
      <c r="J1529" s="41" t="str">
        <f>VLOOKUP(B1529,辅助信息!E:I,4,FALSE)</f>
        <v>张朝亮</v>
      </c>
      <c r="K1529" s="41">
        <f>VLOOKUP(J1529,辅助信息!H:I,2,FALSE)</f>
        <v>15228205853</v>
      </c>
      <c r="L1529" s="110" t="str">
        <f>VLOOKUP(B1529,辅助信息!E:J,6,FALSE)</f>
        <v>提前联系到场规格</v>
      </c>
      <c r="M1529" s="92">
        <v>45785</v>
      </c>
      <c r="O1529" s="63">
        <f ca="1" t="shared" si="78"/>
        <v>0</v>
      </c>
      <c r="P1529" s="63">
        <f ca="1" t="shared" si="77"/>
        <v>174</v>
      </c>
      <c r="Q1529" s="30" t="str">
        <f>VLOOKUP(B1529,辅助信息!E:M,9,FALSE)</f>
        <v>ZTWM-CDGS-XS-2024-0169-中冶西部钢构-宜宾市南溪区幸福路东路,高县月江镇建设项目</v>
      </c>
      <c r="R1529" s="30" t="str">
        <f>_xlfn._xlws.FILTER(辅助信息!D:D,辅助信息!E:E=B1529)</f>
        <v>五冶钢构-宜宾市南溪区高县月江镇建设项目</v>
      </c>
    </row>
    <row r="1530" hidden="1" spans="2:18">
      <c r="B1530" s="41" t="s">
        <v>106</v>
      </c>
      <c r="C1530" s="71">
        <v>45788</v>
      </c>
      <c r="D1530" s="41" t="str">
        <f>VLOOKUP(B1530,辅助信息!E:K,7,FALSE)</f>
        <v>JWDDCD2024101600133</v>
      </c>
      <c r="E1530" s="41" t="str">
        <f>VLOOKUP(F1530,辅助信息!A:B,2,FALSE)</f>
        <v>螺纹钢</v>
      </c>
      <c r="F1530" s="41" t="s">
        <v>33</v>
      </c>
      <c r="G1530" s="37">
        <v>9</v>
      </c>
      <c r="H1530" s="37" t="str">
        <f>_xlfn.XLOOKUP(C1530&amp;F1530&amp;I1530&amp;J1530,'[1]2025年已发货'!$F:$F&amp;'[1]2025年已发货'!$C:$C&amp;'[1]2025年已发货'!$G:$G&amp;'[1]2025年已发货'!$H:$H,'[1]2025年已发货'!$E:$E,"未发货")</f>
        <v>未发货</v>
      </c>
      <c r="I1530" s="41" t="str">
        <f>VLOOKUP(B1530,辅助信息!E:I,3,FALSE)</f>
        <v>（五冶钢构宜宾高县月江镇建设项目）  四川省宜宾市高县月江镇刚记超市斜对面(还阳组团沪碳二期项目)</v>
      </c>
      <c r="J1530" s="41" t="str">
        <f>VLOOKUP(B1530,辅助信息!E:I,4,FALSE)</f>
        <v>张朝亮</v>
      </c>
      <c r="K1530" s="41">
        <f>VLOOKUP(J1530,辅助信息!H:I,2,FALSE)</f>
        <v>15228205853</v>
      </c>
      <c r="L1530" s="110" t="str">
        <f>VLOOKUP(B1530,辅助信息!E:J,6,FALSE)</f>
        <v>提前联系到场规格</v>
      </c>
      <c r="M1530" s="92">
        <v>45785</v>
      </c>
      <c r="O1530" s="63">
        <f ca="1" t="shared" si="78"/>
        <v>0</v>
      </c>
      <c r="P1530" s="63">
        <f ca="1" t="shared" si="77"/>
        <v>174</v>
      </c>
      <c r="Q1530" s="30" t="str">
        <f>VLOOKUP(B1530,辅助信息!E:M,9,FALSE)</f>
        <v>ZTWM-CDGS-XS-2024-0169-中冶西部钢构-宜宾市南溪区幸福路东路,高县月江镇建设项目</v>
      </c>
      <c r="R1530" s="30" t="str">
        <f>_xlfn._xlws.FILTER(辅助信息!D:D,辅助信息!E:E=B1530)</f>
        <v>五冶钢构-宜宾市南溪区高县月江镇建设项目</v>
      </c>
    </row>
    <row r="1531" hidden="1" spans="2:18">
      <c r="B1531" s="41" t="s">
        <v>106</v>
      </c>
      <c r="C1531" s="71">
        <v>45788</v>
      </c>
      <c r="D1531" s="41" t="str">
        <f>VLOOKUP(B1531,辅助信息!E:K,7,FALSE)</f>
        <v>JWDDCD2024101600133</v>
      </c>
      <c r="E1531" s="41" t="str">
        <f>VLOOKUP(F1531,辅助信息!A:B,2,FALSE)</f>
        <v>螺纹钢</v>
      </c>
      <c r="F1531" s="41" t="s">
        <v>28</v>
      </c>
      <c r="G1531" s="37">
        <v>21</v>
      </c>
      <c r="H1531" s="37">
        <f>_xlfn.XLOOKUP(C1531&amp;F1531&amp;I1531&amp;J1531,'[1]2025年已发货'!$F:$F&amp;'[1]2025年已发货'!$C:$C&amp;'[1]2025年已发货'!$G:$G&amp;'[1]2025年已发货'!$H:$H,'[1]2025年已发货'!$E:$E,"未发货")</f>
        <v>18</v>
      </c>
      <c r="I1531" s="41" t="str">
        <f>VLOOKUP(B1531,辅助信息!E:I,3,FALSE)</f>
        <v>（五冶钢构宜宾高县月江镇建设项目）  四川省宜宾市高县月江镇刚记超市斜对面(还阳组团沪碳二期项目)</v>
      </c>
      <c r="J1531" s="41" t="str">
        <f>VLOOKUP(B1531,辅助信息!E:I,4,FALSE)</f>
        <v>张朝亮</v>
      </c>
      <c r="K1531" s="41">
        <f>VLOOKUP(J1531,辅助信息!H:I,2,FALSE)</f>
        <v>15228205853</v>
      </c>
      <c r="L1531" s="110" t="str">
        <f>VLOOKUP(B1531,辅助信息!E:J,6,FALSE)</f>
        <v>提前联系到场规格</v>
      </c>
      <c r="M1531" s="92">
        <v>45785</v>
      </c>
      <c r="O1531" s="63">
        <f ca="1" t="shared" si="78"/>
        <v>0</v>
      </c>
      <c r="P1531" s="63">
        <f ca="1" t="shared" si="77"/>
        <v>174</v>
      </c>
      <c r="Q1531" s="30" t="str">
        <f>VLOOKUP(B1531,辅助信息!E:M,9,FALSE)</f>
        <v>ZTWM-CDGS-XS-2024-0169-中冶西部钢构-宜宾市南溪区幸福路东路,高县月江镇建设项目</v>
      </c>
      <c r="R1531" s="30" t="str">
        <f>_xlfn._xlws.FILTER(辅助信息!D:D,辅助信息!E:E=B1531)</f>
        <v>五冶钢构-宜宾市南溪区高县月江镇建设项目</v>
      </c>
    </row>
    <row r="1532" hidden="1" spans="1:18">
      <c r="A1532" s="58" t="s">
        <v>100</v>
      </c>
      <c r="B1532" s="41" t="s">
        <v>81</v>
      </c>
      <c r="C1532" s="71">
        <v>45788</v>
      </c>
      <c r="D1532" s="41" t="str">
        <f>VLOOKUP(B1532,辅助信息!E:K,7,FALSE)</f>
        <v>JWDDCD2025060900080</v>
      </c>
      <c r="E1532" s="41" t="str">
        <f>VLOOKUP(F1532,辅助信息!A:B,2,FALSE)</f>
        <v>高线</v>
      </c>
      <c r="F1532" s="41" t="s">
        <v>53</v>
      </c>
      <c r="G1532" s="37">
        <v>7</v>
      </c>
      <c r="H1532" s="37" t="str">
        <f>_xlfn.XLOOKUP(C1532&amp;F1532&amp;I1532&amp;J1532,'[1]2025年已发货'!$F:$F&amp;'[1]2025年已发货'!$C:$C&amp;'[1]2025年已发货'!$G:$G&amp;'[1]2025年已发货'!$H:$H,'[1]2025年已发货'!$E:$E,"未发货")</f>
        <v>未发货</v>
      </c>
      <c r="I1532" s="41" t="str">
        <f>VLOOKUP(B1532,辅助信息!E:I,3,FALSE)</f>
        <v>（华西简阳西城嘉苑）四川省成都市简阳市简城街道高屋村</v>
      </c>
      <c r="J1532" s="41" t="str">
        <f>VLOOKUP(B1532,辅助信息!E:I,4,FALSE)</f>
        <v>张瀚镭</v>
      </c>
      <c r="K1532" s="41">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172</v>
      </c>
      <c r="Q1532" s="30" t="str">
        <f>VLOOKUP(B1532,辅助信息!E:M,9,FALSE)</f>
        <v>ZTWM-CDGS-XS-2024-0030-华西集采-简州大道</v>
      </c>
      <c r="R1532" s="30" t="str">
        <f>_xlfn._xlws.FILTER(辅助信息!D:D,辅助信息!E:E=B1532)</f>
        <v>华西简阳西城嘉苑</v>
      </c>
    </row>
    <row r="1533" hidden="1" spans="2:18">
      <c r="B1533" s="41" t="s">
        <v>81</v>
      </c>
      <c r="C1533" s="71">
        <v>45788</v>
      </c>
      <c r="D1533" s="41" t="str">
        <f>VLOOKUP(B1533,辅助信息!E:K,7,FALSE)</f>
        <v>JWDDCD2025060900080</v>
      </c>
      <c r="E1533" s="41" t="str">
        <f>VLOOKUP(F1533,辅助信息!A:B,2,FALSE)</f>
        <v>盘螺</v>
      </c>
      <c r="F1533" s="41" t="s">
        <v>49</v>
      </c>
      <c r="G1533" s="37">
        <v>4</v>
      </c>
      <c r="H1533" s="37" t="str">
        <f>_xlfn.XLOOKUP(C1533&amp;F1533&amp;I1533&amp;J1533,'[1]2025年已发货'!$F:$F&amp;'[1]2025年已发货'!$C:$C&amp;'[1]2025年已发货'!$G:$G&amp;'[1]2025年已发货'!$H:$H,'[1]2025年已发货'!$E:$E,"未发货")</f>
        <v>未发货</v>
      </c>
      <c r="I1533" s="41" t="str">
        <f>VLOOKUP(B1533,辅助信息!E:I,3,FALSE)</f>
        <v>（华西简阳西城嘉苑）四川省成都市简阳市简城街道高屋村</v>
      </c>
      <c r="J1533" s="41" t="str">
        <f>VLOOKUP(B1533,辅助信息!E:I,4,FALSE)</f>
        <v>张瀚镭</v>
      </c>
      <c r="K1533" s="41">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171</v>
      </c>
      <c r="Q1533" s="30" t="str">
        <f>VLOOKUP(B1533,辅助信息!E:M,9,FALSE)</f>
        <v>ZTWM-CDGS-XS-2024-0030-华西集采-简州大道</v>
      </c>
      <c r="R1533" s="30" t="str">
        <f>_xlfn._xlws.FILTER(辅助信息!D:D,辅助信息!E:E=B1533)</f>
        <v>华西简阳西城嘉苑</v>
      </c>
    </row>
    <row r="1534" hidden="1" spans="2:18">
      <c r="B1534" s="41" t="s">
        <v>81</v>
      </c>
      <c r="C1534" s="71">
        <v>45788</v>
      </c>
      <c r="D1534" s="41" t="str">
        <f>VLOOKUP(B1534,辅助信息!E:K,7,FALSE)</f>
        <v>JWDDCD2025060900080</v>
      </c>
      <c r="E1534" s="41" t="str">
        <f>VLOOKUP(F1534,辅助信息!A:B,2,FALSE)</f>
        <v>盘螺</v>
      </c>
      <c r="F1534" s="41" t="s">
        <v>40</v>
      </c>
      <c r="G1534" s="37">
        <v>62</v>
      </c>
      <c r="H1534" s="37" t="str">
        <f>_xlfn.XLOOKUP(C1534&amp;F1534&amp;I1534&amp;J1534,'[1]2025年已发货'!$F:$F&amp;'[1]2025年已发货'!$C:$C&amp;'[1]2025年已发货'!$G:$G&amp;'[1]2025年已发货'!$H:$H,'[1]2025年已发货'!$E:$E,"未发货")</f>
        <v>未发货</v>
      </c>
      <c r="I1534" s="41" t="str">
        <f>VLOOKUP(B1534,辅助信息!E:I,3,FALSE)</f>
        <v>（华西简阳西城嘉苑）四川省成都市简阳市简城街道高屋村</v>
      </c>
      <c r="J1534" s="41" t="str">
        <f>VLOOKUP(B1534,辅助信息!E:I,4,FALSE)</f>
        <v>张瀚镭</v>
      </c>
      <c r="K1534" s="41">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171</v>
      </c>
      <c r="Q1534" s="30" t="str">
        <f>VLOOKUP(B1534,辅助信息!E:M,9,FALSE)</f>
        <v>ZTWM-CDGS-XS-2024-0030-华西集采-简州大道</v>
      </c>
      <c r="R1534" s="30" t="str">
        <f>_xlfn._xlws.FILTER(辅助信息!D:D,辅助信息!E:E=B1534)</f>
        <v>华西简阳西城嘉苑</v>
      </c>
    </row>
    <row r="1535" hidden="1" spans="2:18">
      <c r="B1535" s="41" t="s">
        <v>81</v>
      </c>
      <c r="C1535" s="71">
        <v>45788</v>
      </c>
      <c r="D1535" s="41" t="str">
        <f>VLOOKUP(B1535,辅助信息!E:K,7,FALSE)</f>
        <v>JWDDCD2025060900080</v>
      </c>
      <c r="E1535" s="41" t="str">
        <f>VLOOKUP(F1535,辅助信息!A:B,2,FALSE)</f>
        <v>盘螺</v>
      </c>
      <c r="F1535" s="41" t="s">
        <v>41</v>
      </c>
      <c r="G1535" s="37">
        <v>134.5</v>
      </c>
      <c r="H1535" s="37" t="str">
        <f>_xlfn.XLOOKUP(C1535&amp;F1535&amp;I1535&amp;J1535,'[1]2025年已发货'!$F:$F&amp;'[1]2025年已发货'!$C:$C&amp;'[1]2025年已发货'!$G:$G&amp;'[1]2025年已发货'!$H:$H,'[1]2025年已发货'!$E:$E,"未发货")</f>
        <v>未发货</v>
      </c>
      <c r="I1535" s="41" t="str">
        <f>VLOOKUP(B1535,辅助信息!E:I,3,FALSE)</f>
        <v>（华西简阳西城嘉苑）四川省成都市简阳市简城街道高屋村</v>
      </c>
      <c r="J1535" s="41" t="str">
        <f>VLOOKUP(B1535,辅助信息!E:I,4,FALSE)</f>
        <v>张瀚镭</v>
      </c>
      <c r="K1535" s="41">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172</v>
      </c>
      <c r="Q1535" s="30" t="str">
        <f>VLOOKUP(B1535,辅助信息!E:M,9,FALSE)</f>
        <v>ZTWM-CDGS-XS-2024-0030-华西集采-简州大道</v>
      </c>
      <c r="R1535" s="30" t="str">
        <f>_xlfn._xlws.FILTER(辅助信息!D:D,辅助信息!E:E=B1535)</f>
        <v>华西简阳西城嘉苑</v>
      </c>
    </row>
    <row r="1536" hidden="1" spans="2:18">
      <c r="B1536" s="41" t="s">
        <v>81</v>
      </c>
      <c r="C1536" s="71">
        <v>45788</v>
      </c>
      <c r="D1536" s="41" t="str">
        <f>VLOOKUP(B1536,辅助信息!E:K,7,FALSE)</f>
        <v>JWDDCD2025060900080</v>
      </c>
      <c r="E1536" s="41" t="str">
        <f>VLOOKUP(F1536,辅助信息!A:B,2,FALSE)</f>
        <v>螺纹钢</v>
      </c>
      <c r="F1536" s="41" t="s">
        <v>30</v>
      </c>
      <c r="G1536" s="37">
        <v>59</v>
      </c>
      <c r="H1536" s="37" t="str">
        <f>_xlfn.XLOOKUP(C1536&amp;F1536&amp;I1536&amp;J1536,'[1]2025年已发货'!$F:$F&amp;'[1]2025年已发货'!$C:$C&amp;'[1]2025年已发货'!$G:$G&amp;'[1]2025年已发货'!$H:$H,'[1]2025年已发货'!$E:$E,"未发货")</f>
        <v>未发货</v>
      </c>
      <c r="I1536" s="41" t="str">
        <f>VLOOKUP(B1536,辅助信息!E:I,3,FALSE)</f>
        <v>（华西简阳西城嘉苑）四川省成都市简阳市简城街道高屋村</v>
      </c>
      <c r="J1536" s="41" t="str">
        <f>VLOOKUP(B1536,辅助信息!E:I,4,FALSE)</f>
        <v>张瀚镭</v>
      </c>
      <c r="K1536" s="41">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172</v>
      </c>
      <c r="Q1536" s="30" t="str">
        <f>VLOOKUP(B1536,辅助信息!E:M,9,FALSE)</f>
        <v>ZTWM-CDGS-XS-2024-0030-华西集采-简州大道</v>
      </c>
      <c r="R1536" s="30" t="str">
        <f>_xlfn._xlws.FILTER(辅助信息!D:D,辅助信息!E:E=B1536)</f>
        <v>华西简阳西城嘉苑</v>
      </c>
    </row>
    <row r="1537" hidden="1" spans="2:18">
      <c r="B1537" s="41" t="s">
        <v>81</v>
      </c>
      <c r="C1537" s="71">
        <v>45788</v>
      </c>
      <c r="D1537" s="41" t="str">
        <f>VLOOKUP(B1537,辅助信息!E:K,7,FALSE)</f>
        <v>JWDDCD2025060900080</v>
      </c>
      <c r="E1537" s="41" t="str">
        <f>VLOOKUP(F1537,辅助信息!A:B,2,FALSE)</f>
        <v>螺纹钢</v>
      </c>
      <c r="F1537" s="41" t="s">
        <v>33</v>
      </c>
      <c r="G1537" s="37">
        <v>25.5</v>
      </c>
      <c r="H1537" s="37" t="str">
        <f>_xlfn.XLOOKUP(C1537&amp;F1537&amp;I1537&amp;J1537,'[1]2025年已发货'!$F:$F&amp;'[1]2025年已发货'!$C:$C&amp;'[1]2025年已发货'!$G:$G&amp;'[1]2025年已发货'!$H:$H,'[1]2025年已发货'!$E:$E,"未发货")</f>
        <v>未发货</v>
      </c>
      <c r="I1537" s="41" t="str">
        <f>VLOOKUP(B1537,辅助信息!E:I,3,FALSE)</f>
        <v>（华西简阳西城嘉苑）四川省成都市简阳市简城街道高屋村</v>
      </c>
      <c r="J1537" s="41" t="str">
        <f>VLOOKUP(B1537,辅助信息!E:I,4,FALSE)</f>
        <v>张瀚镭</v>
      </c>
      <c r="K1537" s="41">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172</v>
      </c>
      <c r="Q1537" s="30" t="str">
        <f>VLOOKUP(B1537,辅助信息!E:M,9,FALSE)</f>
        <v>ZTWM-CDGS-XS-2024-0030-华西集采-简州大道</v>
      </c>
      <c r="R1537" s="30" t="str">
        <f>_xlfn._xlws.FILTER(辅助信息!D:D,辅助信息!E:E=B1537)</f>
        <v>华西简阳西城嘉苑</v>
      </c>
    </row>
    <row r="1538" hidden="1" spans="2:18">
      <c r="B1538" s="41" t="s">
        <v>81</v>
      </c>
      <c r="C1538" s="71">
        <v>45788</v>
      </c>
      <c r="D1538" s="41" t="str">
        <f>VLOOKUP(B1538,辅助信息!E:K,7,FALSE)</f>
        <v>JWDDCD2025060900080</v>
      </c>
      <c r="E1538" s="41" t="str">
        <f>VLOOKUP(F1538,辅助信息!A:B,2,FALSE)</f>
        <v>螺纹钢</v>
      </c>
      <c r="F1538" s="41" t="s">
        <v>28</v>
      </c>
      <c r="G1538" s="37">
        <v>7</v>
      </c>
      <c r="H1538" s="37" t="str">
        <f>_xlfn.XLOOKUP(C1538&amp;F1538&amp;I1538&amp;J1538,'[1]2025年已发货'!$F:$F&amp;'[1]2025年已发货'!$C:$C&amp;'[1]2025年已发货'!$G:$G&amp;'[1]2025年已发货'!$H:$H,'[1]2025年已发货'!$E:$E,"未发货")</f>
        <v>未发货</v>
      </c>
      <c r="I1538" s="41" t="str">
        <f>VLOOKUP(B1538,辅助信息!E:I,3,FALSE)</f>
        <v>（华西简阳西城嘉苑）四川省成都市简阳市简城街道高屋村</v>
      </c>
      <c r="J1538" s="41" t="str">
        <f>VLOOKUP(B1538,辅助信息!E:I,4,FALSE)</f>
        <v>张瀚镭</v>
      </c>
      <c r="K1538" s="41">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172</v>
      </c>
      <c r="Q1538" s="30" t="str">
        <f>VLOOKUP(B1538,辅助信息!E:M,9,FALSE)</f>
        <v>ZTWM-CDGS-XS-2024-0030-华西集采-简州大道</v>
      </c>
      <c r="R1538" s="30" t="str">
        <f>_xlfn._xlws.FILTER(辅助信息!D:D,辅助信息!E:E=B1538)</f>
        <v>华西简阳西城嘉苑</v>
      </c>
    </row>
    <row r="1539" hidden="1" spans="2:18">
      <c r="B1539" s="41" t="s">
        <v>81</v>
      </c>
      <c r="C1539" s="71">
        <v>45788</v>
      </c>
      <c r="D1539" s="41" t="str">
        <f>VLOOKUP(B1539,辅助信息!E:K,7,FALSE)</f>
        <v>JWDDCD2025060900080</v>
      </c>
      <c r="E1539" s="41" t="str">
        <f>VLOOKUP(F1539,辅助信息!A:B,2,FALSE)</f>
        <v>螺纹钢</v>
      </c>
      <c r="F1539" s="41" t="s">
        <v>18</v>
      </c>
      <c r="G1539" s="37">
        <v>14.5</v>
      </c>
      <c r="H1539" s="37" t="str">
        <f>_xlfn.XLOOKUP(C1539&amp;F1539&amp;I1539&amp;J1539,'[1]2025年已发货'!$F:$F&amp;'[1]2025年已发货'!$C:$C&amp;'[1]2025年已发货'!$G:$G&amp;'[1]2025年已发货'!$H:$H,'[1]2025年已发货'!$E:$E,"未发货")</f>
        <v>未发货</v>
      </c>
      <c r="I1539" s="41" t="str">
        <f>VLOOKUP(B1539,辅助信息!E:I,3,FALSE)</f>
        <v>（华西简阳西城嘉苑）四川省成都市简阳市简城街道高屋村</v>
      </c>
      <c r="J1539" s="41" t="str">
        <f>VLOOKUP(B1539,辅助信息!E:I,4,FALSE)</f>
        <v>张瀚镭</v>
      </c>
      <c r="K1539" s="41">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172</v>
      </c>
      <c r="Q1539" s="30" t="str">
        <f>VLOOKUP(B1539,辅助信息!E:M,9,FALSE)</f>
        <v>ZTWM-CDGS-XS-2024-0030-华西集采-简州大道</v>
      </c>
      <c r="R1539" s="30" t="str">
        <f>_xlfn._xlws.FILTER(辅助信息!D:D,辅助信息!E:E=B1539)</f>
        <v>华西简阳西城嘉苑</v>
      </c>
    </row>
    <row r="1540" hidden="1" spans="2:18">
      <c r="B1540" s="41" t="s">
        <v>81</v>
      </c>
      <c r="C1540" s="71">
        <v>45788</v>
      </c>
      <c r="D1540" s="41" t="str">
        <f>VLOOKUP(B1540,辅助信息!E:K,7,FALSE)</f>
        <v>JWDDCD2025060900080</v>
      </c>
      <c r="E1540" s="41" t="str">
        <f>VLOOKUP(F1540,辅助信息!A:B,2,FALSE)</f>
        <v>螺纹钢</v>
      </c>
      <c r="F1540" s="41" t="s">
        <v>21</v>
      </c>
      <c r="G1540" s="37">
        <v>2.5</v>
      </c>
      <c r="H1540" s="37" t="str">
        <f>_xlfn.XLOOKUP(C1540&amp;F1540&amp;I1540&amp;J1540,'[1]2025年已发货'!$F:$F&amp;'[1]2025年已发货'!$C:$C&amp;'[1]2025年已发货'!$G:$G&amp;'[1]2025年已发货'!$H:$H,'[1]2025年已发货'!$E:$E,"未发货")</f>
        <v>未发货</v>
      </c>
      <c r="I1540" s="41" t="str">
        <f>VLOOKUP(B1540,辅助信息!E:I,3,FALSE)</f>
        <v>（华西简阳西城嘉苑）四川省成都市简阳市简城街道高屋村</v>
      </c>
      <c r="J1540" s="41" t="str">
        <f>VLOOKUP(B1540,辅助信息!E:I,4,FALSE)</f>
        <v>张瀚镭</v>
      </c>
      <c r="K1540" s="41">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171</v>
      </c>
      <c r="Q1540" s="30" t="str">
        <f>VLOOKUP(B1540,辅助信息!E:M,9,FALSE)</f>
        <v>ZTWM-CDGS-XS-2024-0030-华西集采-简州大道</v>
      </c>
      <c r="R1540" s="30" t="str">
        <f>_xlfn._xlws.FILTER(辅助信息!D:D,辅助信息!E:E=B1540)</f>
        <v>华西简阳西城嘉苑</v>
      </c>
    </row>
    <row r="1541" hidden="1" spans="2:18">
      <c r="B1541" s="41" t="s">
        <v>81</v>
      </c>
      <c r="C1541" s="71">
        <v>45788</v>
      </c>
      <c r="D1541" s="41" t="str">
        <f>VLOOKUP(B1541,辅助信息!E:K,7,FALSE)</f>
        <v>JWDDCD2025060900080</v>
      </c>
      <c r="E1541" s="41" t="str">
        <f>VLOOKUP(F1541,辅助信息!A:B,2,FALSE)</f>
        <v>螺纹钢</v>
      </c>
      <c r="F1541" s="41" t="s">
        <v>46</v>
      </c>
      <c r="G1541" s="37">
        <v>8.5</v>
      </c>
      <c r="H1541" s="37" t="str">
        <f>_xlfn.XLOOKUP(C1541&amp;F1541&amp;I1541&amp;J1541,'[1]2025年已发货'!$F:$F&amp;'[1]2025年已发货'!$C:$C&amp;'[1]2025年已发货'!$G:$G&amp;'[1]2025年已发货'!$H:$H,'[1]2025年已发货'!$E:$E,"未发货")</f>
        <v>未发货</v>
      </c>
      <c r="I1541" s="41" t="str">
        <f>VLOOKUP(B1541,辅助信息!E:I,3,FALSE)</f>
        <v>（华西简阳西城嘉苑）四川省成都市简阳市简城街道高屋村</v>
      </c>
      <c r="J1541" s="41" t="str">
        <f>VLOOKUP(B1541,辅助信息!E:I,4,FALSE)</f>
        <v>张瀚镭</v>
      </c>
      <c r="K1541" s="41">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171</v>
      </c>
      <c r="Q1541" s="30" t="str">
        <f>VLOOKUP(B1541,辅助信息!E:M,9,FALSE)</f>
        <v>ZTWM-CDGS-XS-2024-0030-华西集采-简州大道</v>
      </c>
      <c r="R1541" s="30" t="str">
        <f>_xlfn._xlws.FILTER(辅助信息!D:D,辅助信息!E:E=B1541)</f>
        <v>华西简阳西城嘉苑</v>
      </c>
    </row>
    <row r="1542" hidden="1" spans="1:18">
      <c r="A1542" s="58" t="s">
        <v>100</v>
      </c>
      <c r="B1542" s="41" t="s">
        <v>31</v>
      </c>
      <c r="C1542" s="71">
        <v>45788</v>
      </c>
      <c r="D1542" s="41" t="str">
        <f>VLOOKUP(B1542,辅助信息!E:K,7,FALSE)</f>
        <v>JWDDCD2024121000136</v>
      </c>
      <c r="E1542" s="41" t="str">
        <f>VLOOKUP(F1542,辅助信息!A:B,2,FALSE)</f>
        <v>盘螺</v>
      </c>
      <c r="F1542" s="41" t="s">
        <v>49</v>
      </c>
      <c r="G1542" s="37">
        <v>35</v>
      </c>
      <c r="H1542" s="37">
        <f>_xlfn.XLOOKUP(C1542&amp;F1542&amp;I1542&amp;J1542,'[1]2025年已发货'!$F:$F&amp;'[1]2025年已发货'!$C:$C&amp;'[1]2025年已发货'!$G:$G&amp;'[1]2025年已发货'!$H:$H,'[1]2025年已发货'!$E:$E,"未发货")</f>
        <v>35</v>
      </c>
      <c r="I1542" s="41" t="str">
        <f>VLOOKUP(B1542,辅助信息!E:I,3,FALSE)</f>
        <v>（四川商建-射洪城乡一体化项目）遂宁市射洪市忠新幼儿园北侧约220米新溪小区</v>
      </c>
      <c r="J1542" s="41" t="str">
        <f>VLOOKUP(B1542,辅助信息!E:I,4,FALSE)</f>
        <v>柏子刚</v>
      </c>
      <c r="K1542" s="41">
        <f>VLOOKUP(J1542,辅助信息!H:I,2,FALSE)</f>
        <v>15692885305</v>
      </c>
      <c r="L1542" s="110" t="str">
        <f>VLOOKUP(B1542,辅助信息!E:J,6,FALSE)</f>
        <v>提前联系到场规格及数量</v>
      </c>
      <c r="M1542" s="92">
        <v>45788</v>
      </c>
      <c r="O1542" s="63">
        <f ca="1" t="shared" si="78"/>
        <v>0</v>
      </c>
      <c r="P1542" s="63">
        <f ca="1" t="shared" si="77"/>
        <v>171</v>
      </c>
      <c r="Q1542" s="30" t="str">
        <f>VLOOKUP(B1542,辅助信息!E:M,9,FALSE)</f>
        <v>ZTWM-CDGS-XS-2024-0179-四川商投-射洪城乡一体化建设项目</v>
      </c>
      <c r="R1542" s="30" t="str">
        <f>_xlfn._xlws.FILTER(辅助信息!D:D,辅助信息!E:E=B1542)</f>
        <v>四川商建
射洪城乡一体化项目</v>
      </c>
    </row>
    <row r="1543" hidden="1" spans="2:18">
      <c r="B1543" s="41" t="s">
        <v>150</v>
      </c>
      <c r="C1543" s="71">
        <v>45788</v>
      </c>
      <c r="D1543" s="41" t="str">
        <f>VLOOKUP(B1543,辅助信息!E:K,7,FALSE)</f>
        <v>JWDDCD2025050800101</v>
      </c>
      <c r="E1543" s="41" t="str">
        <f>VLOOKUP(F1543,辅助信息!A:B,2,FALSE)</f>
        <v>螺纹钢</v>
      </c>
      <c r="F1543" s="41" t="s">
        <v>28</v>
      </c>
      <c r="G1543" s="37">
        <v>27</v>
      </c>
      <c r="H1543" s="37" t="str">
        <f>_xlfn.XLOOKUP(C1543&amp;F1543&amp;I1543&amp;J1543,'[1]2025年已发货'!$F:$F&amp;'[1]2025年已发货'!$C:$C&amp;'[1]2025年已发货'!$G:$G&amp;'[1]2025年已发货'!$H:$H,'[1]2025年已发货'!$E:$E,"未发货")</f>
        <v>未发货</v>
      </c>
      <c r="I1543" s="41" t="str">
        <f>VLOOKUP(B1543,辅助信息!E:I,3,FALSE)</f>
        <v>(中铁科研院宜宾泥溪项目)中铁科研院集团有限公司宜宾市泥溪东互通式立交下穿成贵客专铁路工程项目钢筋加工厂</v>
      </c>
      <c r="J1543" s="41" t="str">
        <f>VLOOKUP(B1543,辅助信息!E:I,4,FALSE)</f>
        <v>蔡鹏</v>
      </c>
      <c r="K1543" s="41">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167</v>
      </c>
      <c r="Q1543" s="30" t="str">
        <f>VLOOKUP(B1543,辅助信息!E:M,9,FALSE)</f>
        <v>ZTWM-CDGS-XS-2025-0050-中铁科研院-宜宾泥溪项目</v>
      </c>
      <c r="R1543" s="30" t="str">
        <f>_xlfn._xlws.FILTER(辅助信息!D:D,辅助信息!E:E=B1543)</f>
        <v>中铁科研院宜宾泥溪项目</v>
      </c>
    </row>
    <row r="1544" hidden="1" spans="2:18">
      <c r="B1544" s="41" t="s">
        <v>150</v>
      </c>
      <c r="C1544" s="71">
        <v>45788</v>
      </c>
      <c r="D1544" s="41" t="str">
        <f>VLOOKUP(B1544,辅助信息!E:K,7,FALSE)</f>
        <v>JWDDCD2025050800101</v>
      </c>
      <c r="E1544" s="41" t="str">
        <f>VLOOKUP(F1544,辅助信息!A:B,2,FALSE)</f>
        <v>螺纹钢</v>
      </c>
      <c r="F1544" s="41" t="s">
        <v>65</v>
      </c>
      <c r="G1544" s="37">
        <v>36</v>
      </c>
      <c r="H1544" s="37" t="str">
        <f>_xlfn.XLOOKUP(C1544&amp;F1544&amp;I1544&amp;J1544,'[1]2025年已发货'!$F:$F&amp;'[1]2025年已发货'!$C:$C&amp;'[1]2025年已发货'!$G:$G&amp;'[1]2025年已发货'!$H:$H,'[1]2025年已发货'!$E:$E,"未发货")</f>
        <v>未发货</v>
      </c>
      <c r="I1544" s="41" t="str">
        <f>VLOOKUP(B1544,辅助信息!E:I,3,FALSE)</f>
        <v>(中铁科研院宜宾泥溪项目)中铁科研院集团有限公司宜宾市泥溪东互通式立交下穿成贵客专铁路工程项目钢筋加工厂</v>
      </c>
      <c r="J1544" s="41" t="str">
        <f>VLOOKUP(B1544,辅助信息!E:I,4,FALSE)</f>
        <v>蔡鹏</v>
      </c>
      <c r="K1544" s="41">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167</v>
      </c>
      <c r="Q1544" s="30" t="str">
        <f>VLOOKUP(B1544,辅助信息!E:M,9,FALSE)</f>
        <v>ZTWM-CDGS-XS-2025-0050-中铁科研院-宜宾泥溪项目</v>
      </c>
      <c r="R1544" s="30" t="str">
        <f>_xlfn._xlws.FILTER(辅助信息!D:D,辅助信息!E:E=B1544)</f>
        <v>中铁科研院宜宾泥溪项目</v>
      </c>
    </row>
    <row r="1545" hidden="1" spans="2:18">
      <c r="B1545" s="41" t="s">
        <v>150</v>
      </c>
      <c r="C1545" s="71">
        <v>45788</v>
      </c>
      <c r="D1545" s="41" t="str">
        <f>VLOOKUP(B1545,辅助信息!E:K,7,FALSE)</f>
        <v>JWDDCD2025050800101</v>
      </c>
      <c r="E1545" s="41" t="str">
        <f>VLOOKUP(F1545,辅助信息!A:B,2,FALSE)</f>
        <v>螺纹钢</v>
      </c>
      <c r="F1545" s="41" t="s">
        <v>32</v>
      </c>
      <c r="G1545" s="37">
        <v>6</v>
      </c>
      <c r="H1545" s="37" t="str">
        <f>_xlfn.XLOOKUP(C1545&amp;F1545&amp;I1545&amp;J1545,'[1]2025年已发货'!$F:$F&amp;'[1]2025年已发货'!$C:$C&amp;'[1]2025年已发货'!$G:$G&amp;'[1]2025年已发货'!$H:$H,'[1]2025年已发货'!$E:$E,"未发货")</f>
        <v>未发货</v>
      </c>
      <c r="I1545" s="41" t="str">
        <f>VLOOKUP(B1545,辅助信息!E:I,3,FALSE)</f>
        <v>(中铁科研院宜宾泥溪项目)中铁科研院集团有限公司宜宾市泥溪东互通式立交下穿成贵客专铁路工程项目钢筋加工厂</v>
      </c>
      <c r="J1545" s="41" t="str">
        <f>VLOOKUP(B1545,辅助信息!E:I,4,FALSE)</f>
        <v>蔡鹏</v>
      </c>
      <c r="K1545" s="41">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167</v>
      </c>
      <c r="Q1545" s="30" t="str">
        <f>VLOOKUP(B1545,辅助信息!E:M,9,FALSE)</f>
        <v>ZTWM-CDGS-XS-2025-0050-中铁科研院-宜宾泥溪项目</v>
      </c>
      <c r="R1545" s="30" t="str">
        <f>_xlfn._xlws.FILTER(辅助信息!D:D,辅助信息!E:E=B1545)</f>
        <v>中铁科研院宜宾泥溪项目</v>
      </c>
    </row>
    <row r="1546" hidden="1" spans="2:18">
      <c r="B1546" s="41" t="s">
        <v>147</v>
      </c>
      <c r="C1546" s="71">
        <v>45789</v>
      </c>
      <c r="D1546" s="41" t="str">
        <f>VLOOKUP(B1546,辅助信息!E:K,7,FALSE)</f>
        <v>JWDDCD2025052800131</v>
      </c>
      <c r="E1546" s="41" t="str">
        <f>VLOOKUP(F1546,辅助信息!A:B,2,FALSE)</f>
        <v>高线</v>
      </c>
      <c r="F1546" s="41" t="s">
        <v>57</v>
      </c>
      <c r="G1546" s="37">
        <v>7.5</v>
      </c>
      <c r="H1546" s="37" t="str">
        <f>_xlfn.XLOOKUP(C1546&amp;F1546&amp;I1546&amp;J1546,'[1]2025年已发货'!$F:$F&amp;'[1]2025年已发货'!$C:$C&amp;'[1]2025年已发货'!$G:$G&amp;'[1]2025年已发货'!$H:$H,'[1]2025年已发货'!$E:$E,"未发货")</f>
        <v>未发货</v>
      </c>
      <c r="I1546" s="41" t="str">
        <f>VLOOKUP(B1546,辅助信息!E:I,3,FALSE)</f>
        <v>（商投建工达州中医药科技园-4工区-11号楼）达州市通川区达州中医药职业学院犀牛大道北段</v>
      </c>
      <c r="J1546" s="41" t="str">
        <f>VLOOKUP(B1546,辅助信息!E:I,4,FALSE)</f>
        <v>张扬</v>
      </c>
      <c r="K1546" s="41">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175</v>
      </c>
      <c r="Q1546" s="30" t="str">
        <f>VLOOKUP(B1546,辅助信息!E:M,9,FALSE)</f>
        <v>ZTWM-CDGS-XS-2024-0134-商投建工达州中医药科技成果示范园项目</v>
      </c>
      <c r="R1546" s="30" t="str">
        <f>_xlfn._xlws.FILTER(辅助信息!D:D,辅助信息!E:E=B1546)</f>
        <v>商投建工达州中医药科技园</v>
      </c>
    </row>
    <row r="1547" hidden="1" spans="2:18">
      <c r="B1547" s="41" t="s">
        <v>147</v>
      </c>
      <c r="C1547" s="71">
        <v>45789</v>
      </c>
      <c r="D1547" s="41" t="str">
        <f>VLOOKUP(B1547,辅助信息!E:K,7,FALSE)</f>
        <v>JWDDCD2025052800131</v>
      </c>
      <c r="E1547" s="41" t="str">
        <f>VLOOKUP(F1547,辅助信息!A:B,2,FALSE)</f>
        <v>螺纹钢</v>
      </c>
      <c r="F1547" s="41" t="s">
        <v>30</v>
      </c>
      <c r="G1547" s="37">
        <v>7</v>
      </c>
      <c r="H1547" s="37" t="str">
        <f>_xlfn.XLOOKUP(C1547&amp;F1547&amp;I1547&amp;J1547,'[1]2025年已发货'!$F:$F&amp;'[1]2025年已发货'!$C:$C&amp;'[1]2025年已发货'!$G:$G&amp;'[1]2025年已发货'!$H:$H,'[1]2025年已发货'!$E:$E,"未发货")</f>
        <v>未发货</v>
      </c>
      <c r="I1547" s="41" t="str">
        <f>VLOOKUP(B1547,辅助信息!E:I,3,FALSE)</f>
        <v>（商投建工达州中医药科技园-4工区-11号楼）达州市通川区达州中医药职业学院犀牛大道北段</v>
      </c>
      <c r="J1547" s="41" t="str">
        <f>VLOOKUP(B1547,辅助信息!E:I,4,FALSE)</f>
        <v>张扬</v>
      </c>
      <c r="K1547" s="41">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175</v>
      </c>
      <c r="Q1547" s="30" t="str">
        <f>VLOOKUP(B1547,辅助信息!E:M,9,FALSE)</f>
        <v>ZTWM-CDGS-XS-2024-0134-商投建工达州中医药科技成果示范园项目</v>
      </c>
      <c r="R1547" s="30" t="str">
        <f>_xlfn._xlws.FILTER(辅助信息!D:D,辅助信息!E:E=B1547)</f>
        <v>商投建工达州中医药科技园</v>
      </c>
    </row>
    <row r="1548" hidden="1" spans="1:18">
      <c r="A1548" s="83" t="s">
        <v>100</v>
      </c>
      <c r="B1548" s="41" t="s">
        <v>106</v>
      </c>
      <c r="C1548" s="71">
        <v>45789</v>
      </c>
      <c r="D1548" s="41" t="str">
        <f>VLOOKUP(B1548,辅助信息!E:K,7,FALSE)</f>
        <v>JWDDCD2024101600133</v>
      </c>
      <c r="E1548" s="41" t="str">
        <f>VLOOKUP(F1548,辅助信息!A:B,2,FALSE)</f>
        <v>盘螺</v>
      </c>
      <c r="F1548" s="41" t="s">
        <v>40</v>
      </c>
      <c r="G1548" s="37">
        <v>22.5</v>
      </c>
      <c r="H1548" s="37">
        <f>_xlfn.XLOOKUP(C1548&amp;F1548&amp;I1548&amp;J1548,'[1]2025年已发货'!$F:$F&amp;'[1]2025年已发货'!$C:$C&amp;'[1]2025年已发货'!$G:$G&amp;'[1]2025年已发货'!$H:$H,'[1]2025年已发货'!$E:$E,"未发货")</f>
        <v>23</v>
      </c>
      <c r="I1548" s="41" t="str">
        <f>VLOOKUP(B1548,辅助信息!E:I,3,FALSE)</f>
        <v>（五冶钢构宜宾高县月江镇建设项目）  四川省宜宾市高县月江镇刚记超市斜对面(还阳组团沪碳二期项目)</v>
      </c>
      <c r="J1548" s="41" t="str">
        <f>VLOOKUP(B1548,辅助信息!E:I,4,FALSE)</f>
        <v>张朝亮</v>
      </c>
      <c r="K1548" s="41">
        <f>VLOOKUP(J1548,辅助信息!H:I,2,FALSE)</f>
        <v>15228205853</v>
      </c>
      <c r="L1548" s="110" t="str">
        <f>VLOOKUP(B1548,辅助信息!E:J,6,FALSE)</f>
        <v>提前联系到场规格</v>
      </c>
      <c r="M1548" s="92">
        <v>45785</v>
      </c>
      <c r="O1548" s="63">
        <f ca="1" t="shared" si="78"/>
        <v>0</v>
      </c>
      <c r="P1548" s="63">
        <f ca="1" t="shared" si="77"/>
        <v>174</v>
      </c>
      <c r="Q1548" s="30" t="str">
        <f>VLOOKUP(B1548,辅助信息!E:M,9,FALSE)</f>
        <v>ZTWM-CDGS-XS-2024-0169-中冶西部钢构-宜宾市南溪区幸福路东路,高县月江镇建设项目</v>
      </c>
      <c r="R1548" s="30" t="str">
        <f>_xlfn._xlws.FILTER(辅助信息!D:D,辅助信息!E:E=B1548)</f>
        <v>五冶钢构-宜宾市南溪区高县月江镇建设项目</v>
      </c>
    </row>
    <row r="1549" hidden="1" spans="1:18">
      <c r="A1549" s="83"/>
      <c r="B1549" s="41" t="s">
        <v>106</v>
      </c>
      <c r="C1549" s="71">
        <v>45789</v>
      </c>
      <c r="D1549" s="41" t="str">
        <f>VLOOKUP(B1549,辅助信息!E:K,7,FALSE)</f>
        <v>JWDDCD2024101600133</v>
      </c>
      <c r="E1549" s="41" t="str">
        <f>VLOOKUP(F1549,辅助信息!A:B,2,FALSE)</f>
        <v>螺纹钢</v>
      </c>
      <c r="F1549" s="41" t="s">
        <v>33</v>
      </c>
      <c r="G1549" s="37">
        <v>9</v>
      </c>
      <c r="H1549" s="37">
        <f>_xlfn.XLOOKUP(C1549&amp;F1549&amp;I1549&amp;J1549,'[1]2025年已发货'!$F:$F&amp;'[1]2025年已发货'!$C:$C&amp;'[1]2025年已发货'!$G:$G&amp;'[1]2025年已发货'!$H:$H,'[1]2025年已发货'!$E:$E,"未发货")</f>
        <v>9</v>
      </c>
      <c r="I1549" s="41" t="str">
        <f>VLOOKUP(B1549,辅助信息!E:I,3,FALSE)</f>
        <v>（五冶钢构宜宾高县月江镇建设项目）  四川省宜宾市高县月江镇刚记超市斜对面(还阳组团沪碳二期项目)</v>
      </c>
      <c r="J1549" s="41" t="str">
        <f>VLOOKUP(B1549,辅助信息!E:I,4,FALSE)</f>
        <v>张朝亮</v>
      </c>
      <c r="K1549" s="41">
        <f>VLOOKUP(J1549,辅助信息!H:I,2,FALSE)</f>
        <v>15228205853</v>
      </c>
      <c r="L1549" s="110" t="str">
        <f>VLOOKUP(B1549,辅助信息!E:J,6,FALSE)</f>
        <v>提前联系到场规格</v>
      </c>
      <c r="M1549" s="92">
        <v>45785</v>
      </c>
      <c r="O1549" s="63">
        <f ca="1" t="shared" si="78"/>
        <v>0</v>
      </c>
      <c r="P1549" s="63">
        <f ca="1" t="shared" si="77"/>
        <v>174</v>
      </c>
      <c r="Q1549" s="30" t="str">
        <f>VLOOKUP(B1549,辅助信息!E:M,9,FALSE)</f>
        <v>ZTWM-CDGS-XS-2024-0169-中冶西部钢构-宜宾市南溪区幸福路东路,高县月江镇建设项目</v>
      </c>
      <c r="R1549" s="30" t="str">
        <f>_xlfn._xlws.FILTER(辅助信息!D:D,辅助信息!E:E=B1549)</f>
        <v>五冶钢构-宜宾市南溪区高县月江镇建设项目</v>
      </c>
    </row>
    <row r="1550" hidden="1" spans="1:18">
      <c r="A1550" s="83"/>
      <c r="B1550" s="41" t="s">
        <v>106</v>
      </c>
      <c r="C1550" s="71">
        <v>45789</v>
      </c>
      <c r="D1550" s="41" t="str">
        <f>VLOOKUP(B1550,辅助信息!E:K,7,FALSE)</f>
        <v>JWDDCD2024101600133</v>
      </c>
      <c r="E1550" s="41" t="str">
        <f>VLOOKUP(F1550,辅助信息!A:B,2,FALSE)</f>
        <v>螺纹钢</v>
      </c>
      <c r="F1550" s="41" t="s">
        <v>28</v>
      </c>
      <c r="G1550" s="37">
        <v>3</v>
      </c>
      <c r="H1550" s="37">
        <f>_xlfn.XLOOKUP(C1550&amp;F1550&amp;I1550&amp;J1550,'[1]2025年已发货'!$F:$F&amp;'[1]2025年已发货'!$C:$C&amp;'[1]2025年已发货'!$G:$G&amp;'[1]2025年已发货'!$H:$H,'[1]2025年已发货'!$E:$E,"未发货")</f>
        <v>3</v>
      </c>
      <c r="I1550" s="41" t="str">
        <f>VLOOKUP(B1550,辅助信息!E:I,3,FALSE)</f>
        <v>（五冶钢构宜宾高县月江镇建设项目）  四川省宜宾市高县月江镇刚记超市斜对面(还阳组团沪碳二期项目)</v>
      </c>
      <c r="J1550" s="41" t="str">
        <f>VLOOKUP(B1550,辅助信息!E:I,4,FALSE)</f>
        <v>张朝亮</v>
      </c>
      <c r="K1550" s="41">
        <f>VLOOKUP(J1550,辅助信息!H:I,2,FALSE)</f>
        <v>15228205853</v>
      </c>
      <c r="L1550" s="110" t="str">
        <f>VLOOKUP(B1550,辅助信息!E:J,6,FALSE)</f>
        <v>提前联系到场规格</v>
      </c>
      <c r="M1550" s="92">
        <v>45785</v>
      </c>
      <c r="O1550" s="63">
        <f ca="1" t="shared" si="78"/>
        <v>0</v>
      </c>
      <c r="P1550" s="63">
        <f ca="1" t="shared" si="77"/>
        <v>174</v>
      </c>
      <c r="Q1550" s="30" t="str">
        <f>VLOOKUP(B1550,辅助信息!E:M,9,FALSE)</f>
        <v>ZTWM-CDGS-XS-2024-0169-中冶西部钢构-宜宾市南溪区幸福路东路,高县月江镇建设项目</v>
      </c>
      <c r="R1550" s="30" t="str">
        <f>_xlfn._xlws.FILTER(辅助信息!D:D,辅助信息!E:E=B1550)</f>
        <v>五冶钢构-宜宾市南溪区高县月江镇建设项目</v>
      </c>
    </row>
    <row r="1551" hidden="1" spans="1:18">
      <c r="A1551" s="83" t="s">
        <v>100</v>
      </c>
      <c r="B1551" s="41" t="s">
        <v>81</v>
      </c>
      <c r="C1551" s="71">
        <v>45789</v>
      </c>
      <c r="D1551" s="41" t="str">
        <f>VLOOKUP(B1551,辅助信息!E:K,7,FALSE)</f>
        <v>JWDDCD2025060900080</v>
      </c>
      <c r="E1551" s="41" t="str">
        <f>VLOOKUP(F1551,辅助信息!A:B,2,FALSE)</f>
        <v>高线</v>
      </c>
      <c r="F1551" s="41" t="s">
        <v>53</v>
      </c>
      <c r="G1551" s="37">
        <v>7</v>
      </c>
      <c r="H1551" s="37" t="str">
        <f>_xlfn.XLOOKUP(C1551&amp;F1551&amp;I1551&amp;J1551,'[1]2025年已发货'!$F:$F&amp;'[1]2025年已发货'!$C:$C&amp;'[1]2025年已发货'!$G:$G&amp;'[1]2025年已发货'!$H:$H,'[1]2025年已发货'!$E:$E,"未发货")</f>
        <v>未发货</v>
      </c>
      <c r="I1551" s="41" t="str">
        <f>VLOOKUP(B1551,辅助信息!E:I,3,FALSE)</f>
        <v>（华西简阳西城嘉苑）四川省成都市简阳市简城街道高屋村</v>
      </c>
      <c r="J1551" s="41" t="str">
        <f>VLOOKUP(B1551,辅助信息!E:I,4,FALSE)</f>
        <v>张瀚镭</v>
      </c>
      <c r="K1551" s="41">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172</v>
      </c>
      <c r="Q1551" s="30" t="str">
        <f>VLOOKUP(B1551,辅助信息!E:M,9,FALSE)</f>
        <v>ZTWM-CDGS-XS-2024-0030-华西集采-简州大道</v>
      </c>
      <c r="R1551" s="30" t="str">
        <f>_xlfn._xlws.FILTER(辅助信息!D:D,辅助信息!E:E=B1551)</f>
        <v>华西简阳西城嘉苑</v>
      </c>
    </row>
    <row r="1552" hidden="1" spans="1:18">
      <c r="A1552" s="83"/>
      <c r="B1552" s="41" t="s">
        <v>81</v>
      </c>
      <c r="C1552" s="71">
        <v>45789</v>
      </c>
      <c r="D1552" s="41" t="str">
        <f>VLOOKUP(B1552,辅助信息!E:K,7,FALSE)</f>
        <v>JWDDCD2025060900080</v>
      </c>
      <c r="E1552" s="41" t="str">
        <f>VLOOKUP(F1552,辅助信息!A:B,2,FALSE)</f>
        <v>盘螺</v>
      </c>
      <c r="F1552" s="41" t="s">
        <v>49</v>
      </c>
      <c r="G1552" s="37">
        <v>4</v>
      </c>
      <c r="H1552" s="37" t="str">
        <f>_xlfn.XLOOKUP(C1552&amp;F1552&amp;I1552&amp;J1552,'[1]2025年已发货'!$F:$F&amp;'[1]2025年已发货'!$C:$C&amp;'[1]2025年已发货'!$G:$G&amp;'[1]2025年已发货'!$H:$H,'[1]2025年已发货'!$E:$E,"未发货")</f>
        <v>未发货</v>
      </c>
      <c r="I1552" s="41" t="str">
        <f>VLOOKUP(B1552,辅助信息!E:I,3,FALSE)</f>
        <v>（华西简阳西城嘉苑）四川省成都市简阳市简城街道高屋村</v>
      </c>
      <c r="J1552" s="41" t="str">
        <f>VLOOKUP(B1552,辅助信息!E:I,4,FALSE)</f>
        <v>张瀚镭</v>
      </c>
      <c r="K1552" s="41">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171</v>
      </c>
      <c r="Q1552" s="30" t="str">
        <f>VLOOKUP(B1552,辅助信息!E:M,9,FALSE)</f>
        <v>ZTWM-CDGS-XS-2024-0030-华西集采-简州大道</v>
      </c>
      <c r="R1552" s="30" t="str">
        <f>_xlfn._xlws.FILTER(辅助信息!D:D,辅助信息!E:E=B1552)</f>
        <v>华西简阳西城嘉苑</v>
      </c>
    </row>
    <row r="1553" hidden="1" spans="1:18">
      <c r="A1553" s="83"/>
      <c r="B1553" s="41" t="s">
        <v>81</v>
      </c>
      <c r="C1553" s="71">
        <v>45789</v>
      </c>
      <c r="D1553" s="41" t="str">
        <f>VLOOKUP(B1553,辅助信息!E:K,7,FALSE)</f>
        <v>JWDDCD2025060900080</v>
      </c>
      <c r="E1553" s="41" t="str">
        <f>VLOOKUP(F1553,辅助信息!A:B,2,FALSE)</f>
        <v>盘螺</v>
      </c>
      <c r="F1553" s="41" t="s">
        <v>40</v>
      </c>
      <c r="G1553" s="37">
        <v>62</v>
      </c>
      <c r="H1553" s="37" t="str">
        <f>_xlfn.XLOOKUP(C1553&amp;F1553&amp;I1553&amp;J1553,'[1]2025年已发货'!$F:$F&amp;'[1]2025年已发货'!$C:$C&amp;'[1]2025年已发货'!$G:$G&amp;'[1]2025年已发货'!$H:$H,'[1]2025年已发货'!$E:$E,"未发货")</f>
        <v>未发货</v>
      </c>
      <c r="I1553" s="41" t="str">
        <f>VLOOKUP(B1553,辅助信息!E:I,3,FALSE)</f>
        <v>（华西简阳西城嘉苑）四川省成都市简阳市简城街道高屋村</v>
      </c>
      <c r="J1553" s="41" t="str">
        <f>VLOOKUP(B1553,辅助信息!E:I,4,FALSE)</f>
        <v>张瀚镭</v>
      </c>
      <c r="K1553" s="41">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171</v>
      </c>
      <c r="Q1553" s="30" t="str">
        <f>VLOOKUP(B1553,辅助信息!E:M,9,FALSE)</f>
        <v>ZTWM-CDGS-XS-2024-0030-华西集采-简州大道</v>
      </c>
      <c r="R1553" s="30" t="str">
        <f>_xlfn._xlws.FILTER(辅助信息!D:D,辅助信息!E:E=B1553)</f>
        <v>华西简阳西城嘉苑</v>
      </c>
    </row>
    <row r="1554" hidden="1" spans="1:18">
      <c r="A1554" s="83"/>
      <c r="B1554" s="41" t="s">
        <v>81</v>
      </c>
      <c r="C1554" s="71">
        <v>45789</v>
      </c>
      <c r="D1554" s="41" t="str">
        <f>VLOOKUP(B1554,辅助信息!E:K,7,FALSE)</f>
        <v>JWDDCD2025060900080</v>
      </c>
      <c r="E1554" s="41" t="str">
        <f>VLOOKUP(F1554,辅助信息!A:B,2,FALSE)</f>
        <v>盘螺</v>
      </c>
      <c r="F1554" s="41" t="s">
        <v>41</v>
      </c>
      <c r="G1554" s="37">
        <v>134.5</v>
      </c>
      <c r="H1554" s="37">
        <f>_xlfn.XLOOKUP(C1554&amp;F1554&amp;I1554&amp;J1554,'[1]2025年已发货'!$F:$F&amp;'[1]2025年已发货'!$C:$C&amp;'[1]2025年已发货'!$G:$G&amp;'[1]2025年已发货'!$H:$H,'[1]2025年已发货'!$E:$E,"未发货")</f>
        <v>35</v>
      </c>
      <c r="I1554" s="41" t="str">
        <f>VLOOKUP(B1554,辅助信息!E:I,3,FALSE)</f>
        <v>（华西简阳西城嘉苑）四川省成都市简阳市简城街道高屋村</v>
      </c>
      <c r="J1554" s="41" t="str">
        <f>VLOOKUP(B1554,辅助信息!E:I,4,FALSE)</f>
        <v>张瀚镭</v>
      </c>
      <c r="K1554" s="41">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172</v>
      </c>
      <c r="Q1554" s="30" t="str">
        <f>VLOOKUP(B1554,辅助信息!E:M,9,FALSE)</f>
        <v>ZTWM-CDGS-XS-2024-0030-华西集采-简州大道</v>
      </c>
      <c r="R1554" s="30" t="str">
        <f>_xlfn._xlws.FILTER(辅助信息!D:D,辅助信息!E:E=B1554)</f>
        <v>华西简阳西城嘉苑</v>
      </c>
    </row>
    <row r="1555" hidden="1" spans="1:18">
      <c r="A1555" s="83"/>
      <c r="B1555" s="41" t="s">
        <v>81</v>
      </c>
      <c r="C1555" s="71">
        <v>45789</v>
      </c>
      <c r="D1555" s="41" t="str">
        <f>VLOOKUP(B1555,辅助信息!E:K,7,FALSE)</f>
        <v>JWDDCD2025060900080</v>
      </c>
      <c r="E1555" s="41" t="str">
        <f>VLOOKUP(F1555,辅助信息!A:B,2,FALSE)</f>
        <v>螺纹钢</v>
      </c>
      <c r="F1555" s="41" t="s">
        <v>30</v>
      </c>
      <c r="G1555" s="37">
        <v>59</v>
      </c>
      <c r="H1555" s="37">
        <f>_xlfn.XLOOKUP(C1555&amp;F1555&amp;I1555&amp;J1555,'[1]2025年已发货'!$F:$F&amp;'[1]2025年已发货'!$C:$C&amp;'[1]2025年已发货'!$G:$G&amp;'[1]2025年已发货'!$H:$H,'[1]2025年已发货'!$E:$E,"未发货")</f>
        <v>12</v>
      </c>
      <c r="I1555" s="41" t="str">
        <f>VLOOKUP(B1555,辅助信息!E:I,3,FALSE)</f>
        <v>（华西简阳西城嘉苑）四川省成都市简阳市简城街道高屋村</v>
      </c>
      <c r="J1555" s="41" t="str">
        <f>VLOOKUP(B1555,辅助信息!E:I,4,FALSE)</f>
        <v>张瀚镭</v>
      </c>
      <c r="K1555" s="41">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172</v>
      </c>
      <c r="Q1555" s="30" t="str">
        <f>VLOOKUP(B1555,辅助信息!E:M,9,FALSE)</f>
        <v>ZTWM-CDGS-XS-2024-0030-华西集采-简州大道</v>
      </c>
      <c r="R1555" s="30" t="str">
        <f>_xlfn._xlws.FILTER(辅助信息!D:D,辅助信息!E:E=B1555)</f>
        <v>华西简阳西城嘉苑</v>
      </c>
    </row>
    <row r="1556" hidden="1" spans="1:18">
      <c r="A1556" s="83"/>
      <c r="B1556" s="41" t="s">
        <v>81</v>
      </c>
      <c r="C1556" s="71">
        <v>45789</v>
      </c>
      <c r="D1556" s="41" t="str">
        <f>VLOOKUP(B1556,辅助信息!E:K,7,FALSE)</f>
        <v>JWDDCD2025060900080</v>
      </c>
      <c r="E1556" s="41" t="str">
        <f>VLOOKUP(F1556,辅助信息!A:B,2,FALSE)</f>
        <v>螺纹钢</v>
      </c>
      <c r="F1556" s="41" t="s">
        <v>33</v>
      </c>
      <c r="G1556" s="37">
        <v>25.5</v>
      </c>
      <c r="H1556" s="37">
        <f>_xlfn.XLOOKUP(C1556&amp;F1556&amp;I1556&amp;J1556,'[1]2025年已发货'!$F:$F&amp;'[1]2025年已发货'!$C:$C&amp;'[1]2025年已发货'!$G:$G&amp;'[1]2025年已发货'!$H:$H,'[1]2025年已发货'!$E:$E,"未发货")</f>
        <v>25.5</v>
      </c>
      <c r="I1556" s="41" t="str">
        <f>VLOOKUP(B1556,辅助信息!E:I,3,FALSE)</f>
        <v>（华西简阳西城嘉苑）四川省成都市简阳市简城街道高屋村</v>
      </c>
      <c r="J1556" s="41" t="str">
        <f>VLOOKUP(B1556,辅助信息!E:I,4,FALSE)</f>
        <v>张瀚镭</v>
      </c>
      <c r="K1556" s="41">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172</v>
      </c>
      <c r="Q1556" s="30" t="str">
        <f>VLOOKUP(B1556,辅助信息!E:M,9,FALSE)</f>
        <v>ZTWM-CDGS-XS-2024-0030-华西集采-简州大道</v>
      </c>
      <c r="R1556" s="30" t="str">
        <f>_xlfn._xlws.FILTER(辅助信息!D:D,辅助信息!E:E=B1556)</f>
        <v>华西简阳西城嘉苑</v>
      </c>
    </row>
    <row r="1557" hidden="1" spans="1:18">
      <c r="A1557" s="83"/>
      <c r="B1557" s="41" t="s">
        <v>81</v>
      </c>
      <c r="C1557" s="71">
        <v>45789</v>
      </c>
      <c r="D1557" s="41" t="str">
        <f>VLOOKUP(B1557,辅助信息!E:K,7,FALSE)</f>
        <v>JWDDCD2025060900080</v>
      </c>
      <c r="E1557" s="41" t="str">
        <f>VLOOKUP(F1557,辅助信息!A:B,2,FALSE)</f>
        <v>螺纹钢</v>
      </c>
      <c r="F1557" s="41" t="s">
        <v>28</v>
      </c>
      <c r="G1557" s="37">
        <v>7</v>
      </c>
      <c r="H1557" s="37">
        <f>_xlfn.XLOOKUP(C1557&amp;F1557&amp;I1557&amp;J1557,'[1]2025年已发货'!$F:$F&amp;'[1]2025年已发货'!$C:$C&amp;'[1]2025年已发货'!$G:$G&amp;'[1]2025年已发货'!$H:$H,'[1]2025年已发货'!$E:$E,"未发货")</f>
        <v>7</v>
      </c>
      <c r="I1557" s="41" t="str">
        <f>VLOOKUP(B1557,辅助信息!E:I,3,FALSE)</f>
        <v>（华西简阳西城嘉苑）四川省成都市简阳市简城街道高屋村</v>
      </c>
      <c r="J1557" s="41" t="str">
        <f>VLOOKUP(B1557,辅助信息!E:I,4,FALSE)</f>
        <v>张瀚镭</v>
      </c>
      <c r="K1557" s="41">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172</v>
      </c>
      <c r="Q1557" s="30" t="str">
        <f>VLOOKUP(B1557,辅助信息!E:M,9,FALSE)</f>
        <v>ZTWM-CDGS-XS-2024-0030-华西集采-简州大道</v>
      </c>
      <c r="R1557" s="30" t="str">
        <f>_xlfn._xlws.FILTER(辅助信息!D:D,辅助信息!E:E=B1557)</f>
        <v>华西简阳西城嘉苑</v>
      </c>
    </row>
    <row r="1558" hidden="1" spans="1:18">
      <c r="A1558" s="83"/>
      <c r="B1558" s="41" t="s">
        <v>81</v>
      </c>
      <c r="C1558" s="71">
        <v>45789</v>
      </c>
      <c r="D1558" s="41" t="str">
        <f>VLOOKUP(B1558,辅助信息!E:K,7,FALSE)</f>
        <v>JWDDCD2025060900080</v>
      </c>
      <c r="E1558" s="41" t="str">
        <f>VLOOKUP(F1558,辅助信息!A:B,2,FALSE)</f>
        <v>螺纹钢</v>
      </c>
      <c r="F1558" s="41" t="s">
        <v>18</v>
      </c>
      <c r="G1558" s="37">
        <v>14.5</v>
      </c>
      <c r="H1558" s="37">
        <f>_xlfn.XLOOKUP(C1558&amp;F1558&amp;I1558&amp;J1558,'[1]2025年已发货'!$F:$F&amp;'[1]2025年已发货'!$C:$C&amp;'[1]2025年已发货'!$G:$G&amp;'[1]2025年已发货'!$H:$H,'[1]2025年已发货'!$E:$E,"未发货")</f>
        <v>14.5</v>
      </c>
      <c r="I1558" s="41" t="str">
        <f>VLOOKUP(B1558,辅助信息!E:I,3,FALSE)</f>
        <v>（华西简阳西城嘉苑）四川省成都市简阳市简城街道高屋村</v>
      </c>
      <c r="J1558" s="41" t="str">
        <f>VLOOKUP(B1558,辅助信息!E:I,4,FALSE)</f>
        <v>张瀚镭</v>
      </c>
      <c r="K1558" s="41">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172</v>
      </c>
      <c r="Q1558" s="30" t="str">
        <f>VLOOKUP(B1558,辅助信息!E:M,9,FALSE)</f>
        <v>ZTWM-CDGS-XS-2024-0030-华西集采-简州大道</v>
      </c>
      <c r="R1558" s="30" t="str">
        <f>_xlfn._xlws.FILTER(辅助信息!D:D,辅助信息!E:E=B1558)</f>
        <v>华西简阳西城嘉苑</v>
      </c>
    </row>
    <row r="1559" hidden="1" spans="1:18">
      <c r="A1559" s="83"/>
      <c r="B1559" s="41" t="s">
        <v>81</v>
      </c>
      <c r="C1559" s="71">
        <v>45789</v>
      </c>
      <c r="D1559" s="41" t="str">
        <f>VLOOKUP(B1559,辅助信息!E:K,7,FALSE)</f>
        <v>JWDDCD2025060900080</v>
      </c>
      <c r="E1559" s="41" t="str">
        <f>VLOOKUP(F1559,辅助信息!A:B,2,FALSE)</f>
        <v>螺纹钢</v>
      </c>
      <c r="F1559" s="41" t="s">
        <v>21</v>
      </c>
      <c r="G1559" s="37">
        <v>2.5</v>
      </c>
      <c r="H1559" s="37">
        <f>_xlfn.XLOOKUP(C1559&amp;F1559&amp;I1559&amp;J1559,'[1]2025年已发货'!$F:$F&amp;'[1]2025年已发货'!$C:$C&amp;'[1]2025年已发货'!$G:$G&amp;'[1]2025年已发货'!$H:$H,'[1]2025年已发货'!$E:$E,"未发货")</f>
        <v>2.5</v>
      </c>
      <c r="I1559" s="41" t="str">
        <f>VLOOKUP(B1559,辅助信息!E:I,3,FALSE)</f>
        <v>（华西简阳西城嘉苑）四川省成都市简阳市简城街道高屋村</v>
      </c>
      <c r="J1559" s="41" t="str">
        <f>VLOOKUP(B1559,辅助信息!E:I,4,FALSE)</f>
        <v>张瀚镭</v>
      </c>
      <c r="K1559" s="41">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171</v>
      </c>
      <c r="Q1559" s="30" t="str">
        <f>VLOOKUP(B1559,辅助信息!E:M,9,FALSE)</f>
        <v>ZTWM-CDGS-XS-2024-0030-华西集采-简州大道</v>
      </c>
      <c r="R1559" s="30" t="str">
        <f>_xlfn._xlws.FILTER(辅助信息!D:D,辅助信息!E:E=B1559)</f>
        <v>华西简阳西城嘉苑</v>
      </c>
    </row>
    <row r="1560" hidden="1" spans="1:18">
      <c r="A1560" s="83"/>
      <c r="B1560" s="41" t="s">
        <v>81</v>
      </c>
      <c r="C1560" s="71">
        <v>45789</v>
      </c>
      <c r="D1560" s="41" t="str">
        <f>VLOOKUP(B1560,辅助信息!E:K,7,FALSE)</f>
        <v>JWDDCD2025060900080</v>
      </c>
      <c r="E1560" s="41" t="str">
        <f>VLOOKUP(F1560,辅助信息!A:B,2,FALSE)</f>
        <v>螺纹钢</v>
      </c>
      <c r="F1560" s="41" t="s">
        <v>46</v>
      </c>
      <c r="G1560" s="37">
        <v>8.5</v>
      </c>
      <c r="H1560" s="37">
        <f>_xlfn.XLOOKUP(C1560&amp;F1560&amp;I1560&amp;J1560,'[1]2025年已发货'!$F:$F&amp;'[1]2025年已发货'!$C:$C&amp;'[1]2025年已发货'!$G:$G&amp;'[1]2025年已发货'!$H:$H,'[1]2025年已发货'!$E:$E,"未发货")</f>
        <v>8.5</v>
      </c>
      <c r="I1560" s="41" t="str">
        <f>VLOOKUP(B1560,辅助信息!E:I,3,FALSE)</f>
        <v>（华西简阳西城嘉苑）四川省成都市简阳市简城街道高屋村</v>
      </c>
      <c r="J1560" s="41" t="str">
        <f>VLOOKUP(B1560,辅助信息!E:I,4,FALSE)</f>
        <v>张瀚镭</v>
      </c>
      <c r="K1560" s="41">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171</v>
      </c>
      <c r="Q1560" s="30" t="str">
        <f>VLOOKUP(B1560,辅助信息!E:M,9,FALSE)</f>
        <v>ZTWM-CDGS-XS-2024-0030-华西集采-简州大道</v>
      </c>
      <c r="R1560" s="30" t="str">
        <f>_xlfn._xlws.FILTER(辅助信息!D:D,辅助信息!E:E=B1560)</f>
        <v>华西简阳西城嘉苑</v>
      </c>
    </row>
    <row r="1561" hidden="1" spans="2:18">
      <c r="B1561" s="41" t="s">
        <v>150</v>
      </c>
      <c r="C1561" s="71">
        <v>45789</v>
      </c>
      <c r="D1561" s="41" t="str">
        <f>VLOOKUP(B1561,辅助信息!E:K,7,FALSE)</f>
        <v>JWDDCD2025050800101</v>
      </c>
      <c r="E1561" s="41" t="str">
        <f>VLOOKUP(F1561,辅助信息!A:B,2,FALSE)</f>
        <v>螺纹钢</v>
      </c>
      <c r="F1561" s="41" t="s">
        <v>28</v>
      </c>
      <c r="G1561" s="37">
        <v>27</v>
      </c>
      <c r="H1561" s="37" t="str">
        <f>_xlfn.XLOOKUP(C1561&amp;F1561&amp;I1561&amp;J1561,'[1]2025年已发货'!$F:$F&amp;'[1]2025年已发货'!$C:$C&amp;'[1]2025年已发货'!$G:$G&amp;'[1]2025年已发货'!$H:$H,'[1]2025年已发货'!$E:$E,"未发货")</f>
        <v>未发货</v>
      </c>
      <c r="I1561" s="41" t="str">
        <f>VLOOKUP(B1561,辅助信息!E:I,3,FALSE)</f>
        <v>(中铁科研院宜宾泥溪项目)中铁科研院集团有限公司宜宾市泥溪东互通式立交下穿成贵客专铁路工程项目钢筋加工厂</v>
      </c>
      <c r="J1561" s="41" t="str">
        <f>VLOOKUP(B1561,辅助信息!E:I,4,FALSE)</f>
        <v>蔡鹏</v>
      </c>
      <c r="K1561" s="41">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167</v>
      </c>
      <c r="Q1561" s="30" t="str">
        <f>VLOOKUP(B1561,辅助信息!E:M,9,FALSE)</f>
        <v>ZTWM-CDGS-XS-2025-0050-中铁科研院-宜宾泥溪项目</v>
      </c>
      <c r="R1561" s="30" t="str">
        <f>_xlfn._xlws.FILTER(辅助信息!D:D,辅助信息!E:E=B1561)</f>
        <v>中铁科研院宜宾泥溪项目</v>
      </c>
    </row>
    <row r="1562" hidden="1" spans="2:18">
      <c r="B1562" s="41" t="s">
        <v>150</v>
      </c>
      <c r="C1562" s="71">
        <v>45789</v>
      </c>
      <c r="D1562" s="41" t="str">
        <f>VLOOKUP(B1562,辅助信息!E:K,7,FALSE)</f>
        <v>JWDDCD2025050800101</v>
      </c>
      <c r="E1562" s="41" t="str">
        <f>VLOOKUP(F1562,辅助信息!A:B,2,FALSE)</f>
        <v>螺纹钢</v>
      </c>
      <c r="F1562" s="41" t="s">
        <v>65</v>
      </c>
      <c r="G1562" s="37">
        <v>36</v>
      </c>
      <c r="H1562" s="37" t="str">
        <f>_xlfn.XLOOKUP(C1562&amp;F1562&amp;I1562&amp;J1562,'[1]2025年已发货'!$F:$F&amp;'[1]2025年已发货'!$C:$C&amp;'[1]2025年已发货'!$G:$G&amp;'[1]2025年已发货'!$H:$H,'[1]2025年已发货'!$E:$E,"未发货")</f>
        <v>未发货</v>
      </c>
      <c r="I1562" s="41" t="str">
        <f>VLOOKUP(B1562,辅助信息!E:I,3,FALSE)</f>
        <v>(中铁科研院宜宾泥溪项目)中铁科研院集团有限公司宜宾市泥溪东互通式立交下穿成贵客专铁路工程项目钢筋加工厂</v>
      </c>
      <c r="J1562" s="41" t="str">
        <f>VLOOKUP(B1562,辅助信息!E:I,4,FALSE)</f>
        <v>蔡鹏</v>
      </c>
      <c r="K1562" s="41">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167</v>
      </c>
      <c r="Q1562" s="30" t="str">
        <f>VLOOKUP(B1562,辅助信息!E:M,9,FALSE)</f>
        <v>ZTWM-CDGS-XS-2025-0050-中铁科研院-宜宾泥溪项目</v>
      </c>
      <c r="R1562" s="30" t="str">
        <f>_xlfn._xlws.FILTER(辅助信息!D:D,辅助信息!E:E=B1562)</f>
        <v>中铁科研院宜宾泥溪项目</v>
      </c>
    </row>
    <row r="1563" hidden="1" spans="2:18">
      <c r="B1563" s="41" t="s">
        <v>150</v>
      </c>
      <c r="C1563" s="71">
        <v>45789</v>
      </c>
      <c r="D1563" s="41" t="str">
        <f>VLOOKUP(B1563,辅助信息!E:K,7,FALSE)</f>
        <v>JWDDCD2025050800101</v>
      </c>
      <c r="E1563" s="41" t="str">
        <f>VLOOKUP(F1563,辅助信息!A:B,2,FALSE)</f>
        <v>螺纹钢</v>
      </c>
      <c r="F1563" s="41" t="s">
        <v>32</v>
      </c>
      <c r="G1563" s="37">
        <v>6</v>
      </c>
      <c r="H1563" s="37" t="str">
        <f>_xlfn.XLOOKUP(C1563&amp;F1563&amp;I1563&amp;J1563,'[1]2025年已发货'!$F:$F&amp;'[1]2025年已发货'!$C:$C&amp;'[1]2025年已发货'!$G:$G&amp;'[1]2025年已发货'!$H:$H,'[1]2025年已发货'!$E:$E,"未发货")</f>
        <v>未发货</v>
      </c>
      <c r="I1563" s="41" t="str">
        <f>VLOOKUP(B1563,辅助信息!E:I,3,FALSE)</f>
        <v>(中铁科研院宜宾泥溪项目)中铁科研院集团有限公司宜宾市泥溪东互通式立交下穿成贵客专铁路工程项目钢筋加工厂</v>
      </c>
      <c r="J1563" s="41" t="str">
        <f>VLOOKUP(B1563,辅助信息!E:I,4,FALSE)</f>
        <v>蔡鹏</v>
      </c>
      <c r="K1563" s="41">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167</v>
      </c>
      <c r="Q1563" s="30" t="str">
        <f>VLOOKUP(B1563,辅助信息!E:M,9,FALSE)</f>
        <v>ZTWM-CDGS-XS-2025-0050-中铁科研院-宜宾泥溪项目</v>
      </c>
      <c r="R1563" s="30" t="str">
        <f>_xlfn._xlws.FILTER(辅助信息!D:D,辅助信息!E:E=B1563)</f>
        <v>中铁科研院宜宾泥溪项目</v>
      </c>
    </row>
    <row r="1564" hidden="1" spans="2:18">
      <c r="B1564" s="41" t="s">
        <v>92</v>
      </c>
      <c r="C1564" s="71">
        <v>45793</v>
      </c>
      <c r="D1564" s="121" t="str">
        <f>VLOOKUP(B1564,辅助信息!E:K,7,FALSE)</f>
        <v>JWDDCD2025051800046</v>
      </c>
      <c r="E1564" s="121" t="str">
        <f>VLOOKUP(F1564,辅助信息!A:B,2,FALSE)</f>
        <v>盘螺</v>
      </c>
      <c r="F1564" s="41" t="s">
        <v>40</v>
      </c>
      <c r="G1564" s="37">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165</v>
      </c>
      <c r="Q1564" s="30" t="str">
        <f>VLOOKUP(B1564,辅助信息!E:M,9,FALSE)</f>
        <v>ZTWM-CDGS-XS-2024-0092-华西-萌海科创农业生态谷</v>
      </c>
      <c r="R1564" s="30" t="str">
        <f>_xlfn._xlws.FILTER(辅助信息!D:D,辅助信息!E:E=B1564)</f>
        <v>华西萌海-科创农业生态谷</v>
      </c>
    </row>
    <row r="1565" hidden="1" spans="2:18">
      <c r="B1565" s="41" t="s">
        <v>92</v>
      </c>
      <c r="C1565" s="71">
        <v>45793</v>
      </c>
      <c r="D1565" s="121" t="str">
        <f>VLOOKUP(B1565,辅助信息!E:K,7,FALSE)</f>
        <v>JWDDCD2025051800046</v>
      </c>
      <c r="E1565" s="121" t="str">
        <f>VLOOKUP(F1565,辅助信息!A:B,2,FALSE)</f>
        <v>盘螺</v>
      </c>
      <c r="F1565" s="41" t="s">
        <v>41</v>
      </c>
      <c r="G1565" s="37">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165</v>
      </c>
      <c r="Q1565" s="30" t="str">
        <f>VLOOKUP(B1565,辅助信息!E:M,9,FALSE)</f>
        <v>ZTWM-CDGS-XS-2024-0092-华西-萌海科创农业生态谷</v>
      </c>
      <c r="R1565" s="30" t="str">
        <f>_xlfn._xlws.FILTER(辅助信息!D:D,辅助信息!E:E=B1565)</f>
        <v>华西萌海-科创农业生态谷</v>
      </c>
    </row>
    <row r="1566" hidden="1" spans="2:18">
      <c r="B1566" s="41" t="s">
        <v>17</v>
      </c>
      <c r="C1566" s="71">
        <v>45793</v>
      </c>
      <c r="D1566" s="121" t="str">
        <f>VLOOKUP(B1566,辅助信息!E:K,7,FALSE)</f>
        <v>JWDDCD2024101600090</v>
      </c>
      <c r="E1566" s="121" t="str">
        <f>VLOOKUP(F1566,辅助信息!A:B,2,FALSE)</f>
        <v>盘螺</v>
      </c>
      <c r="F1566" s="41" t="s">
        <v>49</v>
      </c>
      <c r="G1566" s="37">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166</v>
      </c>
      <c r="Q1566" s="30" t="str">
        <f>VLOOKUP(B1566,辅助信息!E:M,9,FALSE)</f>
        <v>ZTWM-CDGS-XS-2024-0205-五冶钢构-达州市通川区西外复兴镇及临近片区建设项目</v>
      </c>
      <c r="R1566" s="30" t="str">
        <f>_xlfn._xlws.FILTER(辅助信息!D:D,辅助信息!E:E=B1566)</f>
        <v>五冶钢构达州市公共卫生临床医疗中心项目</v>
      </c>
    </row>
    <row r="1567" hidden="1" spans="2:18">
      <c r="B1567" s="41" t="s">
        <v>17</v>
      </c>
      <c r="C1567" s="71">
        <v>45793</v>
      </c>
      <c r="D1567" s="121" t="str">
        <f>VLOOKUP(B1567,辅助信息!E:K,7,FALSE)</f>
        <v>JWDDCD2024101600090</v>
      </c>
      <c r="E1567" s="121" t="str">
        <f>VLOOKUP(F1567,辅助信息!A:B,2,FALSE)</f>
        <v>盘螺</v>
      </c>
      <c r="F1567" s="41" t="s">
        <v>41</v>
      </c>
      <c r="G1567" s="37">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166</v>
      </c>
      <c r="Q1567" s="30" t="str">
        <f>VLOOKUP(B1567,辅助信息!E:M,9,FALSE)</f>
        <v>ZTWM-CDGS-XS-2024-0205-五冶钢构-达州市通川区西外复兴镇及临近片区建设项目</v>
      </c>
      <c r="R1567" s="30" t="str">
        <f>_xlfn._xlws.FILTER(辅助信息!D:D,辅助信息!E:E=B1567)</f>
        <v>五冶钢构达州市公共卫生临床医疗中心项目</v>
      </c>
    </row>
    <row r="1568" hidden="1" spans="2:18">
      <c r="B1568" s="41" t="s">
        <v>17</v>
      </c>
      <c r="C1568" s="71">
        <v>45793</v>
      </c>
      <c r="D1568" s="121" t="str">
        <f>VLOOKUP(B1568,辅助信息!E:K,7,FALSE)</f>
        <v>JWDDCD2024101600090</v>
      </c>
      <c r="E1568" s="121" t="str">
        <f>VLOOKUP(F1568,辅助信息!A:B,2,FALSE)</f>
        <v>螺纹钢</v>
      </c>
      <c r="F1568" s="41" t="s">
        <v>27</v>
      </c>
      <c r="G1568" s="37">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166</v>
      </c>
      <c r="Q1568" s="30" t="str">
        <f>VLOOKUP(B1568,辅助信息!E:M,9,FALSE)</f>
        <v>ZTWM-CDGS-XS-2024-0205-五冶钢构-达州市通川区西外复兴镇及临近片区建设项目</v>
      </c>
      <c r="R1568" s="30" t="str">
        <f>_xlfn._xlws.FILTER(辅助信息!D:D,辅助信息!E:E=B1568)</f>
        <v>五冶钢构达州市公共卫生临床医疗中心项目</v>
      </c>
    </row>
    <row r="1569" hidden="1" spans="2:18">
      <c r="B1569" s="41" t="s">
        <v>17</v>
      </c>
      <c r="C1569" s="71">
        <v>45793</v>
      </c>
      <c r="D1569" s="121" t="str">
        <f>VLOOKUP(B1569,辅助信息!E:K,7,FALSE)</f>
        <v>JWDDCD2024101600090</v>
      </c>
      <c r="E1569" s="121" t="str">
        <f>VLOOKUP(F1569,辅助信息!A:B,2,FALSE)</f>
        <v>螺纹钢</v>
      </c>
      <c r="F1569" s="41" t="s">
        <v>19</v>
      </c>
      <c r="G1569" s="37">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166</v>
      </c>
      <c r="Q1569" s="30" t="str">
        <f>VLOOKUP(B1569,辅助信息!E:M,9,FALSE)</f>
        <v>ZTWM-CDGS-XS-2024-0205-五冶钢构-达州市通川区西外复兴镇及临近片区建设项目</v>
      </c>
      <c r="R1569" s="30" t="str">
        <f>_xlfn._xlws.FILTER(辅助信息!D:D,辅助信息!E:E=B1569)</f>
        <v>五冶钢构达州市公共卫生临床医疗中心项目</v>
      </c>
    </row>
    <row r="1570" hidden="1" spans="2:18">
      <c r="B1570" s="41" t="s">
        <v>151</v>
      </c>
      <c r="C1570" s="71">
        <v>45793</v>
      </c>
      <c r="D1570" s="121" t="str">
        <f>VLOOKUP(B1570,辅助信息!E:K,7,FALSE)</f>
        <v>JWDDCD2025051000019</v>
      </c>
      <c r="E1570" s="121" t="str">
        <f>VLOOKUP(F1570,辅助信息!A:B,2,FALSE)</f>
        <v>螺纹钢</v>
      </c>
      <c r="F1570" s="41" t="s">
        <v>19</v>
      </c>
      <c r="G1570" s="37">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166</v>
      </c>
      <c r="Q1570" s="30" t="str">
        <f>VLOOKUP(B1570,辅助信息!E:M,9,FALSE)</f>
        <v>ZTWM-CDGS-XS-2024-0248-五冶钢构-南充市医学院项目</v>
      </c>
      <c r="R1570" s="30" t="str">
        <f>_xlfn._xlws.FILTER(辅助信息!D:D,辅助信息!E:E=B1570)</f>
        <v>五冶钢构南充医学科学产业园建设项目</v>
      </c>
    </row>
    <row r="1571" hidden="1" spans="2:18">
      <c r="B1571" s="41" t="s">
        <v>81</v>
      </c>
      <c r="C1571" s="71">
        <v>45793</v>
      </c>
      <c r="D1571" s="121" t="str">
        <f>VLOOKUP(B1571,辅助信息!E:K,7,FALSE)</f>
        <v>JWDDCD2025060900080</v>
      </c>
      <c r="E1571" s="121" t="str">
        <f>VLOOKUP(F1571,辅助信息!A:B,2,FALSE)</f>
        <v>盘螺</v>
      </c>
      <c r="F1571" s="41" t="s">
        <v>49</v>
      </c>
      <c r="G1571" s="37">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162</v>
      </c>
      <c r="Q1571" s="30" t="str">
        <f>VLOOKUP(B1571,辅助信息!E:M,9,FALSE)</f>
        <v>ZTWM-CDGS-XS-2024-0030-华西集采-简州大道</v>
      </c>
      <c r="R1571" s="30" t="str">
        <f>_xlfn._xlws.FILTER(辅助信息!D:D,辅助信息!E:E=B1571)</f>
        <v>华西简阳西城嘉苑</v>
      </c>
    </row>
    <row r="1572" hidden="1" spans="2:18">
      <c r="B1572" s="41" t="s">
        <v>81</v>
      </c>
      <c r="C1572" s="71">
        <v>45793</v>
      </c>
      <c r="D1572" s="121" t="str">
        <f>VLOOKUP(B1572,辅助信息!E:K,7,FALSE)</f>
        <v>JWDDCD2025060900080</v>
      </c>
      <c r="E1572" s="121" t="str">
        <f>VLOOKUP(F1572,辅助信息!A:B,2,FALSE)</f>
        <v>盘螺</v>
      </c>
      <c r="F1572" s="41" t="s">
        <v>40</v>
      </c>
      <c r="G1572" s="37">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162</v>
      </c>
      <c r="Q1572" s="30" t="str">
        <f>VLOOKUP(B1572,辅助信息!E:M,9,FALSE)</f>
        <v>ZTWM-CDGS-XS-2024-0030-华西集采-简州大道</v>
      </c>
      <c r="R1572" s="30" t="str">
        <f>_xlfn._xlws.FILTER(辅助信息!D:D,辅助信息!E:E=B1572)</f>
        <v>华西简阳西城嘉苑</v>
      </c>
    </row>
    <row r="1573" hidden="1" spans="2:18">
      <c r="B1573" s="41" t="s">
        <v>81</v>
      </c>
      <c r="C1573" s="71">
        <v>45793</v>
      </c>
      <c r="D1573" s="121" t="str">
        <f>VLOOKUP(B1573,辅助信息!E:K,7,FALSE)</f>
        <v>JWDDCD2025060900080</v>
      </c>
      <c r="E1573" s="121" t="str">
        <f>VLOOKUP(F1573,辅助信息!A:B,2,FALSE)</f>
        <v>盘螺</v>
      </c>
      <c r="F1573" s="41" t="s">
        <v>26</v>
      </c>
      <c r="G1573" s="37">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162</v>
      </c>
      <c r="Q1573" s="30" t="str">
        <f>VLOOKUP(B1573,辅助信息!E:M,9,FALSE)</f>
        <v>ZTWM-CDGS-XS-2024-0030-华西集采-简州大道</v>
      </c>
      <c r="R1573" s="30" t="str">
        <f>_xlfn._xlws.FILTER(辅助信息!D:D,辅助信息!E:E=B1573)</f>
        <v>华西简阳西城嘉苑</v>
      </c>
    </row>
    <row r="1574" hidden="1" spans="2:18">
      <c r="B1574" s="41" t="s">
        <v>81</v>
      </c>
      <c r="C1574" s="71">
        <v>45793</v>
      </c>
      <c r="D1574" s="121" t="str">
        <f>VLOOKUP(B1574,辅助信息!E:K,7,FALSE)</f>
        <v>JWDDCD2025060900080</v>
      </c>
      <c r="E1574" s="121" t="str">
        <f>VLOOKUP(F1574,辅助信息!A:B,2,FALSE)</f>
        <v>螺纹钢</v>
      </c>
      <c r="F1574" s="41" t="s">
        <v>19</v>
      </c>
      <c r="G1574" s="37">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162</v>
      </c>
      <c r="Q1574" s="30" t="str">
        <f>VLOOKUP(B1574,辅助信息!E:M,9,FALSE)</f>
        <v>ZTWM-CDGS-XS-2024-0030-华西集采-简州大道</v>
      </c>
      <c r="R1574" s="30" t="str">
        <f>_xlfn._xlws.FILTER(辅助信息!D:D,辅助信息!E:E=B1574)</f>
        <v>华西简阳西城嘉苑</v>
      </c>
    </row>
    <row r="1575" hidden="1" spans="2:18">
      <c r="B1575" s="41" t="s">
        <v>81</v>
      </c>
      <c r="C1575" s="71">
        <v>45793</v>
      </c>
      <c r="D1575" s="121" t="str">
        <f>VLOOKUP(B1575,辅助信息!E:K,7,FALSE)</f>
        <v>JWDDCD2025060900080</v>
      </c>
      <c r="E1575" s="121" t="str">
        <f>VLOOKUP(F1575,辅助信息!A:B,2,FALSE)</f>
        <v>螺纹钢</v>
      </c>
      <c r="F1575" s="41" t="s">
        <v>32</v>
      </c>
      <c r="G1575" s="37">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162</v>
      </c>
      <c r="Q1575" s="30" t="str">
        <f>VLOOKUP(B1575,辅助信息!E:M,9,FALSE)</f>
        <v>ZTWM-CDGS-XS-2024-0030-华西集采-简州大道</v>
      </c>
      <c r="R1575" s="30" t="str">
        <f>_xlfn._xlws.FILTER(辅助信息!D:D,辅助信息!E:E=B1575)</f>
        <v>华西简阳西城嘉苑</v>
      </c>
    </row>
    <row r="1576" hidden="1" spans="2:18">
      <c r="B1576" s="41" t="s">
        <v>81</v>
      </c>
      <c r="C1576" s="71">
        <v>45793</v>
      </c>
      <c r="D1576" s="121" t="str">
        <f>VLOOKUP(B1576,辅助信息!E:K,7,FALSE)</f>
        <v>JWDDCD2025060900080</v>
      </c>
      <c r="E1576" s="121" t="str">
        <f>VLOOKUP(F1576,辅助信息!A:B,2,FALSE)</f>
        <v>螺纹钢</v>
      </c>
      <c r="F1576" s="41" t="s">
        <v>30</v>
      </c>
      <c r="G1576" s="37">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162</v>
      </c>
      <c r="Q1576" s="30" t="str">
        <f>VLOOKUP(B1576,辅助信息!E:M,9,FALSE)</f>
        <v>ZTWM-CDGS-XS-2024-0030-华西集采-简州大道</v>
      </c>
      <c r="R1576" s="30" t="str">
        <f>_xlfn._xlws.FILTER(辅助信息!D:D,辅助信息!E:E=B1576)</f>
        <v>华西简阳西城嘉苑</v>
      </c>
    </row>
    <row r="1577" hidden="1" spans="2:18">
      <c r="B1577" s="41" t="s">
        <v>81</v>
      </c>
      <c r="C1577" s="71">
        <v>45793</v>
      </c>
      <c r="D1577" s="121" t="str">
        <f>VLOOKUP(B1577,辅助信息!E:K,7,FALSE)</f>
        <v>JWDDCD2025060900080</v>
      </c>
      <c r="E1577" s="121" t="str">
        <f>VLOOKUP(F1577,辅助信息!A:B,2,FALSE)</f>
        <v>螺纹钢</v>
      </c>
      <c r="F1577" s="41" t="s">
        <v>33</v>
      </c>
      <c r="G1577" s="37">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162</v>
      </c>
      <c r="Q1577" s="30" t="str">
        <f>VLOOKUP(B1577,辅助信息!E:M,9,FALSE)</f>
        <v>ZTWM-CDGS-XS-2024-0030-华西集采-简州大道</v>
      </c>
      <c r="R1577" s="30" t="str">
        <f>_xlfn._xlws.FILTER(辅助信息!D:D,辅助信息!E:E=B1577)</f>
        <v>华西简阳西城嘉苑</v>
      </c>
    </row>
    <row r="1578" hidden="1" spans="2:18">
      <c r="B1578" s="41" t="s">
        <v>81</v>
      </c>
      <c r="C1578" s="71">
        <v>45793</v>
      </c>
      <c r="D1578" s="121" t="str">
        <f>VLOOKUP(B1578,辅助信息!E:K,7,FALSE)</f>
        <v>JWDDCD2025060900080</v>
      </c>
      <c r="E1578" s="121" t="str">
        <f>VLOOKUP(F1578,辅助信息!A:B,2,FALSE)</f>
        <v>螺纹钢</v>
      </c>
      <c r="F1578" s="41" t="s">
        <v>28</v>
      </c>
      <c r="G1578" s="37">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162</v>
      </c>
      <c r="Q1578" s="30" t="str">
        <f>VLOOKUP(B1578,辅助信息!E:M,9,FALSE)</f>
        <v>ZTWM-CDGS-XS-2024-0030-华西集采-简州大道</v>
      </c>
      <c r="R1578" s="30" t="str">
        <f>_xlfn._xlws.FILTER(辅助信息!D:D,辅助信息!E:E=B1578)</f>
        <v>华西简阳西城嘉苑</v>
      </c>
    </row>
    <row r="1579" hidden="1" spans="2:18">
      <c r="B1579" s="41" t="s">
        <v>81</v>
      </c>
      <c r="C1579" s="71">
        <v>45793</v>
      </c>
      <c r="D1579" s="121" t="str">
        <f>VLOOKUP(B1579,辅助信息!E:K,7,FALSE)</f>
        <v>JWDDCD2025060900080</v>
      </c>
      <c r="E1579" s="121" t="str">
        <f>VLOOKUP(F1579,辅助信息!A:B,2,FALSE)</f>
        <v>螺纹钢</v>
      </c>
      <c r="F1579" s="41" t="s">
        <v>18</v>
      </c>
      <c r="G1579" s="37">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162</v>
      </c>
      <c r="Q1579" s="30" t="str">
        <f>VLOOKUP(B1579,辅助信息!E:M,9,FALSE)</f>
        <v>ZTWM-CDGS-XS-2024-0030-华西集采-简州大道</v>
      </c>
      <c r="R1579" s="30" t="str">
        <f>_xlfn._xlws.FILTER(辅助信息!D:D,辅助信息!E:E=B1579)</f>
        <v>华西简阳西城嘉苑</v>
      </c>
    </row>
    <row r="1580" hidden="1" spans="2:18">
      <c r="B1580" s="41" t="s">
        <v>81</v>
      </c>
      <c r="C1580" s="71">
        <v>45793</v>
      </c>
      <c r="D1580" s="121" t="str">
        <f>VLOOKUP(B1580,辅助信息!E:K,7,FALSE)</f>
        <v>JWDDCD2025060900080</v>
      </c>
      <c r="E1580" s="121" t="str">
        <f>VLOOKUP(F1580,辅助信息!A:B,2,FALSE)</f>
        <v>螺纹钢</v>
      </c>
      <c r="F1580" s="41" t="s">
        <v>66</v>
      </c>
      <c r="G1580" s="37">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162</v>
      </c>
      <c r="Q1580" s="30" t="str">
        <f>VLOOKUP(B1580,辅助信息!E:M,9,FALSE)</f>
        <v>ZTWM-CDGS-XS-2024-0030-华西集采-简州大道</v>
      </c>
      <c r="R1580" s="30" t="str">
        <f>_xlfn._xlws.FILTER(辅助信息!D:D,辅助信息!E:E=B1580)</f>
        <v>华西简阳西城嘉苑</v>
      </c>
    </row>
    <row r="1581" hidden="1" spans="2:18">
      <c r="B1581" s="41" t="s">
        <v>81</v>
      </c>
      <c r="C1581" s="71">
        <v>45793</v>
      </c>
      <c r="D1581" s="121" t="str">
        <f>VLOOKUP(B1581,辅助信息!E:K,7,FALSE)</f>
        <v>JWDDCD2025060900080</v>
      </c>
      <c r="E1581" s="121" t="str">
        <f>VLOOKUP(F1581,辅助信息!A:B,2,FALSE)</f>
        <v>螺纹钢</v>
      </c>
      <c r="F1581" s="41" t="s">
        <v>82</v>
      </c>
      <c r="G1581" s="37">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162</v>
      </c>
      <c r="Q1581" s="30" t="str">
        <f>VLOOKUP(B1581,辅助信息!E:M,9,FALSE)</f>
        <v>ZTWM-CDGS-XS-2024-0030-华西集采-简州大道</v>
      </c>
      <c r="R1581" s="30" t="str">
        <f>_xlfn._xlws.FILTER(辅助信息!D:D,辅助信息!E:E=B1581)</f>
        <v>华西简阳西城嘉苑</v>
      </c>
    </row>
    <row r="1582" hidden="1" spans="2:18">
      <c r="B1582" s="41" t="s">
        <v>81</v>
      </c>
      <c r="C1582" s="71">
        <v>45793</v>
      </c>
      <c r="D1582" s="121" t="str">
        <f>VLOOKUP(B1582,辅助信息!E:K,7,FALSE)</f>
        <v>JWDDCD2025060900080</v>
      </c>
      <c r="E1582" s="121" t="str">
        <f>VLOOKUP(F1582,辅助信息!A:B,2,FALSE)</f>
        <v>螺纹钢</v>
      </c>
      <c r="F1582" s="41" t="s">
        <v>45</v>
      </c>
      <c r="G1582" s="37">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162</v>
      </c>
      <c r="Q1582" s="30" t="str">
        <f>VLOOKUP(B1582,辅助信息!E:M,9,FALSE)</f>
        <v>ZTWM-CDGS-XS-2024-0030-华西集采-简州大道</v>
      </c>
      <c r="R1582" s="30" t="str">
        <f>_xlfn._xlws.FILTER(辅助信息!D:D,辅助信息!E:E=B1582)</f>
        <v>华西简阳西城嘉苑</v>
      </c>
    </row>
    <row r="1583" hidden="1" spans="2:18">
      <c r="B1583" s="41" t="s">
        <v>81</v>
      </c>
      <c r="C1583" s="71">
        <v>45793</v>
      </c>
      <c r="D1583" s="121" t="str">
        <f>VLOOKUP(B1583,辅助信息!E:K,7,FALSE)</f>
        <v>JWDDCD2025060900080</v>
      </c>
      <c r="E1583" s="121" t="str">
        <f>VLOOKUP(F1583,辅助信息!A:B,2,FALSE)</f>
        <v>螺纹钢</v>
      </c>
      <c r="F1583" s="41" t="s">
        <v>21</v>
      </c>
      <c r="G1583" s="37">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162</v>
      </c>
      <c r="Q1583" s="30" t="str">
        <f>VLOOKUP(B1583,辅助信息!E:M,9,FALSE)</f>
        <v>ZTWM-CDGS-XS-2024-0030-华西集采-简州大道</v>
      </c>
      <c r="R1583" s="30" t="str">
        <f>_xlfn._xlws.FILTER(辅助信息!D:D,辅助信息!E:E=B1583)</f>
        <v>华西简阳西城嘉苑</v>
      </c>
    </row>
    <row r="1584" hidden="1" spans="2:18">
      <c r="B1584" s="41" t="s">
        <v>81</v>
      </c>
      <c r="C1584" s="71">
        <v>45793</v>
      </c>
      <c r="D1584" s="121" t="str">
        <f>VLOOKUP(B1584,辅助信息!E:K,7,FALSE)</f>
        <v>JWDDCD2025060900080</v>
      </c>
      <c r="E1584" s="121" t="str">
        <f>VLOOKUP(F1584,辅助信息!A:B,2,FALSE)</f>
        <v>螺纹钢</v>
      </c>
      <c r="F1584" s="41" t="s">
        <v>58</v>
      </c>
      <c r="G1584" s="37">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162</v>
      </c>
      <c r="Q1584" s="30" t="str">
        <f>VLOOKUP(B1584,辅助信息!E:M,9,FALSE)</f>
        <v>ZTWM-CDGS-XS-2024-0030-华西集采-简州大道</v>
      </c>
      <c r="R1584" s="30" t="str">
        <f>_xlfn._xlws.FILTER(辅助信息!D:D,辅助信息!E:E=B1584)</f>
        <v>华西简阳西城嘉苑</v>
      </c>
    </row>
    <row r="1585" hidden="1" spans="2:18">
      <c r="B1585" s="41" t="s">
        <v>81</v>
      </c>
      <c r="C1585" s="71">
        <v>45793</v>
      </c>
      <c r="D1585" s="121" t="str">
        <f>VLOOKUP(B1585,辅助信息!E:K,7,FALSE)</f>
        <v>JWDDCD2025060900080</v>
      </c>
      <c r="E1585" s="121" t="str">
        <f>VLOOKUP(F1585,辅助信息!A:B,2,FALSE)</f>
        <v>螺纹钢</v>
      </c>
      <c r="F1585" s="41" t="s">
        <v>46</v>
      </c>
      <c r="G1585" s="37">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162</v>
      </c>
      <c r="Q1585" s="30" t="str">
        <f>VLOOKUP(B1585,辅助信息!E:M,9,FALSE)</f>
        <v>ZTWM-CDGS-XS-2024-0030-华西集采-简州大道</v>
      </c>
      <c r="R1585" s="30" t="str">
        <f>_xlfn._xlws.FILTER(辅助信息!D:D,辅助信息!E:E=B1585)</f>
        <v>华西简阳西城嘉苑</v>
      </c>
    </row>
    <row r="1586" hidden="1" spans="2:18">
      <c r="B1586" s="41" t="s">
        <v>81</v>
      </c>
      <c r="C1586" s="71">
        <v>45793</v>
      </c>
      <c r="D1586" s="121" t="str">
        <f>VLOOKUP(B1586,辅助信息!E:K,7,FALSE)</f>
        <v>JWDDCD2025060900080</v>
      </c>
      <c r="E1586" s="121" t="str">
        <f>VLOOKUP(F1586,辅助信息!A:B,2,FALSE)</f>
        <v>螺纹钢</v>
      </c>
      <c r="F1586" s="41" t="s">
        <v>22</v>
      </c>
      <c r="G1586" s="37">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162</v>
      </c>
      <c r="Q1586" s="30" t="str">
        <f>VLOOKUP(B1586,辅助信息!E:M,9,FALSE)</f>
        <v>ZTWM-CDGS-XS-2024-0030-华西集采-简州大道</v>
      </c>
      <c r="R1586" s="30" t="str">
        <f>_xlfn._xlws.FILTER(辅助信息!D:D,辅助信息!E:E=B1586)</f>
        <v>华西简阳西城嘉苑</v>
      </c>
    </row>
    <row r="1587" hidden="1" spans="2:18">
      <c r="B1587" s="41" t="s">
        <v>152</v>
      </c>
      <c r="C1587" s="71">
        <v>45793</v>
      </c>
      <c r="D1587" s="121" t="e">
        <f>VLOOKUP(B1587,辅助信息!E:K,7,FALSE)</f>
        <v>#N/A</v>
      </c>
      <c r="E1587" s="121" t="str">
        <f>VLOOKUP(F1587,辅助信息!A:B,2,FALSE)</f>
        <v>高线</v>
      </c>
      <c r="F1587" s="41" t="s">
        <v>51</v>
      </c>
      <c r="G1587" s="37">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162</v>
      </c>
      <c r="Q1587" s="30" t="e">
        <f>VLOOKUP(B1587,辅助信息!E:M,9,FALSE)</f>
        <v>#N/A</v>
      </c>
      <c r="R1587" s="30" vm="1" t="e">
        <f>_xlfn._xlws.FILTER(辅助信息!D:D,辅助信息!E:E=B1587)</f>
        <v>#VALUE!</v>
      </c>
    </row>
    <row r="1588" hidden="1" spans="2:18">
      <c r="B1588" s="41" t="s">
        <v>152</v>
      </c>
      <c r="C1588" s="71">
        <v>45793</v>
      </c>
      <c r="D1588" s="121" t="e">
        <f>VLOOKUP(B1588,辅助信息!E:K,7,FALSE)</f>
        <v>#N/A</v>
      </c>
      <c r="E1588" s="121" t="str">
        <f>VLOOKUP(F1588,辅助信息!A:B,2,FALSE)</f>
        <v>螺纹钢</v>
      </c>
      <c r="F1588" s="41" t="s">
        <v>28</v>
      </c>
      <c r="G1588" s="37">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162</v>
      </c>
      <c r="Q1588" s="30" t="e">
        <f>VLOOKUP(B1588,辅助信息!E:M,9,FALSE)</f>
        <v>#N/A</v>
      </c>
      <c r="R1588" s="30" vm="1" t="e">
        <f>_xlfn._xlws.FILTER(辅助信息!D:D,辅助信息!E:E=B1588)</f>
        <v>#VALUE!</v>
      </c>
    </row>
    <row r="1589" hidden="1" spans="2:18">
      <c r="B1589" s="41" t="s">
        <v>81</v>
      </c>
      <c r="C1589" s="71">
        <v>45796</v>
      </c>
      <c r="D1589" s="121" t="str">
        <f>VLOOKUP(B1589,辅助信息!E:K,7,FALSE)</f>
        <v>JWDDCD2025060900080</v>
      </c>
      <c r="E1589" s="121" t="str">
        <f>VLOOKUP(F1589,辅助信息!A:B,2,FALSE)</f>
        <v>盘螺</v>
      </c>
      <c r="F1589" s="41" t="s">
        <v>49</v>
      </c>
      <c r="G1589" s="37">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159</v>
      </c>
      <c r="Q1589" s="30" t="str">
        <f>VLOOKUP(B1589,辅助信息!E:M,9,FALSE)</f>
        <v>ZTWM-CDGS-XS-2024-0030-华西集采-简州大道</v>
      </c>
      <c r="R1589" s="30" t="str">
        <f>_xlfn._xlws.FILTER(辅助信息!D:D,辅助信息!E:E=B1589)</f>
        <v>华西简阳西城嘉苑</v>
      </c>
    </row>
    <row r="1590" hidden="1" spans="2:18">
      <c r="B1590" s="41" t="s">
        <v>81</v>
      </c>
      <c r="C1590" s="71">
        <v>45796</v>
      </c>
      <c r="D1590" s="121" t="str">
        <f>VLOOKUP(B1590,辅助信息!E:K,7,FALSE)</f>
        <v>JWDDCD2025060900080</v>
      </c>
      <c r="E1590" s="121" t="str">
        <f>VLOOKUP(F1590,辅助信息!A:B,2,FALSE)</f>
        <v>盘螺</v>
      </c>
      <c r="F1590" s="41" t="s">
        <v>40</v>
      </c>
      <c r="G1590" s="37">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159</v>
      </c>
      <c r="Q1590" s="30" t="str">
        <f>VLOOKUP(B1590,辅助信息!E:M,9,FALSE)</f>
        <v>ZTWM-CDGS-XS-2024-0030-华西集采-简州大道</v>
      </c>
      <c r="R1590" s="30" t="str">
        <f>_xlfn._xlws.FILTER(辅助信息!D:D,辅助信息!E:E=B1590)</f>
        <v>华西简阳西城嘉苑</v>
      </c>
    </row>
    <row r="1591" hidden="1" spans="2:18">
      <c r="B1591" s="41" t="s">
        <v>81</v>
      </c>
      <c r="C1591" s="71">
        <v>45796</v>
      </c>
      <c r="D1591" s="121" t="str">
        <f>VLOOKUP(B1591,辅助信息!E:K,7,FALSE)</f>
        <v>JWDDCD2025060900080</v>
      </c>
      <c r="E1591" s="121" t="str">
        <f>VLOOKUP(F1591,辅助信息!A:B,2,FALSE)</f>
        <v>盘螺</v>
      </c>
      <c r="F1591" s="41" t="s">
        <v>41</v>
      </c>
      <c r="G1591" s="37">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159</v>
      </c>
      <c r="Q1591" s="30" t="str">
        <f>VLOOKUP(B1591,辅助信息!E:M,9,FALSE)</f>
        <v>ZTWM-CDGS-XS-2024-0030-华西集采-简州大道</v>
      </c>
      <c r="R1591" s="30" t="str">
        <f>_xlfn._xlws.FILTER(辅助信息!D:D,辅助信息!E:E=B1591)</f>
        <v>华西简阳西城嘉苑</v>
      </c>
    </row>
    <row r="1592" hidden="1" spans="2:18">
      <c r="B1592" s="41" t="s">
        <v>81</v>
      </c>
      <c r="C1592" s="71">
        <v>45796</v>
      </c>
      <c r="D1592" s="121" t="str">
        <f>VLOOKUP(B1592,辅助信息!E:K,7,FALSE)</f>
        <v>JWDDCD2025060900080</v>
      </c>
      <c r="E1592" s="121" t="str">
        <f>VLOOKUP(F1592,辅助信息!A:B,2,FALSE)</f>
        <v>盘螺</v>
      </c>
      <c r="F1592" s="41" t="s">
        <v>26</v>
      </c>
      <c r="G1592" s="37">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159</v>
      </c>
      <c r="Q1592" s="30" t="str">
        <f>VLOOKUP(B1592,辅助信息!E:M,9,FALSE)</f>
        <v>ZTWM-CDGS-XS-2024-0030-华西集采-简州大道</v>
      </c>
      <c r="R1592" s="30" t="str">
        <f>_xlfn._xlws.FILTER(辅助信息!D:D,辅助信息!E:E=B1592)</f>
        <v>华西简阳西城嘉苑</v>
      </c>
    </row>
    <row r="1593" hidden="1" spans="2:18">
      <c r="B1593" s="41" t="s">
        <v>81</v>
      </c>
      <c r="C1593" s="71">
        <v>45796</v>
      </c>
      <c r="D1593" s="121" t="str">
        <f>VLOOKUP(B1593,辅助信息!E:K,7,FALSE)</f>
        <v>JWDDCD2025060900080</v>
      </c>
      <c r="E1593" s="121" t="str">
        <f>VLOOKUP(F1593,辅助信息!A:B,2,FALSE)</f>
        <v>螺纹钢</v>
      </c>
      <c r="F1593" s="41" t="s">
        <v>19</v>
      </c>
      <c r="G1593" s="37">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159</v>
      </c>
      <c r="Q1593" s="30" t="str">
        <f>VLOOKUP(B1593,辅助信息!E:M,9,FALSE)</f>
        <v>ZTWM-CDGS-XS-2024-0030-华西集采-简州大道</v>
      </c>
      <c r="R1593" s="30" t="str">
        <f>_xlfn._xlws.FILTER(辅助信息!D:D,辅助信息!E:E=B1593)</f>
        <v>华西简阳西城嘉苑</v>
      </c>
    </row>
    <row r="1594" hidden="1" spans="2:18">
      <c r="B1594" s="41" t="s">
        <v>81</v>
      </c>
      <c r="C1594" s="71">
        <v>45796</v>
      </c>
      <c r="D1594" s="121" t="str">
        <f>VLOOKUP(B1594,辅助信息!E:K,7,FALSE)</f>
        <v>JWDDCD2025060900080</v>
      </c>
      <c r="E1594" s="121" t="str">
        <f>VLOOKUP(F1594,辅助信息!A:B,2,FALSE)</f>
        <v>螺纹钢</v>
      </c>
      <c r="F1594" s="41" t="s">
        <v>32</v>
      </c>
      <c r="G1594" s="37">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159</v>
      </c>
      <c r="Q1594" s="30" t="str">
        <f>VLOOKUP(B1594,辅助信息!E:M,9,FALSE)</f>
        <v>ZTWM-CDGS-XS-2024-0030-华西集采-简州大道</v>
      </c>
      <c r="R1594" s="30" t="str">
        <f>_xlfn._xlws.FILTER(辅助信息!D:D,辅助信息!E:E=B1594)</f>
        <v>华西简阳西城嘉苑</v>
      </c>
    </row>
    <row r="1595" hidden="1" spans="2:18">
      <c r="B1595" s="41" t="s">
        <v>81</v>
      </c>
      <c r="C1595" s="71">
        <v>45796</v>
      </c>
      <c r="D1595" s="121" t="str">
        <f>VLOOKUP(B1595,辅助信息!E:K,7,FALSE)</f>
        <v>JWDDCD2025060900080</v>
      </c>
      <c r="E1595" s="121" t="str">
        <f>VLOOKUP(F1595,辅助信息!A:B,2,FALSE)</f>
        <v>螺纹钢</v>
      </c>
      <c r="F1595" s="41" t="s">
        <v>30</v>
      </c>
      <c r="G1595" s="37">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159</v>
      </c>
      <c r="Q1595" s="30" t="str">
        <f>VLOOKUP(B1595,辅助信息!E:M,9,FALSE)</f>
        <v>ZTWM-CDGS-XS-2024-0030-华西集采-简州大道</v>
      </c>
      <c r="R1595" s="30" t="str">
        <f>_xlfn._xlws.FILTER(辅助信息!D:D,辅助信息!E:E=B1595)</f>
        <v>华西简阳西城嘉苑</v>
      </c>
    </row>
    <row r="1596" hidden="1" spans="2:18">
      <c r="B1596" s="41" t="s">
        <v>81</v>
      </c>
      <c r="C1596" s="71">
        <v>45796</v>
      </c>
      <c r="D1596" s="121" t="str">
        <f>VLOOKUP(B1596,辅助信息!E:K,7,FALSE)</f>
        <v>JWDDCD2025060900080</v>
      </c>
      <c r="E1596" s="121" t="str">
        <f>VLOOKUP(F1596,辅助信息!A:B,2,FALSE)</f>
        <v>螺纹钢</v>
      </c>
      <c r="F1596" s="41" t="s">
        <v>33</v>
      </c>
      <c r="G1596" s="37">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159</v>
      </c>
      <c r="Q1596" s="30" t="str">
        <f>VLOOKUP(B1596,辅助信息!E:M,9,FALSE)</f>
        <v>ZTWM-CDGS-XS-2024-0030-华西集采-简州大道</v>
      </c>
      <c r="R1596" s="30" t="str">
        <f>_xlfn._xlws.FILTER(辅助信息!D:D,辅助信息!E:E=B1596)</f>
        <v>华西简阳西城嘉苑</v>
      </c>
    </row>
    <row r="1597" hidden="1" spans="2:18">
      <c r="B1597" s="41" t="s">
        <v>81</v>
      </c>
      <c r="C1597" s="71">
        <v>45796</v>
      </c>
      <c r="D1597" s="121" t="str">
        <f>VLOOKUP(B1597,辅助信息!E:K,7,FALSE)</f>
        <v>JWDDCD2025060900080</v>
      </c>
      <c r="E1597" s="121" t="str">
        <f>VLOOKUP(F1597,辅助信息!A:B,2,FALSE)</f>
        <v>螺纹钢</v>
      </c>
      <c r="F1597" s="41" t="s">
        <v>28</v>
      </c>
      <c r="G1597" s="37">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159</v>
      </c>
      <c r="Q1597" s="30" t="str">
        <f>VLOOKUP(B1597,辅助信息!E:M,9,FALSE)</f>
        <v>ZTWM-CDGS-XS-2024-0030-华西集采-简州大道</v>
      </c>
      <c r="R1597" s="30" t="str">
        <f>_xlfn._xlws.FILTER(辅助信息!D:D,辅助信息!E:E=B1597)</f>
        <v>华西简阳西城嘉苑</v>
      </c>
    </row>
    <row r="1598" hidden="1" spans="2:18">
      <c r="B1598" s="41" t="s">
        <v>81</v>
      </c>
      <c r="C1598" s="71">
        <v>45796</v>
      </c>
      <c r="D1598" s="121" t="str">
        <f>VLOOKUP(B1598,辅助信息!E:K,7,FALSE)</f>
        <v>JWDDCD2025060900080</v>
      </c>
      <c r="E1598" s="121" t="str">
        <f>VLOOKUP(F1598,辅助信息!A:B,2,FALSE)</f>
        <v>螺纹钢</v>
      </c>
      <c r="F1598" s="41" t="s">
        <v>18</v>
      </c>
      <c r="G1598" s="37">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159</v>
      </c>
      <c r="Q1598" s="30" t="str">
        <f>VLOOKUP(B1598,辅助信息!E:M,9,FALSE)</f>
        <v>ZTWM-CDGS-XS-2024-0030-华西集采-简州大道</v>
      </c>
      <c r="R1598" s="30" t="str">
        <f>_xlfn._xlws.FILTER(辅助信息!D:D,辅助信息!E:E=B1598)</f>
        <v>华西简阳西城嘉苑</v>
      </c>
    </row>
    <row r="1599" hidden="1" spans="2:18">
      <c r="B1599" s="41" t="s">
        <v>153</v>
      </c>
      <c r="C1599" s="71">
        <v>45796</v>
      </c>
      <c r="D1599" s="121" t="str">
        <f>VLOOKUP(B1599,辅助信息!E:K,7,FALSE)</f>
        <v>JWDDCD2025050800080</v>
      </c>
      <c r="E1599" s="121" t="str">
        <f>VLOOKUP(F1599,辅助信息!A:B,2,FALSE)</f>
        <v>螺纹钢</v>
      </c>
      <c r="F1599" s="41" t="s">
        <v>27</v>
      </c>
      <c r="G1599" s="37">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162</v>
      </c>
      <c r="Q1599" s="30" t="str">
        <f>VLOOKUP(B1599,辅助信息!E:M,9,FALSE)</f>
        <v>ZTWM-CDGS-XS-2025-0059-宜宾兴港建材-宜宾冷链项目</v>
      </c>
      <c r="R1599" s="30" t="str">
        <f>_xlfn._xlws.FILTER(辅助信息!D:D,辅助信息!E:E=B1599)</f>
        <v>宜宾兴港三江新区长江工业园建设项目</v>
      </c>
    </row>
    <row r="1600" hidden="1" spans="2:18">
      <c r="B1600" s="41" t="s">
        <v>135</v>
      </c>
      <c r="C1600" s="71">
        <v>45796</v>
      </c>
      <c r="D1600" s="121" t="str">
        <f>VLOOKUP(B1600,辅助信息!E:K,7,FALSE)</f>
        <v>JWDDCD2025050800080</v>
      </c>
      <c r="E1600" s="121" t="str">
        <f>VLOOKUP(F1600,辅助信息!A:B,2,FALSE)</f>
        <v>螺纹钢</v>
      </c>
      <c r="F1600" s="41" t="s">
        <v>130</v>
      </c>
      <c r="G1600" s="37">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162</v>
      </c>
      <c r="Q1600" s="30" t="str">
        <f>VLOOKUP(B1600,辅助信息!E:M,9,FALSE)</f>
        <v>ZTWM-CDGS-XS-2025-0059-宜宾兴港建材-宜宾冷链项目</v>
      </c>
      <c r="R1600" s="30" t="str">
        <f>_xlfn._xlws.FILTER(辅助信息!D:D,辅助信息!E:E=B1600)</f>
        <v>宜宾兴港三江新区长江工业园建设项目</v>
      </c>
    </row>
    <row r="1601" hidden="1" spans="2:18">
      <c r="B1601" s="41" t="s">
        <v>154</v>
      </c>
      <c r="C1601" s="71">
        <v>45796</v>
      </c>
      <c r="D1601" s="121" t="str">
        <f>VLOOKUP(B1601,辅助信息!E:K,7,FALSE)</f>
        <v>JWDDCD2025050800080</v>
      </c>
      <c r="E1601" s="121" t="str">
        <f>VLOOKUP(F1601,辅助信息!A:B,2,FALSE)</f>
        <v>螺纹钢</v>
      </c>
      <c r="F1601" s="41" t="s">
        <v>133</v>
      </c>
      <c r="G1601" s="37">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162</v>
      </c>
      <c r="Q1601" s="30" t="str">
        <f>VLOOKUP(B1601,辅助信息!E:M,9,FALSE)</f>
        <v>ZTWM-CDGS-XS-2025-0059-宜宾兴港建材-宜宾冷链项目</v>
      </c>
      <c r="R1601" s="30" t="str">
        <f>_xlfn._xlws.FILTER(辅助信息!D:D,辅助信息!E:E=B1601)</f>
        <v>宜宾兴港三江新区长江工业园建设项目</v>
      </c>
    </row>
    <row r="1602" hidden="1" spans="2:18">
      <c r="B1602" s="41" t="s">
        <v>150</v>
      </c>
      <c r="C1602" s="71">
        <v>45798</v>
      </c>
      <c r="D1602" s="121" t="str">
        <f>VLOOKUP(B1602,辅助信息!E:K,7,FALSE)</f>
        <v>JWDDCD2025050800101</v>
      </c>
      <c r="E1602" s="121" t="str">
        <f>VLOOKUP(F1602,辅助信息!A:B,2,FALSE)</f>
        <v>盘螺</v>
      </c>
      <c r="F1602" s="41" t="s">
        <v>26</v>
      </c>
      <c r="G1602" s="37">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159</v>
      </c>
      <c r="Q1602" s="30" t="str">
        <f>VLOOKUP(B1602,辅助信息!E:M,9,FALSE)</f>
        <v>ZTWM-CDGS-XS-2025-0050-中铁科研院-宜宾泥溪项目</v>
      </c>
      <c r="R1602" s="30" t="str">
        <f>_xlfn._xlws.FILTER(辅助信息!D:D,辅助信息!E:E=B1602)</f>
        <v>中铁科研院宜宾泥溪项目</v>
      </c>
    </row>
    <row r="1603" hidden="1" spans="2:18">
      <c r="B1603" s="41" t="s">
        <v>150</v>
      </c>
      <c r="C1603" s="71">
        <v>45798</v>
      </c>
      <c r="D1603" s="121" t="str">
        <f>VLOOKUP(B1603,辅助信息!E:K,7,FALSE)</f>
        <v>JWDDCD2025050800101</v>
      </c>
      <c r="E1603" s="121" t="str">
        <f>VLOOKUP(F1603,辅助信息!A:B,2,FALSE)</f>
        <v>螺纹钢</v>
      </c>
      <c r="F1603" s="41" t="s">
        <v>18</v>
      </c>
      <c r="G1603" s="37">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159</v>
      </c>
      <c r="Q1603" s="30" t="str">
        <f>VLOOKUP(B1603,辅助信息!E:M,9,FALSE)</f>
        <v>ZTWM-CDGS-XS-2025-0050-中铁科研院-宜宾泥溪项目</v>
      </c>
      <c r="R1603" s="30" t="str">
        <f>_xlfn._xlws.FILTER(辅助信息!D:D,辅助信息!E:E=B1603)</f>
        <v>中铁科研院宜宾泥溪项目</v>
      </c>
    </row>
    <row r="1604" hidden="1" spans="2:18">
      <c r="B1604" s="41" t="s">
        <v>150</v>
      </c>
      <c r="C1604" s="71">
        <v>45798</v>
      </c>
      <c r="D1604" s="121" t="str">
        <f>VLOOKUP(B1604,辅助信息!E:K,7,FALSE)</f>
        <v>JWDDCD2025050800101</v>
      </c>
      <c r="E1604" s="121" t="str">
        <f>VLOOKUP(F1604,辅助信息!A:B,2,FALSE)</f>
        <v>螺纹钢</v>
      </c>
      <c r="F1604" s="41" t="s">
        <v>65</v>
      </c>
      <c r="G1604" s="37">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159</v>
      </c>
      <c r="Q1604" s="30" t="str">
        <f>VLOOKUP(B1604,辅助信息!E:M,9,FALSE)</f>
        <v>ZTWM-CDGS-XS-2025-0050-中铁科研院-宜宾泥溪项目</v>
      </c>
      <c r="R1604" s="30"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159</v>
      </c>
      <c r="Q1605" s="30" t="str">
        <f>VLOOKUP(B1605,辅助信息!E:M,9,FALSE)</f>
        <v>ZTWM-CDGS-XS-2024-0030-华西集采-简州大道</v>
      </c>
      <c r="R1605" s="30"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159</v>
      </c>
      <c r="Q1606" s="30" t="str">
        <f>VLOOKUP(B1606,辅助信息!E:M,9,FALSE)</f>
        <v>ZTWM-CDGS-XS-2024-0030-华西集采-简州大道</v>
      </c>
      <c r="R1606" s="30"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159</v>
      </c>
      <c r="Q1607" s="30" t="str">
        <f>VLOOKUP(B1607,辅助信息!E:M,9,FALSE)</f>
        <v>ZTWM-CDGS-XS-2024-0030-华西集采-简州大道</v>
      </c>
      <c r="R1607" s="30"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159</v>
      </c>
      <c r="Q1608" s="30" t="str">
        <f>VLOOKUP(B1608,辅助信息!E:M,9,FALSE)</f>
        <v>ZTWM-CDGS-XS-2024-0030-华西集采-简州大道</v>
      </c>
      <c r="R1608" s="30"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159</v>
      </c>
      <c r="Q1609" s="30" t="str">
        <f>VLOOKUP(B1609,辅助信息!E:M,9,FALSE)</f>
        <v>ZTWM-CDGS-XS-2024-0030-华西集采-简州大道</v>
      </c>
      <c r="R1609" s="30" t="str">
        <f>_xlfn._xlws.FILTER(辅助信息!D:D,辅助信息!E:E=B1609)</f>
        <v>华西简阳西城嘉苑</v>
      </c>
    </row>
    <row r="1610" hidden="1" spans="2:17">
      <c r="B1610" s="41" t="s">
        <v>147</v>
      </c>
      <c r="C1610" s="71">
        <v>45798</v>
      </c>
      <c r="D1610" s="121" t="str">
        <f>VLOOKUP(B1610,辅助信息!E:K,7,FALSE)</f>
        <v>JWDDCD2025052800131</v>
      </c>
      <c r="E1610" s="121" t="str">
        <f>VLOOKUP(F1610,辅助信息!A:B,2,FALSE)</f>
        <v>高线</v>
      </c>
      <c r="F1610" s="41" t="s">
        <v>57</v>
      </c>
      <c r="G1610" s="37">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160</v>
      </c>
      <c r="Q1610" s="30" t="str">
        <f>VLOOKUP(B1610,辅助信息!E:M,9,FALSE)</f>
        <v>ZTWM-CDGS-XS-2024-0134-商投建工达州中医药科技成果示范园项目</v>
      </c>
    </row>
    <row r="1611" hidden="1" spans="2:17">
      <c r="B1611" s="41" t="s">
        <v>147</v>
      </c>
      <c r="C1611" s="71">
        <v>45798</v>
      </c>
      <c r="D1611" s="121" t="str">
        <f>VLOOKUP(B1611,辅助信息!E:K,7,FALSE)</f>
        <v>JWDDCD2025052800131</v>
      </c>
      <c r="E1611" s="121" t="str">
        <f>VLOOKUP(F1611,辅助信息!A:B,2,FALSE)</f>
        <v>盘螺</v>
      </c>
      <c r="F1611" s="41" t="s">
        <v>49</v>
      </c>
      <c r="G1611" s="37">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160</v>
      </c>
      <c r="Q1611" s="30" t="str">
        <f>VLOOKUP(B1611,辅助信息!E:M,9,FALSE)</f>
        <v>ZTWM-CDGS-XS-2024-0134-商投建工达州中医药科技成果示范园项目</v>
      </c>
    </row>
    <row r="1612" hidden="1" spans="2:17">
      <c r="B1612" s="41" t="s">
        <v>147</v>
      </c>
      <c r="C1612" s="71">
        <v>45798</v>
      </c>
      <c r="D1612" s="121" t="str">
        <f>VLOOKUP(B1612,辅助信息!E:K,7,FALSE)</f>
        <v>JWDDCD2025052800131</v>
      </c>
      <c r="E1612" s="121" t="str">
        <f>VLOOKUP(F1612,辅助信息!A:B,2,FALSE)</f>
        <v>螺纹钢</v>
      </c>
      <c r="F1612" s="41" t="s">
        <v>32</v>
      </c>
      <c r="G1612" s="37">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160</v>
      </c>
      <c r="Q1612" s="30" t="str">
        <f>VLOOKUP(B1612,辅助信息!E:M,9,FALSE)</f>
        <v>ZTWM-CDGS-XS-2024-0134-商投建工达州中医药科技成果示范园项目</v>
      </c>
    </row>
    <row r="1613" hidden="1" spans="2:17">
      <c r="B1613" s="41" t="s">
        <v>147</v>
      </c>
      <c r="C1613" s="71">
        <v>45798</v>
      </c>
      <c r="D1613" s="121" t="str">
        <f>VLOOKUP(B1613,辅助信息!E:K,7,FALSE)</f>
        <v>JWDDCD2025052800131</v>
      </c>
      <c r="E1613" s="121" t="str">
        <f>VLOOKUP(F1613,辅助信息!A:B,2,FALSE)</f>
        <v>螺纹钢</v>
      </c>
      <c r="F1613" s="41" t="s">
        <v>18</v>
      </c>
      <c r="G1613" s="37">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160</v>
      </c>
      <c r="Q1613" s="30" t="str">
        <f>VLOOKUP(B1613,辅助信息!E:M,9,FALSE)</f>
        <v>ZTWM-CDGS-XS-2024-0134-商投建工达州中医药科技成果示范园项目</v>
      </c>
    </row>
    <row r="1614" hidden="1" spans="2:17">
      <c r="B1614" s="41" t="s">
        <v>81</v>
      </c>
      <c r="C1614" s="71">
        <v>45798</v>
      </c>
      <c r="D1614" s="121" t="str">
        <f>VLOOKUP(B1614,辅助信息!E:K,7,FALSE)</f>
        <v>JWDDCD2025060900080</v>
      </c>
      <c r="E1614" s="121" t="str">
        <f>VLOOKUP(F1614,辅助信息!A:B,2,FALSE)</f>
        <v>盘螺</v>
      </c>
      <c r="F1614" s="41" t="s">
        <v>49</v>
      </c>
      <c r="G1614" s="37">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160</v>
      </c>
      <c r="Q1614" s="30" t="str">
        <f>VLOOKUP(B1614,辅助信息!E:M,9,FALSE)</f>
        <v>ZTWM-CDGS-XS-2024-0030-华西集采-简州大道</v>
      </c>
    </row>
    <row r="1615" hidden="1" spans="2:17">
      <c r="B1615" s="41" t="s">
        <v>81</v>
      </c>
      <c r="C1615" s="71">
        <v>45798</v>
      </c>
      <c r="D1615" s="121" t="str">
        <f>VLOOKUP(B1615,辅助信息!E:K,7,FALSE)</f>
        <v>JWDDCD2025060900080</v>
      </c>
      <c r="E1615" s="121" t="str">
        <f>VLOOKUP(F1615,辅助信息!A:B,2,FALSE)</f>
        <v>盘螺</v>
      </c>
      <c r="F1615" s="41" t="s">
        <v>40</v>
      </c>
      <c r="G1615" s="37">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160</v>
      </c>
      <c r="Q1615" s="30" t="str">
        <f>VLOOKUP(B1615,辅助信息!E:M,9,FALSE)</f>
        <v>ZTWM-CDGS-XS-2024-0030-华西集采-简州大道</v>
      </c>
    </row>
    <row r="1616" hidden="1" spans="2:17">
      <c r="B1616" s="41" t="s">
        <v>81</v>
      </c>
      <c r="C1616" s="71">
        <v>45798</v>
      </c>
      <c r="D1616" s="121" t="str">
        <f>VLOOKUP(B1616,辅助信息!E:K,7,FALSE)</f>
        <v>JWDDCD2025060900080</v>
      </c>
      <c r="E1616" s="121" t="str">
        <f>VLOOKUP(F1616,辅助信息!A:B,2,FALSE)</f>
        <v>盘螺</v>
      </c>
      <c r="F1616" s="41" t="s">
        <v>41</v>
      </c>
      <c r="G1616" s="37">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160</v>
      </c>
      <c r="Q1616" s="30" t="str">
        <f>VLOOKUP(B1616,辅助信息!E:M,9,FALSE)</f>
        <v>ZTWM-CDGS-XS-2024-0030-华西集采-简州大道</v>
      </c>
    </row>
    <row r="1617" hidden="1" spans="2:17">
      <c r="B1617" s="41" t="s">
        <v>81</v>
      </c>
      <c r="C1617" s="71">
        <v>45798</v>
      </c>
      <c r="D1617" s="121" t="str">
        <f>VLOOKUP(B1617,辅助信息!E:K,7,FALSE)</f>
        <v>JWDDCD2025060900080</v>
      </c>
      <c r="E1617" s="121" t="str">
        <f>VLOOKUP(F1617,辅助信息!A:B,2,FALSE)</f>
        <v>盘螺</v>
      </c>
      <c r="F1617" s="41" t="s">
        <v>26</v>
      </c>
      <c r="G1617" s="37">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160</v>
      </c>
      <c r="Q1617" s="30" t="str">
        <f>VLOOKUP(B1617,辅助信息!E:M,9,FALSE)</f>
        <v>ZTWM-CDGS-XS-2024-0030-华西集采-简州大道</v>
      </c>
    </row>
    <row r="1618" hidden="1" spans="2:17">
      <c r="B1618" s="41" t="s">
        <v>81</v>
      </c>
      <c r="C1618" s="71">
        <v>45798</v>
      </c>
      <c r="D1618" s="121" t="str">
        <f>VLOOKUP(B1618,辅助信息!E:K,7,FALSE)</f>
        <v>JWDDCD2025060900080</v>
      </c>
      <c r="E1618" s="121" t="str">
        <f>VLOOKUP(F1618,辅助信息!A:B,2,FALSE)</f>
        <v>螺纹钢</v>
      </c>
      <c r="F1618" s="41" t="s">
        <v>32</v>
      </c>
      <c r="G1618" s="37">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160</v>
      </c>
      <c r="Q1618" s="30" t="str">
        <f>VLOOKUP(B1618,辅助信息!E:M,9,FALSE)</f>
        <v>ZTWM-CDGS-XS-2024-0030-华西集采-简州大道</v>
      </c>
    </row>
    <row r="1619" hidden="1" spans="2:17">
      <c r="B1619" s="41" t="s">
        <v>81</v>
      </c>
      <c r="C1619" s="71">
        <v>45798</v>
      </c>
      <c r="D1619" s="121" t="str">
        <f>VLOOKUP(B1619,辅助信息!E:K,7,FALSE)</f>
        <v>JWDDCD2025060900080</v>
      </c>
      <c r="E1619" s="121" t="str">
        <f>VLOOKUP(F1619,辅助信息!A:B,2,FALSE)</f>
        <v>螺纹钢</v>
      </c>
      <c r="F1619" s="41" t="s">
        <v>30</v>
      </c>
      <c r="G1619" s="37">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160</v>
      </c>
      <c r="Q1619" s="30" t="str">
        <f>VLOOKUP(B1619,辅助信息!E:M,9,FALSE)</f>
        <v>ZTWM-CDGS-XS-2024-0030-华西集采-简州大道</v>
      </c>
    </row>
    <row r="1620" hidden="1" spans="2:17">
      <c r="B1620" s="41" t="s">
        <v>81</v>
      </c>
      <c r="C1620" s="71">
        <v>45798</v>
      </c>
      <c r="D1620" s="121" t="str">
        <f>VLOOKUP(B1620,辅助信息!E:K,7,FALSE)</f>
        <v>JWDDCD2025060900080</v>
      </c>
      <c r="E1620" s="121" t="str">
        <f>VLOOKUP(F1620,辅助信息!A:B,2,FALSE)</f>
        <v>螺纹钢</v>
      </c>
      <c r="F1620" s="41" t="s">
        <v>33</v>
      </c>
      <c r="G1620" s="37">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160</v>
      </c>
      <c r="Q1620" s="30" t="str">
        <f>VLOOKUP(B1620,辅助信息!E:M,9,FALSE)</f>
        <v>ZTWM-CDGS-XS-2024-0030-华西集采-简州大道</v>
      </c>
    </row>
    <row r="1621" hidden="1" spans="2:17">
      <c r="B1621" s="41" t="s">
        <v>81</v>
      </c>
      <c r="C1621" s="71">
        <v>45798</v>
      </c>
      <c r="D1621" s="121" t="str">
        <f>VLOOKUP(B1621,辅助信息!E:K,7,FALSE)</f>
        <v>JWDDCD2025060900080</v>
      </c>
      <c r="E1621" s="121" t="str">
        <f>VLOOKUP(F1621,辅助信息!A:B,2,FALSE)</f>
        <v>螺纹钢</v>
      </c>
      <c r="F1621" s="41" t="s">
        <v>28</v>
      </c>
      <c r="G1621" s="37">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160</v>
      </c>
      <c r="Q1621" s="30" t="str">
        <f>VLOOKUP(B1621,辅助信息!E:M,9,FALSE)</f>
        <v>ZTWM-CDGS-XS-2024-0030-华西集采-简州大道</v>
      </c>
    </row>
    <row r="1622" hidden="1" spans="2:17">
      <c r="B1622" s="41" t="s">
        <v>81</v>
      </c>
      <c r="C1622" s="71">
        <v>45798</v>
      </c>
      <c r="D1622" s="121" t="str">
        <f>VLOOKUP(B1622,辅助信息!E:K,7,FALSE)</f>
        <v>JWDDCD2025060900080</v>
      </c>
      <c r="E1622" s="121" t="str">
        <f>VLOOKUP(F1622,辅助信息!A:B,2,FALSE)</f>
        <v>螺纹钢</v>
      </c>
      <c r="F1622" s="41" t="s">
        <v>18</v>
      </c>
      <c r="G1622" s="37">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160</v>
      </c>
      <c r="Q1622" s="30" t="str">
        <f>VLOOKUP(B1622,辅助信息!E:M,9,FALSE)</f>
        <v>ZTWM-CDGS-XS-2024-0030-华西集采-简州大道</v>
      </c>
    </row>
    <row r="1623" hidden="1" spans="2:17">
      <c r="B1623" s="41" t="s">
        <v>155</v>
      </c>
      <c r="C1623" s="71">
        <v>45798</v>
      </c>
      <c r="D1623" s="121" t="str">
        <f>VLOOKUP(B1623,辅助信息!E:K,7,FALSE)</f>
        <v>JWDDCD2024101600133</v>
      </c>
      <c r="E1623" s="121" t="str">
        <f>VLOOKUP(F1623,辅助信息!A:B,2,FALSE)</f>
        <v>高线</v>
      </c>
      <c r="F1623" s="41" t="s">
        <v>51</v>
      </c>
      <c r="G1623" s="37">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160</v>
      </c>
      <c r="Q1623" s="30" t="str">
        <f>VLOOKUP(B1623,辅助信息!E:M,9,FALSE)</f>
        <v>ZTWM-CDGS-XS-2024-0169-中冶西部钢构-宜宾市南溪区幸福路东路,高县月江镇建设项目</v>
      </c>
    </row>
    <row r="1624" hidden="1" spans="2:17">
      <c r="B1624" s="41" t="s">
        <v>155</v>
      </c>
      <c r="C1624" s="71">
        <v>45798</v>
      </c>
      <c r="D1624" s="121" t="str">
        <f>VLOOKUP(B1624,辅助信息!E:K,7,FALSE)</f>
        <v>JWDDCD2024101600133</v>
      </c>
      <c r="E1624" s="121" t="str">
        <f>VLOOKUP(F1624,辅助信息!A:B,2,FALSE)</f>
        <v>盘螺</v>
      </c>
      <c r="F1624" s="41" t="s">
        <v>26</v>
      </c>
      <c r="G1624" s="37">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160</v>
      </c>
      <c r="Q1624" s="30" t="str">
        <f>VLOOKUP(B1624,辅助信息!E:M,9,FALSE)</f>
        <v>ZTWM-CDGS-XS-2024-0169-中冶西部钢构-宜宾市南溪区幸福路东路,高县月江镇建设项目</v>
      </c>
    </row>
    <row r="1625" hidden="1" spans="2:17">
      <c r="B1625" s="41" t="s">
        <v>155</v>
      </c>
      <c r="C1625" s="71">
        <v>45798</v>
      </c>
      <c r="D1625" s="121" t="str">
        <f>VLOOKUP(B1625,辅助信息!E:K,7,FALSE)</f>
        <v>JWDDCD2024101600133</v>
      </c>
      <c r="E1625" s="121" t="str">
        <f>VLOOKUP(F1625,辅助信息!A:B,2,FALSE)</f>
        <v>螺纹钢</v>
      </c>
      <c r="F1625" s="41" t="s">
        <v>18</v>
      </c>
      <c r="G1625" s="37">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160</v>
      </c>
      <c r="Q1625" s="30"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160</v>
      </c>
      <c r="Q1626" s="30"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160</v>
      </c>
      <c r="Q1627" s="30"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160</v>
      </c>
      <c r="Q1628" s="30"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160</v>
      </c>
      <c r="Q1629" s="30" t="str">
        <f>VLOOKUP(B1629,辅助信息!E:M,9,FALSE)</f>
        <v>ZTWM-CDGS-XS-2024-0134-商投建工达州中医药科技成果示范园项目</v>
      </c>
    </row>
    <row r="1630" hidden="1" spans="2:18">
      <c r="B1630" s="41" t="s">
        <v>127</v>
      </c>
      <c r="C1630" s="71">
        <v>45800</v>
      </c>
      <c r="D1630" s="121" t="str">
        <f>VLOOKUP(B1630,辅助信息!E:K,7,FALSE)</f>
        <v>JWDDCD2025051000019</v>
      </c>
      <c r="E1630" s="121" t="str">
        <f>VLOOKUP(F1630,辅助信息!A:B,2,FALSE)</f>
        <v>盘螺</v>
      </c>
      <c r="F1630" s="41" t="s">
        <v>49</v>
      </c>
      <c r="G1630" s="37">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156</v>
      </c>
      <c r="Q1630" s="30" t="str">
        <f>VLOOKUP(B1630,辅助信息!E:M,9,FALSE)</f>
        <v>ZTWM-CDGS-XS-2024-0248-五冶钢构-南充市医学院项目</v>
      </c>
      <c r="R1630" s="30" t="str">
        <f>_xlfn._xlws.FILTER(辅助信息!D:D,辅助信息!E:E=B1630)</f>
        <v>五冶钢构南充医学科学产业园建设项目</v>
      </c>
    </row>
    <row r="1631" hidden="1" spans="2:18">
      <c r="B1631" s="41" t="s">
        <v>156</v>
      </c>
      <c r="C1631" s="71">
        <v>45800</v>
      </c>
      <c r="D1631" s="121" t="e">
        <f>VLOOKUP(B1631,辅助信息!E:K,7,FALSE)</f>
        <v>#N/A</v>
      </c>
      <c r="E1631" s="121" t="str">
        <f>VLOOKUP(F1631,辅助信息!A:B,2,FALSE)</f>
        <v>螺纹钢</v>
      </c>
      <c r="F1631" s="41" t="s">
        <v>27</v>
      </c>
      <c r="G1631" s="37">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156</v>
      </c>
      <c r="Q1631" s="30" t="e">
        <f>VLOOKUP(B1631,辅助信息!E:M,9,FALSE)</f>
        <v>#N/A</v>
      </c>
      <c r="R1631" s="30" vm="1" t="e">
        <f>_xlfn._xlws.FILTER(辅助信息!D:D,辅助信息!E:E=B1631)</f>
        <v>#VALUE!</v>
      </c>
    </row>
    <row r="1632" hidden="1" spans="2:18">
      <c r="B1632" s="41" t="s">
        <v>156</v>
      </c>
      <c r="C1632" s="71">
        <v>45800</v>
      </c>
      <c r="D1632" s="121" t="e">
        <f>VLOOKUP(B1632,辅助信息!E:K,7,FALSE)</f>
        <v>#N/A</v>
      </c>
      <c r="E1632" s="121" t="str">
        <f>VLOOKUP(F1632,辅助信息!A:B,2,FALSE)</f>
        <v>螺纹钢</v>
      </c>
      <c r="F1632" s="41" t="s">
        <v>32</v>
      </c>
      <c r="G1632" s="37">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156</v>
      </c>
      <c r="Q1632" s="30" t="e">
        <f>VLOOKUP(B1632,辅助信息!E:M,9,FALSE)</f>
        <v>#N/A</v>
      </c>
      <c r="R1632" s="30" vm="1" t="e">
        <f>_xlfn._xlws.FILTER(辅助信息!D:D,辅助信息!E:E=B1632)</f>
        <v>#VALUE!</v>
      </c>
    </row>
    <row r="1633" hidden="1" spans="2:18">
      <c r="B1633" s="41" t="s">
        <v>156</v>
      </c>
      <c r="C1633" s="71">
        <v>45800</v>
      </c>
      <c r="D1633" s="121" t="e">
        <f>VLOOKUP(B1633,辅助信息!E:K,7,FALSE)</f>
        <v>#N/A</v>
      </c>
      <c r="E1633" s="121" t="str">
        <f>VLOOKUP(F1633,辅助信息!A:B,2,FALSE)</f>
        <v>螺纹钢</v>
      </c>
      <c r="F1633" s="41" t="s">
        <v>33</v>
      </c>
      <c r="G1633" s="37">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156</v>
      </c>
      <c r="Q1633" s="30" t="e">
        <f>VLOOKUP(B1633,辅助信息!E:M,9,FALSE)</f>
        <v>#N/A</v>
      </c>
      <c r="R1633" s="30" vm="1" t="e">
        <f>_xlfn._xlws.FILTER(辅助信息!D:D,辅助信息!E:E=B1633)</f>
        <v>#VALUE!</v>
      </c>
    </row>
    <row r="1634" hidden="1" spans="2:18">
      <c r="B1634" s="41" t="s">
        <v>156</v>
      </c>
      <c r="C1634" s="71">
        <v>45800</v>
      </c>
      <c r="D1634" s="121" t="e">
        <f>VLOOKUP(B1634,辅助信息!E:K,7,FALSE)</f>
        <v>#N/A</v>
      </c>
      <c r="E1634" s="121" t="str">
        <f>VLOOKUP(F1634,辅助信息!A:B,2,FALSE)</f>
        <v>螺纹钢</v>
      </c>
      <c r="F1634" s="41" t="s">
        <v>28</v>
      </c>
      <c r="G1634" s="37">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156</v>
      </c>
      <c r="Q1634" s="30" t="e">
        <f>VLOOKUP(B1634,辅助信息!E:M,9,FALSE)</f>
        <v>#N/A</v>
      </c>
      <c r="R1634" s="30" vm="1" t="e">
        <f>_xlfn._xlws.FILTER(辅助信息!D:D,辅助信息!E:E=B1634)</f>
        <v>#VALUE!</v>
      </c>
    </row>
    <row r="1635" hidden="1" spans="2:18">
      <c r="B1635" s="41" t="s">
        <v>156</v>
      </c>
      <c r="C1635" s="71">
        <v>45800</v>
      </c>
      <c r="D1635" s="121" t="e">
        <f>VLOOKUP(B1635,辅助信息!E:K,7,FALSE)</f>
        <v>#N/A</v>
      </c>
      <c r="E1635" s="121" t="str">
        <f>VLOOKUP(F1635,辅助信息!A:B,2,FALSE)</f>
        <v>螺纹钢</v>
      </c>
      <c r="F1635" s="41" t="s">
        <v>65</v>
      </c>
      <c r="G1635" s="37">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156</v>
      </c>
      <c r="Q1635" s="30" t="e">
        <f>VLOOKUP(B1635,辅助信息!E:M,9,FALSE)</f>
        <v>#N/A</v>
      </c>
      <c r="R1635" s="30" vm="1" t="e">
        <f>_xlfn._xlws.FILTER(辅助信息!D:D,辅助信息!E:E=B1635)</f>
        <v>#VALUE!</v>
      </c>
    </row>
    <row r="1636" hidden="1" spans="2:18">
      <c r="B1636" s="41" t="s">
        <v>56</v>
      </c>
      <c r="C1636" s="71">
        <v>45803</v>
      </c>
      <c r="D1636" s="121" t="str">
        <f>VLOOKUP(B1636,辅助信息!E:K,7,FALSE)</f>
        <v>JWDDCD2025052800131</v>
      </c>
      <c r="E1636" s="121" t="str">
        <f>VLOOKUP(F1636,辅助信息!A:B,2,FALSE)</f>
        <v>盘螺</v>
      </c>
      <c r="F1636" s="41" t="s">
        <v>49</v>
      </c>
      <c r="G1636" s="37">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154</v>
      </c>
      <c r="Q1636" s="30" t="str">
        <f>VLOOKUP(B1636,辅助信息!E:M,9,FALSE)</f>
        <v>ZTWM-CDGS-XS-2024-0134-商投建工达州中医药科技成果示范园项目</v>
      </c>
      <c r="R1636" s="30" t="str">
        <f>_xlfn._xlws.FILTER(辅助信息!D:D,辅助信息!E:E=B1636)</f>
        <v>商投建工达州中医药科技园</v>
      </c>
    </row>
    <row r="1637" hidden="1" spans="2:18">
      <c r="B1637" s="41" t="s">
        <v>56</v>
      </c>
      <c r="C1637" s="71">
        <v>45803</v>
      </c>
      <c r="D1637" s="121" t="str">
        <f>VLOOKUP(B1637,辅助信息!E:K,7,FALSE)</f>
        <v>JWDDCD2025052800131</v>
      </c>
      <c r="E1637" s="121" t="str">
        <f>VLOOKUP(F1637,辅助信息!A:B,2,FALSE)</f>
        <v>盘螺</v>
      </c>
      <c r="F1637" s="41" t="s">
        <v>40</v>
      </c>
      <c r="G1637" s="37">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154</v>
      </c>
      <c r="Q1637" s="30" t="str">
        <f>VLOOKUP(B1637,辅助信息!E:M,9,FALSE)</f>
        <v>ZTWM-CDGS-XS-2024-0134-商投建工达州中医药科技成果示范园项目</v>
      </c>
      <c r="R1637" s="30" t="str">
        <f>_xlfn._xlws.FILTER(辅助信息!D:D,辅助信息!E:E=B1637)</f>
        <v>商投建工达州中医药科技园</v>
      </c>
    </row>
    <row r="1638" hidden="1" spans="2:18">
      <c r="B1638" s="41" t="s">
        <v>106</v>
      </c>
      <c r="C1638" s="71">
        <v>45803</v>
      </c>
      <c r="D1638" s="121" t="str">
        <f>VLOOKUP(B1638,辅助信息!E:K,7,FALSE)</f>
        <v>JWDDCD2024101600133</v>
      </c>
      <c r="E1638" s="121" t="str">
        <f>VLOOKUP(F1638,辅助信息!A:B,2,FALSE)</f>
        <v>螺纹钢</v>
      </c>
      <c r="F1638" s="41" t="s">
        <v>27</v>
      </c>
      <c r="G1638" s="37">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155</v>
      </c>
      <c r="Q1638" s="30" t="str">
        <f>VLOOKUP(B1638,辅助信息!E:M,9,FALSE)</f>
        <v>ZTWM-CDGS-XS-2024-0169-中冶西部钢构-宜宾市南溪区幸福路东路,高县月江镇建设项目</v>
      </c>
      <c r="R1638" s="30" t="str">
        <f>_xlfn._xlws.FILTER(辅助信息!D:D,辅助信息!E:E=B1638)</f>
        <v>五冶钢构-宜宾市南溪区高县月江镇建设项目</v>
      </c>
    </row>
    <row r="1639" hidden="1" spans="2:18">
      <c r="B1639" s="41" t="s">
        <v>106</v>
      </c>
      <c r="C1639" s="71">
        <v>45803</v>
      </c>
      <c r="D1639" s="121" t="str">
        <f>VLOOKUP(B1639,辅助信息!E:K,7,FALSE)</f>
        <v>JWDDCD2024101600133</v>
      </c>
      <c r="E1639" s="121" t="str">
        <f>VLOOKUP(F1639,辅助信息!A:B,2,FALSE)</f>
        <v>螺纹钢</v>
      </c>
      <c r="F1639" s="41" t="s">
        <v>19</v>
      </c>
      <c r="G1639" s="37">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155</v>
      </c>
      <c r="Q1639" s="30" t="str">
        <f>VLOOKUP(B1639,辅助信息!E:M,9,FALSE)</f>
        <v>ZTWM-CDGS-XS-2024-0169-中冶西部钢构-宜宾市南溪区幸福路东路,高县月江镇建设项目</v>
      </c>
      <c r="R1639" s="30" t="str">
        <f>_xlfn._xlws.FILTER(辅助信息!D:D,辅助信息!E:E=B1639)</f>
        <v>五冶钢构-宜宾市南溪区高县月江镇建设项目</v>
      </c>
    </row>
    <row r="1640" hidden="1" spans="2:18">
      <c r="B1640" s="41" t="s">
        <v>106</v>
      </c>
      <c r="C1640" s="71">
        <v>45803</v>
      </c>
      <c r="D1640" s="121" t="str">
        <f>VLOOKUP(B1640,辅助信息!E:K,7,FALSE)</f>
        <v>JWDDCD2024101600133</v>
      </c>
      <c r="E1640" s="121" t="str">
        <f>VLOOKUP(F1640,辅助信息!A:B,2,FALSE)</f>
        <v>螺纹钢</v>
      </c>
      <c r="F1640" s="41" t="s">
        <v>32</v>
      </c>
      <c r="G1640" s="37">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155</v>
      </c>
      <c r="Q1640" s="30" t="str">
        <f>VLOOKUP(B1640,辅助信息!E:M,9,FALSE)</f>
        <v>ZTWM-CDGS-XS-2024-0169-中冶西部钢构-宜宾市南溪区幸福路东路,高县月江镇建设项目</v>
      </c>
      <c r="R1640" s="30" t="str">
        <f>_xlfn._xlws.FILTER(辅助信息!D:D,辅助信息!E:E=B1640)</f>
        <v>五冶钢构-宜宾市南溪区高县月江镇建设项目</v>
      </c>
    </row>
    <row r="1641" hidden="1" spans="2:18">
      <c r="B1641" s="41" t="s">
        <v>106</v>
      </c>
      <c r="C1641" s="71">
        <v>45803</v>
      </c>
      <c r="D1641" s="121" t="str">
        <f>VLOOKUP(B1641,辅助信息!E:K,7,FALSE)</f>
        <v>JWDDCD2024101600133</v>
      </c>
      <c r="E1641" s="121" t="str">
        <f>VLOOKUP(F1641,辅助信息!A:B,2,FALSE)</f>
        <v>螺纹钢</v>
      </c>
      <c r="F1641" s="41" t="s">
        <v>30</v>
      </c>
      <c r="G1641" s="37">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155</v>
      </c>
      <c r="Q1641" s="30" t="str">
        <f>VLOOKUP(B1641,辅助信息!E:M,9,FALSE)</f>
        <v>ZTWM-CDGS-XS-2024-0169-中冶西部钢构-宜宾市南溪区幸福路东路,高县月江镇建设项目</v>
      </c>
      <c r="R1641" s="30" t="str">
        <f>_xlfn._xlws.FILTER(辅助信息!D:D,辅助信息!E:E=B1641)</f>
        <v>五冶钢构-宜宾市南溪区高县月江镇建设项目</v>
      </c>
    </row>
    <row r="1642" hidden="1" spans="2:18">
      <c r="B1642" s="41" t="s">
        <v>106</v>
      </c>
      <c r="C1642" s="71">
        <v>45803</v>
      </c>
      <c r="D1642" s="121" t="str">
        <f>VLOOKUP(B1642,辅助信息!E:K,7,FALSE)</f>
        <v>JWDDCD2024101600133</v>
      </c>
      <c r="E1642" s="121" t="str">
        <f>VLOOKUP(F1642,辅助信息!A:B,2,FALSE)</f>
        <v>螺纹钢</v>
      </c>
      <c r="F1642" s="41" t="s">
        <v>28</v>
      </c>
      <c r="G1642" s="37">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155</v>
      </c>
      <c r="Q1642" s="30" t="str">
        <f>VLOOKUP(B1642,辅助信息!E:M,9,FALSE)</f>
        <v>ZTWM-CDGS-XS-2024-0169-中冶西部钢构-宜宾市南溪区幸福路东路,高县月江镇建设项目</v>
      </c>
      <c r="R1642" s="30" t="str">
        <f>_xlfn._xlws.FILTER(辅助信息!D:D,辅助信息!E:E=B1642)</f>
        <v>五冶钢构-宜宾市南溪区高县月江镇建设项目</v>
      </c>
    </row>
    <row r="1643" hidden="1" spans="2:18">
      <c r="B1643" s="41" t="s">
        <v>106</v>
      </c>
      <c r="C1643" s="71">
        <v>45803</v>
      </c>
      <c r="D1643" s="121" t="str">
        <f>VLOOKUP(B1643,辅助信息!E:K,7,FALSE)</f>
        <v>JWDDCD2024101600133</v>
      </c>
      <c r="E1643" s="121" t="str">
        <f>VLOOKUP(F1643,辅助信息!A:B,2,FALSE)</f>
        <v>螺纹钢</v>
      </c>
      <c r="F1643" s="41" t="s">
        <v>18</v>
      </c>
      <c r="G1643" s="37">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155</v>
      </c>
      <c r="Q1643" s="30" t="str">
        <f>VLOOKUP(B1643,辅助信息!E:M,9,FALSE)</f>
        <v>ZTWM-CDGS-XS-2024-0169-中冶西部钢构-宜宾市南溪区幸福路东路,高县月江镇建设项目</v>
      </c>
      <c r="R1643" s="30"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1" t="s">
        <v>53</v>
      </c>
      <c r="G1644" s="37">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156</v>
      </c>
      <c r="Q1644" s="30" t="str">
        <f>VLOOKUP(B1644,辅助信息!E:M,9,FALSE)</f>
        <v>ZTWM-CDGS-XS-2025-0073-五冶天府-成都怡心湖片区及龙泉驿医院等项目</v>
      </c>
      <c r="R1644" s="30"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1" t="s">
        <v>32</v>
      </c>
      <c r="G1645" s="37">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156</v>
      </c>
      <c r="Q1645" s="30" t="str">
        <f>VLOOKUP(B1645,辅助信息!E:M,9,FALSE)</f>
        <v>ZTWM-CDGS-XS-2025-0073-五冶天府-成都怡心湖片区及龙泉驿医院等项目</v>
      </c>
      <c r="R1645" s="30" t="str">
        <f>_xlfn._xlws.FILTER(辅助信息!D:D,辅助信息!E:E=B1645)</f>
        <v>五冶建设龙泉芙蓉花语项目</v>
      </c>
    </row>
    <row r="1646" hidden="1" spans="2:18">
      <c r="B1646" s="41" t="s">
        <v>31</v>
      </c>
      <c r="C1646" s="71">
        <v>45803</v>
      </c>
      <c r="D1646" s="121" t="str">
        <f>VLOOKUP(B1646,辅助信息!E:K,7,FALSE)</f>
        <v>JWDDCD2024121000136</v>
      </c>
      <c r="E1646" s="121" t="str">
        <f>VLOOKUP(F1646,辅助信息!A:B,2,FALSE)</f>
        <v>高线</v>
      </c>
      <c r="F1646" s="41" t="s">
        <v>57</v>
      </c>
      <c r="G1646" s="37">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155</v>
      </c>
      <c r="Q1646" s="30" t="str">
        <f>VLOOKUP(B1646,辅助信息!E:M,9,FALSE)</f>
        <v>ZTWM-CDGS-XS-2024-0179-四川商投-射洪城乡一体化建设项目</v>
      </c>
      <c r="R1646" s="30" t="str">
        <f>_xlfn._xlws.FILTER(辅助信息!D:D,辅助信息!E:E=B1646)</f>
        <v>四川商建
射洪城乡一体化项目</v>
      </c>
    </row>
    <row r="1647" hidden="1" spans="2:18">
      <c r="B1647" s="41" t="s">
        <v>31</v>
      </c>
      <c r="C1647" s="71">
        <v>45803</v>
      </c>
      <c r="D1647" s="121" t="str">
        <f>VLOOKUP(B1647,辅助信息!E:K,7,FALSE)</f>
        <v>JWDDCD2024121000136</v>
      </c>
      <c r="E1647" s="121" t="str">
        <f>VLOOKUP(F1647,辅助信息!A:B,2,FALSE)</f>
        <v>高线</v>
      </c>
      <c r="F1647" s="41" t="s">
        <v>53</v>
      </c>
      <c r="G1647" s="37">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155</v>
      </c>
      <c r="Q1647" s="30" t="str">
        <f>VLOOKUP(B1647,辅助信息!E:M,9,FALSE)</f>
        <v>ZTWM-CDGS-XS-2024-0179-四川商投-射洪城乡一体化建设项目</v>
      </c>
      <c r="R1647" s="30" t="str">
        <f>_xlfn._xlws.FILTER(辅助信息!D:D,辅助信息!E:E=B1647)</f>
        <v>四川商建
射洪城乡一体化项目</v>
      </c>
    </row>
    <row r="1648" hidden="1" spans="2:18">
      <c r="B1648" s="41" t="s">
        <v>31</v>
      </c>
      <c r="C1648" s="71">
        <v>45803</v>
      </c>
      <c r="D1648" s="121" t="str">
        <f>VLOOKUP(B1648,辅助信息!E:K,7,FALSE)</f>
        <v>JWDDCD2024121000136</v>
      </c>
      <c r="E1648" s="121" t="str">
        <f>VLOOKUP(F1648,辅助信息!A:B,2,FALSE)</f>
        <v>高线</v>
      </c>
      <c r="F1648" s="41" t="s">
        <v>51</v>
      </c>
      <c r="G1648" s="37">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155</v>
      </c>
      <c r="Q1648" s="30" t="str">
        <f>VLOOKUP(B1648,辅助信息!E:M,9,FALSE)</f>
        <v>ZTWM-CDGS-XS-2024-0179-四川商投-射洪城乡一体化建设项目</v>
      </c>
      <c r="R1648" s="30" t="str">
        <f>_xlfn._xlws.FILTER(辅助信息!D:D,辅助信息!E:E=B1648)</f>
        <v>四川商建
射洪城乡一体化项目</v>
      </c>
    </row>
    <row r="1649" hidden="1" spans="2:18">
      <c r="B1649" s="41" t="s">
        <v>31</v>
      </c>
      <c r="C1649" s="71">
        <v>45803</v>
      </c>
      <c r="D1649" s="121" t="str">
        <f>VLOOKUP(B1649,辅助信息!E:K,7,FALSE)</f>
        <v>JWDDCD2024121000136</v>
      </c>
      <c r="E1649" s="121" t="str">
        <f>VLOOKUP(F1649,辅助信息!A:B,2,FALSE)</f>
        <v>盘螺</v>
      </c>
      <c r="F1649" s="41" t="s">
        <v>49</v>
      </c>
      <c r="G1649" s="37">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155</v>
      </c>
      <c r="Q1649" s="30" t="str">
        <f>VLOOKUP(B1649,辅助信息!E:M,9,FALSE)</f>
        <v>ZTWM-CDGS-XS-2024-0179-四川商投-射洪城乡一体化建设项目</v>
      </c>
      <c r="R1649" s="30" t="str">
        <f>_xlfn._xlws.FILTER(辅助信息!D:D,辅助信息!E:E=B1649)</f>
        <v>四川商建
射洪城乡一体化项目</v>
      </c>
    </row>
    <row r="1650" hidden="1" spans="2:17">
      <c r="B1650" s="41" t="s">
        <v>81</v>
      </c>
      <c r="C1650" s="71">
        <v>45803</v>
      </c>
      <c r="D1650" s="121" t="str">
        <f>VLOOKUP(B1650,辅助信息!E:K,7,FALSE)</f>
        <v>JWDDCD2025060900080</v>
      </c>
      <c r="E1650" s="121" t="str">
        <f>VLOOKUP(F1650,辅助信息!A:B,2,FALSE)</f>
        <v>盘螺</v>
      </c>
      <c r="F1650" s="41" t="s">
        <v>49</v>
      </c>
      <c r="G1650" s="37">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160</v>
      </c>
      <c r="Q1650" s="30" t="str">
        <f>VLOOKUP(B1650,辅助信息!E:M,9,FALSE)</f>
        <v>ZTWM-CDGS-XS-2024-0030-华西集采-简州大道</v>
      </c>
    </row>
    <row r="1651" hidden="1" spans="2:18">
      <c r="B1651" s="41" t="s">
        <v>81</v>
      </c>
      <c r="C1651" s="71">
        <v>45803</v>
      </c>
      <c r="D1651" s="121" t="str">
        <f>VLOOKUP(B1651,辅助信息!E:K,7,FALSE)</f>
        <v>JWDDCD2025060900080</v>
      </c>
      <c r="E1651" s="121" t="str">
        <f>VLOOKUP(F1651,辅助信息!A:B,2,FALSE)</f>
        <v>螺纹钢</v>
      </c>
      <c r="F1651" s="41" t="s">
        <v>30</v>
      </c>
      <c r="G1651" s="37">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152</v>
      </c>
      <c r="Q1651" s="30" t="str">
        <f>VLOOKUP(B1651,辅助信息!E:M,9,FALSE)</f>
        <v>ZTWM-CDGS-XS-2024-0030-华西集采-简州大道</v>
      </c>
      <c r="R1651" s="30" t="str">
        <f>_xlfn._xlws.FILTER(辅助信息!D:D,辅助信息!E:E=B1651)</f>
        <v>华西简阳西城嘉苑</v>
      </c>
    </row>
    <row r="1652" hidden="1" spans="2:18">
      <c r="B1652" s="41" t="s">
        <v>44</v>
      </c>
      <c r="C1652" s="71">
        <v>45803</v>
      </c>
      <c r="D1652" s="121" t="str">
        <f>VLOOKUP(B1652,辅助信息!E:K,7,FALSE)</f>
        <v>JWDDCD2025060600053</v>
      </c>
      <c r="E1652" s="121" t="str">
        <f>VLOOKUP(F1652,辅助信息!A:B,2,FALSE)</f>
        <v>盘螺</v>
      </c>
      <c r="F1652" s="41" t="s">
        <v>49</v>
      </c>
      <c r="G1652" s="37">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155</v>
      </c>
      <c r="Q1652" s="30" t="str">
        <f>VLOOKUP(B1652,辅助信息!E:M,9,FALSE)</f>
        <v>ZTWM-CDGS-XS-2024-0189-华西集采-酒城南项目</v>
      </c>
      <c r="R1652" s="30" t="str">
        <f>_xlfn._xlws.FILTER(辅助信息!D:D,辅助信息!E:E=B1652)</f>
        <v>华西酒城南</v>
      </c>
    </row>
    <row r="1653" hidden="1" spans="2:18">
      <c r="B1653" s="41" t="s">
        <v>44</v>
      </c>
      <c r="C1653" s="71">
        <v>45803</v>
      </c>
      <c r="D1653" s="121" t="str">
        <f>VLOOKUP(B1653,辅助信息!E:K,7,FALSE)</f>
        <v>JWDDCD2025060600053</v>
      </c>
      <c r="E1653" s="121" t="str">
        <f>VLOOKUP(F1653,辅助信息!A:B,2,FALSE)</f>
        <v>盘螺</v>
      </c>
      <c r="F1653" s="41" t="s">
        <v>41</v>
      </c>
      <c r="G1653" s="37">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155</v>
      </c>
      <c r="Q1653" s="30" t="str">
        <f>VLOOKUP(B1653,辅助信息!E:M,9,FALSE)</f>
        <v>ZTWM-CDGS-XS-2024-0189-华西集采-酒城南项目</v>
      </c>
      <c r="R1653" s="30" t="str">
        <f>_xlfn._xlws.FILTER(辅助信息!D:D,辅助信息!E:E=B1653)</f>
        <v>华西酒城南</v>
      </c>
    </row>
    <row r="1654" hidden="1" spans="2:18">
      <c r="B1654" s="41" t="s">
        <v>44</v>
      </c>
      <c r="C1654" s="71">
        <v>45803</v>
      </c>
      <c r="D1654" s="121" t="str">
        <f>VLOOKUP(B1654,辅助信息!E:K,7,FALSE)</f>
        <v>JWDDCD2025060600053</v>
      </c>
      <c r="E1654" s="121" t="str">
        <f>VLOOKUP(F1654,辅助信息!A:B,2,FALSE)</f>
        <v>盘螺</v>
      </c>
      <c r="F1654" s="41" t="s">
        <v>26</v>
      </c>
      <c r="G1654" s="37">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155</v>
      </c>
      <c r="Q1654" s="30" t="str">
        <f>VLOOKUP(B1654,辅助信息!E:M,9,FALSE)</f>
        <v>ZTWM-CDGS-XS-2024-0189-华西集采-酒城南项目</v>
      </c>
      <c r="R1654" s="30" t="str">
        <f>_xlfn._xlws.FILTER(辅助信息!D:D,辅助信息!E:E=B1654)</f>
        <v>华西酒城南</v>
      </c>
    </row>
    <row r="1655" hidden="1" spans="2:18">
      <c r="B1655" s="41" t="s">
        <v>151</v>
      </c>
      <c r="C1655" s="71">
        <v>45803</v>
      </c>
      <c r="D1655" s="121" t="str">
        <f>VLOOKUP(B1655,辅助信息!E:K,7,FALSE)</f>
        <v>JWDDCD2025051000019</v>
      </c>
      <c r="E1655" s="121" t="str">
        <f>VLOOKUP(F1655,辅助信息!A:B,2,FALSE)</f>
        <v>螺纹钢</v>
      </c>
      <c r="F1655" s="41" t="s">
        <v>27</v>
      </c>
      <c r="G1655" s="37">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155</v>
      </c>
      <c r="Q1655" s="30" t="str">
        <f>VLOOKUP(B1655,辅助信息!E:M,9,FALSE)</f>
        <v>ZTWM-CDGS-XS-2024-0248-五冶钢构-南充市医学院项目</v>
      </c>
      <c r="R1655" s="30" t="str">
        <f>_xlfn._xlws.FILTER(辅助信息!D:D,辅助信息!E:E=B1655)</f>
        <v>五冶钢构南充医学科学产业园建设项目</v>
      </c>
    </row>
    <row r="1656" hidden="1" spans="2:18">
      <c r="B1656" s="41" t="s">
        <v>151</v>
      </c>
      <c r="C1656" s="71">
        <v>45803</v>
      </c>
      <c r="D1656" s="121" t="str">
        <f>VLOOKUP(B1656,辅助信息!E:K,7,FALSE)</f>
        <v>JWDDCD2025051000019</v>
      </c>
      <c r="E1656" s="121" t="str">
        <f>VLOOKUP(F1656,辅助信息!A:B,2,FALSE)</f>
        <v>螺纹钢</v>
      </c>
      <c r="F1656" s="41" t="s">
        <v>19</v>
      </c>
      <c r="G1656" s="37">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155</v>
      </c>
      <c r="Q1656" s="30" t="str">
        <f>VLOOKUP(B1656,辅助信息!E:M,9,FALSE)</f>
        <v>ZTWM-CDGS-XS-2024-0248-五冶钢构-南充市医学院项目</v>
      </c>
      <c r="R1656" s="30" t="str">
        <f>_xlfn._xlws.FILTER(辅助信息!D:D,辅助信息!E:E=B1656)</f>
        <v>五冶钢构南充医学科学产业园建设项目</v>
      </c>
    </row>
    <row r="1657" hidden="1" spans="2:18">
      <c r="B1657" s="41" t="s">
        <v>151</v>
      </c>
      <c r="C1657" s="71">
        <v>45803</v>
      </c>
      <c r="D1657" s="121" t="str">
        <f>VLOOKUP(B1657,辅助信息!E:K,7,FALSE)</f>
        <v>JWDDCD2025051000019</v>
      </c>
      <c r="E1657" s="121" t="str">
        <f>VLOOKUP(F1657,辅助信息!A:B,2,FALSE)</f>
        <v>螺纹钢</v>
      </c>
      <c r="F1657" s="41" t="s">
        <v>32</v>
      </c>
      <c r="G1657" s="37">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155</v>
      </c>
      <c r="Q1657" s="30" t="str">
        <f>VLOOKUP(B1657,辅助信息!E:M,9,FALSE)</f>
        <v>ZTWM-CDGS-XS-2024-0248-五冶钢构-南充市医学院项目</v>
      </c>
      <c r="R1657" s="30" t="str">
        <f>_xlfn._xlws.FILTER(辅助信息!D:D,辅助信息!E:E=B1657)</f>
        <v>五冶钢构南充医学科学产业园建设项目</v>
      </c>
    </row>
    <row r="1658" hidden="1" spans="2:18">
      <c r="B1658" s="41" t="s">
        <v>159</v>
      </c>
      <c r="C1658" s="71">
        <v>45803</v>
      </c>
      <c r="D1658" s="121" t="str">
        <f>VLOOKUP(B1658,辅助信息!E:K,7,FALSE)</f>
        <v>JWDDCD2025052800131</v>
      </c>
      <c r="E1658" s="121" t="str">
        <f>VLOOKUP(F1658,辅助信息!A:B,2,FALSE)</f>
        <v>螺纹钢</v>
      </c>
      <c r="F1658" s="41" t="s">
        <v>66</v>
      </c>
      <c r="G1658" s="37">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153</v>
      </c>
      <c r="Q1658" s="30" t="str">
        <f>VLOOKUP(B1658,辅助信息!E:M,9,FALSE)</f>
        <v>ZTWM-CDGS-XS-2024-0134-商投建工达州中医药科技成果示范园项目</v>
      </c>
      <c r="R1658" s="30" t="str">
        <f>_xlfn._xlws.FILTER(辅助信息!D:D,辅助信息!E:E=B1658)</f>
        <v>商投建工达州中医药科技园</v>
      </c>
    </row>
    <row r="1659" hidden="1" spans="2:18">
      <c r="B1659" s="41" t="s">
        <v>159</v>
      </c>
      <c r="C1659" s="71">
        <v>45803</v>
      </c>
      <c r="D1659" s="121" t="str">
        <f>VLOOKUP(B1659,辅助信息!E:K,7,FALSE)</f>
        <v>JWDDCD2025052800131</v>
      </c>
      <c r="E1659" s="121" t="str">
        <f>VLOOKUP(F1659,辅助信息!A:B,2,FALSE)</f>
        <v>螺纹钢</v>
      </c>
      <c r="F1659" s="41" t="s">
        <v>82</v>
      </c>
      <c r="G1659" s="37">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153</v>
      </c>
      <c r="Q1659" s="30" t="str">
        <f>VLOOKUP(B1659,辅助信息!E:M,9,FALSE)</f>
        <v>ZTWM-CDGS-XS-2024-0134-商投建工达州中医药科技成果示范园项目</v>
      </c>
      <c r="R1659" s="30" t="str">
        <f>_xlfn._xlws.FILTER(辅助信息!D:D,辅助信息!E:E=B1659)</f>
        <v>商投建工达州中医药科技园</v>
      </c>
    </row>
    <row r="1660" hidden="1" spans="2:18">
      <c r="B1660" s="41" t="s">
        <v>159</v>
      </c>
      <c r="C1660" s="71">
        <v>45803</v>
      </c>
      <c r="D1660" s="121" t="str">
        <f>VLOOKUP(B1660,辅助信息!E:K,7,FALSE)</f>
        <v>JWDDCD2025052800131</v>
      </c>
      <c r="E1660" s="121" t="str">
        <f>VLOOKUP(F1660,辅助信息!A:B,2,FALSE)</f>
        <v>螺纹钢</v>
      </c>
      <c r="F1660" s="41" t="s">
        <v>45</v>
      </c>
      <c r="G1660" s="37">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153</v>
      </c>
      <c r="Q1660" s="30" t="str">
        <f>VLOOKUP(B1660,辅助信息!E:M,9,FALSE)</f>
        <v>ZTWM-CDGS-XS-2024-0134-商投建工达州中医药科技成果示范园项目</v>
      </c>
      <c r="R1660" s="30" t="str">
        <f>_xlfn._xlws.FILTER(辅助信息!D:D,辅助信息!E:E=B1660)</f>
        <v>商投建工达州中医药科技园</v>
      </c>
    </row>
    <row r="1661" hidden="1" spans="2:18">
      <c r="B1661" s="41" t="s">
        <v>159</v>
      </c>
      <c r="C1661" s="71">
        <v>45803</v>
      </c>
      <c r="D1661" s="121" t="str">
        <f>VLOOKUP(B1661,辅助信息!E:K,7,FALSE)</f>
        <v>JWDDCD2025052800131</v>
      </c>
      <c r="E1661" s="121" t="str">
        <f>VLOOKUP(F1661,辅助信息!A:B,2,FALSE)</f>
        <v>螺纹钢</v>
      </c>
      <c r="F1661" s="41" t="s">
        <v>21</v>
      </c>
      <c r="G1661" s="37">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153</v>
      </c>
      <c r="Q1661" s="30" t="str">
        <f>VLOOKUP(B1661,辅助信息!E:M,9,FALSE)</f>
        <v>ZTWM-CDGS-XS-2024-0134-商投建工达州中医药科技成果示范园项目</v>
      </c>
      <c r="R1661" s="30" t="str">
        <f>_xlfn._xlws.FILTER(辅助信息!D:D,辅助信息!E:E=B1661)</f>
        <v>商投建工达州中医药科技园</v>
      </c>
    </row>
    <row r="1662" hidden="1" spans="2:18">
      <c r="B1662" s="41" t="s">
        <v>159</v>
      </c>
      <c r="C1662" s="71">
        <v>45803</v>
      </c>
      <c r="D1662" s="121" t="str">
        <f>VLOOKUP(B1662,辅助信息!E:K,7,FALSE)</f>
        <v>JWDDCD2025052800131</v>
      </c>
      <c r="E1662" s="121" t="str">
        <f>VLOOKUP(F1662,辅助信息!A:B,2,FALSE)</f>
        <v>螺纹钢</v>
      </c>
      <c r="F1662" s="41" t="s">
        <v>58</v>
      </c>
      <c r="G1662" s="37">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153</v>
      </c>
      <c r="Q1662" s="30" t="str">
        <f>VLOOKUP(B1662,辅助信息!E:M,9,FALSE)</f>
        <v>ZTWM-CDGS-XS-2024-0134-商投建工达州中医药科技成果示范园项目</v>
      </c>
      <c r="R1662" s="30" t="str">
        <f>_xlfn._xlws.FILTER(辅助信息!D:D,辅助信息!E:E=B1662)</f>
        <v>商投建工达州中医药科技园</v>
      </c>
    </row>
    <row r="1663" hidden="1" spans="2:18">
      <c r="B1663" s="41" t="s">
        <v>159</v>
      </c>
      <c r="C1663" s="71">
        <v>45803</v>
      </c>
      <c r="D1663" s="121" t="str">
        <f>VLOOKUP(B1663,辅助信息!E:K,7,FALSE)</f>
        <v>JWDDCD2025052800131</v>
      </c>
      <c r="E1663" s="121" t="str">
        <f>VLOOKUP(F1663,辅助信息!A:B,2,FALSE)</f>
        <v>螺纹钢</v>
      </c>
      <c r="F1663" s="41" t="s">
        <v>46</v>
      </c>
      <c r="G1663" s="37">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153</v>
      </c>
      <c r="Q1663" s="30" t="str">
        <f>VLOOKUP(B1663,辅助信息!E:M,9,FALSE)</f>
        <v>ZTWM-CDGS-XS-2024-0134-商投建工达州中医药科技成果示范园项目</v>
      </c>
      <c r="R1663" s="30" t="str">
        <f>_xlfn._xlws.FILTER(辅助信息!D:D,辅助信息!E:E=B1663)</f>
        <v>商投建工达州中医药科技园</v>
      </c>
    </row>
    <row r="1664" hidden="1" spans="2:18">
      <c r="B1664" s="41" t="s">
        <v>159</v>
      </c>
      <c r="C1664" s="71">
        <v>45803</v>
      </c>
      <c r="D1664" s="121" t="str">
        <f>VLOOKUP(B1664,辅助信息!E:K,7,FALSE)</f>
        <v>JWDDCD2025052800131</v>
      </c>
      <c r="E1664" s="121" t="str">
        <f>VLOOKUP(F1664,辅助信息!A:B,2,FALSE)</f>
        <v>螺纹钢</v>
      </c>
      <c r="F1664" s="41" t="s">
        <v>22</v>
      </c>
      <c r="G1664" s="37">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153</v>
      </c>
      <c r="Q1664" s="30" t="str">
        <f>VLOOKUP(B1664,辅助信息!E:M,9,FALSE)</f>
        <v>ZTWM-CDGS-XS-2024-0134-商投建工达州中医药科技成果示范园项目</v>
      </c>
      <c r="R1664" s="30" t="str">
        <f>_xlfn._xlws.FILTER(辅助信息!D:D,辅助信息!E:E=B1664)</f>
        <v>商投建工达州中医药科技园</v>
      </c>
    </row>
    <row r="1665" hidden="1" spans="2:18">
      <c r="B1665" s="41" t="s">
        <v>92</v>
      </c>
      <c r="C1665" s="71">
        <v>45806</v>
      </c>
      <c r="D1665" s="121" t="str">
        <f>VLOOKUP(B1665,辅助信息!E:K,7,FALSE)</f>
        <v>JWDDCD2025051800046</v>
      </c>
      <c r="E1665" s="121" t="str">
        <f>VLOOKUP(F1665,辅助信息!A:B,2,FALSE)</f>
        <v>盘螺</v>
      </c>
      <c r="F1665" s="41" t="s">
        <v>40</v>
      </c>
      <c r="G1665" s="37">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152</v>
      </c>
      <c r="Q1665" s="30" t="str">
        <f>VLOOKUP(B1665,辅助信息!E:M,9,FALSE)</f>
        <v>ZTWM-CDGS-XS-2024-0092-华西-萌海科创农业生态谷</v>
      </c>
      <c r="R1665" s="30" t="str">
        <f>_xlfn._xlws.FILTER(辅助信息!D:D,辅助信息!E:E=B1665)</f>
        <v>华西萌海-科创农业生态谷</v>
      </c>
    </row>
    <row r="1666" hidden="1" spans="2:18">
      <c r="B1666" s="41" t="s">
        <v>92</v>
      </c>
      <c r="C1666" s="71">
        <v>45806</v>
      </c>
      <c r="D1666" s="121" t="str">
        <f>VLOOKUP(B1666,辅助信息!E:K,7,FALSE)</f>
        <v>JWDDCD2025051800046</v>
      </c>
      <c r="E1666" s="121" t="str">
        <f>VLOOKUP(F1666,辅助信息!A:B,2,FALSE)</f>
        <v>盘螺</v>
      </c>
      <c r="F1666" s="41" t="s">
        <v>41</v>
      </c>
      <c r="G1666" s="37">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152</v>
      </c>
      <c r="Q1666" s="30" t="str">
        <f>VLOOKUP(B1666,辅助信息!E:M,9,FALSE)</f>
        <v>ZTWM-CDGS-XS-2024-0092-华西-萌海科创农业生态谷</v>
      </c>
      <c r="R1666" s="30" t="str">
        <f>_xlfn._xlws.FILTER(辅助信息!D:D,辅助信息!E:E=B1666)</f>
        <v>华西萌海-科创农业生态谷</v>
      </c>
    </row>
    <row r="1667" hidden="1" spans="2:18">
      <c r="B1667" s="41" t="s">
        <v>92</v>
      </c>
      <c r="C1667" s="71">
        <v>45806</v>
      </c>
      <c r="D1667" s="121" t="str">
        <f>VLOOKUP(B1667,辅助信息!E:K,7,FALSE)</f>
        <v>JWDDCD2025051800046</v>
      </c>
      <c r="E1667" s="121" t="str">
        <f>VLOOKUP(F1667,辅助信息!A:B,2,FALSE)</f>
        <v>螺纹钢</v>
      </c>
      <c r="F1667" s="41" t="s">
        <v>27</v>
      </c>
      <c r="G1667" s="37">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152</v>
      </c>
      <c r="Q1667" s="30" t="str">
        <f>VLOOKUP(B1667,辅助信息!E:M,9,FALSE)</f>
        <v>ZTWM-CDGS-XS-2024-0092-华西-萌海科创农业生态谷</v>
      </c>
      <c r="R1667" s="30" t="str">
        <f>_xlfn._xlws.FILTER(辅助信息!D:D,辅助信息!E:E=B1667)</f>
        <v>华西萌海-科创农业生态谷</v>
      </c>
    </row>
    <row r="1668" hidden="1" spans="2:18">
      <c r="B1668" s="41" t="s">
        <v>92</v>
      </c>
      <c r="C1668" s="71">
        <v>45806</v>
      </c>
      <c r="D1668" s="121" t="str">
        <f>VLOOKUP(B1668,辅助信息!E:K,7,FALSE)</f>
        <v>JWDDCD2025051800046</v>
      </c>
      <c r="E1668" s="121" t="str">
        <f>VLOOKUP(F1668,辅助信息!A:B,2,FALSE)</f>
        <v>螺纹钢</v>
      </c>
      <c r="F1668" s="41" t="s">
        <v>19</v>
      </c>
      <c r="G1668" s="37">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152</v>
      </c>
      <c r="Q1668" s="30" t="str">
        <f>VLOOKUP(B1668,辅助信息!E:M,9,FALSE)</f>
        <v>ZTWM-CDGS-XS-2024-0092-华西-萌海科创农业生态谷</v>
      </c>
      <c r="R1668" s="30" t="str">
        <f>_xlfn._xlws.FILTER(辅助信息!D:D,辅助信息!E:E=B1668)</f>
        <v>华西萌海-科创农业生态谷</v>
      </c>
    </row>
    <row r="1669" hidden="1" spans="2:18">
      <c r="B1669" s="41" t="s">
        <v>92</v>
      </c>
      <c r="C1669" s="71">
        <v>45806</v>
      </c>
      <c r="D1669" s="121" t="str">
        <f>VLOOKUP(B1669,辅助信息!E:K,7,FALSE)</f>
        <v>JWDDCD2025051800046</v>
      </c>
      <c r="E1669" s="121" t="str">
        <f>VLOOKUP(F1669,辅助信息!A:B,2,FALSE)</f>
        <v>螺纹钢</v>
      </c>
      <c r="F1669" s="41" t="s">
        <v>82</v>
      </c>
      <c r="G1669" s="37">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152</v>
      </c>
      <c r="Q1669" s="30" t="str">
        <f>VLOOKUP(B1669,辅助信息!E:M,9,FALSE)</f>
        <v>ZTWM-CDGS-XS-2024-0092-华西-萌海科创农业生态谷</v>
      </c>
      <c r="R1669" s="30" t="str">
        <f>_xlfn._xlws.FILTER(辅助信息!D:D,辅助信息!E:E=B1669)</f>
        <v>华西萌海-科创农业生态谷</v>
      </c>
    </row>
    <row r="1670" hidden="1" spans="2:18">
      <c r="B1670" s="41" t="s">
        <v>92</v>
      </c>
      <c r="C1670" s="71">
        <v>45806</v>
      </c>
      <c r="D1670" s="121" t="str">
        <f>VLOOKUP(B1670,辅助信息!E:K,7,FALSE)</f>
        <v>JWDDCD2025051800046</v>
      </c>
      <c r="E1670" s="121" t="str">
        <f>VLOOKUP(F1670,辅助信息!A:B,2,FALSE)</f>
        <v>螺纹钢</v>
      </c>
      <c r="F1670" s="41" t="s">
        <v>45</v>
      </c>
      <c r="G1670" s="37">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152</v>
      </c>
      <c r="Q1670" s="30" t="str">
        <f>VLOOKUP(B1670,辅助信息!E:M,9,FALSE)</f>
        <v>ZTWM-CDGS-XS-2024-0092-华西-萌海科创农业生态谷</v>
      </c>
      <c r="R1670" s="30" t="str">
        <f>_xlfn._xlws.FILTER(辅助信息!D:D,辅助信息!E:E=B1670)</f>
        <v>华西萌海-科创农业生态谷</v>
      </c>
    </row>
    <row r="1671" hidden="1" spans="2:18">
      <c r="B1671" s="41" t="s">
        <v>92</v>
      </c>
      <c r="C1671" s="71">
        <v>45806</v>
      </c>
      <c r="D1671" s="121" t="str">
        <f>VLOOKUP(B1671,辅助信息!E:K,7,FALSE)</f>
        <v>JWDDCD2025051800046</v>
      </c>
      <c r="E1671" s="121" t="str">
        <f>VLOOKUP(F1671,辅助信息!A:B,2,FALSE)</f>
        <v>螺纹钢</v>
      </c>
      <c r="F1671" s="41" t="s">
        <v>58</v>
      </c>
      <c r="G1671" s="37">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152</v>
      </c>
      <c r="Q1671" s="30" t="str">
        <f>VLOOKUP(B1671,辅助信息!E:M,9,FALSE)</f>
        <v>ZTWM-CDGS-XS-2024-0092-华西-萌海科创农业生态谷</v>
      </c>
      <c r="R1671" s="30" t="str">
        <f>_xlfn._xlws.FILTER(辅助信息!D:D,辅助信息!E:E=B1671)</f>
        <v>华西萌海-科创农业生态谷</v>
      </c>
    </row>
    <row r="1672" hidden="1" spans="2:18">
      <c r="B1672" s="41" t="s">
        <v>92</v>
      </c>
      <c r="C1672" s="71">
        <v>45806</v>
      </c>
      <c r="D1672" s="121" t="str">
        <f>VLOOKUP(B1672,辅助信息!E:K,7,FALSE)</f>
        <v>JWDDCD2025051800046</v>
      </c>
      <c r="E1672" s="121" t="str">
        <f>VLOOKUP(F1672,辅助信息!A:B,2,FALSE)</f>
        <v>螺纹钢</v>
      </c>
      <c r="F1672" s="41" t="s">
        <v>22</v>
      </c>
      <c r="G1672" s="37">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152</v>
      </c>
      <c r="Q1672" s="30" t="str">
        <f>VLOOKUP(B1672,辅助信息!E:M,9,FALSE)</f>
        <v>ZTWM-CDGS-XS-2024-0092-华西-萌海科创农业生态谷</v>
      </c>
      <c r="R1672" s="30" t="str">
        <f>_xlfn._xlws.FILTER(辅助信息!D:D,辅助信息!E:E=B1672)</f>
        <v>华西萌海-科创农业生态谷</v>
      </c>
    </row>
    <row r="1673" hidden="1" spans="2:18">
      <c r="B1673" s="41" t="s">
        <v>56</v>
      </c>
      <c r="C1673" s="71">
        <v>45806</v>
      </c>
      <c r="D1673" s="121" t="str">
        <f>VLOOKUP(B1673,辅助信息!E:K,7,FALSE)</f>
        <v>JWDDCD2025052800131</v>
      </c>
      <c r="E1673" s="121" t="str">
        <f>VLOOKUP(F1673,辅助信息!A:B,2,FALSE)</f>
        <v>螺纹钢</v>
      </c>
      <c r="F1673" s="41" t="s">
        <v>66</v>
      </c>
      <c r="G1673" s="37">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152</v>
      </c>
      <c r="Q1673" s="30" t="str">
        <f>VLOOKUP(B1673,辅助信息!E:M,9,FALSE)</f>
        <v>ZTWM-CDGS-XS-2024-0134-商投建工达州中医药科技成果示范园项目</v>
      </c>
      <c r="R1673" s="30" t="str">
        <f>_xlfn._xlws.FILTER(辅助信息!D:D,辅助信息!E:E=B1673)</f>
        <v>商投建工达州中医药科技园</v>
      </c>
    </row>
    <row r="1674" hidden="1" spans="2:18">
      <c r="B1674" s="41" t="s">
        <v>56</v>
      </c>
      <c r="C1674" s="71">
        <v>45806</v>
      </c>
      <c r="D1674" s="121" t="str">
        <f>VLOOKUP(B1674,辅助信息!E:K,7,FALSE)</f>
        <v>JWDDCD2025052800131</v>
      </c>
      <c r="E1674" s="121" t="str">
        <f>VLOOKUP(F1674,辅助信息!A:B,2,FALSE)</f>
        <v>螺纹钢</v>
      </c>
      <c r="F1674" s="41" t="s">
        <v>45</v>
      </c>
      <c r="G1674" s="37">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152</v>
      </c>
      <c r="Q1674" s="30" t="str">
        <f>VLOOKUP(B1674,辅助信息!E:M,9,FALSE)</f>
        <v>ZTWM-CDGS-XS-2024-0134-商投建工达州中医药科技成果示范园项目</v>
      </c>
      <c r="R1674" s="30" t="str">
        <f>_xlfn._xlws.FILTER(辅助信息!D:D,辅助信息!E:E=B1674)</f>
        <v>商投建工达州中医药科技园</v>
      </c>
    </row>
    <row r="1675" hidden="1" spans="2:18">
      <c r="B1675" s="41" t="s">
        <v>56</v>
      </c>
      <c r="C1675" s="71">
        <v>45806</v>
      </c>
      <c r="D1675" s="121" t="str">
        <f>VLOOKUP(B1675,辅助信息!E:K,7,FALSE)</f>
        <v>JWDDCD2025052800131</v>
      </c>
      <c r="E1675" s="121" t="str">
        <f>VLOOKUP(F1675,辅助信息!A:B,2,FALSE)</f>
        <v>螺纹钢</v>
      </c>
      <c r="F1675" s="41" t="s">
        <v>58</v>
      </c>
      <c r="G1675" s="37">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152</v>
      </c>
      <c r="Q1675" s="30" t="str">
        <f>VLOOKUP(B1675,辅助信息!E:M,9,FALSE)</f>
        <v>ZTWM-CDGS-XS-2024-0134-商投建工达州中医药科技成果示范园项目</v>
      </c>
      <c r="R1675" s="30" t="str">
        <f>_xlfn._xlws.FILTER(辅助信息!D:D,辅助信息!E:E=B1675)</f>
        <v>商投建工达州中医药科技园</v>
      </c>
    </row>
    <row r="1676" hidden="1" spans="2:18">
      <c r="B1676" s="41" t="s">
        <v>56</v>
      </c>
      <c r="C1676" s="71">
        <v>45806</v>
      </c>
      <c r="D1676" s="121" t="str">
        <f>VLOOKUP(B1676,辅助信息!E:K,7,FALSE)</f>
        <v>JWDDCD2025052800131</v>
      </c>
      <c r="E1676" s="121" t="str">
        <f>VLOOKUP(F1676,辅助信息!A:B,2,FALSE)</f>
        <v>螺纹钢</v>
      </c>
      <c r="F1676" s="41" t="s">
        <v>22</v>
      </c>
      <c r="G1676" s="37">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152</v>
      </c>
      <c r="Q1676" s="30" t="str">
        <f>VLOOKUP(B1676,辅助信息!E:M,9,FALSE)</f>
        <v>ZTWM-CDGS-XS-2024-0134-商投建工达州中医药科技成果示范园项目</v>
      </c>
      <c r="R1676" s="30"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152</v>
      </c>
      <c r="Q1677" s="30"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152</v>
      </c>
      <c r="Q1678" s="30"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152</v>
      </c>
      <c r="Q1679" s="30"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152</v>
      </c>
      <c r="Q1680" s="30"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152</v>
      </c>
      <c r="Q1681" s="30"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152</v>
      </c>
      <c r="Q1682" s="30"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152</v>
      </c>
      <c r="Q1683" s="30"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152</v>
      </c>
      <c r="Q1684" s="30"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152</v>
      </c>
      <c r="Q1685" s="30" t="str">
        <f>VLOOKUP(B1685,辅助信息!E:M,9,FALSE)</f>
        <v>ZTWM-CDGS-XS-2024-0030-华西集采-简州大道</v>
      </c>
    </row>
    <row r="1686" hidden="1" spans="2:18">
      <c r="B1686" s="41" t="s">
        <v>31</v>
      </c>
      <c r="C1686" s="71">
        <v>45810</v>
      </c>
      <c r="D1686" s="121" t="str">
        <f>VLOOKUP(B1686,辅助信息!E:K,7,FALSE)</f>
        <v>JWDDCD2024121000136</v>
      </c>
      <c r="E1686" s="121" t="str">
        <f>VLOOKUP(F1686,辅助信息!A:B,2,FALSE)</f>
        <v>盘螺</v>
      </c>
      <c r="F1686" s="41" t="s">
        <v>49</v>
      </c>
      <c r="G1686" s="37">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146</v>
      </c>
      <c r="Q1686" s="30" t="str">
        <f>VLOOKUP(B1686,辅助信息!E:M,9,FALSE)</f>
        <v>ZTWM-CDGS-XS-2024-0179-四川商投-射洪城乡一体化建设项目</v>
      </c>
      <c r="R1686" s="30" t="str">
        <f>_xlfn._xlws.FILTER(辅助信息!D:D,辅助信息!E:E=B1686)</f>
        <v>四川商建
射洪城乡一体化项目</v>
      </c>
    </row>
    <row r="1687" hidden="1" spans="2:18">
      <c r="B1687" s="41" t="s">
        <v>31</v>
      </c>
      <c r="C1687" s="71">
        <v>45810</v>
      </c>
      <c r="D1687" s="121" t="str">
        <f>VLOOKUP(B1687,辅助信息!E:K,7,FALSE)</f>
        <v>JWDDCD2024121000136</v>
      </c>
      <c r="E1687" s="121" t="str">
        <f>VLOOKUP(F1687,辅助信息!A:B,2,FALSE)</f>
        <v>螺纹钢</v>
      </c>
      <c r="F1687" s="41" t="s">
        <v>66</v>
      </c>
      <c r="G1687" s="37">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146</v>
      </c>
      <c r="Q1687" s="30" t="str">
        <f>VLOOKUP(B1687,辅助信息!E:M,9,FALSE)</f>
        <v>ZTWM-CDGS-XS-2024-0179-四川商投-射洪城乡一体化建设项目</v>
      </c>
      <c r="R1687" s="30" t="str">
        <f>_xlfn._xlws.FILTER(辅助信息!D:D,辅助信息!E:E=B1687)</f>
        <v>四川商建
射洪城乡一体化项目</v>
      </c>
    </row>
    <row r="1688" hidden="1" spans="2:18">
      <c r="B1688" s="41" t="s">
        <v>31</v>
      </c>
      <c r="C1688" s="71">
        <v>45810</v>
      </c>
      <c r="D1688" s="121" t="str">
        <f>VLOOKUP(B1688,辅助信息!E:K,7,FALSE)</f>
        <v>JWDDCD2024121000136</v>
      </c>
      <c r="E1688" s="121" t="str">
        <f>VLOOKUP(F1688,辅助信息!A:B,2,FALSE)</f>
        <v>螺纹钢</v>
      </c>
      <c r="F1688" s="41" t="s">
        <v>46</v>
      </c>
      <c r="G1688" s="37">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146</v>
      </c>
      <c r="Q1688" s="30" t="str">
        <f>VLOOKUP(B1688,辅助信息!E:M,9,FALSE)</f>
        <v>ZTWM-CDGS-XS-2024-0179-四川商投-射洪城乡一体化建设项目</v>
      </c>
      <c r="R1688" s="30" t="str">
        <f>_xlfn._xlws.FILTER(辅助信息!D:D,辅助信息!E:E=B1688)</f>
        <v>四川商建
射洪城乡一体化项目</v>
      </c>
    </row>
    <row r="1689" hidden="1" spans="2:18">
      <c r="B1689" s="41" t="s">
        <v>31</v>
      </c>
      <c r="C1689" s="71">
        <v>45810</v>
      </c>
      <c r="D1689" s="121" t="str">
        <f>VLOOKUP(B1689,辅助信息!E:K,7,FALSE)</f>
        <v>JWDDCD2024121000136</v>
      </c>
      <c r="E1689" s="121" t="str">
        <f>VLOOKUP(F1689,辅助信息!A:B,2,FALSE)</f>
        <v>螺纹钢</v>
      </c>
      <c r="F1689" s="41" t="s">
        <v>22</v>
      </c>
      <c r="G1689" s="37">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146</v>
      </c>
      <c r="Q1689" s="30" t="str">
        <f>VLOOKUP(B1689,辅助信息!E:M,9,FALSE)</f>
        <v>ZTWM-CDGS-XS-2024-0179-四川商投-射洪城乡一体化建设项目</v>
      </c>
      <c r="R1689" s="30" t="str">
        <f>_xlfn._xlws.FILTER(辅助信息!D:D,辅助信息!E:E=B1689)</f>
        <v>四川商建
射洪城乡一体化项目</v>
      </c>
    </row>
    <row r="1690" hidden="1" spans="2:18">
      <c r="B1690" s="41" t="s">
        <v>81</v>
      </c>
      <c r="C1690" s="71">
        <v>45810</v>
      </c>
      <c r="D1690" s="121" t="str">
        <f>VLOOKUP(B1690,辅助信息!E:K,7,FALSE)</f>
        <v>JWDDCD2025060900080</v>
      </c>
      <c r="E1690" s="121" t="str">
        <f>VLOOKUP(F1690,辅助信息!A:B,2,FALSE)</f>
        <v>高线</v>
      </c>
      <c r="F1690" s="41" t="s">
        <v>53</v>
      </c>
      <c r="G1690" s="37">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148</v>
      </c>
      <c r="Q1690" s="30" t="str">
        <f>VLOOKUP(B1690,辅助信息!E:M,9,FALSE)</f>
        <v>ZTWM-CDGS-XS-2024-0030-华西集采-简州大道</v>
      </c>
      <c r="R1690" s="30" t="str">
        <f>_xlfn._xlws.FILTER(辅助信息!D:D,辅助信息!E:E=B1690)</f>
        <v>华西简阳西城嘉苑</v>
      </c>
    </row>
    <row r="1691" hidden="1" spans="2:18">
      <c r="B1691" s="41" t="s">
        <v>81</v>
      </c>
      <c r="C1691" s="71">
        <v>45810</v>
      </c>
      <c r="D1691" s="121" t="str">
        <f>VLOOKUP(B1691,辅助信息!E:K,7,FALSE)</f>
        <v>JWDDCD2025060900080</v>
      </c>
      <c r="E1691" s="121" t="str">
        <f>VLOOKUP(F1691,辅助信息!A:B,2,FALSE)</f>
        <v>盘螺</v>
      </c>
      <c r="F1691" s="41" t="s">
        <v>49</v>
      </c>
      <c r="G1691" s="37">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148</v>
      </c>
      <c r="Q1691" s="30" t="str">
        <f>VLOOKUP(B1691,辅助信息!E:M,9,FALSE)</f>
        <v>ZTWM-CDGS-XS-2024-0030-华西集采-简州大道</v>
      </c>
      <c r="R1691" s="30" t="str">
        <f>_xlfn._xlws.FILTER(辅助信息!D:D,辅助信息!E:E=B1691)</f>
        <v>华西简阳西城嘉苑</v>
      </c>
    </row>
    <row r="1692" hidden="1" spans="2:18">
      <c r="B1692" s="41" t="s">
        <v>81</v>
      </c>
      <c r="C1692" s="71">
        <v>45810</v>
      </c>
      <c r="D1692" s="121" t="str">
        <f>VLOOKUP(B1692,辅助信息!E:K,7,FALSE)</f>
        <v>JWDDCD2025060900080</v>
      </c>
      <c r="E1692" s="121" t="str">
        <f>VLOOKUP(F1692,辅助信息!A:B,2,FALSE)</f>
        <v>盘螺</v>
      </c>
      <c r="F1692" s="41" t="s">
        <v>40</v>
      </c>
      <c r="G1692" s="37">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148</v>
      </c>
      <c r="Q1692" s="30" t="str">
        <f>VLOOKUP(B1692,辅助信息!E:M,9,FALSE)</f>
        <v>ZTWM-CDGS-XS-2024-0030-华西集采-简州大道</v>
      </c>
      <c r="R1692" s="30" t="str">
        <f>_xlfn._xlws.FILTER(辅助信息!D:D,辅助信息!E:E=B1692)</f>
        <v>华西简阳西城嘉苑</v>
      </c>
    </row>
    <row r="1693" hidden="1" spans="2:18">
      <c r="B1693" s="41" t="s">
        <v>81</v>
      </c>
      <c r="C1693" s="71">
        <v>45810</v>
      </c>
      <c r="D1693" s="121" t="str">
        <f>VLOOKUP(B1693,辅助信息!E:K,7,FALSE)</f>
        <v>JWDDCD2025060900080</v>
      </c>
      <c r="E1693" s="121" t="str">
        <f>VLOOKUP(F1693,辅助信息!A:B,2,FALSE)</f>
        <v>盘螺</v>
      </c>
      <c r="F1693" s="41" t="s">
        <v>41</v>
      </c>
      <c r="G1693" s="37">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148</v>
      </c>
      <c r="Q1693" s="30" t="str">
        <f>VLOOKUP(B1693,辅助信息!E:M,9,FALSE)</f>
        <v>ZTWM-CDGS-XS-2024-0030-华西集采-简州大道</v>
      </c>
      <c r="R1693" s="30" t="str">
        <f>_xlfn._xlws.FILTER(辅助信息!D:D,辅助信息!E:E=B1693)</f>
        <v>华西简阳西城嘉苑</v>
      </c>
    </row>
    <row r="1694" hidden="1" spans="2:18">
      <c r="B1694" s="41" t="s">
        <v>81</v>
      </c>
      <c r="C1694" s="71">
        <v>45810</v>
      </c>
      <c r="D1694" s="121" t="str">
        <f>VLOOKUP(B1694,辅助信息!E:K,7,FALSE)</f>
        <v>JWDDCD2025060900080</v>
      </c>
      <c r="E1694" s="121" t="str">
        <f>VLOOKUP(F1694,辅助信息!A:B,2,FALSE)</f>
        <v>盘螺</v>
      </c>
      <c r="F1694" s="41" t="s">
        <v>26</v>
      </c>
      <c r="G1694" s="37">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148</v>
      </c>
      <c r="Q1694" s="30" t="str">
        <f>VLOOKUP(B1694,辅助信息!E:M,9,FALSE)</f>
        <v>ZTWM-CDGS-XS-2024-0030-华西集采-简州大道</v>
      </c>
      <c r="R1694" s="30" t="str">
        <f>_xlfn._xlws.FILTER(辅助信息!D:D,辅助信息!E:E=B1694)</f>
        <v>华西简阳西城嘉苑</v>
      </c>
    </row>
    <row r="1695" hidden="1" spans="2:18">
      <c r="B1695" s="41" t="s">
        <v>81</v>
      </c>
      <c r="C1695" s="71">
        <v>45810</v>
      </c>
      <c r="D1695" s="121" t="str">
        <f>VLOOKUP(B1695,辅助信息!E:K,7,FALSE)</f>
        <v>JWDDCD2025060900080</v>
      </c>
      <c r="E1695" s="121" t="str">
        <f>VLOOKUP(F1695,辅助信息!A:B,2,FALSE)</f>
        <v>螺纹钢</v>
      </c>
      <c r="F1695" s="41" t="s">
        <v>19</v>
      </c>
      <c r="G1695" s="37">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148</v>
      </c>
      <c r="Q1695" s="30" t="str">
        <f>VLOOKUP(B1695,辅助信息!E:M,9,FALSE)</f>
        <v>ZTWM-CDGS-XS-2024-0030-华西集采-简州大道</v>
      </c>
      <c r="R1695" s="30" t="str">
        <f>_xlfn._xlws.FILTER(辅助信息!D:D,辅助信息!E:E=B1695)</f>
        <v>华西简阳西城嘉苑</v>
      </c>
    </row>
    <row r="1696" hidden="1" spans="2:18">
      <c r="B1696" s="41" t="s">
        <v>81</v>
      </c>
      <c r="C1696" s="71">
        <v>45810</v>
      </c>
      <c r="D1696" s="121" t="str">
        <f>VLOOKUP(B1696,辅助信息!E:K,7,FALSE)</f>
        <v>JWDDCD2025060900080</v>
      </c>
      <c r="E1696" s="121" t="str">
        <f>VLOOKUP(F1696,辅助信息!A:B,2,FALSE)</f>
        <v>螺纹钢</v>
      </c>
      <c r="F1696" s="41" t="s">
        <v>32</v>
      </c>
      <c r="G1696" s="37">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148</v>
      </c>
      <c r="Q1696" s="30" t="str">
        <f>VLOOKUP(B1696,辅助信息!E:M,9,FALSE)</f>
        <v>ZTWM-CDGS-XS-2024-0030-华西集采-简州大道</v>
      </c>
      <c r="R1696" s="30" t="str">
        <f>_xlfn._xlws.FILTER(辅助信息!D:D,辅助信息!E:E=B1696)</f>
        <v>华西简阳西城嘉苑</v>
      </c>
    </row>
    <row r="1697" hidden="1" spans="2:18">
      <c r="B1697" s="41" t="s">
        <v>81</v>
      </c>
      <c r="C1697" s="71">
        <v>45810</v>
      </c>
      <c r="D1697" s="121" t="str">
        <f>VLOOKUP(B1697,辅助信息!E:K,7,FALSE)</f>
        <v>JWDDCD2025060900080</v>
      </c>
      <c r="E1697" s="121" t="str">
        <f>VLOOKUP(F1697,辅助信息!A:B,2,FALSE)</f>
        <v>螺纹钢</v>
      </c>
      <c r="F1697" s="41" t="s">
        <v>30</v>
      </c>
      <c r="G1697" s="37">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148</v>
      </c>
      <c r="Q1697" s="30" t="str">
        <f>VLOOKUP(B1697,辅助信息!E:M,9,FALSE)</f>
        <v>ZTWM-CDGS-XS-2024-0030-华西集采-简州大道</v>
      </c>
      <c r="R1697" s="30" t="str">
        <f>_xlfn._xlws.FILTER(辅助信息!D:D,辅助信息!E:E=B1697)</f>
        <v>华西简阳西城嘉苑</v>
      </c>
    </row>
    <row r="1698" hidden="1" spans="2:18">
      <c r="B1698" s="41" t="s">
        <v>81</v>
      </c>
      <c r="C1698" s="71">
        <v>45810</v>
      </c>
      <c r="D1698" s="121" t="str">
        <f>VLOOKUP(B1698,辅助信息!E:K,7,FALSE)</f>
        <v>JWDDCD2025060900080</v>
      </c>
      <c r="E1698" s="121" t="str">
        <f>VLOOKUP(F1698,辅助信息!A:B,2,FALSE)</f>
        <v>螺纹钢</v>
      </c>
      <c r="F1698" s="41" t="s">
        <v>33</v>
      </c>
      <c r="G1698" s="37">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148</v>
      </c>
      <c r="Q1698" s="30" t="str">
        <f>VLOOKUP(B1698,辅助信息!E:M,9,FALSE)</f>
        <v>ZTWM-CDGS-XS-2024-0030-华西集采-简州大道</v>
      </c>
      <c r="R1698" s="30" t="str">
        <f>_xlfn._xlws.FILTER(辅助信息!D:D,辅助信息!E:E=B1698)</f>
        <v>华西简阳西城嘉苑</v>
      </c>
    </row>
    <row r="1699" hidden="1" spans="2:18">
      <c r="B1699" s="41" t="s">
        <v>81</v>
      </c>
      <c r="C1699" s="71">
        <v>45810</v>
      </c>
      <c r="D1699" s="121" t="str">
        <f>VLOOKUP(B1699,辅助信息!E:K,7,FALSE)</f>
        <v>JWDDCD2025060900080</v>
      </c>
      <c r="E1699" s="121" t="str">
        <f>VLOOKUP(F1699,辅助信息!A:B,2,FALSE)</f>
        <v>螺纹钢</v>
      </c>
      <c r="F1699" s="41" t="s">
        <v>28</v>
      </c>
      <c r="G1699" s="37">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148</v>
      </c>
      <c r="Q1699" s="30" t="str">
        <f>VLOOKUP(B1699,辅助信息!E:M,9,FALSE)</f>
        <v>ZTWM-CDGS-XS-2024-0030-华西集采-简州大道</v>
      </c>
      <c r="R1699" s="30"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148</v>
      </c>
      <c r="Q1700" s="30" t="str">
        <f>VLOOKUP(B1700,辅助信息!E:M,9,FALSE)</f>
        <v>ZTWM-CDGS-XS-2024-0030-华西集采-简州大道</v>
      </c>
      <c r="R1700" s="30"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147</v>
      </c>
      <c r="Q1701" s="30" t="str">
        <f>VLOOKUP(B1701,辅助信息!E:M,9,FALSE)</f>
        <v>ZTWM-CDGS-XS-2024-0030-华西集采-简州大道</v>
      </c>
      <c r="R1701" s="30"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147</v>
      </c>
      <c r="Q1702" s="30" t="str">
        <f>VLOOKUP(B1702,辅助信息!E:M,9,FALSE)</f>
        <v>ZTWM-CDGS-XS-2024-0030-华西集采-简州大道</v>
      </c>
      <c r="R1702" s="30"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147</v>
      </c>
      <c r="Q1703" s="30" t="str">
        <f>VLOOKUP(B1703,辅助信息!E:M,9,FALSE)</f>
        <v>ZTWM-CDGS-XS-2024-0030-华西集采-简州大道</v>
      </c>
      <c r="R1703" s="30"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1" t="s">
        <v>58</v>
      </c>
      <c r="G1704" s="37">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147</v>
      </c>
      <c r="Q1704" s="30" t="str">
        <f>VLOOKUP(B1704,辅助信息!E:M,9,FALSE)</f>
        <v>ZTWM-CDGS-XS-2024-0030-华西集采-简州大道</v>
      </c>
      <c r="R1704" s="30"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1" t="s">
        <v>46</v>
      </c>
      <c r="G1705" s="37">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147</v>
      </c>
      <c r="Q1705" s="30" t="str">
        <f>VLOOKUP(B1705,辅助信息!E:M,9,FALSE)</f>
        <v>ZTWM-CDGS-XS-2024-0030-华西集采-简州大道</v>
      </c>
      <c r="R1705" s="30"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1" t="s">
        <v>22</v>
      </c>
      <c r="G1706" s="37">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147</v>
      </c>
      <c r="Q1706" s="30" t="str">
        <f>VLOOKUP(B1706,辅助信息!E:M,9,FALSE)</f>
        <v>ZTWM-CDGS-XS-2024-0030-华西集采-简州大道</v>
      </c>
      <c r="R1706" s="30"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146</v>
      </c>
      <c r="Q1707" s="30" t="str">
        <f>VLOOKUP(B1707,辅助信息!E:M,9,FALSE)</f>
        <v>ZTWM-CDGS-XS-2024-0030-华西集采-简州大道</v>
      </c>
      <c r="R1707" s="30"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146</v>
      </c>
      <c r="Q1708" s="30" t="str">
        <f>VLOOKUP(B1708,辅助信息!E:M,9,FALSE)</f>
        <v>ZTWM-CDGS-XS-2024-0030-华西集采-简州大道</v>
      </c>
      <c r="R1708" s="30"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146</v>
      </c>
      <c r="Q1709" s="30" t="str">
        <f>VLOOKUP(B1709,辅助信息!E:M,9,FALSE)</f>
        <v>ZTWM-CDGS-XS-2024-0030-华西集采-简州大道</v>
      </c>
      <c r="R1709" s="30"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146</v>
      </c>
      <c r="Q1710" s="30" t="str">
        <f>VLOOKUP(B1710,辅助信息!E:M,9,FALSE)</f>
        <v>ZTWM-CDGS-XS-2024-0030-华西集采-简州大道</v>
      </c>
      <c r="R1710" s="30"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146</v>
      </c>
      <c r="Q1711" s="30" t="str">
        <f>VLOOKUP(B1711,辅助信息!E:M,9,FALSE)</f>
        <v>ZTWM-CDGS-XS-2024-0030-华西集采-简州大道</v>
      </c>
      <c r="R1711" s="30"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146</v>
      </c>
      <c r="Q1712" s="30" t="str">
        <f>VLOOKUP(B1712,辅助信息!E:M,9,FALSE)</f>
        <v>ZTWM-CDGS-XS-2024-0030-华西集采-简州大道</v>
      </c>
      <c r="R1712" s="30"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146</v>
      </c>
      <c r="Q1713" s="30" t="str">
        <f>VLOOKUP(B1713,辅助信息!E:M,9,FALSE)</f>
        <v>ZTWM-CDGS-XS-2024-0030-华西集采-简州大道</v>
      </c>
      <c r="R1713" s="30"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146</v>
      </c>
      <c r="Q1714" s="30" t="str">
        <f>VLOOKUP(B1714,辅助信息!E:M,9,FALSE)</f>
        <v>ZTWM-CDGS-XS-2024-0030-华西集采-简州大道</v>
      </c>
      <c r="R1714" s="30"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146</v>
      </c>
      <c r="Q1715" s="30" t="str">
        <f>VLOOKUP(B1715,辅助信息!E:M,9,FALSE)</f>
        <v>ZTWM-CDGS-XS-2024-0030-华西集采-简州大道</v>
      </c>
      <c r="R1715" s="30"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146</v>
      </c>
      <c r="Q1716" s="30" t="str">
        <f>VLOOKUP(B1716,辅助信息!E:M,9,FALSE)</f>
        <v>ZTWM-CDGS-XS-2024-0030-华西集采-简州大道</v>
      </c>
      <c r="R1716" s="30"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146</v>
      </c>
      <c r="Q1717" s="30" t="str">
        <f>VLOOKUP(B1717,辅助信息!E:M,9,FALSE)</f>
        <v>ZTWM-CDGS-XS-2024-0030-华西集采-简州大道</v>
      </c>
      <c r="R1717" s="30"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146</v>
      </c>
      <c r="Q1718" s="30" t="str">
        <f>VLOOKUP(B1718,辅助信息!E:M,9,FALSE)</f>
        <v>ZTWM-CDGS-XS-2024-0030-华西集采-简州大道</v>
      </c>
      <c r="R1718" s="30" t="str">
        <f>_xlfn._xlws.FILTER(辅助信息!D:D,辅助信息!E:E=B1718)</f>
        <v>华西简阳西城嘉苑</v>
      </c>
    </row>
    <row r="1719" hidden="1" spans="2:18">
      <c r="B1719" s="41" t="s">
        <v>159</v>
      </c>
      <c r="C1719" s="71">
        <v>45812</v>
      </c>
      <c r="D1719" s="121" t="str">
        <f>VLOOKUP(B1719,辅助信息!E:K,7,FALSE)</f>
        <v>JWDDCD2025052800131</v>
      </c>
      <c r="E1719" s="121" t="str">
        <f>VLOOKUP(F1719,辅助信息!A:B,2,FALSE)</f>
        <v>高线</v>
      </c>
      <c r="F1719" s="41"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146</v>
      </c>
      <c r="Q1719" s="30" t="str">
        <f>VLOOKUP(B1719,辅助信息!E:M,9,FALSE)</f>
        <v>ZTWM-CDGS-XS-2024-0134-商投建工达州中医药科技成果示范园项目</v>
      </c>
      <c r="R1719" s="30" t="str">
        <f>_xlfn._xlws.FILTER(辅助信息!D:D,辅助信息!E:E=B1719)</f>
        <v>商投建工达州中医药科技园</v>
      </c>
    </row>
    <row r="1720" hidden="1" spans="2:18">
      <c r="B1720" s="41" t="s">
        <v>159</v>
      </c>
      <c r="C1720" s="71">
        <v>45812</v>
      </c>
      <c r="D1720" s="121" t="str">
        <f>VLOOKUP(B1720,辅助信息!E:K,7,FALSE)</f>
        <v>JWDDCD2025052800131</v>
      </c>
      <c r="E1720" s="121" t="str">
        <f>VLOOKUP(F1720,辅助信息!A:B,2,FALSE)</f>
        <v>盘螺</v>
      </c>
      <c r="F1720" s="41"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146</v>
      </c>
      <c r="Q1720" s="30" t="str">
        <f>VLOOKUP(B1720,辅助信息!E:M,9,FALSE)</f>
        <v>ZTWM-CDGS-XS-2024-0134-商投建工达州中医药科技成果示范园项目</v>
      </c>
      <c r="R1720" s="30" t="str">
        <f>_xlfn._xlws.FILTER(辅助信息!D:D,辅助信息!E:E=B1720)</f>
        <v>商投建工达州中医药科技园</v>
      </c>
    </row>
    <row r="1721" hidden="1" spans="2:18">
      <c r="B1721" s="41" t="s">
        <v>159</v>
      </c>
      <c r="C1721" s="71">
        <v>45812</v>
      </c>
      <c r="D1721" s="121" t="str">
        <f>VLOOKUP(B1721,辅助信息!E:K,7,FALSE)</f>
        <v>JWDDCD2025052800131</v>
      </c>
      <c r="E1721" s="121" t="str">
        <f>VLOOKUP(F1721,辅助信息!A:B,2,FALSE)</f>
        <v>盘螺</v>
      </c>
      <c r="F1721" s="41"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146</v>
      </c>
      <c r="Q1721" s="30" t="str">
        <f>VLOOKUP(B1721,辅助信息!E:M,9,FALSE)</f>
        <v>ZTWM-CDGS-XS-2024-0134-商投建工达州中医药科技成果示范园项目</v>
      </c>
      <c r="R1721" s="30" t="str">
        <f>_xlfn._xlws.FILTER(辅助信息!D:D,辅助信息!E:E=B1721)</f>
        <v>商投建工达州中医药科技园</v>
      </c>
    </row>
    <row r="1722" hidden="1" spans="2:18">
      <c r="B1722" s="41" t="s">
        <v>159</v>
      </c>
      <c r="C1722" s="71">
        <v>45812</v>
      </c>
      <c r="D1722" s="121" t="str">
        <f>VLOOKUP(B1722,辅助信息!E:K,7,FALSE)</f>
        <v>JWDDCD2025052800131</v>
      </c>
      <c r="E1722" s="121" t="str">
        <f>VLOOKUP(F1722,辅助信息!A:B,2,FALSE)</f>
        <v>螺纹钢</v>
      </c>
      <c r="F1722" s="41"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146</v>
      </c>
      <c r="Q1722" s="30" t="str">
        <f>VLOOKUP(B1722,辅助信息!E:M,9,FALSE)</f>
        <v>ZTWM-CDGS-XS-2024-0134-商投建工达州中医药科技成果示范园项目</v>
      </c>
      <c r="R1722" s="30" t="str">
        <f>_xlfn._xlws.FILTER(辅助信息!D:D,辅助信息!E:E=B1722)</f>
        <v>商投建工达州中医药科技园</v>
      </c>
    </row>
    <row r="1723" hidden="1" spans="2:18">
      <c r="B1723" s="41" t="s">
        <v>159</v>
      </c>
      <c r="C1723" s="71">
        <v>45812</v>
      </c>
      <c r="D1723" s="121" t="str">
        <f>VLOOKUP(B1723,辅助信息!E:K,7,FALSE)</f>
        <v>JWDDCD2025052800131</v>
      </c>
      <c r="E1723" s="121" t="str">
        <f>VLOOKUP(F1723,辅助信息!A:B,2,FALSE)</f>
        <v>螺纹钢</v>
      </c>
      <c r="F1723" s="41"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146</v>
      </c>
      <c r="Q1723" s="30" t="str">
        <f>VLOOKUP(B1723,辅助信息!E:M,9,FALSE)</f>
        <v>ZTWM-CDGS-XS-2024-0134-商投建工达州中医药科技成果示范园项目</v>
      </c>
      <c r="R1723" s="30" t="str">
        <f>_xlfn._xlws.FILTER(辅助信息!D:D,辅助信息!E:E=B1723)</f>
        <v>商投建工达州中医药科技园</v>
      </c>
    </row>
    <row r="1724" hidden="1" spans="2:18">
      <c r="B1724" s="41" t="s">
        <v>159</v>
      </c>
      <c r="C1724" s="71">
        <v>45812</v>
      </c>
      <c r="D1724" s="121" t="str">
        <f>VLOOKUP(B1724,辅助信息!E:K,7,FALSE)</f>
        <v>JWDDCD2025052800131</v>
      </c>
      <c r="E1724" s="121" t="str">
        <f>VLOOKUP(F1724,辅助信息!A:B,2,FALSE)</f>
        <v>螺纹钢</v>
      </c>
      <c r="F1724" s="41"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146</v>
      </c>
      <c r="Q1724" s="30" t="str">
        <f>VLOOKUP(B1724,辅助信息!E:M,9,FALSE)</f>
        <v>ZTWM-CDGS-XS-2024-0134-商投建工达州中医药科技成果示范园项目</v>
      </c>
      <c r="R1724" s="30" t="str">
        <f>_xlfn._xlws.FILTER(辅助信息!D:D,辅助信息!E:E=B1724)</f>
        <v>商投建工达州中医药科技园</v>
      </c>
    </row>
    <row r="1725" hidden="1" spans="2:18">
      <c r="B1725" s="41" t="s">
        <v>159</v>
      </c>
      <c r="C1725" s="71">
        <v>45812</v>
      </c>
      <c r="D1725" s="121" t="str">
        <f>VLOOKUP(B1725,辅助信息!E:K,7,FALSE)</f>
        <v>JWDDCD2025052800131</v>
      </c>
      <c r="E1725" s="121" t="str">
        <f>VLOOKUP(F1725,辅助信息!A:B,2,FALSE)</f>
        <v>螺纹钢</v>
      </c>
      <c r="F1725" s="41"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146</v>
      </c>
      <c r="Q1725" s="30" t="str">
        <f>VLOOKUP(B1725,辅助信息!E:M,9,FALSE)</f>
        <v>ZTWM-CDGS-XS-2024-0134-商投建工达州中医药科技成果示范园项目</v>
      </c>
      <c r="R1725" s="30" t="str">
        <f>_xlfn._xlws.FILTER(辅助信息!D:D,辅助信息!E:E=B1725)</f>
        <v>商投建工达州中医药科技园</v>
      </c>
    </row>
    <row r="1726" hidden="1" spans="2:18">
      <c r="B1726" s="41" t="s">
        <v>159</v>
      </c>
      <c r="C1726" s="71">
        <v>45812</v>
      </c>
      <c r="D1726" s="121" t="str">
        <f>VLOOKUP(B1726,辅助信息!E:K,7,FALSE)</f>
        <v>JWDDCD2025052800131</v>
      </c>
      <c r="E1726" s="121" t="str">
        <f>VLOOKUP(F1726,辅助信息!A:B,2,FALSE)</f>
        <v>螺纹钢</v>
      </c>
      <c r="F1726" s="41"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146</v>
      </c>
      <c r="Q1726" s="30" t="str">
        <f>VLOOKUP(B1726,辅助信息!E:M,9,FALSE)</f>
        <v>ZTWM-CDGS-XS-2024-0134-商投建工达州中医药科技成果示范园项目</v>
      </c>
      <c r="R1726" s="30" t="str">
        <f>_xlfn._xlws.FILTER(辅助信息!D:D,辅助信息!E:E=B1726)</f>
        <v>商投建工达州中医药科技园</v>
      </c>
    </row>
    <row r="1727" hidden="1" spans="2:18">
      <c r="B1727" s="41" t="s">
        <v>159</v>
      </c>
      <c r="C1727" s="71">
        <v>45812</v>
      </c>
      <c r="D1727" s="121" t="str">
        <f>VLOOKUP(B1727,辅助信息!E:K,7,FALSE)</f>
        <v>JWDDCD2025052800131</v>
      </c>
      <c r="E1727" s="121" t="str">
        <f>VLOOKUP(F1727,辅助信息!A:B,2,FALSE)</f>
        <v>螺纹钢</v>
      </c>
      <c r="F1727" s="41"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146</v>
      </c>
      <c r="Q1727" s="30" t="str">
        <f>VLOOKUP(B1727,辅助信息!E:M,9,FALSE)</f>
        <v>ZTWM-CDGS-XS-2024-0134-商投建工达州中医药科技成果示范园项目</v>
      </c>
      <c r="R1727" s="30" t="str">
        <f>_xlfn._xlws.FILTER(辅助信息!D:D,辅助信息!E:E=B1727)</f>
        <v>商投建工达州中医药科技园</v>
      </c>
    </row>
    <row r="1728" hidden="1" spans="2:18">
      <c r="B1728" s="41" t="s">
        <v>159</v>
      </c>
      <c r="C1728" s="71">
        <v>45812</v>
      </c>
      <c r="D1728" s="121" t="str">
        <f>VLOOKUP(B1728,辅助信息!E:K,7,FALSE)</f>
        <v>JWDDCD2025052800131</v>
      </c>
      <c r="E1728" s="121" t="str">
        <f>VLOOKUP(F1728,辅助信息!A:B,2,FALSE)</f>
        <v>螺纹钢</v>
      </c>
      <c r="F1728" s="41"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146</v>
      </c>
      <c r="Q1728" s="30" t="str">
        <f>VLOOKUP(B1728,辅助信息!E:M,9,FALSE)</f>
        <v>ZTWM-CDGS-XS-2024-0134-商投建工达州中医药科技成果示范园项目</v>
      </c>
      <c r="R1728" s="30" t="str">
        <f>_xlfn._xlws.FILTER(辅助信息!D:D,辅助信息!E:E=B1728)</f>
        <v>商投建工达州中医药科技园</v>
      </c>
    </row>
    <row r="1729" hidden="1" spans="2:18">
      <c r="B1729" s="41" t="s">
        <v>159</v>
      </c>
      <c r="C1729" s="71">
        <v>45812</v>
      </c>
      <c r="D1729" s="121" t="str">
        <f>VLOOKUP(B1729,辅助信息!E:K,7,FALSE)</f>
        <v>JWDDCD2025052800131</v>
      </c>
      <c r="E1729" s="121" t="str">
        <f>VLOOKUP(F1729,辅助信息!A:B,2,FALSE)</f>
        <v>螺纹钢</v>
      </c>
      <c r="F1729" s="41"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146</v>
      </c>
      <c r="Q1729" s="30" t="str">
        <f>VLOOKUP(B1729,辅助信息!E:M,9,FALSE)</f>
        <v>ZTWM-CDGS-XS-2024-0134-商投建工达州中医药科技成果示范园项目</v>
      </c>
      <c r="R1729" s="30" t="str">
        <f>_xlfn._xlws.FILTER(辅助信息!D:D,辅助信息!E:E=B1729)</f>
        <v>商投建工达州中医药科技园</v>
      </c>
    </row>
    <row r="1730" hidden="1" spans="2:18">
      <c r="B1730" s="41" t="s">
        <v>160</v>
      </c>
      <c r="C1730" s="71">
        <v>45812</v>
      </c>
      <c r="D1730" s="121" t="str">
        <f>VLOOKUP(B1730,辅助信息!E:K,7,FALSE)</f>
        <v>JWDDCD2025071500024</v>
      </c>
      <c r="E1730" s="121" t="str">
        <f>VLOOKUP(F1730,辅助信息!A:B,2,FALSE)</f>
        <v>盘螺</v>
      </c>
      <c r="F1730" s="41" t="s">
        <v>49</v>
      </c>
      <c r="G1730" s="37">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146</v>
      </c>
      <c r="Q1730" s="30" t="str">
        <f>VLOOKUP(B1730,辅助信息!E:M,9,FALSE)</f>
        <v>ZTWM-CDGS-XS-2025-0029-中铁三局集团有限公司-西渝高铁康渝段站房四标项目</v>
      </c>
      <c r="R1730" s="30" t="str">
        <f>_xlfn._xlws.FILTER(辅助信息!D:D,辅助信息!E:E=B1730)</f>
        <v>中铁三局集团西渝高铁康渝段站房四标工程</v>
      </c>
    </row>
    <row r="1731" hidden="1" spans="2:18">
      <c r="B1731" s="41" t="s">
        <v>160</v>
      </c>
      <c r="C1731" s="71">
        <v>45812</v>
      </c>
      <c r="D1731" s="121" t="str">
        <f>VLOOKUP(B1731,辅助信息!E:K,7,FALSE)</f>
        <v>JWDDCD2025071500024</v>
      </c>
      <c r="E1731" s="121" t="str">
        <f>VLOOKUP(F1731,辅助信息!A:B,2,FALSE)</f>
        <v>盘螺</v>
      </c>
      <c r="F1731" s="41" t="s">
        <v>40</v>
      </c>
      <c r="G1731" s="37">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146</v>
      </c>
      <c r="Q1731" s="30" t="str">
        <f>VLOOKUP(B1731,辅助信息!E:M,9,FALSE)</f>
        <v>ZTWM-CDGS-XS-2025-0029-中铁三局集团有限公司-西渝高铁康渝段站房四标项目</v>
      </c>
      <c r="R1731" s="30" t="str">
        <f>_xlfn._xlws.FILTER(辅助信息!D:D,辅助信息!E:E=B1731)</f>
        <v>中铁三局集团西渝高铁康渝段站房四标工程</v>
      </c>
    </row>
    <row r="1732" hidden="1" spans="2:18">
      <c r="B1732" s="41" t="s">
        <v>160</v>
      </c>
      <c r="C1732" s="71">
        <v>45812</v>
      </c>
      <c r="D1732" s="121" t="str">
        <f>VLOOKUP(B1732,辅助信息!E:K,7,FALSE)</f>
        <v>JWDDCD2025071500024</v>
      </c>
      <c r="E1732" s="121" t="str">
        <f>VLOOKUP(F1732,辅助信息!A:B,2,FALSE)</f>
        <v>盘螺</v>
      </c>
      <c r="F1732" s="41" t="s">
        <v>41</v>
      </c>
      <c r="G1732" s="37">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146</v>
      </c>
      <c r="Q1732" s="30" t="str">
        <f>VLOOKUP(B1732,辅助信息!E:M,9,FALSE)</f>
        <v>ZTWM-CDGS-XS-2025-0029-中铁三局集团有限公司-西渝高铁康渝段站房四标项目</v>
      </c>
      <c r="R1732" s="30" t="str">
        <f>_xlfn._xlws.FILTER(辅助信息!D:D,辅助信息!E:E=B1732)</f>
        <v>中铁三局集团西渝高铁康渝段站房四标工程</v>
      </c>
    </row>
    <row r="1733" hidden="1" spans="2:18">
      <c r="B1733" s="41" t="s">
        <v>160</v>
      </c>
      <c r="C1733" s="71">
        <v>45812</v>
      </c>
      <c r="D1733" s="121" t="str">
        <f>VLOOKUP(B1733,辅助信息!E:K,7,FALSE)</f>
        <v>JWDDCD2025071500024</v>
      </c>
      <c r="E1733" s="121" t="str">
        <f>VLOOKUP(F1733,辅助信息!A:B,2,FALSE)</f>
        <v>螺纹钢</v>
      </c>
      <c r="F1733" s="41" t="s">
        <v>27</v>
      </c>
      <c r="G1733" s="37">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146</v>
      </c>
      <c r="Q1733" s="30" t="str">
        <f>VLOOKUP(B1733,辅助信息!E:M,9,FALSE)</f>
        <v>ZTWM-CDGS-XS-2025-0029-中铁三局集团有限公司-西渝高铁康渝段站房四标项目</v>
      </c>
      <c r="R1733" s="30" t="str">
        <f>_xlfn._xlws.FILTER(辅助信息!D:D,辅助信息!E:E=B1733)</f>
        <v>中铁三局集团西渝高铁康渝段站房四标工程</v>
      </c>
    </row>
    <row r="1734" hidden="1" spans="2:18">
      <c r="B1734" s="41" t="s">
        <v>160</v>
      </c>
      <c r="C1734" s="71">
        <v>45812</v>
      </c>
      <c r="D1734" s="121" t="str">
        <f>VLOOKUP(B1734,辅助信息!E:K,7,FALSE)</f>
        <v>JWDDCD2025071500024</v>
      </c>
      <c r="E1734" s="121" t="str">
        <f>VLOOKUP(F1734,辅助信息!A:B,2,FALSE)</f>
        <v>螺纹钢</v>
      </c>
      <c r="F1734" s="41" t="s">
        <v>19</v>
      </c>
      <c r="G1734" s="37">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146</v>
      </c>
      <c r="Q1734" s="30" t="str">
        <f>VLOOKUP(B1734,辅助信息!E:M,9,FALSE)</f>
        <v>ZTWM-CDGS-XS-2025-0029-中铁三局集团有限公司-西渝高铁康渝段站房四标项目</v>
      </c>
      <c r="R1734" s="30" t="str">
        <f>_xlfn._xlws.FILTER(辅助信息!D:D,辅助信息!E:E=B1734)</f>
        <v>中铁三局集团西渝高铁康渝段站房四标工程</v>
      </c>
    </row>
    <row r="1735" hidden="1" spans="2:18">
      <c r="B1735" s="41" t="s">
        <v>160</v>
      </c>
      <c r="C1735" s="71">
        <v>45812</v>
      </c>
      <c r="D1735" s="121" t="str">
        <f>VLOOKUP(B1735,辅助信息!E:K,7,FALSE)</f>
        <v>JWDDCD2025071500024</v>
      </c>
      <c r="E1735" s="121" t="str">
        <f>VLOOKUP(F1735,辅助信息!A:B,2,FALSE)</f>
        <v>螺纹钢</v>
      </c>
      <c r="F1735" s="41" t="s">
        <v>32</v>
      </c>
      <c r="G1735" s="37">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146</v>
      </c>
      <c r="Q1735" s="30" t="str">
        <f>VLOOKUP(B1735,辅助信息!E:M,9,FALSE)</f>
        <v>ZTWM-CDGS-XS-2025-0029-中铁三局集团有限公司-西渝高铁康渝段站房四标项目</v>
      </c>
      <c r="R1735" s="30" t="str">
        <f>_xlfn._xlws.FILTER(辅助信息!D:D,辅助信息!E:E=B1735)</f>
        <v>中铁三局集团西渝高铁康渝段站房四标工程</v>
      </c>
    </row>
    <row r="1736" hidden="1" spans="2:18">
      <c r="B1736" s="41" t="s">
        <v>160</v>
      </c>
      <c r="C1736" s="71">
        <v>45812</v>
      </c>
      <c r="D1736" s="121" t="str">
        <f>VLOOKUP(B1736,辅助信息!E:K,7,FALSE)</f>
        <v>JWDDCD2025071500024</v>
      </c>
      <c r="E1736" s="121" t="str">
        <f>VLOOKUP(F1736,辅助信息!A:B,2,FALSE)</f>
        <v>螺纹钢</v>
      </c>
      <c r="F1736" s="41" t="s">
        <v>30</v>
      </c>
      <c r="G1736" s="37">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146</v>
      </c>
      <c r="Q1736" s="30" t="str">
        <f>VLOOKUP(B1736,辅助信息!E:M,9,FALSE)</f>
        <v>ZTWM-CDGS-XS-2025-0029-中铁三局集团有限公司-西渝高铁康渝段站房四标项目</v>
      </c>
      <c r="R1736" s="30" t="str">
        <f>_xlfn._xlws.FILTER(辅助信息!D:D,辅助信息!E:E=B1736)</f>
        <v>中铁三局集团西渝高铁康渝段站房四标工程</v>
      </c>
    </row>
    <row r="1737" hidden="1" spans="2:18">
      <c r="B1737" s="41" t="s">
        <v>160</v>
      </c>
      <c r="C1737" s="71">
        <v>45812</v>
      </c>
      <c r="D1737" s="121" t="str">
        <f>VLOOKUP(B1737,辅助信息!E:K,7,FALSE)</f>
        <v>JWDDCD2025071500024</v>
      </c>
      <c r="E1737" s="121" t="str">
        <f>VLOOKUP(F1737,辅助信息!A:B,2,FALSE)</f>
        <v>螺纹钢</v>
      </c>
      <c r="F1737" s="41" t="s">
        <v>33</v>
      </c>
      <c r="G1737" s="37">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146</v>
      </c>
      <c r="Q1737" s="30" t="str">
        <f>VLOOKUP(B1737,辅助信息!E:M,9,FALSE)</f>
        <v>ZTWM-CDGS-XS-2025-0029-中铁三局集团有限公司-西渝高铁康渝段站房四标项目</v>
      </c>
      <c r="R1737" s="30" t="str">
        <f>_xlfn._xlws.FILTER(辅助信息!D:D,辅助信息!E:E=B1737)</f>
        <v>中铁三局集团西渝高铁康渝段站房四标工程</v>
      </c>
    </row>
    <row r="1738" hidden="1" spans="2:18">
      <c r="B1738" s="41" t="s">
        <v>160</v>
      </c>
      <c r="C1738" s="71">
        <v>45812</v>
      </c>
      <c r="D1738" s="121" t="str">
        <f>VLOOKUP(B1738,辅助信息!E:K,7,FALSE)</f>
        <v>JWDDCD2025071500024</v>
      </c>
      <c r="E1738" s="121" t="str">
        <f>VLOOKUP(F1738,辅助信息!A:B,2,FALSE)</f>
        <v>螺纹钢</v>
      </c>
      <c r="F1738" s="41" t="s">
        <v>28</v>
      </c>
      <c r="G1738" s="37">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146</v>
      </c>
      <c r="Q1738" s="30" t="str">
        <f>VLOOKUP(B1738,辅助信息!E:M,9,FALSE)</f>
        <v>ZTWM-CDGS-XS-2025-0029-中铁三局集团有限公司-西渝高铁康渝段站房四标项目</v>
      </c>
      <c r="R1738" s="30" t="str">
        <f>_xlfn._xlws.FILTER(辅助信息!D:D,辅助信息!E:E=B1738)</f>
        <v>中铁三局集团西渝高铁康渝段站房四标工程</v>
      </c>
    </row>
    <row r="1739" hidden="1" spans="2:18">
      <c r="B1739" s="41" t="s">
        <v>160</v>
      </c>
      <c r="C1739" s="71">
        <v>45812</v>
      </c>
      <c r="D1739" s="121" t="str">
        <f>VLOOKUP(B1739,辅助信息!E:K,7,FALSE)</f>
        <v>JWDDCD2025071500024</v>
      </c>
      <c r="E1739" s="121" t="str">
        <f>VLOOKUP(F1739,辅助信息!A:B,2,FALSE)</f>
        <v>螺纹钢</v>
      </c>
      <c r="F1739" s="41" t="s">
        <v>18</v>
      </c>
      <c r="G1739" s="37">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146</v>
      </c>
      <c r="Q1739" s="30" t="str">
        <f>VLOOKUP(B1739,辅助信息!E:M,9,FALSE)</f>
        <v>ZTWM-CDGS-XS-2025-0029-中铁三局集团有限公司-西渝高铁康渝段站房四标项目</v>
      </c>
      <c r="R1739" s="30" t="str">
        <f>_xlfn._xlws.FILTER(辅助信息!D:D,辅助信息!E:E=B1739)</f>
        <v>中铁三局集团西渝高铁康渝段站房四标工程</v>
      </c>
    </row>
    <row r="1740" hidden="1" spans="2:18">
      <c r="B1740" s="41" t="s">
        <v>160</v>
      </c>
      <c r="C1740" s="71">
        <v>45812</v>
      </c>
      <c r="D1740" s="121" t="str">
        <f>VLOOKUP(B1740,辅助信息!E:K,7,FALSE)</f>
        <v>JWDDCD2025071500024</v>
      </c>
      <c r="E1740" s="121" t="str">
        <f>VLOOKUP(F1740,辅助信息!A:B,2,FALSE)</f>
        <v>螺纹钢</v>
      </c>
      <c r="F1740" s="41" t="s">
        <v>65</v>
      </c>
      <c r="G1740" s="37">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146</v>
      </c>
      <c r="Q1740" s="30" t="str">
        <f>VLOOKUP(B1740,辅助信息!E:M,9,FALSE)</f>
        <v>ZTWM-CDGS-XS-2025-0029-中铁三局集团有限公司-西渝高铁康渝段站房四标项目</v>
      </c>
      <c r="R1740" s="30"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146</v>
      </c>
      <c r="Q1741" s="30" t="str">
        <f>VLOOKUP(B1741,辅助信息!E:M,9,FALSE)</f>
        <v>ZTWM-CDGS-XS-2024-0030-华西集采-简州大道</v>
      </c>
      <c r="R1741" s="30"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146</v>
      </c>
      <c r="Q1742" s="30" t="str">
        <f>VLOOKUP(B1742,辅助信息!E:M,9,FALSE)</f>
        <v>ZTWM-CDGS-XS-2024-0030-华西集采-简州大道</v>
      </c>
      <c r="R1742" s="30"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146</v>
      </c>
      <c r="Q1743" s="30" t="str">
        <f>VLOOKUP(B1743,辅助信息!E:M,9,FALSE)</f>
        <v>ZTWM-CDGS-XS-2024-0030-华西集采-简州大道</v>
      </c>
      <c r="R1743" s="30"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146</v>
      </c>
      <c r="Q1744" s="30" t="str">
        <f>VLOOKUP(B1744,辅助信息!E:M,9,FALSE)</f>
        <v>ZTWM-CDGS-XS-2024-0134-商投建工达州中医药科技成果示范园项目</v>
      </c>
      <c r="R1744" s="30"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146</v>
      </c>
      <c r="Q1745" s="30" t="str">
        <f>VLOOKUP(B1745,辅助信息!E:M,9,FALSE)</f>
        <v>ZTWM-CDGS-XS-2024-0134-商投建工达州中医药科技成果示范园项目</v>
      </c>
      <c r="R1745" s="30"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146</v>
      </c>
      <c r="Q1746" s="30" t="str">
        <f>VLOOKUP(B1746,辅助信息!E:M,9,FALSE)</f>
        <v>ZTWM-CDGS-XS-2024-0134-商投建工达州中医药科技成果示范园项目</v>
      </c>
      <c r="R1746" s="30"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146</v>
      </c>
      <c r="Q1747" s="30" t="str">
        <f>VLOOKUP(B1747,辅助信息!E:M,9,FALSE)</f>
        <v>ZTWM-CDGS-XS-2024-0134-商投建工达州中医药科技成果示范园项目</v>
      </c>
      <c r="R1747" s="30"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146</v>
      </c>
      <c r="Q1748" s="30" t="str">
        <f>VLOOKUP(B1748,辅助信息!E:M,9,FALSE)</f>
        <v>ZTWM-CDGS-XS-2024-0134-商投建工达州中医药科技成果示范园项目</v>
      </c>
      <c r="R1748" s="30"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146</v>
      </c>
      <c r="Q1749" s="30" t="str">
        <f>VLOOKUP(B1749,辅助信息!E:M,9,FALSE)</f>
        <v>ZTWM-CDGS-XS-2024-0134-商投建工达州中医药科技成果示范园项目</v>
      </c>
      <c r="R1749" s="30"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146</v>
      </c>
      <c r="Q1750" s="30" t="str">
        <f>VLOOKUP(B1750,辅助信息!E:M,9,FALSE)</f>
        <v>ZTWM-CDGS-XS-2024-0134-商投建工达州中医药科技成果示范园项目</v>
      </c>
      <c r="R1750" s="30"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146</v>
      </c>
      <c r="Q1751" s="30" t="str">
        <f>VLOOKUP(B1751,辅助信息!E:M,9,FALSE)</f>
        <v>ZTWM-CDGS-XS-2024-0134-商投建工达州中医药科技成果示范园项目</v>
      </c>
      <c r="R1751" s="30"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1" t="s">
        <v>19</v>
      </c>
      <c r="G1752" s="37">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146</v>
      </c>
      <c r="Q1752" s="30" t="str">
        <f>VLOOKUP(B1752,辅助信息!E:M,9,FALSE)</f>
        <v>ZTWM-CDGS-XS-2024-0134-商投建工达州中医药科技成果示范园项目</v>
      </c>
      <c r="R1752" s="30" t="str">
        <f>_xlfn._xlws.FILTER(辅助信息!D:D,辅助信息!E:E=B1752)</f>
        <v>商投建工达州中医药科技园</v>
      </c>
    </row>
    <row r="1753" hidden="1" spans="2:18">
      <c r="B1753" s="41" t="s">
        <v>92</v>
      </c>
      <c r="C1753" s="71">
        <v>45819</v>
      </c>
      <c r="D1753" s="121" t="str">
        <f>VLOOKUP(B1753,辅助信息!E:K,7,FALSE)</f>
        <v>JWDDCD2025051800046</v>
      </c>
      <c r="E1753" s="121" t="str">
        <f>VLOOKUP(F1753,辅助信息!A:B,2,FALSE)</f>
        <v>盘螺</v>
      </c>
      <c r="F1753" s="41" t="s">
        <v>49</v>
      </c>
      <c r="G1753" s="37">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139</v>
      </c>
      <c r="Q1753" s="30" t="str">
        <f>VLOOKUP(B1753,辅助信息!E:M,9,FALSE)</f>
        <v>ZTWM-CDGS-XS-2024-0092-华西-萌海科创农业生态谷</v>
      </c>
      <c r="R1753" s="30" t="str">
        <f>_xlfn._xlws.FILTER(辅助信息!D:D,辅助信息!E:E=B1753)</f>
        <v>华西萌海-科创农业生态谷</v>
      </c>
    </row>
    <row r="1754" hidden="1" spans="2:18">
      <c r="B1754" s="41" t="s">
        <v>92</v>
      </c>
      <c r="C1754" s="71">
        <v>45819</v>
      </c>
      <c r="D1754" s="121" t="str">
        <f>VLOOKUP(B1754,辅助信息!E:K,7,FALSE)</f>
        <v>JWDDCD2025051800046</v>
      </c>
      <c r="E1754" s="121" t="str">
        <f>VLOOKUP(F1754,辅助信息!A:B,2,FALSE)</f>
        <v>盘螺</v>
      </c>
      <c r="F1754" s="41" t="s">
        <v>40</v>
      </c>
      <c r="G1754" s="37">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139</v>
      </c>
      <c r="Q1754" s="30" t="str">
        <f>VLOOKUP(B1754,辅助信息!E:M,9,FALSE)</f>
        <v>ZTWM-CDGS-XS-2024-0092-华西-萌海科创农业生态谷</v>
      </c>
      <c r="R1754" s="30" t="str">
        <f>_xlfn._xlws.FILTER(辅助信息!D:D,辅助信息!E:E=B1754)</f>
        <v>华西萌海-科创农业生态谷</v>
      </c>
    </row>
    <row r="1755" hidden="1" spans="2:18">
      <c r="B1755" s="41" t="s">
        <v>92</v>
      </c>
      <c r="C1755" s="71">
        <v>45819</v>
      </c>
      <c r="D1755" s="121" t="str">
        <f>VLOOKUP(B1755,辅助信息!E:K,7,FALSE)</f>
        <v>JWDDCD2025051800046</v>
      </c>
      <c r="E1755" s="121" t="str">
        <f>VLOOKUP(F1755,辅助信息!A:B,2,FALSE)</f>
        <v>盘螺</v>
      </c>
      <c r="F1755" s="41" t="s">
        <v>41</v>
      </c>
      <c r="G1755" s="37">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139</v>
      </c>
      <c r="Q1755" s="30" t="str">
        <f>VLOOKUP(B1755,辅助信息!E:M,9,FALSE)</f>
        <v>ZTWM-CDGS-XS-2024-0092-华西-萌海科创农业生态谷</v>
      </c>
      <c r="R1755" s="30" t="str">
        <f>_xlfn._xlws.FILTER(辅助信息!D:D,辅助信息!E:E=B1755)</f>
        <v>华西萌海-科创农业生态谷</v>
      </c>
    </row>
    <row r="1756" hidden="1" spans="2:18">
      <c r="B1756" s="41" t="s">
        <v>92</v>
      </c>
      <c r="C1756" s="71">
        <v>45819</v>
      </c>
      <c r="D1756" s="121" t="str">
        <f>VLOOKUP(B1756,辅助信息!E:K,7,FALSE)</f>
        <v>JWDDCD2025051800046</v>
      </c>
      <c r="E1756" s="121" t="str">
        <f>VLOOKUP(F1756,辅助信息!A:B,2,FALSE)</f>
        <v>螺纹钢</v>
      </c>
      <c r="F1756" s="41" t="s">
        <v>27</v>
      </c>
      <c r="G1756" s="37">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139</v>
      </c>
      <c r="Q1756" s="30" t="str">
        <f>VLOOKUP(B1756,辅助信息!E:M,9,FALSE)</f>
        <v>ZTWM-CDGS-XS-2024-0092-华西-萌海科创农业生态谷</v>
      </c>
      <c r="R1756" s="30" t="str">
        <f>_xlfn._xlws.FILTER(辅助信息!D:D,辅助信息!E:E=B1756)</f>
        <v>华西萌海-科创农业生态谷</v>
      </c>
    </row>
    <row r="1757" hidden="1" spans="2:18">
      <c r="B1757" s="41" t="s">
        <v>92</v>
      </c>
      <c r="C1757" s="71">
        <v>45819</v>
      </c>
      <c r="D1757" s="121" t="str">
        <f>VLOOKUP(B1757,辅助信息!E:K,7,FALSE)</f>
        <v>JWDDCD2025051800046</v>
      </c>
      <c r="E1757" s="121" t="str">
        <f>VLOOKUP(F1757,辅助信息!A:B,2,FALSE)</f>
        <v>螺纹钢</v>
      </c>
      <c r="F1757" s="41" t="s">
        <v>19</v>
      </c>
      <c r="G1757" s="37">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139</v>
      </c>
      <c r="Q1757" s="30" t="str">
        <f>VLOOKUP(B1757,辅助信息!E:M,9,FALSE)</f>
        <v>ZTWM-CDGS-XS-2024-0092-华西-萌海科创农业生态谷</v>
      </c>
      <c r="R1757" s="30" t="str">
        <f>_xlfn._xlws.FILTER(辅助信息!D:D,辅助信息!E:E=B1757)</f>
        <v>华西萌海-科创农业生态谷</v>
      </c>
    </row>
    <row r="1758" hidden="1" spans="2:18">
      <c r="B1758" s="41" t="s">
        <v>92</v>
      </c>
      <c r="C1758" s="71">
        <v>45819</v>
      </c>
      <c r="D1758" s="121" t="str">
        <f>VLOOKUP(B1758,辅助信息!E:K,7,FALSE)</f>
        <v>JWDDCD2025051800046</v>
      </c>
      <c r="E1758" s="121" t="str">
        <f>VLOOKUP(F1758,辅助信息!A:B,2,FALSE)</f>
        <v>螺纹钢</v>
      </c>
      <c r="F1758" s="41" t="s">
        <v>65</v>
      </c>
      <c r="G1758" s="37">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139</v>
      </c>
      <c r="Q1758" s="30" t="str">
        <f>VLOOKUP(B1758,辅助信息!E:M,9,FALSE)</f>
        <v>ZTWM-CDGS-XS-2024-0092-华西-萌海科创农业生态谷</v>
      </c>
      <c r="R1758" s="30" t="str">
        <f>_xlfn._xlws.FILTER(辅助信息!D:D,辅助信息!E:E=B1758)</f>
        <v>华西萌海-科创农业生态谷</v>
      </c>
    </row>
    <row r="1759" hidden="1" spans="2:18">
      <c r="B1759" s="41" t="s">
        <v>81</v>
      </c>
      <c r="C1759" s="71">
        <v>45819</v>
      </c>
      <c r="D1759" s="121" t="str">
        <f>VLOOKUP(B1759,辅助信息!E:K,7,FALSE)</f>
        <v>JWDDCD2025060900080</v>
      </c>
      <c r="E1759" s="121" t="str">
        <f>VLOOKUP(F1759,辅助信息!A:B,2,FALSE)</f>
        <v>盘螺</v>
      </c>
      <c r="F1759" s="41" t="s">
        <v>40</v>
      </c>
      <c r="G1759" s="37">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140</v>
      </c>
      <c r="Q1759" s="30" t="str">
        <f>VLOOKUP(B1759,辅助信息!E:M,9,FALSE)</f>
        <v>ZTWM-CDGS-XS-2024-0030-华西集采-简州大道</v>
      </c>
      <c r="R1759" s="30" t="str">
        <f>_xlfn._xlws.FILTER(辅助信息!D:D,辅助信息!E:E=B1759)</f>
        <v>华西简阳西城嘉苑</v>
      </c>
    </row>
    <row r="1760" hidden="1" spans="2:18">
      <c r="B1760" s="41" t="s">
        <v>81</v>
      </c>
      <c r="C1760" s="71">
        <v>45819</v>
      </c>
      <c r="D1760" s="121" t="str">
        <f>VLOOKUP(B1760,辅助信息!E:K,7,FALSE)</f>
        <v>JWDDCD2025060900080</v>
      </c>
      <c r="E1760" s="121" t="str">
        <f>VLOOKUP(F1760,辅助信息!A:B,2,FALSE)</f>
        <v>盘螺</v>
      </c>
      <c r="F1760" s="41" t="s">
        <v>41</v>
      </c>
      <c r="G1760" s="37">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140</v>
      </c>
      <c r="Q1760" s="30" t="str">
        <f>VLOOKUP(B1760,辅助信息!E:M,9,FALSE)</f>
        <v>ZTWM-CDGS-XS-2024-0030-华西集采-简州大道</v>
      </c>
      <c r="R1760" s="30" t="str">
        <f>_xlfn._xlws.FILTER(辅助信息!D:D,辅助信息!E:E=B1760)</f>
        <v>华西简阳西城嘉苑</v>
      </c>
    </row>
    <row r="1761" hidden="1" spans="2:18">
      <c r="B1761" s="41" t="s">
        <v>81</v>
      </c>
      <c r="C1761" s="71">
        <v>45819</v>
      </c>
      <c r="D1761" s="121" t="str">
        <f>VLOOKUP(B1761,辅助信息!E:K,7,FALSE)</f>
        <v>JWDDCD2025060900080</v>
      </c>
      <c r="E1761" s="121" t="str">
        <f>VLOOKUP(F1761,辅助信息!A:B,2,FALSE)</f>
        <v>盘螺</v>
      </c>
      <c r="F1761" s="41" t="s">
        <v>26</v>
      </c>
      <c r="G1761" s="37">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140</v>
      </c>
      <c r="Q1761" s="30" t="str">
        <f>VLOOKUP(B1761,辅助信息!E:M,9,FALSE)</f>
        <v>ZTWM-CDGS-XS-2024-0030-华西集采-简州大道</v>
      </c>
      <c r="R1761" s="30" t="str">
        <f>_xlfn._xlws.FILTER(辅助信息!D:D,辅助信息!E:E=B1761)</f>
        <v>华西简阳西城嘉苑</v>
      </c>
    </row>
    <row r="1762" hidden="1" spans="2:18">
      <c r="B1762" s="41" t="s">
        <v>81</v>
      </c>
      <c r="C1762" s="71">
        <v>45819</v>
      </c>
      <c r="D1762" s="121" t="str">
        <f>VLOOKUP(B1762,辅助信息!E:K,7,FALSE)</f>
        <v>JWDDCD2025060900080</v>
      </c>
      <c r="E1762" s="121" t="str">
        <f>VLOOKUP(F1762,辅助信息!A:B,2,FALSE)</f>
        <v>螺纹钢</v>
      </c>
      <c r="F1762" s="41" t="s">
        <v>32</v>
      </c>
      <c r="G1762" s="37">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140</v>
      </c>
      <c r="Q1762" s="30" t="str">
        <f>VLOOKUP(B1762,辅助信息!E:M,9,FALSE)</f>
        <v>ZTWM-CDGS-XS-2024-0030-华西集采-简州大道</v>
      </c>
      <c r="R1762" s="30" t="str">
        <f>_xlfn._xlws.FILTER(辅助信息!D:D,辅助信息!E:E=B1762)</f>
        <v>华西简阳西城嘉苑</v>
      </c>
    </row>
    <row r="1763" hidden="1" spans="2:18">
      <c r="B1763" s="41" t="s">
        <v>161</v>
      </c>
      <c r="C1763" s="71">
        <v>45819</v>
      </c>
      <c r="D1763" s="121" t="str">
        <f>VLOOKUP(B1763,辅助信息!E:K,7,FALSE)</f>
        <v>JWDD2025071500089</v>
      </c>
      <c r="E1763" s="121" t="str">
        <f>VLOOKUP(F1763,辅助信息!A:B,2,FALSE)</f>
        <v>盘螺</v>
      </c>
      <c r="F1763" s="41" t="s">
        <v>41</v>
      </c>
      <c r="G1763" s="37">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140</v>
      </c>
      <c r="Q1763" s="30" t="str">
        <f>VLOOKUP(B1763,辅助信息!E:M,9,FALSE)</f>
        <v>ZTWM-CDYXGS-XS-2025-0014-宜宾兴港建材-三江新区长江工业园片区保障性租赁住房建设项目</v>
      </c>
      <c r="R1763" s="30" t="str">
        <f>_xlfn._xlws.FILTER(辅助信息!D:D,辅助信息!E:E=B1763)</f>
        <v>宜宾兴港三江新区长江工业园建设项目</v>
      </c>
    </row>
    <row r="1764" hidden="1" spans="2:18">
      <c r="B1764" s="41" t="s">
        <v>161</v>
      </c>
      <c r="C1764" s="71">
        <v>45819</v>
      </c>
      <c r="D1764" s="121" t="str">
        <f>VLOOKUP(B1764,辅助信息!E:K,7,FALSE)</f>
        <v>JWDD2025071500089</v>
      </c>
      <c r="E1764" s="121" t="str">
        <f>VLOOKUP(F1764,辅助信息!A:B,2,FALSE)</f>
        <v>盘螺</v>
      </c>
      <c r="F1764" s="41" t="s">
        <v>26</v>
      </c>
      <c r="G1764" s="37">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140</v>
      </c>
      <c r="Q1764" s="30" t="str">
        <f>VLOOKUP(B1764,辅助信息!E:M,9,FALSE)</f>
        <v>ZTWM-CDYXGS-XS-2025-0014-宜宾兴港建材-三江新区长江工业园片区保障性租赁住房建设项目</v>
      </c>
      <c r="R1764" s="30" t="str">
        <f>_xlfn._xlws.FILTER(辅助信息!D:D,辅助信息!E:E=B1764)</f>
        <v>宜宾兴港三江新区长江工业园建设项目</v>
      </c>
    </row>
    <row r="1765" hidden="1" spans="2:18">
      <c r="B1765" s="41" t="s">
        <v>161</v>
      </c>
      <c r="C1765" s="71">
        <v>45819</v>
      </c>
      <c r="D1765" s="121" t="str">
        <f>VLOOKUP(B1765,辅助信息!E:K,7,FALSE)</f>
        <v>JWDD2025071500089</v>
      </c>
      <c r="E1765" s="121" t="str">
        <f>VLOOKUP(F1765,辅助信息!A:B,2,FALSE)</f>
        <v>螺纹钢</v>
      </c>
      <c r="F1765" s="41" t="s">
        <v>19</v>
      </c>
      <c r="G1765" s="37">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140</v>
      </c>
      <c r="Q1765" s="30" t="str">
        <f>VLOOKUP(B1765,辅助信息!E:M,9,FALSE)</f>
        <v>ZTWM-CDYXGS-XS-2025-0014-宜宾兴港建材-三江新区长江工业园片区保障性租赁住房建设项目</v>
      </c>
      <c r="R1765" s="30" t="str">
        <f>_xlfn._xlws.FILTER(辅助信息!D:D,辅助信息!E:E=B1765)</f>
        <v>宜宾兴港三江新区长江工业园建设项目</v>
      </c>
    </row>
    <row r="1766" hidden="1" spans="2:18">
      <c r="B1766" s="41" t="s">
        <v>161</v>
      </c>
      <c r="C1766" s="71">
        <v>45819</v>
      </c>
      <c r="D1766" s="121" t="str">
        <f>VLOOKUP(B1766,辅助信息!E:K,7,FALSE)</f>
        <v>JWDD2025071500089</v>
      </c>
      <c r="E1766" s="121" t="str">
        <f>VLOOKUP(F1766,辅助信息!A:B,2,FALSE)</f>
        <v>螺纹钢</v>
      </c>
      <c r="F1766" s="41" t="s">
        <v>30</v>
      </c>
      <c r="G1766" s="37">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140</v>
      </c>
      <c r="Q1766" s="30" t="str">
        <f>VLOOKUP(B1766,辅助信息!E:M,9,FALSE)</f>
        <v>ZTWM-CDYXGS-XS-2025-0014-宜宾兴港建材-三江新区长江工业园片区保障性租赁住房建设项目</v>
      </c>
      <c r="R1766" s="30" t="str">
        <f>_xlfn._xlws.FILTER(辅助信息!D:D,辅助信息!E:E=B1766)</f>
        <v>宜宾兴港三江新区长江工业园建设项目</v>
      </c>
    </row>
    <row r="1767" hidden="1" spans="2:18">
      <c r="B1767" s="41" t="s">
        <v>162</v>
      </c>
      <c r="C1767" s="71">
        <v>45819</v>
      </c>
      <c r="D1767" s="121" t="str">
        <f>VLOOKUP(B1767,辅助信息!E:K,7,FALSE)</f>
        <v>JWDD2025071500089</v>
      </c>
      <c r="E1767" s="121" t="str">
        <f>VLOOKUP(F1767,辅助信息!A:B,2,FALSE)</f>
        <v>盘螺</v>
      </c>
      <c r="F1767" s="41" t="s">
        <v>41</v>
      </c>
      <c r="G1767" s="37">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140</v>
      </c>
      <c r="Q1767" s="30" t="str">
        <f>VLOOKUP(B1767,辅助信息!E:M,9,FALSE)</f>
        <v>ZTWM-CDYXGS-XS-2025-0014-宜宾兴港建材-三江新区长江工业园片区保障性租赁住房建设项目</v>
      </c>
      <c r="R1767" s="30" t="str">
        <f>_xlfn._xlws.FILTER(辅助信息!D:D,辅助信息!E:E=B1767)</f>
        <v>宜宾兴港三江新区长江工业园建设项目</v>
      </c>
    </row>
    <row r="1768" hidden="1" spans="2:18">
      <c r="B1768" s="41" t="s">
        <v>162</v>
      </c>
      <c r="C1768" s="71">
        <v>45819</v>
      </c>
      <c r="D1768" s="121" t="str">
        <f>VLOOKUP(B1768,辅助信息!E:K,7,FALSE)</f>
        <v>JWDD2025071500089</v>
      </c>
      <c r="E1768" s="121" t="str">
        <f>VLOOKUP(F1768,辅助信息!A:B,2,FALSE)</f>
        <v>盘螺</v>
      </c>
      <c r="F1768" s="41" t="s">
        <v>26</v>
      </c>
      <c r="G1768" s="37">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140</v>
      </c>
      <c r="Q1768" s="30" t="str">
        <f>VLOOKUP(B1768,辅助信息!E:M,9,FALSE)</f>
        <v>ZTWM-CDYXGS-XS-2025-0014-宜宾兴港建材-三江新区长江工业园片区保障性租赁住房建设项目</v>
      </c>
      <c r="R1768" s="30"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140</v>
      </c>
      <c r="Q1769" s="30" t="str">
        <f>VLOOKUP(B1769,辅助信息!E:M,9,FALSE)</f>
        <v>ZTWM-CDYXGS-XS-2025-0014-宜宾兴港建材-三江新区长江工业园片区保障性租赁住房建设项目</v>
      </c>
      <c r="R1769" s="30"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140</v>
      </c>
      <c r="Q1770" s="30" t="str">
        <f>VLOOKUP(B1770,辅助信息!E:M,9,FALSE)</f>
        <v>ZTWM-CDGS-XS-2024-0030-华西集采-简州大道</v>
      </c>
      <c r="R1770" s="30"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140</v>
      </c>
      <c r="Q1771" s="30" t="str">
        <f>VLOOKUP(B1771,辅助信息!E:M,9,FALSE)</f>
        <v>ZTWM-CDGS-XS-2024-0030-华西集采-简州大道</v>
      </c>
      <c r="R1771" s="30"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140</v>
      </c>
      <c r="Q1772" s="30" t="str">
        <f>VLOOKUP(B1772,辅助信息!E:M,9,FALSE)</f>
        <v>ZTWM-CDGS-XS-2024-0030-华西集采-简州大道</v>
      </c>
      <c r="R1772" s="30"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140</v>
      </c>
      <c r="Q1773" s="30" t="str">
        <f>VLOOKUP(B1773,辅助信息!E:M,9,FALSE)</f>
        <v>ZTWM-CDGS-XS-2024-0030-华西集采-简州大道</v>
      </c>
      <c r="R1773" s="30"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140</v>
      </c>
      <c r="Q1774" s="30" t="str">
        <f>VLOOKUP(B1774,辅助信息!E:M,9,FALSE)</f>
        <v>ZTWM-CDYXGS-XS-2025-0014-宜宾兴港建材-三江新区长江工业园片区保障性租赁住房建设项目</v>
      </c>
      <c r="R1774" s="30"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140</v>
      </c>
      <c r="Q1775" s="30" t="str">
        <f>VLOOKUP(B1775,辅助信息!E:M,9,FALSE)</f>
        <v>ZTWM-CDYXGS-XS-2025-0014-宜宾兴港建材-三江新区长江工业园片区保障性租赁住房建设项目</v>
      </c>
      <c r="R1775" s="30"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140</v>
      </c>
      <c r="Q1776" s="30" t="str">
        <f>VLOOKUP(B1776,辅助信息!E:M,9,FALSE)</f>
        <v>ZTWM-CDYXGS-XS-2025-0014-宜宾兴港建材-三江新区长江工业园片区保障性租赁住房建设项目</v>
      </c>
      <c r="R1776" s="30"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140</v>
      </c>
      <c r="Q1777" s="30" t="str">
        <f>VLOOKUP(B1777,辅助信息!E:M,9,FALSE)</f>
        <v>ZTWM-CDYXGS-XS-2025-0014-宜宾兴港建材-三江新区长江工业园片区保障性租赁住房建设项目</v>
      </c>
      <c r="R1777" s="30"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140</v>
      </c>
      <c r="Q1778" s="30" t="str">
        <f>VLOOKUP(B1778,辅助信息!E:M,9,FALSE)</f>
        <v>ZTWM-CDYXGS-XS-2025-0014-宜宾兴港建材-三江新区长江工业园片区保障性租赁住房建设项目</v>
      </c>
      <c r="R1778" s="30"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140</v>
      </c>
      <c r="Q1779" s="30" t="str">
        <f>VLOOKUP(B1779,辅助信息!E:M,9,FALSE)</f>
        <v>ZTWM-CDYXGS-XS-2025-0014-宜宾兴港建材-三江新区长江工业园片区保障性租赁住房建设项目</v>
      </c>
      <c r="R1779" s="30"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140</v>
      </c>
      <c r="Q1780" s="30" t="str">
        <f>VLOOKUP(B1780,辅助信息!E:M,9,FALSE)</f>
        <v>ZTWM-CDYXGS-XS-2025-0014-宜宾兴港建材-三江新区长江工业园片区保障性租赁住房建设项目</v>
      </c>
      <c r="R1780" s="30" t="str">
        <f>_xlfn._xlws.FILTER(辅助信息!D:D,辅助信息!E:E=B1780)</f>
        <v>宜宾兴港三江新区长江工业园建设项目</v>
      </c>
    </row>
    <row r="1781" hidden="1" spans="2:18">
      <c r="B1781" s="41" t="s">
        <v>150</v>
      </c>
      <c r="C1781" s="71">
        <v>45820</v>
      </c>
      <c r="D1781" s="121" t="str">
        <f>VLOOKUP(B1781,辅助信息!E:K,7,FALSE)</f>
        <v>JWDDCD2025050800101</v>
      </c>
      <c r="E1781" s="121" t="str">
        <f>VLOOKUP(F1781,辅助信息!A:B,2,FALSE)</f>
        <v>盘螺</v>
      </c>
      <c r="F1781" s="41" t="s">
        <v>41</v>
      </c>
      <c r="G1781" s="37">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137</v>
      </c>
      <c r="Q1781" s="30" t="str">
        <f>VLOOKUP(B1781,辅助信息!E:M,9,FALSE)</f>
        <v>ZTWM-CDGS-XS-2025-0050-中铁科研院-宜宾泥溪项目</v>
      </c>
      <c r="R1781" s="30" t="str">
        <f>_xlfn._xlws.FILTER(辅助信息!D:D,辅助信息!E:E=B1781)</f>
        <v>中铁科研院宜宾泥溪项目</v>
      </c>
    </row>
    <row r="1782" hidden="1" spans="2:18">
      <c r="B1782" s="41" t="s">
        <v>150</v>
      </c>
      <c r="C1782" s="71">
        <v>45820</v>
      </c>
      <c r="D1782" s="121" t="str">
        <f>VLOOKUP(B1782,辅助信息!E:K,7,FALSE)</f>
        <v>JWDDCD2025050800101</v>
      </c>
      <c r="E1782" s="121" t="str">
        <f>VLOOKUP(F1782,辅助信息!A:B,2,FALSE)</f>
        <v>盘螺</v>
      </c>
      <c r="F1782" s="41" t="s">
        <v>26</v>
      </c>
      <c r="G1782" s="37">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137</v>
      </c>
      <c r="Q1782" s="30" t="str">
        <f>VLOOKUP(B1782,辅助信息!E:M,9,FALSE)</f>
        <v>ZTWM-CDGS-XS-2025-0050-中铁科研院-宜宾泥溪项目</v>
      </c>
      <c r="R1782" s="30" t="str">
        <f>_xlfn._xlws.FILTER(辅助信息!D:D,辅助信息!E:E=B1782)</f>
        <v>中铁科研院宜宾泥溪项目</v>
      </c>
    </row>
    <row r="1783" hidden="1" spans="2:18">
      <c r="B1783" s="41" t="s">
        <v>150</v>
      </c>
      <c r="C1783" s="71">
        <v>45820</v>
      </c>
      <c r="D1783" s="121" t="str">
        <f>VLOOKUP(B1783,辅助信息!E:K,7,FALSE)</f>
        <v>JWDDCD2025050800101</v>
      </c>
      <c r="E1783" s="121" t="str">
        <f>VLOOKUP(F1783,辅助信息!A:B,2,FALSE)</f>
        <v>螺纹钢</v>
      </c>
      <c r="F1783" s="41" t="s">
        <v>65</v>
      </c>
      <c r="G1783" s="37">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137</v>
      </c>
      <c r="Q1783" s="30" t="str">
        <f>VLOOKUP(B1783,辅助信息!E:M,9,FALSE)</f>
        <v>ZTWM-CDGS-XS-2025-0050-中铁科研院-宜宾泥溪项目</v>
      </c>
      <c r="R1783" s="30" t="str">
        <f>_xlfn._xlws.FILTER(辅助信息!D:D,辅助信息!E:E=B1783)</f>
        <v>中铁科研院宜宾泥溪项目</v>
      </c>
    </row>
    <row r="1784" hidden="1" spans="2:18">
      <c r="B1784" s="41" t="s">
        <v>147</v>
      </c>
      <c r="C1784" s="71">
        <v>45820</v>
      </c>
      <c r="D1784" s="121" t="str">
        <f>VLOOKUP(B1784,辅助信息!E:K,7,FALSE)</f>
        <v>JWDDCD2025052800131</v>
      </c>
      <c r="E1784" s="121" t="str">
        <f>VLOOKUP(F1784,辅助信息!A:B,2,FALSE)</f>
        <v>高线</v>
      </c>
      <c r="F1784" s="41" t="s">
        <v>57</v>
      </c>
      <c r="G1784" s="37">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137</v>
      </c>
      <c r="Q1784" s="30" t="str">
        <f>VLOOKUP(B1784,辅助信息!E:M,9,FALSE)</f>
        <v>ZTWM-CDGS-XS-2024-0134-商投建工达州中医药科技成果示范园项目</v>
      </c>
      <c r="R1784" s="30" t="str">
        <f>_xlfn._xlws.FILTER(辅助信息!D:D,辅助信息!E:E=B1784)</f>
        <v>商投建工达州中医药科技园</v>
      </c>
    </row>
    <row r="1785" hidden="1" spans="2:18">
      <c r="B1785" s="41" t="s">
        <v>147</v>
      </c>
      <c r="C1785" s="71">
        <v>45820</v>
      </c>
      <c r="D1785" s="121" t="str">
        <f>VLOOKUP(B1785,辅助信息!E:K,7,FALSE)</f>
        <v>JWDDCD2025052800131</v>
      </c>
      <c r="E1785" s="121" t="str">
        <f>VLOOKUP(F1785,辅助信息!A:B,2,FALSE)</f>
        <v>螺纹钢</v>
      </c>
      <c r="F1785" s="41" t="s">
        <v>27</v>
      </c>
      <c r="G1785" s="37">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137</v>
      </c>
      <c r="Q1785" s="30" t="str">
        <f>VLOOKUP(B1785,辅助信息!E:M,9,FALSE)</f>
        <v>ZTWM-CDGS-XS-2024-0134-商投建工达州中医药科技成果示范园项目</v>
      </c>
      <c r="R1785" s="30" t="str">
        <f>_xlfn._xlws.FILTER(辅助信息!D:D,辅助信息!E:E=B1785)</f>
        <v>商投建工达州中医药科技园</v>
      </c>
    </row>
    <row r="1786" hidden="1" spans="2:18">
      <c r="B1786" s="41" t="s">
        <v>147</v>
      </c>
      <c r="C1786" s="71">
        <v>45820</v>
      </c>
      <c r="D1786" s="121" t="str">
        <f>VLOOKUP(B1786,辅助信息!E:K,7,FALSE)</f>
        <v>JWDDCD2025052800131</v>
      </c>
      <c r="E1786" s="121" t="str">
        <f>VLOOKUP(F1786,辅助信息!A:B,2,FALSE)</f>
        <v>螺纹钢</v>
      </c>
      <c r="F1786" s="41" t="s">
        <v>32</v>
      </c>
      <c r="G1786" s="37">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137</v>
      </c>
      <c r="Q1786" s="30" t="str">
        <f>VLOOKUP(B1786,辅助信息!E:M,9,FALSE)</f>
        <v>ZTWM-CDGS-XS-2024-0134-商投建工达州中医药科技成果示范园项目</v>
      </c>
      <c r="R1786" s="30" t="str">
        <f>_xlfn._xlws.FILTER(辅助信息!D:D,辅助信息!E:E=B1786)</f>
        <v>商投建工达州中医药科技园</v>
      </c>
    </row>
    <row r="1787" hidden="1" spans="2:18">
      <c r="B1787" s="41" t="s">
        <v>147</v>
      </c>
      <c r="C1787" s="71">
        <v>45820</v>
      </c>
      <c r="D1787" s="121" t="str">
        <f>VLOOKUP(B1787,辅助信息!E:K,7,FALSE)</f>
        <v>JWDDCD2025052800131</v>
      </c>
      <c r="E1787" s="121" t="str">
        <f>VLOOKUP(F1787,辅助信息!A:B,2,FALSE)</f>
        <v>螺纹钢</v>
      </c>
      <c r="F1787" s="41" t="s">
        <v>30</v>
      </c>
      <c r="G1787" s="37">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137</v>
      </c>
      <c r="Q1787" s="30" t="str">
        <f>VLOOKUP(B1787,辅助信息!E:M,9,FALSE)</f>
        <v>ZTWM-CDGS-XS-2024-0134-商投建工达州中医药科技成果示范园项目</v>
      </c>
      <c r="R1787" s="30" t="str">
        <f>_xlfn._xlws.FILTER(辅助信息!D:D,辅助信息!E:E=B1787)</f>
        <v>商投建工达州中医药科技园</v>
      </c>
    </row>
    <row r="1788" hidden="1" spans="2:18">
      <c r="B1788" s="41" t="s">
        <v>147</v>
      </c>
      <c r="C1788" s="71">
        <v>45820</v>
      </c>
      <c r="D1788" s="121" t="str">
        <f>VLOOKUP(B1788,辅助信息!E:K,7,FALSE)</f>
        <v>JWDDCD2025052800131</v>
      </c>
      <c r="E1788" s="121" t="str">
        <f>VLOOKUP(F1788,辅助信息!A:B,2,FALSE)</f>
        <v>螺纹钢</v>
      </c>
      <c r="F1788" s="41" t="s">
        <v>33</v>
      </c>
      <c r="G1788" s="37">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137</v>
      </c>
      <c r="Q1788" s="30" t="str">
        <f>VLOOKUP(B1788,辅助信息!E:M,9,FALSE)</f>
        <v>ZTWM-CDGS-XS-2024-0134-商投建工达州中医药科技成果示范园项目</v>
      </c>
      <c r="R1788" s="30" t="str">
        <f>_xlfn._xlws.FILTER(辅助信息!D:D,辅助信息!E:E=B1788)</f>
        <v>商投建工达州中医药科技园</v>
      </c>
    </row>
    <row r="1789" hidden="1" spans="2:18">
      <c r="B1789" s="41" t="s">
        <v>147</v>
      </c>
      <c r="C1789" s="71">
        <v>45820</v>
      </c>
      <c r="D1789" s="121" t="str">
        <f>VLOOKUP(B1789,辅助信息!E:K,7,FALSE)</f>
        <v>JWDDCD2025052800131</v>
      </c>
      <c r="E1789" s="121" t="str">
        <f>VLOOKUP(F1789,辅助信息!A:B,2,FALSE)</f>
        <v>螺纹钢</v>
      </c>
      <c r="F1789" s="41" t="s">
        <v>28</v>
      </c>
      <c r="G1789" s="37">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137</v>
      </c>
      <c r="Q1789" s="30" t="str">
        <f>VLOOKUP(B1789,辅助信息!E:M,9,FALSE)</f>
        <v>ZTWM-CDGS-XS-2024-0134-商投建工达州中医药科技成果示范园项目</v>
      </c>
      <c r="R1789" s="30" t="str">
        <f>_xlfn._xlws.FILTER(辅助信息!D:D,辅助信息!E:E=B1789)</f>
        <v>商投建工达州中医药科技园</v>
      </c>
    </row>
    <row r="1790" hidden="1" spans="2:18">
      <c r="B1790" s="41" t="s">
        <v>147</v>
      </c>
      <c r="C1790" s="71">
        <v>45820</v>
      </c>
      <c r="D1790" s="121" t="str">
        <f>VLOOKUP(B1790,辅助信息!E:K,7,FALSE)</f>
        <v>JWDDCD2025052800131</v>
      </c>
      <c r="E1790" s="121" t="str">
        <f>VLOOKUP(F1790,辅助信息!A:B,2,FALSE)</f>
        <v>螺纹钢</v>
      </c>
      <c r="F1790" s="41" t="s">
        <v>18</v>
      </c>
      <c r="G1790" s="37">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137</v>
      </c>
      <c r="Q1790" s="30" t="str">
        <f>VLOOKUP(B1790,辅助信息!E:M,9,FALSE)</f>
        <v>ZTWM-CDGS-XS-2024-0134-商投建工达州中医药科技成果示范园项目</v>
      </c>
      <c r="R1790" s="30" t="str">
        <f>_xlfn._xlws.FILTER(辅助信息!D:D,辅助信息!E:E=B1790)</f>
        <v>商投建工达州中医药科技园</v>
      </c>
    </row>
    <row r="1791" hidden="1" spans="2:17">
      <c r="B1791" s="41" t="s">
        <v>163</v>
      </c>
      <c r="C1791" s="71">
        <v>45820</v>
      </c>
      <c r="D1791" s="121" t="str">
        <f>VLOOKUP(B1791,辅助信息!E:K,7,FALSE)</f>
        <v>JWDDCD2025052800131</v>
      </c>
      <c r="E1791" s="121" t="str">
        <f>VLOOKUP(F1791,辅助信息!A:B,2,FALSE)</f>
        <v>盘螺</v>
      </c>
      <c r="F1791" s="41" t="s">
        <v>40</v>
      </c>
      <c r="G1791" s="37">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137</v>
      </c>
      <c r="Q1791" s="30" t="str">
        <f>VLOOKUP(B1791,辅助信息!E:M,9,FALSE)</f>
        <v>ZTWM-CDGS-XS-2024-0134-商投建工达州中医药科技成果示范园项目</v>
      </c>
    </row>
    <row r="1792" hidden="1" spans="2:17">
      <c r="B1792" s="41" t="s">
        <v>163</v>
      </c>
      <c r="C1792" s="71">
        <v>45820</v>
      </c>
      <c r="D1792" s="121" t="str">
        <f>VLOOKUP(B1792,辅助信息!E:K,7,FALSE)</f>
        <v>JWDDCD2025052800131</v>
      </c>
      <c r="E1792" s="121" t="str">
        <f>VLOOKUP(F1792,辅助信息!A:B,2,FALSE)</f>
        <v>盘螺</v>
      </c>
      <c r="F1792" s="41" t="s">
        <v>41</v>
      </c>
      <c r="G1792" s="37">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137</v>
      </c>
      <c r="Q1792" s="30" t="str">
        <f>VLOOKUP(B1792,辅助信息!E:M,9,FALSE)</f>
        <v>ZTWM-CDGS-XS-2024-0134-商投建工达州中医药科技成果示范园项目</v>
      </c>
    </row>
    <row r="1793" hidden="1" spans="2:17">
      <c r="B1793" s="41" t="s">
        <v>163</v>
      </c>
      <c r="C1793" s="71">
        <v>45820</v>
      </c>
      <c r="D1793" s="121" t="str">
        <f>VLOOKUP(B1793,辅助信息!E:K,7,FALSE)</f>
        <v>JWDDCD2025052800131</v>
      </c>
      <c r="E1793" s="121" t="str">
        <f>VLOOKUP(F1793,辅助信息!A:B,2,FALSE)</f>
        <v>螺纹钢</v>
      </c>
      <c r="F1793" s="41" t="s">
        <v>27</v>
      </c>
      <c r="G1793" s="37">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137</v>
      </c>
      <c r="Q1793" s="30" t="str">
        <f>VLOOKUP(B1793,辅助信息!E:M,9,FALSE)</f>
        <v>ZTWM-CDGS-XS-2024-0134-商投建工达州中医药科技成果示范园项目</v>
      </c>
    </row>
    <row r="1794" hidden="1" spans="2:17">
      <c r="B1794" s="41" t="s">
        <v>163</v>
      </c>
      <c r="C1794" s="71">
        <v>45820</v>
      </c>
      <c r="D1794" s="121" t="str">
        <f>VLOOKUP(B1794,辅助信息!E:K,7,FALSE)</f>
        <v>JWDDCD2025052800131</v>
      </c>
      <c r="E1794" s="121" t="str">
        <f>VLOOKUP(F1794,辅助信息!A:B,2,FALSE)</f>
        <v>螺纹钢</v>
      </c>
      <c r="F1794" s="41" t="s">
        <v>32</v>
      </c>
      <c r="G1794" s="37">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137</v>
      </c>
      <c r="Q1794" s="30" t="str">
        <f>VLOOKUP(B1794,辅助信息!E:M,9,FALSE)</f>
        <v>ZTWM-CDGS-XS-2024-0134-商投建工达州中医药科技成果示范园项目</v>
      </c>
    </row>
    <row r="1795" hidden="1" spans="2:17">
      <c r="B1795" s="41" t="s">
        <v>163</v>
      </c>
      <c r="C1795" s="71">
        <v>45820</v>
      </c>
      <c r="D1795" s="121" t="str">
        <f>VLOOKUP(B1795,辅助信息!E:K,7,FALSE)</f>
        <v>JWDDCD2025052800131</v>
      </c>
      <c r="E1795" s="121" t="str">
        <f>VLOOKUP(F1795,辅助信息!A:B,2,FALSE)</f>
        <v>螺纹钢</v>
      </c>
      <c r="F1795" s="41" t="s">
        <v>30</v>
      </c>
      <c r="G1795" s="37">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137</v>
      </c>
      <c r="Q1795" s="30" t="str">
        <f>VLOOKUP(B1795,辅助信息!E:M,9,FALSE)</f>
        <v>ZTWM-CDGS-XS-2024-0134-商投建工达州中医药科技成果示范园项目</v>
      </c>
    </row>
    <row r="1796" hidden="1" spans="2:17">
      <c r="B1796" s="41" t="s">
        <v>163</v>
      </c>
      <c r="C1796" s="71">
        <v>45820</v>
      </c>
      <c r="D1796" s="121" t="str">
        <f>VLOOKUP(B1796,辅助信息!E:K,7,FALSE)</f>
        <v>JWDDCD2025052800131</v>
      </c>
      <c r="E1796" s="121" t="str">
        <f>VLOOKUP(F1796,辅助信息!A:B,2,FALSE)</f>
        <v>螺纹钢</v>
      </c>
      <c r="F1796" s="41" t="s">
        <v>33</v>
      </c>
      <c r="G1796" s="37">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137</v>
      </c>
      <c r="Q1796" s="30" t="str">
        <f>VLOOKUP(B1796,辅助信息!E:M,9,FALSE)</f>
        <v>ZTWM-CDGS-XS-2024-0134-商投建工达州中医药科技成果示范园项目</v>
      </c>
    </row>
    <row r="1797" hidden="1" spans="2:17">
      <c r="B1797" s="41" t="s">
        <v>163</v>
      </c>
      <c r="C1797" s="71">
        <v>45820</v>
      </c>
      <c r="D1797" s="121" t="str">
        <f>VLOOKUP(B1797,辅助信息!E:K,7,FALSE)</f>
        <v>JWDDCD2025052800131</v>
      </c>
      <c r="E1797" s="121" t="str">
        <f>VLOOKUP(F1797,辅助信息!A:B,2,FALSE)</f>
        <v>螺纹钢</v>
      </c>
      <c r="F1797" s="41" t="s">
        <v>28</v>
      </c>
      <c r="G1797" s="37">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137</v>
      </c>
      <c r="Q1797" s="30" t="str">
        <f>VLOOKUP(B1797,辅助信息!E:M,9,FALSE)</f>
        <v>ZTWM-CDGS-XS-2024-0134-商投建工达州中医药科技成果示范园项目</v>
      </c>
    </row>
    <row r="1798" hidden="1" spans="2:17">
      <c r="B1798" s="41" t="s">
        <v>163</v>
      </c>
      <c r="C1798" s="71">
        <v>45820</v>
      </c>
      <c r="D1798" s="121" t="str">
        <f>VLOOKUP(B1798,辅助信息!E:K,7,FALSE)</f>
        <v>JWDDCD2025052800131</v>
      </c>
      <c r="E1798" s="121" t="str">
        <f>VLOOKUP(F1798,辅助信息!A:B,2,FALSE)</f>
        <v>螺纹钢</v>
      </c>
      <c r="F1798" s="41" t="s">
        <v>18</v>
      </c>
      <c r="G1798" s="37">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137</v>
      </c>
      <c r="Q1798" s="30" t="str">
        <f>VLOOKUP(B1798,辅助信息!E:M,9,FALSE)</f>
        <v>ZTWM-CDGS-XS-2024-0134-商投建工达州中医药科技成果示范园项目</v>
      </c>
    </row>
    <row r="1799" hidden="1" spans="1:17">
      <c r="A1799" s="83" t="s">
        <v>164</v>
      </c>
      <c r="B1799" s="41" t="s">
        <v>81</v>
      </c>
      <c r="C1799" s="71">
        <v>45820</v>
      </c>
      <c r="D1799" s="121" t="str">
        <f>VLOOKUP(B1799,辅助信息!E:K,7,FALSE)</f>
        <v>JWDDCD2025060900080</v>
      </c>
      <c r="E1799" s="121" t="str">
        <f>VLOOKUP(F1799,辅助信息!A:B,2,FALSE)</f>
        <v>盘螺</v>
      </c>
      <c r="F1799" s="41" t="s">
        <v>40</v>
      </c>
      <c r="G1799" s="37">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137</v>
      </c>
      <c r="Q1799" s="30" t="str">
        <f>VLOOKUP(B1799,辅助信息!E:M,9,FALSE)</f>
        <v>ZTWM-CDGS-XS-2024-0030-华西集采-简州大道</v>
      </c>
    </row>
    <row r="1800" hidden="1" spans="1:17">
      <c r="A1800" s="83"/>
      <c r="B1800" s="41" t="s">
        <v>81</v>
      </c>
      <c r="C1800" s="71">
        <v>45820</v>
      </c>
      <c r="D1800" s="121" t="str">
        <f>VLOOKUP(B1800,辅助信息!E:K,7,FALSE)</f>
        <v>JWDDCD2025060900080</v>
      </c>
      <c r="E1800" s="121" t="str">
        <f>VLOOKUP(F1800,辅助信息!A:B,2,FALSE)</f>
        <v>盘螺</v>
      </c>
      <c r="F1800" s="41" t="s">
        <v>41</v>
      </c>
      <c r="G1800" s="37">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137</v>
      </c>
      <c r="Q1800" s="30" t="str">
        <f>VLOOKUP(B1800,辅助信息!E:M,9,FALSE)</f>
        <v>ZTWM-CDGS-XS-2024-0030-华西集采-简州大道</v>
      </c>
    </row>
    <row r="1801" hidden="1" spans="1:17">
      <c r="A1801" s="83"/>
      <c r="B1801" s="41" t="s">
        <v>81</v>
      </c>
      <c r="C1801" s="71">
        <v>45820</v>
      </c>
      <c r="D1801" s="121" t="str">
        <f>VLOOKUP(B1801,辅助信息!E:K,7,FALSE)</f>
        <v>JWDDCD2025060900080</v>
      </c>
      <c r="E1801" s="121" t="str">
        <f>VLOOKUP(F1801,辅助信息!A:B,2,FALSE)</f>
        <v>盘螺</v>
      </c>
      <c r="F1801" s="41" t="s">
        <v>26</v>
      </c>
      <c r="G1801" s="37">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137</v>
      </c>
      <c r="Q1801" s="30" t="str">
        <f>VLOOKUP(B1801,辅助信息!E:M,9,FALSE)</f>
        <v>ZTWM-CDGS-XS-2024-0030-华西集采-简州大道</v>
      </c>
    </row>
    <row r="1802" hidden="1" spans="2:17">
      <c r="B1802" s="41" t="s">
        <v>81</v>
      </c>
      <c r="C1802" s="71">
        <v>45820</v>
      </c>
      <c r="D1802" s="121" t="str">
        <f>VLOOKUP(B1802,辅助信息!E:K,7,FALSE)</f>
        <v>JWDDCD2025060900080</v>
      </c>
      <c r="E1802" s="121" t="str">
        <f>VLOOKUP(F1802,辅助信息!A:B,2,FALSE)</f>
        <v>螺纹钢</v>
      </c>
      <c r="F1802" s="41" t="s">
        <v>19</v>
      </c>
      <c r="G1802" s="37">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137</v>
      </c>
      <c r="Q1802" s="30" t="str">
        <f>VLOOKUP(B1802,辅助信息!E:M,9,FALSE)</f>
        <v>ZTWM-CDGS-XS-2024-0030-华西集采-简州大道</v>
      </c>
    </row>
    <row r="1803" hidden="1" spans="2:17">
      <c r="B1803" s="41" t="s">
        <v>81</v>
      </c>
      <c r="C1803" s="71">
        <v>45820</v>
      </c>
      <c r="D1803" s="121" t="str">
        <f>VLOOKUP(B1803,辅助信息!E:K,7,FALSE)</f>
        <v>JWDDCD2025060900080</v>
      </c>
      <c r="E1803" s="121" t="str">
        <f>VLOOKUP(F1803,辅助信息!A:B,2,FALSE)</f>
        <v>螺纹钢</v>
      </c>
      <c r="F1803" s="41" t="s">
        <v>32</v>
      </c>
      <c r="G1803" s="37">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137</v>
      </c>
      <c r="Q1803" s="30" t="str">
        <f>VLOOKUP(B1803,辅助信息!E:M,9,FALSE)</f>
        <v>ZTWM-CDGS-XS-2024-0030-华西集采-简州大道</v>
      </c>
    </row>
    <row r="1804" hidden="1" spans="2:17">
      <c r="B1804" s="41" t="s">
        <v>81</v>
      </c>
      <c r="C1804" s="71">
        <v>45820</v>
      </c>
      <c r="D1804" s="121" t="str">
        <f>VLOOKUP(B1804,辅助信息!E:K,7,FALSE)</f>
        <v>JWDDCD2025060900080</v>
      </c>
      <c r="E1804" s="121" t="str">
        <f>VLOOKUP(F1804,辅助信息!A:B,2,FALSE)</f>
        <v>螺纹钢</v>
      </c>
      <c r="F1804" s="41" t="s">
        <v>30</v>
      </c>
      <c r="G1804" s="37">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137</v>
      </c>
      <c r="Q1804" s="30" t="str">
        <f>VLOOKUP(B1804,辅助信息!E:M,9,FALSE)</f>
        <v>ZTWM-CDGS-XS-2024-0030-华西集采-简州大道</v>
      </c>
    </row>
    <row r="1805" hidden="1" spans="2:17">
      <c r="B1805" s="41" t="s">
        <v>81</v>
      </c>
      <c r="C1805" s="71">
        <v>45820</v>
      </c>
      <c r="D1805" s="121" t="str">
        <f>VLOOKUP(B1805,辅助信息!E:K,7,FALSE)</f>
        <v>JWDDCD2025060900080</v>
      </c>
      <c r="E1805" s="121" t="str">
        <f>VLOOKUP(F1805,辅助信息!A:B,2,FALSE)</f>
        <v>螺纹钢</v>
      </c>
      <c r="F1805" s="41" t="s">
        <v>33</v>
      </c>
      <c r="G1805" s="37">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137</v>
      </c>
      <c r="Q1805" s="30" t="str">
        <f>VLOOKUP(B1805,辅助信息!E:M,9,FALSE)</f>
        <v>ZTWM-CDGS-XS-2024-0030-华西集采-简州大道</v>
      </c>
    </row>
    <row r="1806" hidden="1" spans="1:17">
      <c r="A1806" s="83" t="s">
        <v>165</v>
      </c>
      <c r="B1806" s="41" t="s">
        <v>81</v>
      </c>
      <c r="C1806" s="71">
        <v>45820</v>
      </c>
      <c r="D1806" s="121" t="str">
        <f>VLOOKUP(B1806,辅助信息!E:K,7,FALSE)</f>
        <v>JWDDCD2025060900080</v>
      </c>
      <c r="E1806" s="121" t="str">
        <f>VLOOKUP(F1806,辅助信息!A:B,2,FALSE)</f>
        <v>螺纹钢</v>
      </c>
      <c r="F1806" s="41" t="s">
        <v>45</v>
      </c>
      <c r="G1806" s="37">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137</v>
      </c>
      <c r="Q1806" s="30" t="str">
        <f>VLOOKUP(B1806,辅助信息!E:M,9,FALSE)</f>
        <v>ZTWM-CDGS-XS-2024-0030-华西集采-简州大道</v>
      </c>
    </row>
    <row r="1807" hidden="1" spans="1:17">
      <c r="A1807" s="83"/>
      <c r="B1807" s="41" t="s">
        <v>81</v>
      </c>
      <c r="C1807" s="71">
        <v>45820</v>
      </c>
      <c r="D1807" s="121" t="str">
        <f>VLOOKUP(B1807,辅助信息!E:K,7,FALSE)</f>
        <v>JWDDCD2025060900080</v>
      </c>
      <c r="E1807" s="121" t="str">
        <f>VLOOKUP(F1807,辅助信息!A:B,2,FALSE)</f>
        <v>螺纹钢</v>
      </c>
      <c r="F1807" s="41" t="s">
        <v>21</v>
      </c>
      <c r="G1807" s="37">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137</v>
      </c>
      <c r="Q1807" s="30" t="str">
        <f>VLOOKUP(B1807,辅助信息!E:M,9,FALSE)</f>
        <v>ZTWM-CDGS-XS-2024-0030-华西集采-简州大道</v>
      </c>
    </row>
    <row r="1808" hidden="1" spans="1:17">
      <c r="A1808" s="83"/>
      <c r="B1808" s="41" t="s">
        <v>81</v>
      </c>
      <c r="C1808" s="71">
        <v>45820</v>
      </c>
      <c r="D1808" s="121" t="str">
        <f>VLOOKUP(B1808,辅助信息!E:K,7,FALSE)</f>
        <v>JWDDCD2025060900080</v>
      </c>
      <c r="E1808" s="121" t="str">
        <f>VLOOKUP(F1808,辅助信息!A:B,2,FALSE)</f>
        <v>螺纹钢</v>
      </c>
      <c r="F1808" s="41" t="s">
        <v>58</v>
      </c>
      <c r="G1808" s="37">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137</v>
      </c>
      <c r="Q1808" s="30" t="str">
        <f>VLOOKUP(B1808,辅助信息!E:M,9,FALSE)</f>
        <v>ZTWM-CDGS-XS-2024-0030-华西集采-简州大道</v>
      </c>
    </row>
    <row r="1809" hidden="1" spans="1:17">
      <c r="A1809" s="83"/>
      <c r="B1809" s="41" t="s">
        <v>81</v>
      </c>
      <c r="C1809" s="71">
        <v>45820</v>
      </c>
      <c r="D1809" s="121" t="str">
        <f>VLOOKUP(B1809,辅助信息!E:K,7,FALSE)</f>
        <v>JWDDCD2025060900080</v>
      </c>
      <c r="E1809" s="121" t="str">
        <f>VLOOKUP(F1809,辅助信息!A:B,2,FALSE)</f>
        <v>螺纹钢</v>
      </c>
      <c r="F1809" s="41" t="s">
        <v>46</v>
      </c>
      <c r="G1809" s="37">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137</v>
      </c>
      <c r="Q1809" s="30" t="str">
        <f>VLOOKUP(B1809,辅助信息!E:M,9,FALSE)</f>
        <v>ZTWM-CDGS-XS-2024-0030-华西集采-简州大道</v>
      </c>
    </row>
    <row r="1810" hidden="1" spans="1:17">
      <c r="A1810" s="83"/>
      <c r="B1810" s="41" t="s">
        <v>81</v>
      </c>
      <c r="C1810" s="71">
        <v>45820</v>
      </c>
      <c r="D1810" s="121" t="str">
        <f>VLOOKUP(B1810,辅助信息!E:K,7,FALSE)</f>
        <v>JWDDCD2025060900080</v>
      </c>
      <c r="E1810" s="121" t="str">
        <f>VLOOKUP(F1810,辅助信息!A:B,2,FALSE)</f>
        <v>螺纹钢</v>
      </c>
      <c r="F1810" s="41" t="s">
        <v>22</v>
      </c>
      <c r="G1810" s="37">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137</v>
      </c>
      <c r="Q1810" s="30" t="str">
        <f>VLOOKUP(B1810,辅助信息!E:M,9,FALSE)</f>
        <v>ZTWM-CDGS-XS-2024-0030-华西集采-简州大道</v>
      </c>
    </row>
    <row r="1811" hidden="1" spans="1:18">
      <c r="A1811" s="72" t="s">
        <v>100</v>
      </c>
      <c r="B1811" s="41" t="s">
        <v>106</v>
      </c>
      <c r="C1811" s="71">
        <v>45821</v>
      </c>
      <c r="D1811" s="121" t="str">
        <f>VLOOKUP(B1811,辅助信息!E:K,7,FALSE)</f>
        <v>JWDDCD2024101600133</v>
      </c>
      <c r="E1811" s="121" t="str">
        <f>VLOOKUP(F1811,辅助信息!A:B,2,FALSE)</f>
        <v>盘螺</v>
      </c>
      <c r="F1811" s="41" t="s">
        <v>40</v>
      </c>
      <c r="G1811" s="37">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140</v>
      </c>
      <c r="Q1811" s="30" t="str">
        <f>VLOOKUP(B1811,辅助信息!E:M,9,FALSE)</f>
        <v>ZTWM-CDGS-XS-2024-0169-中冶西部钢构-宜宾市南溪区幸福路东路,高县月江镇建设项目</v>
      </c>
      <c r="R1811" s="30"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140</v>
      </c>
      <c r="Q1812" s="30" t="str">
        <f>VLOOKUP(B1812,辅助信息!E:M,9,FALSE)</f>
        <v>ZTWM-CDYXGS-XS-2025-0014-宜宾兴港建材-三江新区长江工业园片区保障性租赁住房建设项目</v>
      </c>
      <c r="R1812" s="30"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140</v>
      </c>
      <c r="Q1813" s="30" t="str">
        <f>VLOOKUP(B1813,辅助信息!E:M,9,FALSE)</f>
        <v>ZTWM-CDYXGS-XS-2025-0014-宜宾兴港建材-三江新区长江工业园片区保障性租赁住房建设项目</v>
      </c>
      <c r="R1813" s="30"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140</v>
      </c>
      <c r="Q1814" s="30" t="str">
        <f>VLOOKUP(B1814,辅助信息!E:M,9,FALSE)</f>
        <v>ZTWM-CDYXGS-XS-2025-0014-宜宾兴港建材-三江新区长江工业园片区保障性租赁住房建设项目</v>
      </c>
      <c r="R1814" s="30"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140</v>
      </c>
      <c r="Q1815" s="30" t="str">
        <f>VLOOKUP(B1815,辅助信息!E:M,9,FALSE)</f>
        <v>ZTWM-CDYXGS-XS-2025-0014-宜宾兴港建材-三江新区长江工业园片区保障性租赁住房建设项目</v>
      </c>
      <c r="R1815" s="30"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140</v>
      </c>
      <c r="Q1816" s="30" t="str">
        <f>VLOOKUP(B1816,辅助信息!E:M,9,FALSE)</f>
        <v>ZTWM-CDYXGS-XS-2025-0014-宜宾兴港建材-三江新区长江工业园片区保障性租赁住房建设项目</v>
      </c>
      <c r="R1816" s="30"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140</v>
      </c>
      <c r="Q1817" s="30" t="str">
        <f>VLOOKUP(B1817,辅助信息!E:M,9,FALSE)</f>
        <v>ZTWM-CDYXGS-XS-2025-0014-宜宾兴港建材-三江新区长江工业园片区保障性租赁住房建设项目</v>
      </c>
      <c r="R1817" s="30"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140</v>
      </c>
      <c r="Q1818" s="30" t="str">
        <f>VLOOKUP(B1818,辅助信息!E:M,9,FALSE)</f>
        <v>ZTWM-CDYXGS-XS-2025-0014-宜宾兴港建材-三江新区长江工业园片区保障性租赁住房建设项目</v>
      </c>
      <c r="R1818" s="30"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137</v>
      </c>
      <c r="Q1819" s="30" t="str">
        <f>VLOOKUP(B1819,辅助信息!E:M,9,FALSE)</f>
        <v>ZTWM-CDGS-XS-2024-0134-商投建工达州中医药科技成果示范园项目</v>
      </c>
      <c r="R1819" s="30"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137</v>
      </c>
      <c r="Q1820" s="30" t="str">
        <f>VLOOKUP(B1820,辅助信息!E:M,9,FALSE)</f>
        <v>ZTWM-CDGS-XS-2024-0134-商投建工达州中医药科技成果示范园项目</v>
      </c>
      <c r="R1820" s="30"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137</v>
      </c>
      <c r="Q1821" s="30" t="str">
        <f>VLOOKUP(B1821,辅助信息!E:M,9,FALSE)</f>
        <v>ZTWM-CDGS-XS-2024-0134-商投建工达州中医药科技成果示范园项目</v>
      </c>
      <c r="R1821" s="30"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137</v>
      </c>
      <c r="Q1822" s="30" t="str">
        <f>VLOOKUP(B1822,辅助信息!E:M,9,FALSE)</f>
        <v>ZTWM-CDGS-XS-2024-0134-商投建工达州中医药科技成果示范园项目</v>
      </c>
      <c r="R1822" s="30"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137</v>
      </c>
      <c r="Q1823" s="30" t="str">
        <f>VLOOKUP(B1823,辅助信息!E:M,9,FALSE)</f>
        <v>ZTWM-CDGS-XS-2024-0134-商投建工达州中医药科技成果示范园项目</v>
      </c>
      <c r="R1823" s="30"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137</v>
      </c>
      <c r="Q1824" s="30"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137</v>
      </c>
      <c r="Q1825" s="30"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137</v>
      </c>
      <c r="Q1826" s="30"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137</v>
      </c>
      <c r="Q1827" s="30"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137</v>
      </c>
      <c r="Q1828" s="30"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137</v>
      </c>
      <c r="Q1829" s="30"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140</v>
      </c>
      <c r="Q1830" s="30" t="str">
        <f>VLOOKUP(B1830,辅助信息!E:M,9,FALSE)</f>
        <v>ZTWM-CDYXGS-XS-2025-0014-宜宾兴港建材-三江新区长江工业园片区保障性租赁住房建设项目</v>
      </c>
      <c r="R1830" s="30"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140</v>
      </c>
      <c r="Q1831" s="30" t="str">
        <f>VLOOKUP(B1831,辅助信息!E:M,9,FALSE)</f>
        <v>ZTWM-CDYXGS-XS-2025-0014-宜宾兴港建材-三江新区长江工业园片区保障性租赁住房建设项目</v>
      </c>
      <c r="R1831" s="30"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137</v>
      </c>
      <c r="Q1832" s="30" t="str">
        <f>VLOOKUP(B1832,辅助信息!E:M,9,FALSE)</f>
        <v>ZTWM-CDGS-XS-2024-0030-华西集采-简州大道</v>
      </c>
      <c r="R1832" s="30"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137</v>
      </c>
      <c r="Q1833" s="30" t="str">
        <f>VLOOKUP(B1833,辅助信息!E:M,9,FALSE)</f>
        <v>ZTWM-CDGS-XS-2024-0030-华西集采-简州大道</v>
      </c>
      <c r="R1833" s="30" t="str">
        <f>_xlfn._xlws.FILTER(辅助信息!D:D,辅助信息!E:E=B1833)</f>
        <v>华西简阳西城嘉苑</v>
      </c>
    </row>
    <row r="1834" hidden="1" spans="1:18">
      <c r="A1834" s="83" t="s">
        <v>166</v>
      </c>
      <c r="B1834" s="41" t="s">
        <v>167</v>
      </c>
      <c r="C1834" s="71">
        <v>45824</v>
      </c>
      <c r="D1834" s="121" t="str">
        <f>VLOOKUP(B1834,辅助信息!E:K,7,FALSE)</f>
        <v>JWDDCD2025102100473</v>
      </c>
      <c r="E1834" s="121" t="str">
        <f>VLOOKUP(F1834,辅助信息!A:B,2,FALSE)</f>
        <v>盘螺</v>
      </c>
      <c r="F1834" s="41" t="s">
        <v>40</v>
      </c>
      <c r="G1834" s="37">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131</v>
      </c>
      <c r="Q1834" s="30" t="str">
        <f>VLOOKUP(B1834,辅助信息!E:M,9,FALSE)</f>
        <v>ZTWM-CDGS-XS-2025-0073-五冶天府-成都怡心湖片区及龙泉驿医院等项目</v>
      </c>
      <c r="R1834" s="30" t="str">
        <f>_xlfn._xlws.FILTER(辅助信息!D:D,辅助信息!E:E=B1834)</f>
        <v>五冶建设扩建艺体中学二期工程</v>
      </c>
    </row>
    <row r="1835" hidden="1" spans="1:18">
      <c r="A1835" s="83"/>
      <c r="B1835" s="41" t="s">
        <v>167</v>
      </c>
      <c r="C1835" s="71">
        <v>45824</v>
      </c>
      <c r="D1835" s="121" t="str">
        <f>VLOOKUP(B1835,辅助信息!E:K,7,FALSE)</f>
        <v>JWDDCD2025102100473</v>
      </c>
      <c r="E1835" s="121" t="str">
        <f>VLOOKUP(F1835,辅助信息!A:B,2,FALSE)</f>
        <v>盘螺</v>
      </c>
      <c r="F1835" s="41" t="s">
        <v>41</v>
      </c>
      <c r="G1835" s="37">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131</v>
      </c>
      <c r="Q1835" s="30" t="str">
        <f>VLOOKUP(B1835,辅助信息!E:M,9,FALSE)</f>
        <v>ZTWM-CDGS-XS-2025-0073-五冶天府-成都怡心湖片区及龙泉驿医院等项目</v>
      </c>
      <c r="R1835" s="30" t="str">
        <f>_xlfn._xlws.FILTER(辅助信息!D:D,辅助信息!E:E=B1835)</f>
        <v>五冶建设扩建艺体中学二期工程</v>
      </c>
    </row>
    <row r="1836" hidden="1" spans="1:18">
      <c r="A1836" s="83"/>
      <c r="B1836" s="41" t="s">
        <v>167</v>
      </c>
      <c r="C1836" s="71">
        <v>45824</v>
      </c>
      <c r="D1836" s="121" t="str">
        <f>VLOOKUP(B1836,辅助信息!E:K,7,FALSE)</f>
        <v>JWDDCD2025102100473</v>
      </c>
      <c r="E1836" s="121" t="str">
        <f>VLOOKUP(F1836,辅助信息!A:B,2,FALSE)</f>
        <v>螺纹钢</v>
      </c>
      <c r="F1836" s="41" t="s">
        <v>27</v>
      </c>
      <c r="G1836" s="37">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131</v>
      </c>
      <c r="Q1836" s="30" t="str">
        <f>VLOOKUP(B1836,辅助信息!E:M,9,FALSE)</f>
        <v>ZTWM-CDGS-XS-2025-0073-五冶天府-成都怡心湖片区及龙泉驿医院等项目</v>
      </c>
      <c r="R1836" s="30" t="str">
        <f>_xlfn._xlws.FILTER(辅助信息!D:D,辅助信息!E:E=B1836)</f>
        <v>五冶建设扩建艺体中学二期工程</v>
      </c>
    </row>
    <row r="1837" hidden="1" spans="1:18">
      <c r="A1837" s="83"/>
      <c r="B1837" s="41" t="s">
        <v>167</v>
      </c>
      <c r="C1837" s="71">
        <v>45824</v>
      </c>
      <c r="D1837" s="121" t="str">
        <f>VLOOKUP(B1837,辅助信息!E:K,7,FALSE)</f>
        <v>JWDDCD2025102100473</v>
      </c>
      <c r="E1837" s="121" t="str">
        <f>VLOOKUP(F1837,辅助信息!A:B,2,FALSE)</f>
        <v>螺纹钢</v>
      </c>
      <c r="F1837" s="41" t="s">
        <v>19</v>
      </c>
      <c r="G1837" s="37">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131</v>
      </c>
      <c r="Q1837" s="30" t="str">
        <f>VLOOKUP(B1837,辅助信息!E:M,9,FALSE)</f>
        <v>ZTWM-CDGS-XS-2025-0073-五冶天府-成都怡心湖片区及龙泉驿医院等项目</v>
      </c>
      <c r="R1837" s="30" t="str">
        <f>_xlfn._xlws.FILTER(辅助信息!D:D,辅助信息!E:E=B1837)</f>
        <v>五冶建设扩建艺体中学二期工程</v>
      </c>
    </row>
    <row r="1838" hidden="1" spans="1:18">
      <c r="A1838" s="83"/>
      <c r="B1838" s="41" t="s">
        <v>167</v>
      </c>
      <c r="C1838" s="71">
        <v>45824</v>
      </c>
      <c r="D1838" s="121" t="str">
        <f>VLOOKUP(B1838,辅助信息!E:K,7,FALSE)</f>
        <v>JWDDCD2025102100473</v>
      </c>
      <c r="E1838" s="121" t="str">
        <f>VLOOKUP(F1838,辅助信息!A:B,2,FALSE)</f>
        <v>螺纹钢</v>
      </c>
      <c r="F1838" s="41" t="s">
        <v>32</v>
      </c>
      <c r="G1838" s="37">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131</v>
      </c>
      <c r="Q1838" s="30" t="str">
        <f>VLOOKUP(B1838,辅助信息!E:M,9,FALSE)</f>
        <v>ZTWM-CDGS-XS-2025-0073-五冶天府-成都怡心湖片区及龙泉驿医院等项目</v>
      </c>
      <c r="R1838" s="30" t="str">
        <f>_xlfn._xlws.FILTER(辅助信息!D:D,辅助信息!E:E=B1838)</f>
        <v>五冶建设扩建艺体中学二期工程</v>
      </c>
    </row>
    <row r="1839" hidden="1" spans="1:18">
      <c r="A1839" s="83"/>
      <c r="B1839" s="41" t="s">
        <v>167</v>
      </c>
      <c r="C1839" s="71">
        <v>45824</v>
      </c>
      <c r="D1839" s="121" t="str">
        <f>VLOOKUP(B1839,辅助信息!E:K,7,FALSE)</f>
        <v>JWDDCD2025102100473</v>
      </c>
      <c r="E1839" s="121" t="str">
        <f>VLOOKUP(F1839,辅助信息!A:B,2,FALSE)</f>
        <v>螺纹钢</v>
      </c>
      <c r="F1839" s="41" t="s">
        <v>30</v>
      </c>
      <c r="G1839" s="37">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131</v>
      </c>
      <c r="Q1839" s="30" t="str">
        <f>VLOOKUP(B1839,辅助信息!E:M,9,FALSE)</f>
        <v>ZTWM-CDGS-XS-2025-0073-五冶天府-成都怡心湖片区及龙泉驿医院等项目</v>
      </c>
      <c r="R1839" s="30" t="str">
        <f>_xlfn._xlws.FILTER(辅助信息!D:D,辅助信息!E:E=B1839)</f>
        <v>五冶建设扩建艺体中学二期工程</v>
      </c>
    </row>
    <row r="1840" hidden="1" spans="1:18">
      <c r="A1840" s="83"/>
      <c r="B1840" s="41" t="s">
        <v>167</v>
      </c>
      <c r="C1840" s="71">
        <v>45824</v>
      </c>
      <c r="D1840" s="121" t="str">
        <f>VLOOKUP(B1840,辅助信息!E:K,7,FALSE)</f>
        <v>JWDDCD2025102100473</v>
      </c>
      <c r="E1840" s="121" t="str">
        <f>VLOOKUP(F1840,辅助信息!A:B,2,FALSE)</f>
        <v>螺纹钢</v>
      </c>
      <c r="F1840" s="41" t="s">
        <v>33</v>
      </c>
      <c r="G1840" s="37">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131</v>
      </c>
      <c r="Q1840" s="30" t="str">
        <f>VLOOKUP(B1840,辅助信息!E:M,9,FALSE)</f>
        <v>ZTWM-CDGS-XS-2025-0073-五冶天府-成都怡心湖片区及龙泉驿医院等项目</v>
      </c>
      <c r="R1840" s="30" t="str">
        <f>_xlfn._xlws.FILTER(辅助信息!D:D,辅助信息!E:E=B1840)</f>
        <v>五冶建设扩建艺体中学二期工程</v>
      </c>
    </row>
    <row r="1841" hidden="1" spans="1:18">
      <c r="A1841" s="83"/>
      <c r="B1841" s="41" t="s">
        <v>167</v>
      </c>
      <c r="C1841" s="71">
        <v>45824</v>
      </c>
      <c r="D1841" s="121" t="str">
        <f>VLOOKUP(B1841,辅助信息!E:K,7,FALSE)</f>
        <v>JWDDCD2025102100473</v>
      </c>
      <c r="E1841" s="121" t="str">
        <f>VLOOKUP(F1841,辅助信息!A:B,2,FALSE)</f>
        <v>螺纹钢</v>
      </c>
      <c r="F1841" s="41" t="s">
        <v>28</v>
      </c>
      <c r="G1841" s="37">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131</v>
      </c>
      <c r="Q1841" s="30" t="str">
        <f>VLOOKUP(B1841,辅助信息!E:M,9,FALSE)</f>
        <v>ZTWM-CDGS-XS-2025-0073-五冶天府-成都怡心湖片区及龙泉驿医院等项目</v>
      </c>
      <c r="R1841" s="30" t="str">
        <f>_xlfn._xlws.FILTER(辅助信息!D:D,辅助信息!E:E=B1841)</f>
        <v>五冶建设扩建艺体中学二期工程</v>
      </c>
    </row>
    <row r="1842" hidden="1" spans="1:18">
      <c r="A1842" s="83"/>
      <c r="B1842" s="41" t="s">
        <v>167</v>
      </c>
      <c r="C1842" s="71">
        <v>45824</v>
      </c>
      <c r="D1842" s="121" t="str">
        <f>VLOOKUP(B1842,辅助信息!E:K,7,FALSE)</f>
        <v>JWDDCD2025102100473</v>
      </c>
      <c r="E1842" s="121" t="str">
        <f>VLOOKUP(F1842,辅助信息!A:B,2,FALSE)</f>
        <v>螺纹钢</v>
      </c>
      <c r="F1842" s="41" t="s">
        <v>18</v>
      </c>
      <c r="G1842" s="37">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131</v>
      </c>
      <c r="Q1842" s="30" t="str">
        <f>VLOOKUP(B1842,辅助信息!E:M,9,FALSE)</f>
        <v>ZTWM-CDGS-XS-2025-0073-五冶天府-成都怡心湖片区及龙泉驿医院等项目</v>
      </c>
      <c r="R1842" s="30" t="str">
        <f>_xlfn._xlws.FILTER(辅助信息!D:D,辅助信息!E:E=B1842)</f>
        <v>五冶建设扩建艺体中学二期工程</v>
      </c>
    </row>
    <row r="1843" hidden="1" spans="1:18">
      <c r="A1843" s="83" t="s">
        <v>168</v>
      </c>
      <c r="B1843" s="41" t="s">
        <v>169</v>
      </c>
      <c r="C1843" s="71">
        <v>45824</v>
      </c>
      <c r="D1843" s="121" t="str">
        <f>VLOOKUP(B1843,辅助信息!E:K,7,FALSE)</f>
        <v>JWDDCD2025051800044</v>
      </c>
      <c r="E1843" s="121" t="str">
        <f>VLOOKUP(F1843,辅助信息!A:B,2,FALSE)</f>
        <v>高线</v>
      </c>
      <c r="F1843" s="41" t="s">
        <v>51</v>
      </c>
      <c r="G1843" s="37">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131</v>
      </c>
      <c r="Q1843" s="30" t="str">
        <f>VLOOKUP(B1843,辅助信息!E:M,9,FALSE)</f>
        <v>ZTWM-CDGS-XS-2025-0073-五冶天府-成都怡心湖片区及龙泉驿医院等项目</v>
      </c>
      <c r="R1843" s="30" t="str">
        <f>_xlfn._xlws.FILTER(辅助信息!D:D,辅助信息!E:E=B1843)</f>
        <v>五冶建设龙泉芙蓉花语项目</v>
      </c>
    </row>
    <row r="1844" hidden="1" spans="1:18">
      <c r="A1844" s="83"/>
      <c r="B1844" s="41" t="s">
        <v>169</v>
      </c>
      <c r="C1844" s="71">
        <v>45824</v>
      </c>
      <c r="D1844" s="121" t="str">
        <f>VLOOKUP(B1844,辅助信息!E:K,7,FALSE)</f>
        <v>JWDDCD2025051800044</v>
      </c>
      <c r="E1844" s="121" t="str">
        <f>VLOOKUP(F1844,辅助信息!A:B,2,FALSE)</f>
        <v>螺纹钢</v>
      </c>
      <c r="F1844" s="41" t="s">
        <v>28</v>
      </c>
      <c r="G1844" s="37">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131</v>
      </c>
      <c r="Q1844" s="30" t="str">
        <f>VLOOKUP(B1844,辅助信息!E:M,9,FALSE)</f>
        <v>ZTWM-CDGS-XS-2025-0073-五冶天府-成都怡心湖片区及龙泉驿医院等项目</v>
      </c>
      <c r="R1844" s="30"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140</v>
      </c>
      <c r="Q1845" s="30" t="str">
        <f>VLOOKUP(B1845,辅助信息!E:M,9,FALSE)</f>
        <v>ZTWM-CDYXGS-XS-2025-0014-宜宾兴港建材-三江新区长江工业园片区保障性租赁住房建设项目</v>
      </c>
      <c r="R1845" s="30"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140</v>
      </c>
      <c r="Q1846" s="30" t="str">
        <f>VLOOKUP(B1846,辅助信息!E:M,9,FALSE)</f>
        <v>ZTWM-CDYXGS-XS-2025-0014-宜宾兴港建材-三江新区长江工业园片区保障性租赁住房建设项目</v>
      </c>
      <c r="R1846" s="30"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131</v>
      </c>
      <c r="Q1847" s="30" t="str">
        <f>VLOOKUP(B1847,辅助信息!E:M,9,FALSE)</f>
        <v>ZTWM-CDGS-XS-2025-0073-五冶天府-成都怡心湖片区及龙泉驿医院等项目</v>
      </c>
      <c r="R1847" s="30"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131</v>
      </c>
      <c r="Q1848" s="30" t="str">
        <f>VLOOKUP(B1848,辅助信息!E:M,9,FALSE)</f>
        <v>ZTWM-CDGS-XS-2025-0073-五冶天府-成都怡心湖片区及龙泉驿医院等项目</v>
      </c>
      <c r="R1848" s="30"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131</v>
      </c>
      <c r="Q1849" s="30" t="str">
        <f>VLOOKUP(B1849,辅助信息!E:M,9,FALSE)</f>
        <v>ZTWM-CDGS-XS-2025-0073-五冶天府-成都怡心湖片区及龙泉驿医院等项目</v>
      </c>
      <c r="R1849" s="30"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131</v>
      </c>
      <c r="Q1850" s="30" t="str">
        <f>VLOOKUP(B1850,辅助信息!E:M,9,FALSE)</f>
        <v>ZTWM-CDGS-XS-2025-0073-五冶天府-成都怡心湖片区及龙泉驿医院等项目</v>
      </c>
      <c r="R1850" s="30"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131</v>
      </c>
      <c r="Q1851" s="30" t="str">
        <f>VLOOKUP(B1851,辅助信息!E:M,9,FALSE)</f>
        <v>ZTWM-CDGS-XS-2025-0073-五冶天府-成都怡心湖片区及龙泉驿医院等项目</v>
      </c>
      <c r="R1851" s="30"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131</v>
      </c>
      <c r="Q1852" s="30" t="str">
        <f>VLOOKUP(B1852,辅助信息!E:M,9,FALSE)</f>
        <v>ZTWM-CDGS-XS-2025-0073-五冶天府-成都怡心湖片区及龙泉驿医院等项目</v>
      </c>
      <c r="R1852" s="30"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131</v>
      </c>
      <c r="Q1853" s="30" t="str">
        <f>VLOOKUP(B1853,辅助信息!E:M,9,FALSE)</f>
        <v>ZTWM-CDGS-XS-2025-0073-五冶天府-成都怡心湖片区及龙泉驿医院等项目</v>
      </c>
      <c r="R1853" s="30"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131</v>
      </c>
      <c r="Q1854" s="30" t="str">
        <f>VLOOKUP(B1854,辅助信息!E:M,9,FALSE)</f>
        <v>ZTWM-CDGS-XS-2025-0073-五冶天府-成都怡心湖片区及龙泉驿医院等项目</v>
      </c>
      <c r="R1854" s="30"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131</v>
      </c>
      <c r="Q1855" s="30" t="str">
        <f>VLOOKUP(B1855,辅助信息!E:M,9,FALSE)</f>
        <v>ZTWM-CDGS-XS-2025-0073-五冶天府-成都怡心湖片区及龙泉驿医院等项目</v>
      </c>
      <c r="R1855" s="30" t="str">
        <f>_xlfn._xlws.FILTER(辅助信息!D:D,辅助信息!E:E=B1855)</f>
        <v>五冶建设扩建艺体中学二期工程</v>
      </c>
    </row>
    <row r="1856" hidden="1" spans="2:18">
      <c r="B1856" s="41" t="s">
        <v>92</v>
      </c>
      <c r="C1856" s="71">
        <v>45825</v>
      </c>
      <c r="D1856" s="121" t="str">
        <f>VLOOKUP(B1856,辅助信息!E:K,7,FALSE)</f>
        <v>JWDDCD2025051800046</v>
      </c>
      <c r="E1856" s="121" t="str">
        <f>VLOOKUP(F1856,辅助信息!A:B,2,FALSE)</f>
        <v>盘螺</v>
      </c>
      <c r="F1856" s="41" t="s">
        <v>40</v>
      </c>
      <c r="G1856" s="37">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131</v>
      </c>
      <c r="Q1856" s="30" t="str">
        <f>VLOOKUP(B1856,辅助信息!E:M,9,FALSE)</f>
        <v>ZTWM-CDGS-XS-2024-0092-华西-萌海科创农业生态谷</v>
      </c>
      <c r="R1856" s="30" t="str">
        <f>_xlfn._xlws.FILTER(辅助信息!D:D,辅助信息!E:E=B1856)</f>
        <v>华西萌海-科创农业生态谷</v>
      </c>
    </row>
    <row r="1857" hidden="1" spans="2:18">
      <c r="B1857" s="41" t="s">
        <v>92</v>
      </c>
      <c r="C1857" s="71">
        <v>45825</v>
      </c>
      <c r="D1857" s="121" t="str">
        <f>VLOOKUP(B1857,辅助信息!E:K,7,FALSE)</f>
        <v>JWDDCD2025051800046</v>
      </c>
      <c r="E1857" s="121" t="str">
        <f>VLOOKUP(F1857,辅助信息!A:B,2,FALSE)</f>
        <v>盘螺</v>
      </c>
      <c r="F1857" s="41" t="s">
        <v>41</v>
      </c>
      <c r="G1857" s="37">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131</v>
      </c>
      <c r="Q1857" s="30" t="str">
        <f>VLOOKUP(B1857,辅助信息!E:M,9,FALSE)</f>
        <v>ZTWM-CDGS-XS-2024-0092-华西-萌海科创农业生态谷</v>
      </c>
      <c r="R1857" s="30" t="str">
        <f>_xlfn._xlws.FILTER(辅助信息!D:D,辅助信息!E:E=B1857)</f>
        <v>华西萌海-科创农业生态谷</v>
      </c>
    </row>
    <row r="1858" hidden="1" spans="2:18">
      <c r="B1858" s="41" t="s">
        <v>92</v>
      </c>
      <c r="C1858" s="71">
        <v>45825</v>
      </c>
      <c r="D1858" s="121" t="str">
        <f>VLOOKUP(B1858,辅助信息!E:K,7,FALSE)</f>
        <v>JWDDCD2025051800046</v>
      </c>
      <c r="E1858" s="121" t="str">
        <f>VLOOKUP(F1858,辅助信息!A:B,2,FALSE)</f>
        <v>盘螺</v>
      </c>
      <c r="F1858" s="41" t="s">
        <v>26</v>
      </c>
      <c r="G1858" s="37">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131</v>
      </c>
      <c r="Q1858" s="30" t="str">
        <f>VLOOKUP(B1858,辅助信息!E:M,9,FALSE)</f>
        <v>ZTWM-CDGS-XS-2024-0092-华西-萌海科创农业生态谷</v>
      </c>
      <c r="R1858" s="30" t="str">
        <f>_xlfn._xlws.FILTER(辅助信息!D:D,辅助信息!E:E=B1858)</f>
        <v>华西萌海-科创农业生态谷</v>
      </c>
    </row>
    <row r="1859" hidden="1" spans="2:18">
      <c r="B1859" s="41" t="s">
        <v>92</v>
      </c>
      <c r="C1859" s="71">
        <v>45825</v>
      </c>
      <c r="D1859" s="121" t="str">
        <f>VLOOKUP(B1859,辅助信息!E:K,7,FALSE)</f>
        <v>JWDDCD2025051800046</v>
      </c>
      <c r="E1859" s="121" t="str">
        <f>VLOOKUP(F1859,辅助信息!A:B,2,FALSE)</f>
        <v>螺纹钢</v>
      </c>
      <c r="F1859" s="41" t="s">
        <v>27</v>
      </c>
      <c r="G1859" s="37">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131</v>
      </c>
      <c r="Q1859" s="30" t="str">
        <f>VLOOKUP(B1859,辅助信息!E:M,9,FALSE)</f>
        <v>ZTWM-CDGS-XS-2024-0092-华西-萌海科创农业生态谷</v>
      </c>
      <c r="R1859" s="30" t="str">
        <f>_xlfn._xlws.FILTER(辅助信息!D:D,辅助信息!E:E=B1859)</f>
        <v>华西萌海-科创农业生态谷</v>
      </c>
    </row>
    <row r="1860" hidden="1" spans="2:18">
      <c r="B1860" s="41" t="s">
        <v>92</v>
      </c>
      <c r="C1860" s="71">
        <v>45825</v>
      </c>
      <c r="D1860" s="121" t="str">
        <f>VLOOKUP(B1860,辅助信息!E:K,7,FALSE)</f>
        <v>JWDDCD2025051800046</v>
      </c>
      <c r="E1860" s="121" t="str">
        <f>VLOOKUP(F1860,辅助信息!A:B,2,FALSE)</f>
        <v>螺纹钢</v>
      </c>
      <c r="F1860" s="41" t="s">
        <v>19</v>
      </c>
      <c r="G1860" s="37">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131</v>
      </c>
      <c r="Q1860" s="30" t="str">
        <f>VLOOKUP(B1860,辅助信息!E:M,9,FALSE)</f>
        <v>ZTWM-CDGS-XS-2024-0092-华西-萌海科创农业生态谷</v>
      </c>
      <c r="R1860" s="30" t="str">
        <f>_xlfn._xlws.FILTER(辅助信息!D:D,辅助信息!E:E=B1860)</f>
        <v>华西萌海-科创农业生态谷</v>
      </c>
    </row>
    <row r="1861" hidden="1" spans="2:18">
      <c r="B1861" s="41" t="s">
        <v>92</v>
      </c>
      <c r="C1861" s="71">
        <v>45825</v>
      </c>
      <c r="D1861" s="121" t="str">
        <f>VLOOKUP(B1861,辅助信息!E:K,7,FALSE)</f>
        <v>JWDDCD2025051800046</v>
      </c>
      <c r="E1861" s="121" t="str">
        <f>VLOOKUP(F1861,辅助信息!A:B,2,FALSE)</f>
        <v>螺纹钢</v>
      </c>
      <c r="F1861" s="41" t="s">
        <v>32</v>
      </c>
      <c r="G1861" s="37">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131</v>
      </c>
      <c r="Q1861" s="30" t="str">
        <f>VLOOKUP(B1861,辅助信息!E:M,9,FALSE)</f>
        <v>ZTWM-CDGS-XS-2024-0092-华西-萌海科创农业生态谷</v>
      </c>
      <c r="R1861" s="30" t="str">
        <f>_xlfn._xlws.FILTER(辅助信息!D:D,辅助信息!E:E=B1861)</f>
        <v>华西萌海-科创农业生态谷</v>
      </c>
    </row>
    <row r="1862" hidden="1" spans="2:18">
      <c r="B1862" s="41" t="s">
        <v>92</v>
      </c>
      <c r="C1862" s="71">
        <v>45825</v>
      </c>
      <c r="D1862" s="121" t="str">
        <f>VLOOKUP(B1862,辅助信息!E:K,7,FALSE)</f>
        <v>JWDDCD2025051800046</v>
      </c>
      <c r="E1862" s="121" t="str">
        <f>VLOOKUP(F1862,辅助信息!A:B,2,FALSE)</f>
        <v>螺纹钢</v>
      </c>
      <c r="F1862" s="41" t="s">
        <v>33</v>
      </c>
      <c r="G1862" s="37">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131</v>
      </c>
      <c r="Q1862" s="30" t="str">
        <f>VLOOKUP(B1862,辅助信息!E:M,9,FALSE)</f>
        <v>ZTWM-CDGS-XS-2024-0092-华西-萌海科创农业生态谷</v>
      </c>
      <c r="R1862" s="30" t="str">
        <f>_xlfn._xlws.FILTER(辅助信息!D:D,辅助信息!E:E=B1862)</f>
        <v>华西萌海-科创农业生态谷</v>
      </c>
    </row>
    <row r="1863" hidden="1" spans="2:18">
      <c r="B1863" s="41" t="s">
        <v>92</v>
      </c>
      <c r="C1863" s="71">
        <v>45825</v>
      </c>
      <c r="D1863" s="121" t="str">
        <f>VLOOKUP(B1863,辅助信息!E:K,7,FALSE)</f>
        <v>JWDDCD2025051800046</v>
      </c>
      <c r="E1863" s="121" t="str">
        <f>VLOOKUP(F1863,辅助信息!A:B,2,FALSE)</f>
        <v>螺纹钢</v>
      </c>
      <c r="F1863" s="41" t="s">
        <v>28</v>
      </c>
      <c r="G1863" s="37">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131</v>
      </c>
      <c r="Q1863" s="30" t="str">
        <f>VLOOKUP(B1863,辅助信息!E:M,9,FALSE)</f>
        <v>ZTWM-CDGS-XS-2024-0092-华西-萌海科创农业生态谷</v>
      </c>
      <c r="R1863" s="30" t="str">
        <f>_xlfn._xlws.FILTER(辅助信息!D:D,辅助信息!E:E=B1863)</f>
        <v>华西萌海-科创农业生态谷</v>
      </c>
    </row>
    <row r="1864" hidden="1" spans="2:18">
      <c r="B1864" s="41" t="s">
        <v>92</v>
      </c>
      <c r="C1864" s="71">
        <v>45825</v>
      </c>
      <c r="D1864" s="121" t="str">
        <f>VLOOKUP(B1864,辅助信息!E:K,7,FALSE)</f>
        <v>JWDDCD2025051800046</v>
      </c>
      <c r="E1864" s="121" t="str">
        <f>VLOOKUP(F1864,辅助信息!A:B,2,FALSE)</f>
        <v>螺纹钢</v>
      </c>
      <c r="F1864" s="41" t="s">
        <v>65</v>
      </c>
      <c r="G1864" s="37">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131</v>
      </c>
      <c r="Q1864" s="30" t="str">
        <f>VLOOKUP(B1864,辅助信息!E:M,9,FALSE)</f>
        <v>ZTWM-CDGS-XS-2024-0092-华西-萌海科创农业生态谷</v>
      </c>
      <c r="R1864" s="30" t="str">
        <f>_xlfn._xlws.FILTER(辅助信息!D:D,辅助信息!E:E=B1864)</f>
        <v>华西萌海-科创农业生态谷</v>
      </c>
    </row>
    <row r="1865" hidden="1" spans="2:18">
      <c r="B1865" s="41" t="s">
        <v>92</v>
      </c>
      <c r="C1865" s="71">
        <v>45825</v>
      </c>
      <c r="D1865" s="121" t="str">
        <f>VLOOKUP(B1865,辅助信息!E:K,7,FALSE)</f>
        <v>JWDDCD2025051800046</v>
      </c>
      <c r="E1865" s="121" t="str">
        <f>VLOOKUP(F1865,辅助信息!A:B,2,FALSE)</f>
        <v>螺纹钢</v>
      </c>
      <c r="F1865" s="41" t="s">
        <v>58</v>
      </c>
      <c r="G1865" s="37">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131</v>
      </c>
      <c r="Q1865" s="30" t="str">
        <f>VLOOKUP(B1865,辅助信息!E:M,9,FALSE)</f>
        <v>ZTWM-CDGS-XS-2024-0092-华西-萌海科创农业生态谷</v>
      </c>
      <c r="R1865" s="30" t="str">
        <f>_xlfn._xlws.FILTER(辅助信息!D:D,辅助信息!E:E=B1865)</f>
        <v>华西萌海-科创农业生态谷</v>
      </c>
    </row>
    <row r="1866" hidden="1" spans="2:18">
      <c r="B1866" s="41" t="s">
        <v>92</v>
      </c>
      <c r="C1866" s="71">
        <v>45825</v>
      </c>
      <c r="D1866" s="121" t="str">
        <f>VLOOKUP(B1866,辅助信息!E:K,7,FALSE)</f>
        <v>JWDDCD2025051800046</v>
      </c>
      <c r="E1866" s="121" t="str">
        <f>VLOOKUP(F1866,辅助信息!A:B,2,FALSE)</f>
        <v>螺纹钢</v>
      </c>
      <c r="F1866" s="41" t="s">
        <v>46</v>
      </c>
      <c r="G1866" s="37">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131</v>
      </c>
      <c r="Q1866" s="30" t="str">
        <f>VLOOKUP(B1866,辅助信息!E:M,9,FALSE)</f>
        <v>ZTWM-CDGS-XS-2024-0092-华西-萌海科创农业生态谷</v>
      </c>
      <c r="R1866" s="30" t="str">
        <f>_xlfn._xlws.FILTER(辅助信息!D:D,辅助信息!E:E=B1866)</f>
        <v>华西萌海-科创农业生态谷</v>
      </c>
    </row>
    <row r="1867" hidden="1" spans="2:18">
      <c r="B1867" s="41" t="s">
        <v>92</v>
      </c>
      <c r="C1867" s="71">
        <v>45825</v>
      </c>
      <c r="D1867" s="121" t="str">
        <f>VLOOKUP(B1867,辅助信息!E:K,7,FALSE)</f>
        <v>JWDDCD2025051800046</v>
      </c>
      <c r="E1867" s="121" t="str">
        <f>VLOOKUP(F1867,辅助信息!A:B,2,FALSE)</f>
        <v>螺纹钢</v>
      </c>
      <c r="F1867" s="41" t="s">
        <v>22</v>
      </c>
      <c r="G1867" s="37">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131</v>
      </c>
      <c r="Q1867" s="30" t="str">
        <f>VLOOKUP(B1867,辅助信息!E:M,9,FALSE)</f>
        <v>ZTWM-CDGS-XS-2024-0092-华西-萌海科创农业生态谷</v>
      </c>
      <c r="R1867" s="30" t="str">
        <f>_xlfn._xlws.FILTER(辅助信息!D:D,辅助信息!E:E=B1867)</f>
        <v>华西萌海-科创农业生态谷</v>
      </c>
    </row>
    <row r="1868" hidden="1" spans="2:18">
      <c r="B1868" s="41" t="s">
        <v>162</v>
      </c>
      <c r="C1868" s="71">
        <v>45825</v>
      </c>
      <c r="D1868" s="121" t="str">
        <f>VLOOKUP(B1868,辅助信息!E:K,7,FALSE)</f>
        <v>JWDD2025071500089</v>
      </c>
      <c r="E1868" s="121" t="str">
        <f>VLOOKUP(F1868,辅助信息!A:B,2,FALSE)</f>
        <v>高线</v>
      </c>
      <c r="F1868" s="41" t="s">
        <v>53</v>
      </c>
      <c r="G1868" s="37">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131</v>
      </c>
      <c r="Q1868" s="30" t="str">
        <f>VLOOKUP(B1868,辅助信息!E:M,9,FALSE)</f>
        <v>ZTWM-CDYXGS-XS-2025-0014-宜宾兴港建材-三江新区长江工业园片区保障性租赁住房建设项目</v>
      </c>
      <c r="R1868" s="30" t="str">
        <f>_xlfn._xlws.FILTER(辅助信息!D:D,辅助信息!E:E=B1868)</f>
        <v>宜宾兴港三江新区长江工业园建设项目</v>
      </c>
    </row>
    <row r="1869" hidden="1" spans="2:18">
      <c r="B1869" s="41" t="s">
        <v>162</v>
      </c>
      <c r="C1869" s="71">
        <v>45825</v>
      </c>
      <c r="D1869" s="121" t="str">
        <f>VLOOKUP(B1869,辅助信息!E:K,7,FALSE)</f>
        <v>JWDD2025071500089</v>
      </c>
      <c r="E1869" s="121" t="str">
        <f>VLOOKUP(F1869,辅助信息!A:B,2,FALSE)</f>
        <v>螺纹钢</v>
      </c>
      <c r="F1869" s="41" t="s">
        <v>32</v>
      </c>
      <c r="G1869" s="37">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131</v>
      </c>
      <c r="Q1869" s="30" t="str">
        <f>VLOOKUP(B1869,辅助信息!E:M,9,FALSE)</f>
        <v>ZTWM-CDYXGS-XS-2025-0014-宜宾兴港建材-三江新区长江工业园片区保障性租赁住房建设项目</v>
      </c>
      <c r="R1869" s="30" t="str">
        <f>_xlfn._xlws.FILTER(辅助信息!D:D,辅助信息!E:E=B1869)</f>
        <v>宜宾兴港三江新区长江工业园建设项目</v>
      </c>
    </row>
    <row r="1870" hidden="1" spans="2:18">
      <c r="B1870" s="41" t="s">
        <v>162</v>
      </c>
      <c r="C1870" s="71">
        <v>45825</v>
      </c>
      <c r="D1870" s="121" t="str">
        <f>VLOOKUP(B1870,辅助信息!E:K,7,FALSE)</f>
        <v>JWDD2025071500089</v>
      </c>
      <c r="E1870" s="121" t="str">
        <f>VLOOKUP(F1870,辅助信息!A:B,2,FALSE)</f>
        <v>螺纹钢</v>
      </c>
      <c r="F1870" s="41" t="s">
        <v>30</v>
      </c>
      <c r="G1870" s="37">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131</v>
      </c>
      <c r="Q1870" s="30" t="str">
        <f>VLOOKUP(B1870,辅助信息!E:M,9,FALSE)</f>
        <v>ZTWM-CDYXGS-XS-2025-0014-宜宾兴港建材-三江新区长江工业园片区保障性租赁住房建设项目</v>
      </c>
      <c r="R1870" s="30" t="str">
        <f>_xlfn._xlws.FILTER(辅助信息!D:D,辅助信息!E:E=B1870)</f>
        <v>宜宾兴港三江新区长江工业园建设项目</v>
      </c>
    </row>
    <row r="1871" hidden="1" spans="2:18">
      <c r="B1871" s="41" t="s">
        <v>171</v>
      </c>
      <c r="C1871" s="71">
        <v>45826</v>
      </c>
      <c r="D1871" s="121" t="str">
        <f>VLOOKUP(B1871,辅助信息!E:K,7,FALSE)</f>
        <v>JWDDCD2024101600133</v>
      </c>
      <c r="E1871" s="121" t="str">
        <f>VLOOKUP(F1871,辅助信息!A:B,2,FALSE)</f>
        <v>盘螺</v>
      </c>
      <c r="F1871" s="41" t="s">
        <v>49</v>
      </c>
      <c r="G1871" s="37">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132</v>
      </c>
      <c r="Q1871" s="30" t="str">
        <f>VLOOKUP(B1871,辅助信息!E:M,9,FALSE)</f>
        <v>ZTWM-CDGS-XS-2024-0169-中冶西部钢构-宜宾市南溪区幸福路东路,高县月江镇建设项目</v>
      </c>
      <c r="R1871" s="30" t="str">
        <f>_xlfn._xlws.FILTER(辅助信息!D:D,辅助信息!E:E=B1871)</f>
        <v>五冶钢构-宜宾市南溪区高县月江镇建设项目</v>
      </c>
    </row>
    <row r="1872" hidden="1" spans="2:18">
      <c r="B1872" s="41" t="s">
        <v>171</v>
      </c>
      <c r="C1872" s="71">
        <v>45826</v>
      </c>
      <c r="D1872" s="121" t="str">
        <f>VLOOKUP(B1872,辅助信息!E:K,7,FALSE)</f>
        <v>JWDDCD2024101600133</v>
      </c>
      <c r="E1872" s="121" t="str">
        <f>VLOOKUP(F1872,辅助信息!A:B,2,FALSE)</f>
        <v>盘螺</v>
      </c>
      <c r="F1872" s="41" t="s">
        <v>40</v>
      </c>
      <c r="G1872" s="37">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132</v>
      </c>
      <c r="Q1872" s="30" t="str">
        <f>VLOOKUP(B1872,辅助信息!E:M,9,FALSE)</f>
        <v>ZTWM-CDGS-XS-2024-0169-中冶西部钢构-宜宾市南溪区幸福路东路,高县月江镇建设项目</v>
      </c>
      <c r="R1872" s="30" t="str">
        <f>_xlfn._xlws.FILTER(辅助信息!D:D,辅助信息!E:E=B1872)</f>
        <v>五冶钢构-宜宾市南溪区高县月江镇建设项目</v>
      </c>
    </row>
    <row r="1873" hidden="1" spans="2:18">
      <c r="B1873" s="41" t="s">
        <v>171</v>
      </c>
      <c r="C1873" s="71">
        <v>45826</v>
      </c>
      <c r="D1873" s="121" t="str">
        <f>VLOOKUP(B1873,辅助信息!E:K,7,FALSE)</f>
        <v>JWDDCD2024101600133</v>
      </c>
      <c r="E1873" s="121" t="str">
        <f>VLOOKUP(F1873,辅助信息!A:B,2,FALSE)</f>
        <v>盘螺</v>
      </c>
      <c r="F1873" s="41" t="s">
        <v>41</v>
      </c>
      <c r="G1873" s="37">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132</v>
      </c>
      <c r="Q1873" s="30" t="str">
        <f>VLOOKUP(B1873,辅助信息!E:M,9,FALSE)</f>
        <v>ZTWM-CDGS-XS-2024-0169-中冶西部钢构-宜宾市南溪区幸福路东路,高县月江镇建设项目</v>
      </c>
      <c r="R1873" s="30" t="str">
        <f>_xlfn._xlws.FILTER(辅助信息!D:D,辅助信息!E:E=B1873)</f>
        <v>五冶钢构-宜宾市南溪区高县月江镇建设项目</v>
      </c>
    </row>
    <row r="1874" hidden="1" spans="2:18">
      <c r="B1874" s="41" t="s">
        <v>171</v>
      </c>
      <c r="C1874" s="71">
        <v>45826</v>
      </c>
      <c r="D1874" s="121" t="str">
        <f>VLOOKUP(B1874,辅助信息!E:K,7,FALSE)</f>
        <v>JWDDCD2024101600133</v>
      </c>
      <c r="E1874" s="121" t="str">
        <f>VLOOKUP(F1874,辅助信息!A:B,2,FALSE)</f>
        <v>螺纹钢</v>
      </c>
      <c r="F1874" s="41" t="s">
        <v>27</v>
      </c>
      <c r="G1874" s="37">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132</v>
      </c>
      <c r="Q1874" s="30" t="str">
        <f>VLOOKUP(B1874,辅助信息!E:M,9,FALSE)</f>
        <v>ZTWM-CDGS-XS-2024-0169-中冶西部钢构-宜宾市南溪区幸福路东路,高县月江镇建设项目</v>
      </c>
      <c r="R1874" s="30" t="str">
        <f>_xlfn._xlws.FILTER(辅助信息!D:D,辅助信息!E:E=B1874)</f>
        <v>五冶钢构-宜宾市南溪区高县月江镇建设项目</v>
      </c>
    </row>
    <row r="1875" hidden="1" spans="2:18">
      <c r="B1875" s="41" t="s">
        <v>171</v>
      </c>
      <c r="C1875" s="71">
        <v>45826</v>
      </c>
      <c r="D1875" s="121" t="str">
        <f>VLOOKUP(B1875,辅助信息!E:K,7,FALSE)</f>
        <v>JWDDCD2024101600133</v>
      </c>
      <c r="E1875" s="121" t="str">
        <f>VLOOKUP(F1875,辅助信息!A:B,2,FALSE)</f>
        <v>螺纹钢</v>
      </c>
      <c r="F1875" s="41" t="s">
        <v>19</v>
      </c>
      <c r="G1875" s="37">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132</v>
      </c>
      <c r="Q1875" s="30" t="str">
        <f>VLOOKUP(B1875,辅助信息!E:M,9,FALSE)</f>
        <v>ZTWM-CDGS-XS-2024-0169-中冶西部钢构-宜宾市南溪区幸福路东路,高县月江镇建设项目</v>
      </c>
      <c r="R1875" s="30" t="str">
        <f>_xlfn._xlws.FILTER(辅助信息!D:D,辅助信息!E:E=B1875)</f>
        <v>五冶钢构-宜宾市南溪区高县月江镇建设项目</v>
      </c>
    </row>
    <row r="1876" hidden="1" spans="2:18">
      <c r="B1876" s="41" t="s">
        <v>171</v>
      </c>
      <c r="C1876" s="71">
        <v>45826</v>
      </c>
      <c r="D1876" s="121" t="str">
        <f>VLOOKUP(B1876,辅助信息!E:K,7,FALSE)</f>
        <v>JWDDCD2024101600133</v>
      </c>
      <c r="E1876" s="121" t="str">
        <f>VLOOKUP(F1876,辅助信息!A:B,2,FALSE)</f>
        <v>螺纹钢</v>
      </c>
      <c r="F1876" s="41" t="s">
        <v>32</v>
      </c>
      <c r="G1876" s="37">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132</v>
      </c>
      <c r="Q1876" s="30" t="str">
        <f>VLOOKUP(B1876,辅助信息!E:M,9,FALSE)</f>
        <v>ZTWM-CDGS-XS-2024-0169-中冶西部钢构-宜宾市南溪区幸福路东路,高县月江镇建设项目</v>
      </c>
      <c r="R1876" s="30" t="str">
        <f>_xlfn._xlws.FILTER(辅助信息!D:D,辅助信息!E:E=B1876)</f>
        <v>五冶钢构-宜宾市南溪区高县月江镇建设项目</v>
      </c>
    </row>
    <row r="1877" hidden="1" spans="2:18">
      <c r="B1877" s="41" t="s">
        <v>171</v>
      </c>
      <c r="C1877" s="71">
        <v>45826</v>
      </c>
      <c r="D1877" s="121" t="str">
        <f>VLOOKUP(B1877,辅助信息!E:K,7,FALSE)</f>
        <v>JWDDCD2024101600133</v>
      </c>
      <c r="E1877" s="121" t="str">
        <f>VLOOKUP(F1877,辅助信息!A:B,2,FALSE)</f>
        <v>螺纹钢</v>
      </c>
      <c r="F1877" s="41" t="s">
        <v>30</v>
      </c>
      <c r="G1877" s="37">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132</v>
      </c>
      <c r="Q1877" s="30" t="str">
        <f>VLOOKUP(B1877,辅助信息!E:M,9,FALSE)</f>
        <v>ZTWM-CDGS-XS-2024-0169-中冶西部钢构-宜宾市南溪区幸福路东路,高县月江镇建设项目</v>
      </c>
      <c r="R1877" s="30" t="str">
        <f>_xlfn._xlws.FILTER(辅助信息!D:D,辅助信息!E:E=B1877)</f>
        <v>五冶钢构-宜宾市南溪区高县月江镇建设项目</v>
      </c>
    </row>
    <row r="1878" hidden="1" spans="2:18">
      <c r="B1878" s="41" t="s">
        <v>171</v>
      </c>
      <c r="C1878" s="71">
        <v>45826</v>
      </c>
      <c r="D1878" s="121" t="str">
        <f>VLOOKUP(B1878,辅助信息!E:K,7,FALSE)</f>
        <v>JWDDCD2024101600133</v>
      </c>
      <c r="E1878" s="121" t="str">
        <f>VLOOKUP(F1878,辅助信息!A:B,2,FALSE)</f>
        <v>螺纹钢</v>
      </c>
      <c r="F1878" s="41" t="s">
        <v>33</v>
      </c>
      <c r="G1878" s="37">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132</v>
      </c>
      <c r="Q1878" s="30" t="str">
        <f>VLOOKUP(B1878,辅助信息!E:M,9,FALSE)</f>
        <v>ZTWM-CDGS-XS-2024-0169-中冶西部钢构-宜宾市南溪区幸福路东路,高县月江镇建设项目</v>
      </c>
      <c r="R1878" s="30" t="str">
        <f>_xlfn._xlws.FILTER(辅助信息!D:D,辅助信息!E:E=B1878)</f>
        <v>五冶钢构-宜宾市南溪区高县月江镇建设项目</v>
      </c>
    </row>
    <row r="1879" hidden="1" spans="2:18">
      <c r="B1879" s="41" t="s">
        <v>171</v>
      </c>
      <c r="C1879" s="71">
        <v>45826</v>
      </c>
      <c r="D1879" s="121" t="str">
        <f>VLOOKUP(B1879,辅助信息!E:K,7,FALSE)</f>
        <v>JWDDCD2024101600133</v>
      </c>
      <c r="E1879" s="121" t="str">
        <f>VLOOKUP(F1879,辅助信息!A:B,2,FALSE)</f>
        <v>螺纹钢</v>
      </c>
      <c r="F1879" s="41" t="s">
        <v>28</v>
      </c>
      <c r="G1879" s="37">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132</v>
      </c>
      <c r="Q1879" s="30" t="str">
        <f>VLOOKUP(B1879,辅助信息!E:M,9,FALSE)</f>
        <v>ZTWM-CDGS-XS-2024-0169-中冶西部钢构-宜宾市南溪区幸福路东路,高县月江镇建设项目</v>
      </c>
      <c r="R1879" s="30" t="str">
        <f>_xlfn._xlws.FILTER(辅助信息!D:D,辅助信息!E:E=B1879)</f>
        <v>五冶钢构-宜宾市南溪区高县月江镇建设项目</v>
      </c>
    </row>
    <row r="1880" hidden="1" spans="2:18">
      <c r="B1880" s="41" t="s">
        <v>171</v>
      </c>
      <c r="C1880" s="71">
        <v>45826</v>
      </c>
      <c r="D1880" s="121" t="str">
        <f>VLOOKUP(B1880,辅助信息!E:K,7,FALSE)</f>
        <v>JWDDCD2024101600133</v>
      </c>
      <c r="E1880" s="121" t="str">
        <f>VLOOKUP(F1880,辅助信息!A:B,2,FALSE)</f>
        <v>螺纹钢</v>
      </c>
      <c r="F1880" s="41" t="s">
        <v>18</v>
      </c>
      <c r="G1880" s="37">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132</v>
      </c>
      <c r="Q1880" s="30" t="str">
        <f>VLOOKUP(B1880,辅助信息!E:M,9,FALSE)</f>
        <v>ZTWM-CDGS-XS-2024-0169-中冶西部钢构-宜宾市南溪区幸福路东路,高县月江镇建设项目</v>
      </c>
      <c r="R1880" s="30" t="str">
        <f>_xlfn._xlws.FILTER(辅助信息!D:D,辅助信息!E:E=B1880)</f>
        <v>五冶钢构-宜宾市南溪区高县月江镇建设项目</v>
      </c>
    </row>
    <row r="1881" hidden="1" spans="2:18">
      <c r="B1881" s="41" t="s">
        <v>92</v>
      </c>
      <c r="C1881" s="71">
        <v>45826</v>
      </c>
      <c r="D1881" s="121" t="str">
        <f>VLOOKUP(B1881,辅助信息!E:K,7,FALSE)</f>
        <v>JWDDCD2025051800046</v>
      </c>
      <c r="E1881" s="121" t="str">
        <f>VLOOKUP(F1881,辅助信息!A:B,2,FALSE)</f>
        <v>盘螺</v>
      </c>
      <c r="F1881" s="41" t="s">
        <v>40</v>
      </c>
      <c r="G1881" s="37">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131</v>
      </c>
      <c r="Q1881" s="30" t="str">
        <f>VLOOKUP(B1881,辅助信息!E:M,9,FALSE)</f>
        <v>ZTWM-CDGS-XS-2024-0092-华西-萌海科创农业生态谷</v>
      </c>
      <c r="R1881" s="30" t="str">
        <f>_xlfn._xlws.FILTER(辅助信息!D:D,辅助信息!E:E=B1881)</f>
        <v>华西萌海-科创农业生态谷</v>
      </c>
    </row>
    <row r="1882" hidden="1" spans="2:18">
      <c r="B1882" s="41" t="s">
        <v>92</v>
      </c>
      <c r="C1882" s="71">
        <v>45826</v>
      </c>
      <c r="D1882" s="121" t="str">
        <f>VLOOKUP(B1882,辅助信息!E:K,7,FALSE)</f>
        <v>JWDDCD2025051800046</v>
      </c>
      <c r="E1882" s="121" t="str">
        <f>VLOOKUP(F1882,辅助信息!A:B,2,FALSE)</f>
        <v>盘螺</v>
      </c>
      <c r="F1882" s="41" t="s">
        <v>41</v>
      </c>
      <c r="G1882" s="37">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131</v>
      </c>
      <c r="Q1882" s="30" t="str">
        <f>VLOOKUP(B1882,辅助信息!E:M,9,FALSE)</f>
        <v>ZTWM-CDGS-XS-2024-0092-华西-萌海科创农业生态谷</v>
      </c>
      <c r="R1882" s="30"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131</v>
      </c>
      <c r="Q1883" s="30" t="str">
        <f>VLOOKUP(B1883,辅助信息!E:M,9,FALSE)</f>
        <v>ZTWM-CDGS-XS-2024-0134-商投建工达州中医药科技成果示范园项目</v>
      </c>
      <c r="R1883" s="30"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131</v>
      </c>
      <c r="Q1884" s="30" t="str">
        <f>VLOOKUP(B1884,辅助信息!E:M,9,FALSE)</f>
        <v>ZTWM-CDGS-XS-2024-0134-商投建工达州中医药科技成果示范园项目</v>
      </c>
      <c r="R1884" s="30"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131</v>
      </c>
      <c r="Q1885" s="30" t="str">
        <f>VLOOKUP(B1885,辅助信息!E:M,9,FALSE)</f>
        <v>ZTWM-CDGS-XS-2024-0134-商投建工达州中医药科技成果示范园项目</v>
      </c>
      <c r="R1885" s="30"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131</v>
      </c>
      <c r="Q1886" s="30" t="str">
        <f>VLOOKUP(B1886,辅助信息!E:M,9,FALSE)</f>
        <v>ZTWM-CDGS-XS-2024-0134-商投建工达州中医药科技成果示范园项目</v>
      </c>
      <c r="R1886" s="30"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131</v>
      </c>
      <c r="Q1887" s="30" t="str">
        <f>VLOOKUP(B1887,辅助信息!E:M,9,FALSE)</f>
        <v>ZTWM-CDGS-XS-2024-0134-商投建工达州中医药科技成果示范园项目</v>
      </c>
      <c r="R1887" s="30"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131</v>
      </c>
      <c r="Q1888" s="30" t="str">
        <f>VLOOKUP(B1888,辅助信息!E:M,9,FALSE)</f>
        <v>ZTWM-CDGS-XS-2024-0134-商投建工达州中医药科技成果示范园项目</v>
      </c>
      <c r="R1888" s="30"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131</v>
      </c>
      <c r="Q1889" s="30" t="str">
        <f>VLOOKUP(B1889,辅助信息!E:M,9,FALSE)</f>
        <v>ZTWM-CDGS-XS-2024-0134-商投建工达州中医药科技成果示范园项目</v>
      </c>
      <c r="R1889" s="30"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131</v>
      </c>
      <c r="Q1890" s="30" t="str">
        <f>VLOOKUP(B1890,辅助信息!E:M,9,FALSE)</f>
        <v>ZTWM-CDGS-XS-2024-0134-商投建工达州中医药科技成果示范园项目</v>
      </c>
      <c r="R1890" s="30" t="str">
        <f>_xlfn._xlws.FILTER(辅助信息!D:D,辅助信息!E:E=B1890)</f>
        <v>商投建工达州中医药科技园</v>
      </c>
    </row>
    <row r="1891" hidden="1" spans="2:18">
      <c r="B1891" s="41" t="s">
        <v>81</v>
      </c>
      <c r="C1891" s="71">
        <v>45826</v>
      </c>
      <c r="D1891" s="121" t="str">
        <f>VLOOKUP(B1891,辅助信息!E:K,7,FALSE)</f>
        <v>JWDDCD2025060900080</v>
      </c>
      <c r="E1891" s="121" t="str">
        <f>VLOOKUP(F1891,辅助信息!A:B,2,FALSE)</f>
        <v>盘螺</v>
      </c>
      <c r="F1891" s="41" t="s">
        <v>40</v>
      </c>
      <c r="G1891" s="37">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131</v>
      </c>
      <c r="Q1891" s="30" t="str">
        <f>VLOOKUP(B1891,辅助信息!E:M,9,FALSE)</f>
        <v>ZTWM-CDGS-XS-2024-0030-华西集采-简州大道</v>
      </c>
      <c r="R1891" s="30" t="str">
        <f>_xlfn._xlws.FILTER(辅助信息!D:D,辅助信息!E:E=B1891)</f>
        <v>华西简阳西城嘉苑</v>
      </c>
    </row>
    <row r="1892" hidden="1" spans="2:18">
      <c r="B1892" s="41" t="s">
        <v>81</v>
      </c>
      <c r="C1892" s="71">
        <v>45826</v>
      </c>
      <c r="D1892" s="121" t="str">
        <f>VLOOKUP(B1892,辅助信息!E:K,7,FALSE)</f>
        <v>JWDDCD2025060900080</v>
      </c>
      <c r="E1892" s="121" t="str">
        <f>VLOOKUP(F1892,辅助信息!A:B,2,FALSE)</f>
        <v>螺纹钢</v>
      </c>
      <c r="F1892" s="41" t="s">
        <v>19</v>
      </c>
      <c r="G1892" s="37">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131</v>
      </c>
      <c r="Q1892" s="30" t="str">
        <f>VLOOKUP(B1892,辅助信息!E:M,9,FALSE)</f>
        <v>ZTWM-CDGS-XS-2024-0030-华西集采-简州大道</v>
      </c>
      <c r="R1892" s="30" t="str">
        <f>_xlfn._xlws.FILTER(辅助信息!D:D,辅助信息!E:E=B1892)</f>
        <v>华西简阳西城嘉苑</v>
      </c>
    </row>
    <row r="1893" hidden="1" spans="2:18">
      <c r="B1893" s="41" t="s">
        <v>81</v>
      </c>
      <c r="C1893" s="71">
        <v>45826</v>
      </c>
      <c r="D1893" s="121" t="str">
        <f>VLOOKUP(B1893,辅助信息!E:K,7,FALSE)</f>
        <v>JWDDCD2025060900080</v>
      </c>
      <c r="E1893" s="121" t="str">
        <f>VLOOKUP(F1893,辅助信息!A:B,2,FALSE)</f>
        <v>螺纹钢</v>
      </c>
      <c r="F1893" s="41" t="s">
        <v>32</v>
      </c>
      <c r="G1893" s="37">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131</v>
      </c>
      <c r="Q1893" s="30" t="str">
        <f>VLOOKUP(B1893,辅助信息!E:M,9,FALSE)</f>
        <v>ZTWM-CDGS-XS-2024-0030-华西集采-简州大道</v>
      </c>
      <c r="R1893" s="30" t="str">
        <f>_xlfn._xlws.FILTER(辅助信息!D:D,辅助信息!E:E=B1893)</f>
        <v>华西简阳西城嘉苑</v>
      </c>
    </row>
    <row r="1894" hidden="1" spans="2:18">
      <c r="B1894" s="41" t="s">
        <v>81</v>
      </c>
      <c r="C1894" s="71">
        <v>45826</v>
      </c>
      <c r="D1894" s="121" t="str">
        <f>VLOOKUP(B1894,辅助信息!E:K,7,FALSE)</f>
        <v>JWDDCD2025060900080</v>
      </c>
      <c r="E1894" s="121" t="str">
        <f>VLOOKUP(F1894,辅助信息!A:B,2,FALSE)</f>
        <v>螺纹钢</v>
      </c>
      <c r="F1894" s="41" t="s">
        <v>30</v>
      </c>
      <c r="G1894" s="37">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131</v>
      </c>
      <c r="Q1894" s="30" t="str">
        <f>VLOOKUP(B1894,辅助信息!E:M,9,FALSE)</f>
        <v>ZTWM-CDGS-XS-2024-0030-华西集采-简州大道</v>
      </c>
      <c r="R1894" s="30" t="str">
        <f>_xlfn._xlws.FILTER(辅助信息!D:D,辅助信息!E:E=B1894)</f>
        <v>华西简阳西城嘉苑</v>
      </c>
    </row>
    <row r="1895" hidden="1" spans="2:18">
      <c r="B1895" s="41" t="s">
        <v>81</v>
      </c>
      <c r="C1895" s="71">
        <v>45826</v>
      </c>
      <c r="D1895" s="121" t="str">
        <f>VLOOKUP(B1895,辅助信息!E:K,7,FALSE)</f>
        <v>JWDDCD2025060900080</v>
      </c>
      <c r="E1895" s="121" t="str">
        <f>VLOOKUP(F1895,辅助信息!A:B,2,FALSE)</f>
        <v>螺纹钢</v>
      </c>
      <c r="F1895" s="41" t="s">
        <v>33</v>
      </c>
      <c r="G1895" s="37">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131</v>
      </c>
      <c r="Q1895" s="30" t="str">
        <f>VLOOKUP(B1895,辅助信息!E:M,9,FALSE)</f>
        <v>ZTWM-CDGS-XS-2024-0030-华西集采-简州大道</v>
      </c>
      <c r="R1895" s="30" t="str">
        <f>_xlfn._xlws.FILTER(辅助信息!D:D,辅助信息!E:E=B1895)</f>
        <v>华西简阳西城嘉苑</v>
      </c>
    </row>
    <row r="1896" hidden="1" spans="2:18">
      <c r="B1896" s="41" t="s">
        <v>81</v>
      </c>
      <c r="C1896" s="71">
        <v>45826</v>
      </c>
      <c r="D1896" s="121" t="str">
        <f>VLOOKUP(B1896,辅助信息!E:K,7,FALSE)</f>
        <v>JWDDCD2025060900080</v>
      </c>
      <c r="E1896" s="121" t="str">
        <f>VLOOKUP(F1896,辅助信息!A:B,2,FALSE)</f>
        <v>螺纹钢</v>
      </c>
      <c r="F1896" s="41" t="s">
        <v>28</v>
      </c>
      <c r="G1896" s="37">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131</v>
      </c>
      <c r="Q1896" s="30" t="str">
        <f>VLOOKUP(B1896,辅助信息!E:M,9,FALSE)</f>
        <v>ZTWM-CDGS-XS-2024-0030-华西集采-简州大道</v>
      </c>
      <c r="R1896" s="30"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131</v>
      </c>
      <c r="Q1897" s="30" t="str">
        <f>VLOOKUP(B1897,辅助信息!E:M,9,FALSE)</f>
        <v>ZTWM-CDGS-XS-2024-0030-华西集采-简州大道</v>
      </c>
      <c r="R1897" s="30" t="str">
        <f>_xlfn._xlws.FILTER(辅助信息!D:D,辅助信息!E:E=B1897)</f>
        <v>华西简阳西城嘉苑</v>
      </c>
    </row>
    <row r="1898" hidden="1" spans="1:18">
      <c r="A1898" s="78" t="s">
        <v>174</v>
      </c>
      <c r="B1898" s="41" t="s">
        <v>31</v>
      </c>
      <c r="C1898" s="71">
        <v>45827</v>
      </c>
      <c r="D1898" s="121" t="str">
        <f>VLOOKUP(B1898,辅助信息!E:K,7,FALSE)</f>
        <v>JWDDCD2024121000136</v>
      </c>
      <c r="E1898" s="121" t="str">
        <f>VLOOKUP(F1898,辅助信息!A:B,2,FALSE)</f>
        <v>螺纹钢</v>
      </c>
      <c r="F1898" s="41" t="s">
        <v>18</v>
      </c>
      <c r="G1898" s="37">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131</v>
      </c>
      <c r="Q1898" s="30" t="str">
        <f>VLOOKUP(B1898,辅助信息!E:M,9,FALSE)</f>
        <v>ZTWM-CDGS-XS-2024-0179-四川商投-射洪城乡一体化建设项目</v>
      </c>
      <c r="R1898" s="30" t="str">
        <f>_xlfn._xlws.FILTER(辅助信息!D:D,辅助信息!E:E=B1898)</f>
        <v>四川商建
射洪城乡一体化项目</v>
      </c>
    </row>
    <row r="1899" hidden="1" spans="1:18">
      <c r="A1899" s="78"/>
      <c r="B1899" s="41" t="s">
        <v>31</v>
      </c>
      <c r="C1899" s="71">
        <v>45827</v>
      </c>
      <c r="D1899" s="121" t="str">
        <f>VLOOKUP(B1899,辅助信息!E:K,7,FALSE)</f>
        <v>JWDDCD2024121000136</v>
      </c>
      <c r="E1899" s="121" t="str">
        <f>VLOOKUP(F1899,辅助信息!A:B,2,FALSE)</f>
        <v>螺纹钢</v>
      </c>
      <c r="F1899" s="41" t="s">
        <v>22</v>
      </c>
      <c r="G1899" s="37">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131</v>
      </c>
      <c r="Q1899" s="30" t="str">
        <f>VLOOKUP(B1899,辅助信息!E:M,9,FALSE)</f>
        <v>ZTWM-CDGS-XS-2024-0179-四川商投-射洪城乡一体化建设项目</v>
      </c>
      <c r="R1899" s="30"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131</v>
      </c>
      <c r="Q1900" s="30" t="str">
        <f>VLOOKUP(B1900,辅助信息!E:M,9,FALSE)</f>
        <v>ZTWM-CDGS-XS-2024-0134-商投建工达州中医药科技成果示范园项目</v>
      </c>
      <c r="R1900" s="30"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131</v>
      </c>
      <c r="Q1901" s="30" t="str">
        <f>VLOOKUP(B1901,辅助信息!E:M,9,FALSE)</f>
        <v>ZTWM-CDGS-XS-2024-0134-商投建工达州中医药科技成果示范园项目</v>
      </c>
      <c r="R1901" s="30"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131</v>
      </c>
      <c r="Q1902" s="30" t="str">
        <f>VLOOKUP(B1902,辅助信息!E:M,9,FALSE)</f>
        <v>ZTWM-CDGS-XS-2024-0134-商投建工达州中医药科技成果示范园项目</v>
      </c>
      <c r="R1902" s="30"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131</v>
      </c>
      <c r="Q1903" s="30" t="str">
        <f>VLOOKUP(B1903,辅助信息!E:M,9,FALSE)</f>
        <v>ZTWM-CDGS-XS-2024-0134-商投建工达州中医药科技成果示范园项目</v>
      </c>
      <c r="R1903" s="30"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131</v>
      </c>
      <c r="Q1904" s="30" t="str">
        <f>VLOOKUP(B1904,辅助信息!E:M,9,FALSE)</f>
        <v>ZTWM-CDGS-XS-2024-0134-商投建工达州中医药科技成果示范园项目</v>
      </c>
      <c r="R1904" s="30"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131</v>
      </c>
      <c r="Q1905" s="30" t="str">
        <f>VLOOKUP(B1905,辅助信息!E:M,9,FALSE)</f>
        <v>ZTWM-CDGS-XS-2024-0134-商投建工达州中医药科技成果示范园项目</v>
      </c>
      <c r="R1905" s="30"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131</v>
      </c>
      <c r="Q1906" s="30" t="str">
        <f>VLOOKUP(B1906,辅助信息!E:M,9,FALSE)</f>
        <v>ZTWM-CDGS-XS-2024-0134-商投建工达州中医药科技成果示范园项目</v>
      </c>
      <c r="R1906" s="30"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131</v>
      </c>
      <c r="Q1907" s="30" t="str">
        <f>VLOOKUP(B1907,辅助信息!E:M,9,FALSE)</f>
        <v>ZTWM-CDGS-XS-2024-0134-商投建工达州中医药科技成果示范园项目</v>
      </c>
      <c r="R1907" s="30" t="str">
        <f>_xlfn._xlws.FILTER(辅助信息!D:D,辅助信息!E:E=B1907)</f>
        <v>商投建工达州中医药科技园</v>
      </c>
    </row>
    <row r="1908" hidden="1" spans="2:18">
      <c r="B1908" s="41" t="s">
        <v>92</v>
      </c>
      <c r="C1908" s="71">
        <v>45828</v>
      </c>
      <c r="D1908" s="121" t="str">
        <f>VLOOKUP(B1908,辅助信息!E:K,7,FALSE)</f>
        <v>JWDDCD2025051800046</v>
      </c>
      <c r="E1908" s="121" t="str">
        <f>VLOOKUP(F1908,辅助信息!A:B,2,FALSE)</f>
        <v>盘螺</v>
      </c>
      <c r="F1908" s="41" t="s">
        <v>40</v>
      </c>
      <c r="G1908" s="37">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130</v>
      </c>
      <c r="Q1908" s="30" t="str">
        <f>VLOOKUP(B1908,辅助信息!E:M,9,FALSE)</f>
        <v>ZTWM-CDGS-XS-2024-0092-华西-萌海科创农业生态谷</v>
      </c>
      <c r="R1908" s="30" t="str">
        <f>_xlfn._xlws.FILTER(辅助信息!D:D,辅助信息!E:E=B1908)</f>
        <v>华西萌海-科创农业生态谷</v>
      </c>
    </row>
    <row r="1909" hidden="1" spans="2:18">
      <c r="B1909" s="41" t="s">
        <v>92</v>
      </c>
      <c r="C1909" s="71">
        <v>45828</v>
      </c>
      <c r="D1909" s="121" t="str">
        <f>VLOOKUP(B1909,辅助信息!E:K,7,FALSE)</f>
        <v>JWDDCD2025051800046</v>
      </c>
      <c r="E1909" s="121" t="str">
        <f>VLOOKUP(F1909,辅助信息!A:B,2,FALSE)</f>
        <v>盘螺</v>
      </c>
      <c r="F1909" s="41" t="s">
        <v>26</v>
      </c>
      <c r="G1909" s="37">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130</v>
      </c>
      <c r="Q1909" s="30" t="str">
        <f>VLOOKUP(B1909,辅助信息!E:M,9,FALSE)</f>
        <v>ZTWM-CDGS-XS-2024-0092-华西-萌海科创农业生态谷</v>
      </c>
      <c r="R1909" s="30" t="str">
        <f>_xlfn._xlws.FILTER(辅助信息!D:D,辅助信息!E:E=B1909)</f>
        <v>华西萌海-科创农业生态谷</v>
      </c>
    </row>
    <row r="1910" hidden="1" spans="2:18">
      <c r="B1910" s="41" t="s">
        <v>92</v>
      </c>
      <c r="C1910" s="71">
        <v>45828</v>
      </c>
      <c r="D1910" s="121" t="str">
        <f>VLOOKUP(B1910,辅助信息!E:K,7,FALSE)</f>
        <v>JWDDCD2025051800046</v>
      </c>
      <c r="E1910" s="121" t="str">
        <f>VLOOKUP(F1910,辅助信息!A:B,2,FALSE)</f>
        <v>螺纹钢</v>
      </c>
      <c r="F1910" s="41" t="s">
        <v>27</v>
      </c>
      <c r="G1910" s="37">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130</v>
      </c>
      <c r="Q1910" s="30" t="str">
        <f>VLOOKUP(B1910,辅助信息!E:M,9,FALSE)</f>
        <v>ZTWM-CDGS-XS-2024-0092-华西-萌海科创农业生态谷</v>
      </c>
      <c r="R1910" s="30" t="str">
        <f>_xlfn._xlws.FILTER(辅助信息!D:D,辅助信息!E:E=B1910)</f>
        <v>华西萌海-科创农业生态谷</v>
      </c>
    </row>
    <row r="1911" hidden="1" spans="2:18">
      <c r="B1911" s="41" t="s">
        <v>92</v>
      </c>
      <c r="C1911" s="71">
        <v>45828</v>
      </c>
      <c r="D1911" s="121" t="str">
        <f>VLOOKUP(B1911,辅助信息!E:K,7,FALSE)</f>
        <v>JWDDCD2025051800046</v>
      </c>
      <c r="E1911" s="121" t="str">
        <f>VLOOKUP(F1911,辅助信息!A:B,2,FALSE)</f>
        <v>螺纹钢</v>
      </c>
      <c r="F1911" s="41" t="s">
        <v>19</v>
      </c>
      <c r="G1911" s="37">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130</v>
      </c>
      <c r="Q1911" s="30" t="str">
        <f>VLOOKUP(B1911,辅助信息!E:M,9,FALSE)</f>
        <v>ZTWM-CDGS-XS-2024-0092-华西-萌海科创农业生态谷</v>
      </c>
      <c r="R1911" s="30" t="str">
        <f>_xlfn._xlws.FILTER(辅助信息!D:D,辅助信息!E:E=B1911)</f>
        <v>华西萌海-科创农业生态谷</v>
      </c>
    </row>
    <row r="1912" hidden="1" spans="2:18">
      <c r="B1912" s="41" t="s">
        <v>92</v>
      </c>
      <c r="C1912" s="71">
        <v>45828</v>
      </c>
      <c r="D1912" s="121" t="str">
        <f>VLOOKUP(B1912,辅助信息!E:K,7,FALSE)</f>
        <v>JWDDCD2025051800046</v>
      </c>
      <c r="E1912" s="121" t="str">
        <f>VLOOKUP(F1912,辅助信息!A:B,2,FALSE)</f>
        <v>螺纹钢</v>
      </c>
      <c r="F1912" s="41" t="s">
        <v>32</v>
      </c>
      <c r="G1912" s="37">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130</v>
      </c>
      <c r="Q1912" s="30" t="str">
        <f>VLOOKUP(B1912,辅助信息!E:M,9,FALSE)</f>
        <v>ZTWM-CDGS-XS-2024-0092-华西-萌海科创农业生态谷</v>
      </c>
      <c r="R1912" s="30" t="str">
        <f>_xlfn._xlws.FILTER(辅助信息!D:D,辅助信息!E:E=B1912)</f>
        <v>华西萌海-科创农业生态谷</v>
      </c>
    </row>
    <row r="1913" hidden="1" spans="2:18">
      <c r="B1913" s="41" t="s">
        <v>92</v>
      </c>
      <c r="C1913" s="71">
        <v>45828</v>
      </c>
      <c r="D1913" s="121" t="str">
        <f>VLOOKUP(B1913,辅助信息!E:K,7,FALSE)</f>
        <v>JWDDCD2025051800046</v>
      </c>
      <c r="E1913" s="121" t="str">
        <f>VLOOKUP(F1913,辅助信息!A:B,2,FALSE)</f>
        <v>螺纹钢</v>
      </c>
      <c r="F1913" s="41" t="s">
        <v>33</v>
      </c>
      <c r="G1913" s="37">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130</v>
      </c>
      <c r="Q1913" s="30" t="str">
        <f>VLOOKUP(B1913,辅助信息!E:M,9,FALSE)</f>
        <v>ZTWM-CDGS-XS-2024-0092-华西-萌海科创农业生态谷</v>
      </c>
      <c r="R1913" s="30" t="str">
        <f>_xlfn._xlws.FILTER(辅助信息!D:D,辅助信息!E:E=B1913)</f>
        <v>华西萌海-科创农业生态谷</v>
      </c>
    </row>
    <row r="1914" hidden="1" spans="2:18">
      <c r="B1914" s="41" t="s">
        <v>92</v>
      </c>
      <c r="C1914" s="71">
        <v>45828</v>
      </c>
      <c r="D1914" s="121" t="str">
        <f>VLOOKUP(B1914,辅助信息!E:K,7,FALSE)</f>
        <v>JWDDCD2025051800046</v>
      </c>
      <c r="E1914" s="121" t="str">
        <f>VLOOKUP(F1914,辅助信息!A:B,2,FALSE)</f>
        <v>螺纹钢</v>
      </c>
      <c r="F1914" s="41" t="s">
        <v>28</v>
      </c>
      <c r="G1914" s="37">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130</v>
      </c>
      <c r="Q1914" s="30" t="str">
        <f>VLOOKUP(B1914,辅助信息!E:M,9,FALSE)</f>
        <v>ZTWM-CDGS-XS-2024-0092-华西-萌海科创农业生态谷</v>
      </c>
      <c r="R1914" s="30" t="str">
        <f>_xlfn._xlws.FILTER(辅助信息!D:D,辅助信息!E:E=B1914)</f>
        <v>华西萌海-科创农业生态谷</v>
      </c>
    </row>
    <row r="1915" hidden="1" spans="2:18">
      <c r="B1915" s="41" t="s">
        <v>92</v>
      </c>
      <c r="C1915" s="71">
        <v>45828</v>
      </c>
      <c r="D1915" s="121" t="str">
        <f>VLOOKUP(B1915,辅助信息!E:K,7,FALSE)</f>
        <v>JWDDCD2025051800046</v>
      </c>
      <c r="E1915" s="121" t="str">
        <f>VLOOKUP(F1915,辅助信息!A:B,2,FALSE)</f>
        <v>螺纹钢</v>
      </c>
      <c r="F1915" s="41" t="s">
        <v>65</v>
      </c>
      <c r="G1915" s="37">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130</v>
      </c>
      <c r="Q1915" s="30" t="str">
        <f>VLOOKUP(B1915,辅助信息!E:M,9,FALSE)</f>
        <v>ZTWM-CDGS-XS-2024-0092-华西-萌海科创农业生态谷</v>
      </c>
      <c r="R1915" s="30" t="str">
        <f>_xlfn._xlws.FILTER(辅助信息!D:D,辅助信息!E:E=B1915)</f>
        <v>华西萌海-科创农业生态谷</v>
      </c>
    </row>
    <row r="1916" hidden="1" spans="2:18">
      <c r="B1916" s="41" t="s">
        <v>92</v>
      </c>
      <c r="C1916" s="71">
        <v>45828</v>
      </c>
      <c r="D1916" s="121" t="str">
        <f>VLOOKUP(B1916,辅助信息!E:K,7,FALSE)</f>
        <v>JWDDCD2025051800046</v>
      </c>
      <c r="E1916" s="121" t="str">
        <f>VLOOKUP(F1916,辅助信息!A:B,2,FALSE)</f>
        <v>螺纹钢</v>
      </c>
      <c r="F1916" s="41" t="s">
        <v>58</v>
      </c>
      <c r="G1916" s="37">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130</v>
      </c>
      <c r="Q1916" s="30" t="str">
        <f>VLOOKUP(B1916,辅助信息!E:M,9,FALSE)</f>
        <v>ZTWM-CDGS-XS-2024-0092-华西-萌海科创农业生态谷</v>
      </c>
      <c r="R1916" s="30" t="str">
        <f>_xlfn._xlws.FILTER(辅助信息!D:D,辅助信息!E:E=B1916)</f>
        <v>华西萌海-科创农业生态谷</v>
      </c>
    </row>
    <row r="1917" hidden="1" spans="2:18">
      <c r="B1917" s="41" t="s">
        <v>92</v>
      </c>
      <c r="C1917" s="71">
        <v>45828</v>
      </c>
      <c r="D1917" s="121" t="str">
        <f>VLOOKUP(B1917,辅助信息!E:K,7,FALSE)</f>
        <v>JWDDCD2025051800046</v>
      </c>
      <c r="E1917" s="121" t="str">
        <f>VLOOKUP(F1917,辅助信息!A:B,2,FALSE)</f>
        <v>螺纹钢</v>
      </c>
      <c r="F1917" s="41" t="s">
        <v>46</v>
      </c>
      <c r="G1917" s="37">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130</v>
      </c>
      <c r="Q1917" s="30" t="str">
        <f>VLOOKUP(B1917,辅助信息!E:M,9,FALSE)</f>
        <v>ZTWM-CDGS-XS-2024-0092-华西-萌海科创农业生态谷</v>
      </c>
      <c r="R1917" s="30" t="str">
        <f>_xlfn._xlws.FILTER(辅助信息!D:D,辅助信息!E:E=B1917)</f>
        <v>华西萌海-科创农业生态谷</v>
      </c>
    </row>
    <row r="1918" hidden="1" spans="2:18">
      <c r="B1918" s="41" t="s">
        <v>92</v>
      </c>
      <c r="C1918" s="71">
        <v>45828</v>
      </c>
      <c r="D1918" s="121" t="str">
        <f>VLOOKUP(B1918,辅助信息!E:K,7,FALSE)</f>
        <v>JWDDCD2025051800046</v>
      </c>
      <c r="E1918" s="121" t="str">
        <f>VLOOKUP(F1918,辅助信息!A:B,2,FALSE)</f>
        <v>螺纹钢</v>
      </c>
      <c r="F1918" s="41" t="s">
        <v>22</v>
      </c>
      <c r="G1918" s="37">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130</v>
      </c>
      <c r="Q1918" s="30" t="str">
        <f>VLOOKUP(B1918,辅助信息!E:M,9,FALSE)</f>
        <v>ZTWM-CDGS-XS-2024-0092-华西-萌海科创农业生态谷</v>
      </c>
      <c r="R1918" s="30" t="str">
        <f>_xlfn._xlws.FILTER(辅助信息!D:D,辅助信息!E:E=B1918)</f>
        <v>华西萌海-科创农业生态谷</v>
      </c>
    </row>
    <row r="1919" hidden="1" spans="2:18">
      <c r="B1919" s="41" t="s">
        <v>81</v>
      </c>
      <c r="C1919" s="71">
        <v>45828</v>
      </c>
      <c r="D1919" s="121" t="str">
        <f>VLOOKUP(B1919,辅助信息!E:K,7,FALSE)</f>
        <v>JWDDCD2025060900080</v>
      </c>
      <c r="E1919" s="121" t="str">
        <f>VLOOKUP(F1919,辅助信息!A:B,2,FALSE)</f>
        <v>盘螺</v>
      </c>
      <c r="F1919" s="41" t="s">
        <v>40</v>
      </c>
      <c r="G1919" s="37">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130</v>
      </c>
      <c r="Q1919" s="30" t="str">
        <f>VLOOKUP(B1919,辅助信息!E:M,9,FALSE)</f>
        <v>ZTWM-CDGS-XS-2024-0030-华西集采-简州大道</v>
      </c>
      <c r="R1919" s="30" t="str">
        <f>_xlfn._xlws.FILTER(辅助信息!D:D,辅助信息!E:E=B1919)</f>
        <v>华西简阳西城嘉苑</v>
      </c>
    </row>
    <row r="1920" hidden="1" spans="2:18">
      <c r="B1920" s="41" t="s">
        <v>81</v>
      </c>
      <c r="C1920" s="71">
        <v>45828</v>
      </c>
      <c r="D1920" s="121" t="str">
        <f>VLOOKUP(B1920,辅助信息!E:K,7,FALSE)</f>
        <v>JWDDCD2025060900080</v>
      </c>
      <c r="E1920" s="121" t="str">
        <f>VLOOKUP(F1920,辅助信息!A:B,2,FALSE)</f>
        <v>螺纹钢</v>
      </c>
      <c r="F1920" s="41" t="s">
        <v>19</v>
      </c>
      <c r="G1920" s="37">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130</v>
      </c>
      <c r="Q1920" s="30" t="str">
        <f>VLOOKUP(B1920,辅助信息!E:M,9,FALSE)</f>
        <v>ZTWM-CDGS-XS-2024-0030-华西集采-简州大道</v>
      </c>
      <c r="R1920" s="30" t="str">
        <f>_xlfn._xlws.FILTER(辅助信息!D:D,辅助信息!E:E=B1920)</f>
        <v>华西简阳西城嘉苑</v>
      </c>
    </row>
    <row r="1921" hidden="1" spans="2:18">
      <c r="B1921" s="41" t="s">
        <v>81</v>
      </c>
      <c r="C1921" s="71">
        <v>45828</v>
      </c>
      <c r="D1921" s="121" t="str">
        <f>VLOOKUP(B1921,辅助信息!E:K,7,FALSE)</f>
        <v>JWDDCD2025060900080</v>
      </c>
      <c r="E1921" s="121" t="str">
        <f>VLOOKUP(F1921,辅助信息!A:B,2,FALSE)</f>
        <v>螺纹钢</v>
      </c>
      <c r="F1921" s="41" t="s">
        <v>32</v>
      </c>
      <c r="G1921" s="37">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130</v>
      </c>
      <c r="Q1921" s="30" t="str">
        <f>VLOOKUP(B1921,辅助信息!E:M,9,FALSE)</f>
        <v>ZTWM-CDGS-XS-2024-0030-华西集采-简州大道</v>
      </c>
      <c r="R1921" s="30" t="str">
        <f>_xlfn._xlws.FILTER(辅助信息!D:D,辅助信息!E:E=B1921)</f>
        <v>华西简阳西城嘉苑</v>
      </c>
    </row>
    <row r="1922" hidden="1" spans="2:18">
      <c r="B1922" s="41" t="s">
        <v>81</v>
      </c>
      <c r="C1922" s="71">
        <v>45828</v>
      </c>
      <c r="D1922" s="121" t="str">
        <f>VLOOKUP(B1922,辅助信息!E:K,7,FALSE)</f>
        <v>JWDDCD2025060900080</v>
      </c>
      <c r="E1922" s="121" t="str">
        <f>VLOOKUP(F1922,辅助信息!A:B,2,FALSE)</f>
        <v>螺纹钢</v>
      </c>
      <c r="F1922" s="41" t="s">
        <v>30</v>
      </c>
      <c r="G1922" s="37">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130</v>
      </c>
      <c r="Q1922" s="30" t="str">
        <f>VLOOKUP(B1922,辅助信息!E:M,9,FALSE)</f>
        <v>ZTWM-CDGS-XS-2024-0030-华西集采-简州大道</v>
      </c>
      <c r="R1922" s="30" t="str">
        <f>_xlfn._xlws.FILTER(辅助信息!D:D,辅助信息!E:E=B1922)</f>
        <v>华西简阳西城嘉苑</v>
      </c>
    </row>
    <row r="1923" hidden="1" spans="2:18">
      <c r="B1923" s="41" t="s">
        <v>81</v>
      </c>
      <c r="C1923" s="71">
        <v>45828</v>
      </c>
      <c r="D1923" s="121" t="str">
        <f>VLOOKUP(B1923,辅助信息!E:K,7,FALSE)</f>
        <v>JWDDCD2025060900080</v>
      </c>
      <c r="E1923" s="121" t="str">
        <f>VLOOKUP(F1923,辅助信息!A:B,2,FALSE)</f>
        <v>螺纹钢</v>
      </c>
      <c r="F1923" s="41" t="s">
        <v>33</v>
      </c>
      <c r="G1923" s="37">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130</v>
      </c>
      <c r="Q1923" s="30" t="str">
        <f>VLOOKUP(B1923,辅助信息!E:M,9,FALSE)</f>
        <v>ZTWM-CDGS-XS-2024-0030-华西集采-简州大道</v>
      </c>
      <c r="R1923" s="30" t="str">
        <f>_xlfn._xlws.FILTER(辅助信息!D:D,辅助信息!E:E=B1923)</f>
        <v>华西简阳西城嘉苑</v>
      </c>
    </row>
    <row r="1924" hidden="1" spans="2:18">
      <c r="B1924" s="41" t="s">
        <v>81</v>
      </c>
      <c r="C1924" s="71">
        <v>45828</v>
      </c>
      <c r="D1924" s="121" t="str">
        <f>VLOOKUP(B1924,辅助信息!E:K,7,FALSE)</f>
        <v>JWDDCD2025060900080</v>
      </c>
      <c r="E1924" s="121" t="str">
        <f>VLOOKUP(F1924,辅助信息!A:B,2,FALSE)</f>
        <v>螺纹钢</v>
      </c>
      <c r="F1924" s="41" t="s">
        <v>28</v>
      </c>
      <c r="G1924" s="37">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130</v>
      </c>
      <c r="Q1924" s="30" t="str">
        <f>VLOOKUP(B1924,辅助信息!E:M,9,FALSE)</f>
        <v>ZTWM-CDGS-XS-2024-0030-华西集采-简州大道</v>
      </c>
      <c r="R1924" s="30" t="str">
        <f>_xlfn._xlws.FILTER(辅助信息!D:D,辅助信息!E:E=B1924)</f>
        <v>华西简阳西城嘉苑</v>
      </c>
    </row>
    <row r="1925" hidden="1" spans="2:18">
      <c r="B1925" s="41" t="s">
        <v>81</v>
      </c>
      <c r="C1925" s="71">
        <v>45828</v>
      </c>
      <c r="D1925" s="121" t="str">
        <f>VLOOKUP(B1925,辅助信息!E:K,7,FALSE)</f>
        <v>JWDDCD2025060900080</v>
      </c>
      <c r="E1925" s="121" t="str">
        <f>VLOOKUP(F1925,辅助信息!A:B,2,FALSE)</f>
        <v>螺纹钢</v>
      </c>
      <c r="F1925" s="41" t="s">
        <v>18</v>
      </c>
      <c r="G1925" s="37">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130</v>
      </c>
      <c r="Q1925" s="30" t="str">
        <f>VLOOKUP(B1925,辅助信息!E:M,9,FALSE)</f>
        <v>ZTWM-CDGS-XS-2024-0030-华西集采-简州大道</v>
      </c>
      <c r="R1925" s="30" t="str">
        <f>_xlfn._xlws.FILTER(辅助信息!D:D,辅助信息!E:E=B1925)</f>
        <v>华西简阳西城嘉苑</v>
      </c>
    </row>
    <row r="1926" hidden="1" spans="1:18">
      <c r="A1926" s="72" t="s">
        <v>175</v>
      </c>
      <c r="B1926" s="41" t="s">
        <v>81</v>
      </c>
      <c r="C1926" s="71">
        <v>45830</v>
      </c>
      <c r="D1926" s="121" t="str">
        <f>VLOOKUP(B1926,辅助信息!E:K,7,FALSE)</f>
        <v>JWDDCD2025060900080</v>
      </c>
      <c r="E1926" s="121" t="str">
        <f>VLOOKUP(F1926,辅助信息!A:B,2,FALSE)</f>
        <v>盘螺</v>
      </c>
      <c r="F1926" s="41" t="s">
        <v>49</v>
      </c>
      <c r="G1926" s="37">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128</v>
      </c>
      <c r="Q1926" s="30" t="str">
        <f>VLOOKUP(B1926,辅助信息!E:M,9,FALSE)</f>
        <v>ZTWM-CDGS-XS-2024-0030-华西集采-简州大道</v>
      </c>
      <c r="R1926" s="30" t="str">
        <f>_xlfn._xlws.FILTER(辅助信息!D:D,辅助信息!E:E=B1926)</f>
        <v>华西简阳西城嘉苑</v>
      </c>
    </row>
    <row r="1927" hidden="1" spans="1:18">
      <c r="A1927" s="72"/>
      <c r="B1927" s="41" t="s">
        <v>81</v>
      </c>
      <c r="C1927" s="71">
        <v>45830</v>
      </c>
      <c r="D1927" s="121" t="str">
        <f>VLOOKUP(B1927,辅助信息!E:K,7,FALSE)</f>
        <v>JWDDCD2025060900080</v>
      </c>
      <c r="E1927" s="121" t="str">
        <f>VLOOKUP(F1927,辅助信息!A:B,2,FALSE)</f>
        <v>盘螺</v>
      </c>
      <c r="F1927" s="41" t="s">
        <v>40</v>
      </c>
      <c r="G1927" s="37">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128</v>
      </c>
      <c r="Q1927" s="30" t="str">
        <f>VLOOKUP(B1927,辅助信息!E:M,9,FALSE)</f>
        <v>ZTWM-CDGS-XS-2024-0030-华西集采-简州大道</v>
      </c>
      <c r="R1927" s="30" t="str">
        <f>_xlfn._xlws.FILTER(辅助信息!D:D,辅助信息!E:E=B1927)</f>
        <v>华西简阳西城嘉苑</v>
      </c>
    </row>
    <row r="1928" hidden="1" spans="1:18">
      <c r="A1928" s="72"/>
      <c r="B1928" s="41" t="s">
        <v>81</v>
      </c>
      <c r="C1928" s="71">
        <v>45830</v>
      </c>
      <c r="D1928" s="121" t="str">
        <f>VLOOKUP(B1928,辅助信息!E:K,7,FALSE)</f>
        <v>JWDDCD2025060900080</v>
      </c>
      <c r="E1928" s="121" t="str">
        <f>VLOOKUP(F1928,辅助信息!A:B,2,FALSE)</f>
        <v>盘螺</v>
      </c>
      <c r="F1928" s="41" t="s">
        <v>41</v>
      </c>
      <c r="G1928" s="37">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128</v>
      </c>
      <c r="Q1928" s="30" t="str">
        <f>VLOOKUP(B1928,辅助信息!E:M,9,FALSE)</f>
        <v>ZTWM-CDGS-XS-2024-0030-华西集采-简州大道</v>
      </c>
      <c r="R1928" s="30" t="str">
        <f>_xlfn._xlws.FILTER(辅助信息!D:D,辅助信息!E:E=B1928)</f>
        <v>华西简阳西城嘉苑</v>
      </c>
    </row>
    <row r="1929" hidden="1" spans="1:18">
      <c r="A1929" s="72"/>
      <c r="B1929" s="41" t="s">
        <v>81</v>
      </c>
      <c r="C1929" s="71">
        <v>45830</v>
      </c>
      <c r="D1929" s="121" t="str">
        <f>VLOOKUP(B1929,辅助信息!E:K,7,FALSE)</f>
        <v>JWDDCD2025060900080</v>
      </c>
      <c r="E1929" s="121" t="str">
        <f>VLOOKUP(F1929,辅助信息!A:B,2,FALSE)</f>
        <v>盘螺</v>
      </c>
      <c r="F1929" s="41" t="s">
        <v>26</v>
      </c>
      <c r="G1929" s="37">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128</v>
      </c>
      <c r="Q1929" s="30" t="str">
        <f>VLOOKUP(B1929,辅助信息!E:M,9,FALSE)</f>
        <v>ZTWM-CDGS-XS-2024-0030-华西集采-简州大道</v>
      </c>
      <c r="R1929" s="30" t="str">
        <f>_xlfn._xlws.FILTER(辅助信息!D:D,辅助信息!E:E=B1929)</f>
        <v>华西简阳西城嘉苑</v>
      </c>
    </row>
    <row r="1930" hidden="1" spans="1:18">
      <c r="A1930" s="72"/>
      <c r="B1930" s="41" t="s">
        <v>81</v>
      </c>
      <c r="C1930" s="71">
        <v>45830</v>
      </c>
      <c r="D1930" s="121" t="str">
        <f>VLOOKUP(B1930,辅助信息!E:K,7,FALSE)</f>
        <v>JWDDCD2025060900080</v>
      </c>
      <c r="E1930" s="121" t="str">
        <f>VLOOKUP(F1930,辅助信息!A:B,2,FALSE)</f>
        <v>螺纹钢</v>
      </c>
      <c r="F1930" s="41" t="s">
        <v>19</v>
      </c>
      <c r="G1930" s="37">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128</v>
      </c>
      <c r="Q1930" s="30" t="str">
        <f>VLOOKUP(B1930,辅助信息!E:M,9,FALSE)</f>
        <v>ZTWM-CDGS-XS-2024-0030-华西集采-简州大道</v>
      </c>
      <c r="R1930" s="30" t="str">
        <f>_xlfn._xlws.FILTER(辅助信息!D:D,辅助信息!E:E=B1930)</f>
        <v>华西简阳西城嘉苑</v>
      </c>
    </row>
    <row r="1931" hidden="1" spans="1:18">
      <c r="A1931" s="72"/>
      <c r="B1931" s="41" t="s">
        <v>81</v>
      </c>
      <c r="C1931" s="71">
        <v>45830</v>
      </c>
      <c r="D1931" s="121" t="str">
        <f>VLOOKUP(B1931,辅助信息!E:K,7,FALSE)</f>
        <v>JWDDCD2025060900080</v>
      </c>
      <c r="E1931" s="121" t="str">
        <f>VLOOKUP(F1931,辅助信息!A:B,2,FALSE)</f>
        <v>螺纹钢</v>
      </c>
      <c r="F1931" s="41" t="s">
        <v>32</v>
      </c>
      <c r="G1931" s="37">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128</v>
      </c>
      <c r="Q1931" s="30" t="str">
        <f>VLOOKUP(B1931,辅助信息!E:M,9,FALSE)</f>
        <v>ZTWM-CDGS-XS-2024-0030-华西集采-简州大道</v>
      </c>
      <c r="R1931" s="30" t="str">
        <f>_xlfn._xlws.FILTER(辅助信息!D:D,辅助信息!E:E=B1931)</f>
        <v>华西简阳西城嘉苑</v>
      </c>
    </row>
    <row r="1932" hidden="1" spans="1:18">
      <c r="A1932" s="72"/>
      <c r="B1932" s="41" t="s">
        <v>81</v>
      </c>
      <c r="C1932" s="71">
        <v>45830</v>
      </c>
      <c r="D1932" s="121" t="str">
        <f>VLOOKUP(B1932,辅助信息!E:K,7,FALSE)</f>
        <v>JWDDCD2025060900080</v>
      </c>
      <c r="E1932" s="121" t="str">
        <f>VLOOKUP(F1932,辅助信息!A:B,2,FALSE)</f>
        <v>螺纹钢</v>
      </c>
      <c r="F1932" s="41" t="s">
        <v>30</v>
      </c>
      <c r="G1932" s="37">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128</v>
      </c>
      <c r="Q1932" s="30" t="str">
        <f>VLOOKUP(B1932,辅助信息!E:M,9,FALSE)</f>
        <v>ZTWM-CDGS-XS-2024-0030-华西集采-简州大道</v>
      </c>
      <c r="R1932" s="30" t="str">
        <f>_xlfn._xlws.FILTER(辅助信息!D:D,辅助信息!E:E=B1932)</f>
        <v>华西简阳西城嘉苑</v>
      </c>
    </row>
    <row r="1933" hidden="1" spans="1:18">
      <c r="A1933" s="72"/>
      <c r="B1933" s="41" t="s">
        <v>81</v>
      </c>
      <c r="C1933" s="71">
        <v>45830</v>
      </c>
      <c r="D1933" s="121" t="str">
        <f>VLOOKUP(B1933,辅助信息!E:K,7,FALSE)</f>
        <v>JWDDCD2025060900080</v>
      </c>
      <c r="E1933" s="121" t="str">
        <f>VLOOKUP(F1933,辅助信息!A:B,2,FALSE)</f>
        <v>螺纹钢</v>
      </c>
      <c r="F1933" s="41" t="s">
        <v>33</v>
      </c>
      <c r="G1933" s="37">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128</v>
      </c>
      <c r="Q1933" s="30" t="str">
        <f>VLOOKUP(B1933,辅助信息!E:M,9,FALSE)</f>
        <v>ZTWM-CDGS-XS-2024-0030-华西集采-简州大道</v>
      </c>
      <c r="R1933" s="30" t="str">
        <f>_xlfn._xlws.FILTER(辅助信息!D:D,辅助信息!E:E=B1933)</f>
        <v>华西简阳西城嘉苑</v>
      </c>
    </row>
    <row r="1934" hidden="1" spans="1:18">
      <c r="A1934" s="72"/>
      <c r="B1934" s="41" t="s">
        <v>81</v>
      </c>
      <c r="C1934" s="71">
        <v>45830</v>
      </c>
      <c r="D1934" s="121" t="str">
        <f>VLOOKUP(B1934,辅助信息!E:K,7,FALSE)</f>
        <v>JWDDCD2025060900080</v>
      </c>
      <c r="E1934" s="121" t="str">
        <f>VLOOKUP(F1934,辅助信息!A:B,2,FALSE)</f>
        <v>螺纹钢</v>
      </c>
      <c r="F1934" s="41" t="s">
        <v>28</v>
      </c>
      <c r="G1934" s="37">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128</v>
      </c>
      <c r="Q1934" s="30" t="str">
        <f>VLOOKUP(B1934,辅助信息!E:M,9,FALSE)</f>
        <v>ZTWM-CDGS-XS-2024-0030-华西集采-简州大道</v>
      </c>
      <c r="R1934" s="30" t="str">
        <f>_xlfn._xlws.FILTER(辅助信息!D:D,辅助信息!E:E=B1934)</f>
        <v>华西简阳西城嘉苑</v>
      </c>
    </row>
    <row r="1935" hidden="1" spans="1:18">
      <c r="A1935" s="72"/>
      <c r="B1935" s="41" t="s">
        <v>81</v>
      </c>
      <c r="C1935" s="71">
        <v>45830</v>
      </c>
      <c r="D1935" s="121" t="str">
        <f>VLOOKUP(B1935,辅助信息!E:K,7,FALSE)</f>
        <v>JWDDCD2025060900080</v>
      </c>
      <c r="E1935" s="121" t="str">
        <f>VLOOKUP(F1935,辅助信息!A:B,2,FALSE)</f>
        <v>螺纹钢</v>
      </c>
      <c r="F1935" s="41" t="s">
        <v>18</v>
      </c>
      <c r="G1935" s="37">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128</v>
      </c>
      <c r="Q1935" s="30" t="str">
        <f>VLOOKUP(B1935,辅助信息!E:M,9,FALSE)</f>
        <v>ZTWM-CDGS-XS-2024-0030-华西集采-简州大道</v>
      </c>
      <c r="R1935" s="30" t="str">
        <f>_xlfn._xlws.FILTER(辅助信息!D:D,辅助信息!E:E=B1935)</f>
        <v>华西简阳西城嘉苑</v>
      </c>
    </row>
    <row r="1936" hidden="1" spans="2:18">
      <c r="B1936" s="41" t="s">
        <v>47</v>
      </c>
      <c r="C1936" s="71">
        <v>45828</v>
      </c>
      <c r="D1936" s="121" t="str">
        <f>VLOOKUP(B1936,辅助信息!E:K,7,FALSE)</f>
        <v>JWDDCD2025052800131</v>
      </c>
      <c r="E1936" s="121" t="str">
        <f>VLOOKUP(F1936,辅助信息!A:B,2,FALSE)</f>
        <v>盘螺</v>
      </c>
      <c r="F1936" s="41" t="s">
        <v>40</v>
      </c>
      <c r="G1936" s="37">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129</v>
      </c>
      <c r="Q1936" s="30" t="str">
        <f>VLOOKUP(B1936,辅助信息!E:M,9,FALSE)</f>
        <v>ZTWM-CDGS-XS-2024-0134-商投建工达州中医药科技成果示范园项目</v>
      </c>
      <c r="R1936" s="30" t="str">
        <f>_xlfn._xlws.FILTER(辅助信息!D:D,辅助信息!E:E=B1936)</f>
        <v>商投建工达州中医药科技园</v>
      </c>
    </row>
    <row r="1937" hidden="1" spans="2:18">
      <c r="B1937" s="41" t="s">
        <v>47</v>
      </c>
      <c r="C1937" s="71">
        <v>45828</v>
      </c>
      <c r="D1937" s="121" t="str">
        <f>VLOOKUP(B1937,辅助信息!E:K,7,FALSE)</f>
        <v>JWDDCD2025052800131</v>
      </c>
      <c r="E1937" s="121" t="str">
        <f>VLOOKUP(F1937,辅助信息!A:B,2,FALSE)</f>
        <v>盘螺</v>
      </c>
      <c r="F1937" s="41" t="s">
        <v>41</v>
      </c>
      <c r="G1937" s="37">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129</v>
      </c>
      <c r="Q1937" s="30" t="str">
        <f>VLOOKUP(B1937,辅助信息!E:M,9,FALSE)</f>
        <v>ZTWM-CDGS-XS-2024-0134-商投建工达州中医药科技成果示范园项目</v>
      </c>
      <c r="R1937" s="30" t="str">
        <f>_xlfn._xlws.FILTER(辅助信息!D:D,辅助信息!E:E=B1937)</f>
        <v>商投建工达州中医药科技园</v>
      </c>
    </row>
    <row r="1938" hidden="1" spans="2:18">
      <c r="B1938" s="41" t="s">
        <v>47</v>
      </c>
      <c r="C1938" s="71">
        <v>45828</v>
      </c>
      <c r="D1938" s="121" t="str">
        <f>VLOOKUP(B1938,辅助信息!E:K,7,FALSE)</f>
        <v>JWDDCD2025052800131</v>
      </c>
      <c r="E1938" s="121" t="str">
        <f>VLOOKUP(F1938,辅助信息!A:B,2,FALSE)</f>
        <v>螺纹钢</v>
      </c>
      <c r="F1938" s="41" t="s">
        <v>30</v>
      </c>
      <c r="G1938" s="37">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129</v>
      </c>
      <c r="Q1938" s="30" t="str">
        <f>VLOOKUP(B1938,辅助信息!E:M,9,FALSE)</f>
        <v>ZTWM-CDGS-XS-2024-0134-商投建工达州中医药科技成果示范园项目</v>
      </c>
      <c r="R1938" s="30" t="str">
        <f>_xlfn._xlws.FILTER(辅助信息!D:D,辅助信息!E:E=B1938)</f>
        <v>商投建工达州中医药科技园</v>
      </c>
    </row>
    <row r="1939" hidden="1" spans="2:18">
      <c r="B1939" s="41" t="s">
        <v>47</v>
      </c>
      <c r="C1939" s="71">
        <v>45828</v>
      </c>
      <c r="D1939" s="121" t="str">
        <f>VLOOKUP(B1939,辅助信息!E:K,7,FALSE)</f>
        <v>JWDDCD2025052800131</v>
      </c>
      <c r="E1939" s="121" t="str">
        <f>VLOOKUP(F1939,辅助信息!A:B,2,FALSE)</f>
        <v>螺纹钢</v>
      </c>
      <c r="F1939" s="41" t="s">
        <v>33</v>
      </c>
      <c r="G1939" s="37">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129</v>
      </c>
      <c r="Q1939" s="30" t="str">
        <f>VLOOKUP(B1939,辅助信息!E:M,9,FALSE)</f>
        <v>ZTWM-CDGS-XS-2024-0134-商投建工达州中医药科技成果示范园项目</v>
      </c>
      <c r="R1939" s="30" t="str">
        <f>_xlfn._xlws.FILTER(辅助信息!D:D,辅助信息!E:E=B1939)</f>
        <v>商投建工达州中医药科技园</v>
      </c>
    </row>
    <row r="1940" hidden="1" spans="2:18">
      <c r="B1940" s="41" t="s">
        <v>56</v>
      </c>
      <c r="C1940" s="71">
        <v>45830</v>
      </c>
      <c r="D1940" s="121" t="str">
        <f>VLOOKUP(B1940,辅助信息!E:K,7,FALSE)</f>
        <v>JWDDCD2025052800131</v>
      </c>
      <c r="E1940" s="121" t="str">
        <f>VLOOKUP(F1940,辅助信息!A:B,2,FALSE)</f>
        <v>盘螺</v>
      </c>
      <c r="F1940" s="41" t="s">
        <v>40</v>
      </c>
      <c r="G1940" s="37">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128</v>
      </c>
      <c r="Q1940" s="30" t="str">
        <f>VLOOKUP(B1940,辅助信息!E:M,9,FALSE)</f>
        <v>ZTWM-CDGS-XS-2024-0134-商投建工达州中医药科技成果示范园项目</v>
      </c>
      <c r="R1940" s="30" t="str">
        <f>_xlfn._xlws.FILTER(辅助信息!D:D,辅助信息!E:E=B1940)</f>
        <v>商投建工达州中医药科技园</v>
      </c>
    </row>
    <row r="1941" hidden="1" spans="2:18">
      <c r="B1941" s="41" t="s">
        <v>31</v>
      </c>
      <c r="C1941" s="71">
        <v>45830</v>
      </c>
      <c r="D1941" s="121" t="str">
        <f>VLOOKUP(B1941,辅助信息!E:K,7,FALSE)</f>
        <v>JWDDCD2024121000136</v>
      </c>
      <c r="E1941" s="121" t="str">
        <f>VLOOKUP(F1941,辅助信息!A:B,2,FALSE)</f>
        <v>螺纹钢</v>
      </c>
      <c r="F1941" s="41" t="s">
        <v>58</v>
      </c>
      <c r="G1941" s="37">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128</v>
      </c>
      <c r="Q1941" s="30" t="str">
        <f>VLOOKUP(B1941,辅助信息!E:M,9,FALSE)</f>
        <v>ZTWM-CDGS-XS-2024-0179-四川商投-射洪城乡一体化建设项目</v>
      </c>
      <c r="R1941" s="30" t="str">
        <f>_xlfn._xlws.FILTER(辅助信息!D:D,辅助信息!E:E=B1941)</f>
        <v>四川商建
射洪城乡一体化项目</v>
      </c>
    </row>
    <row r="1942" hidden="1" spans="2:18">
      <c r="B1942" s="41" t="s">
        <v>31</v>
      </c>
      <c r="C1942" s="71">
        <v>45830</v>
      </c>
      <c r="D1942" s="121" t="str">
        <f>VLOOKUP(B1942,辅助信息!E:K,7,FALSE)</f>
        <v>JWDDCD2024121000136</v>
      </c>
      <c r="E1942" s="121" t="str">
        <f>VLOOKUP(F1942,辅助信息!A:B,2,FALSE)</f>
        <v>螺纹钢</v>
      </c>
      <c r="F1942" s="41" t="s">
        <v>46</v>
      </c>
      <c r="G1942" s="37">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128</v>
      </c>
      <c r="Q1942" s="30" t="str">
        <f>VLOOKUP(B1942,辅助信息!E:M,9,FALSE)</f>
        <v>ZTWM-CDGS-XS-2024-0179-四川商投-射洪城乡一体化建设项目</v>
      </c>
      <c r="R1942" s="30" t="str">
        <f>_xlfn._xlws.FILTER(辅助信息!D:D,辅助信息!E:E=B1942)</f>
        <v>四川商建
射洪城乡一体化项目</v>
      </c>
    </row>
    <row r="1943" hidden="1" spans="2:18">
      <c r="B1943" s="41" t="s">
        <v>31</v>
      </c>
      <c r="C1943" s="71">
        <v>45830</v>
      </c>
      <c r="D1943" s="121" t="str">
        <f>VLOOKUP(B1943,辅助信息!E:K,7,FALSE)</f>
        <v>JWDDCD2024121000136</v>
      </c>
      <c r="E1943" s="121" t="str">
        <f>VLOOKUP(F1943,辅助信息!A:B,2,FALSE)</f>
        <v>螺纹钢</v>
      </c>
      <c r="F1943" s="41" t="s">
        <v>22</v>
      </c>
      <c r="G1943" s="37">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128</v>
      </c>
      <c r="Q1943" s="30" t="str">
        <f>VLOOKUP(B1943,辅助信息!E:M,9,FALSE)</f>
        <v>ZTWM-CDGS-XS-2024-0179-四川商投-射洪城乡一体化建设项目</v>
      </c>
      <c r="R1943" s="30" t="str">
        <f>_xlfn._xlws.FILTER(辅助信息!D:D,辅助信息!E:E=B1943)</f>
        <v>四川商建
射洪城乡一体化项目</v>
      </c>
    </row>
    <row r="1944" hidden="1" spans="2:17">
      <c r="B1944" s="41" t="s">
        <v>176</v>
      </c>
      <c r="C1944" s="71">
        <v>45832</v>
      </c>
      <c r="D1944" s="121" t="str">
        <f>VLOOKUP(B1944,辅助信息!E:K,7,FALSE)</f>
        <v>JWDDCD2025062200016</v>
      </c>
      <c r="E1944" s="121" t="str">
        <f>VLOOKUP(F1944,辅助信息!A:B,2,FALSE)</f>
        <v>高线</v>
      </c>
      <c r="F1944" s="41" t="s">
        <v>53</v>
      </c>
      <c r="G1944" s="37">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128</v>
      </c>
      <c r="Q1944" s="30" t="str">
        <f>VLOOKUP(B1944,辅助信息!E:M,9,FALSE)</f>
        <v>ZTWM-CDGS-XS-2025-0033-中铁武汉电气化局集团有限公司成达万高速铁路强电工程项目</v>
      </c>
    </row>
    <row r="1945" hidden="1" spans="2:17">
      <c r="B1945" s="41" t="s">
        <v>176</v>
      </c>
      <c r="C1945" s="71">
        <v>45832</v>
      </c>
      <c r="D1945" s="121" t="str">
        <f>VLOOKUP(B1945,辅助信息!E:K,7,FALSE)</f>
        <v>JWDDCD2025062200016</v>
      </c>
      <c r="E1945" s="121" t="str">
        <f>VLOOKUP(F1945,辅助信息!A:B,2,FALSE)</f>
        <v>盘螺</v>
      </c>
      <c r="F1945" s="41" t="s">
        <v>40</v>
      </c>
      <c r="G1945" s="37">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128</v>
      </c>
      <c r="Q1945" s="30" t="str">
        <f>VLOOKUP(B1945,辅助信息!E:M,9,FALSE)</f>
        <v>ZTWM-CDGS-XS-2025-0033-中铁武汉电气化局集团有限公司成达万高速铁路强电工程项目</v>
      </c>
    </row>
    <row r="1946" hidden="1" spans="2:17">
      <c r="B1946" s="41" t="s">
        <v>176</v>
      </c>
      <c r="C1946" s="71">
        <v>45832</v>
      </c>
      <c r="D1946" s="121" t="str">
        <f>VLOOKUP(B1946,辅助信息!E:K,7,FALSE)</f>
        <v>JWDDCD2025062200016</v>
      </c>
      <c r="E1946" s="121" t="str">
        <f>VLOOKUP(F1946,辅助信息!A:B,2,FALSE)</f>
        <v>盘螺</v>
      </c>
      <c r="F1946" s="41" t="s">
        <v>41</v>
      </c>
      <c r="G1946" s="37">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128</v>
      </c>
      <c r="Q1946" s="30" t="str">
        <f>VLOOKUP(B1946,辅助信息!E:M,9,FALSE)</f>
        <v>ZTWM-CDGS-XS-2025-0033-中铁武汉电气化局集团有限公司成达万高速铁路强电工程项目</v>
      </c>
    </row>
    <row r="1947" hidden="1" spans="2:17">
      <c r="B1947" s="41" t="s">
        <v>176</v>
      </c>
      <c r="C1947" s="71">
        <v>45832</v>
      </c>
      <c r="D1947" s="121" t="str">
        <f>VLOOKUP(B1947,辅助信息!E:K,7,FALSE)</f>
        <v>JWDDCD2025062200016</v>
      </c>
      <c r="E1947" s="121" t="str">
        <f>VLOOKUP(F1947,辅助信息!A:B,2,FALSE)</f>
        <v>螺纹钢</v>
      </c>
      <c r="F1947" s="41" t="s">
        <v>111</v>
      </c>
      <c r="G1947" s="37">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128</v>
      </c>
      <c r="Q1947" s="30" t="str">
        <f>VLOOKUP(B1947,辅助信息!E:M,9,FALSE)</f>
        <v>ZTWM-CDGS-XS-2025-0033-中铁武汉电气化局集团有限公司成达万高速铁路强电工程项目</v>
      </c>
    </row>
    <row r="1948" hidden="1" spans="2:17">
      <c r="B1948" s="41" t="s">
        <v>176</v>
      </c>
      <c r="C1948" s="71">
        <v>45832</v>
      </c>
      <c r="D1948" s="121" t="str">
        <f>VLOOKUP(B1948,辅助信息!E:K,7,FALSE)</f>
        <v>JWDDCD2025062200016</v>
      </c>
      <c r="E1948" s="121" t="str">
        <f>VLOOKUP(F1948,辅助信息!A:B,2,FALSE)</f>
        <v>螺纹钢</v>
      </c>
      <c r="F1948" s="41" t="s">
        <v>76</v>
      </c>
      <c r="G1948" s="37">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128</v>
      </c>
      <c r="Q1948" s="30" t="str">
        <f>VLOOKUP(B1948,辅助信息!E:M,9,FALSE)</f>
        <v>ZTWM-CDGS-XS-2025-0033-中铁武汉电气化局集团有限公司成达万高速铁路强电工程项目</v>
      </c>
    </row>
    <row r="1949" hidden="1" spans="2:17">
      <c r="B1949" s="41" t="s">
        <v>176</v>
      </c>
      <c r="C1949" s="71">
        <v>45832</v>
      </c>
      <c r="D1949" s="121" t="str">
        <f>VLOOKUP(B1949,辅助信息!E:K,7,FALSE)</f>
        <v>JWDDCD2025062200016</v>
      </c>
      <c r="E1949" s="121" t="str">
        <f>VLOOKUP(F1949,辅助信息!A:B,2,FALSE)</f>
        <v>螺纹钢</v>
      </c>
      <c r="F1949" s="41" t="s">
        <v>90</v>
      </c>
      <c r="G1949" s="37">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128</v>
      </c>
      <c r="Q1949" s="30" t="str">
        <f>VLOOKUP(B1949,辅助信息!E:M,9,FALSE)</f>
        <v>ZTWM-CDGS-XS-2025-0033-中铁武汉电气化局集团有限公司成达万高速铁路强电工程项目</v>
      </c>
    </row>
    <row r="1950" hidden="1" spans="2:17">
      <c r="B1950" s="41" t="s">
        <v>176</v>
      </c>
      <c r="C1950" s="71">
        <v>45832</v>
      </c>
      <c r="D1950" s="121" t="str">
        <f>VLOOKUP(B1950,辅助信息!E:K,7,FALSE)</f>
        <v>JWDDCD2025062200016</v>
      </c>
      <c r="E1950" s="121" t="str">
        <f>VLOOKUP(F1950,辅助信息!A:B,2,FALSE)</f>
        <v>螺纹钢</v>
      </c>
      <c r="F1950" s="41" t="s">
        <v>130</v>
      </c>
      <c r="G1950" s="37">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128</v>
      </c>
      <c r="Q1950" s="30" t="str">
        <f>VLOOKUP(B1950,辅助信息!E:M,9,FALSE)</f>
        <v>ZTWM-CDGS-XS-2025-0033-中铁武汉电气化局集团有限公司成达万高速铁路强电工程项目</v>
      </c>
    </row>
    <row r="1951" hidden="1" spans="2:17">
      <c r="B1951" s="41" t="s">
        <v>176</v>
      </c>
      <c r="C1951" s="71">
        <v>45832</v>
      </c>
      <c r="D1951" s="121" t="str">
        <f>VLOOKUP(B1951,辅助信息!E:K,7,FALSE)</f>
        <v>JWDDCD2025062200016</v>
      </c>
      <c r="E1951" s="121" t="str">
        <f>VLOOKUP(F1951,辅助信息!A:B,2,FALSE)</f>
        <v>螺纹钢</v>
      </c>
      <c r="F1951" s="41" t="s">
        <v>138</v>
      </c>
      <c r="G1951" s="37">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128</v>
      </c>
      <c r="Q1951" s="30" t="str">
        <f>VLOOKUP(B1951,辅助信息!E:M,9,FALSE)</f>
        <v>ZTWM-CDGS-XS-2025-0033-中铁武汉电气化局集团有限公司成达万高速铁路强电工程项目</v>
      </c>
    </row>
    <row r="1952" hidden="1" spans="2:17">
      <c r="B1952" s="41" t="s">
        <v>176</v>
      </c>
      <c r="C1952" s="71">
        <v>45832</v>
      </c>
      <c r="D1952" s="121" t="str">
        <f>VLOOKUP(B1952,辅助信息!E:K,7,FALSE)</f>
        <v>JWDDCD2025062200016</v>
      </c>
      <c r="E1952" s="121" t="str">
        <f>VLOOKUP(F1952,辅助信息!A:B,2,FALSE)</f>
        <v>螺纹钢</v>
      </c>
      <c r="F1952" s="41" t="s">
        <v>133</v>
      </c>
      <c r="G1952" s="37">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128</v>
      </c>
      <c r="Q1952" s="30" t="str">
        <f>VLOOKUP(B1952,辅助信息!E:M,9,FALSE)</f>
        <v>ZTWM-CDGS-XS-2025-0033-中铁武汉电气化局集团有限公司成达万高速铁路强电工程项目</v>
      </c>
    </row>
    <row r="1953" hidden="1" spans="2:17">
      <c r="B1953" s="41" t="s">
        <v>176</v>
      </c>
      <c r="C1953" s="71">
        <v>45832</v>
      </c>
      <c r="D1953" s="121" t="str">
        <f>VLOOKUP(B1953,辅助信息!E:K,7,FALSE)</f>
        <v>JWDDCD2025062200016</v>
      </c>
      <c r="E1953" s="121" t="str">
        <f>VLOOKUP(F1953,辅助信息!A:B,2,FALSE)</f>
        <v>螺纹钢</v>
      </c>
      <c r="F1953" s="41" t="s">
        <v>91</v>
      </c>
      <c r="G1953" s="37">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128</v>
      </c>
      <c r="Q1953" s="30" t="str">
        <f>VLOOKUP(B1953,辅助信息!E:M,9,FALSE)</f>
        <v>ZTWM-CDGS-XS-2025-0033-中铁武汉电气化局集团有限公司成达万高速铁路强电工程项目</v>
      </c>
    </row>
    <row r="1954" hidden="1" spans="2:17">
      <c r="B1954" s="41" t="s">
        <v>177</v>
      </c>
      <c r="C1954" s="71">
        <v>45832</v>
      </c>
      <c r="D1954" s="121" t="str">
        <f>VLOOKUP(B1954,辅助信息!E:K,7,FALSE)</f>
        <v>JWDDCD2025062200016</v>
      </c>
      <c r="E1954" s="121" t="str">
        <f>VLOOKUP(F1954,辅助信息!A:B,2,FALSE)</f>
        <v>高线</v>
      </c>
      <c r="F1954" s="41" t="s">
        <v>57</v>
      </c>
      <c r="G1954" s="37">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128</v>
      </c>
      <c r="Q1954" s="30" t="str">
        <f>VLOOKUP(B1954,辅助信息!E:M,9,FALSE)</f>
        <v>ZTWM-CDGS-XS-2025-0033-中铁武汉电气化局集团有限公司成达万高速铁路强电工程项目</v>
      </c>
    </row>
    <row r="1955" hidden="1" spans="2:17">
      <c r="B1955" s="41" t="s">
        <v>177</v>
      </c>
      <c r="C1955" s="71">
        <v>45832</v>
      </c>
      <c r="D1955" s="121" t="str">
        <f>VLOOKUP(B1955,辅助信息!E:K,7,FALSE)</f>
        <v>JWDDCD2025062200016</v>
      </c>
      <c r="E1955" s="121" t="str">
        <f>VLOOKUP(F1955,辅助信息!A:B,2,FALSE)</f>
        <v>盘螺</v>
      </c>
      <c r="F1955" s="41" t="s">
        <v>40</v>
      </c>
      <c r="G1955" s="37">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128</v>
      </c>
      <c r="Q1955" s="30" t="str">
        <f>VLOOKUP(B1955,辅助信息!E:M,9,FALSE)</f>
        <v>ZTWM-CDGS-XS-2025-0033-中铁武汉电气化局集团有限公司成达万高速铁路强电工程项目</v>
      </c>
    </row>
    <row r="1956" hidden="1" spans="2:17">
      <c r="B1956" s="41" t="s">
        <v>177</v>
      </c>
      <c r="C1956" s="71">
        <v>45832</v>
      </c>
      <c r="D1956" s="121" t="str">
        <f>VLOOKUP(B1956,辅助信息!E:K,7,FALSE)</f>
        <v>JWDDCD2025062200016</v>
      </c>
      <c r="E1956" s="121" t="str">
        <f>VLOOKUP(F1956,辅助信息!A:B,2,FALSE)</f>
        <v>盘螺</v>
      </c>
      <c r="F1956" s="41" t="s">
        <v>41</v>
      </c>
      <c r="G1956" s="37">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128</v>
      </c>
      <c r="Q1956" s="30" t="str">
        <f>VLOOKUP(B1956,辅助信息!E:M,9,FALSE)</f>
        <v>ZTWM-CDGS-XS-2025-0033-中铁武汉电气化局集团有限公司成达万高速铁路强电工程项目</v>
      </c>
    </row>
    <row r="1957" hidden="1" spans="2:17">
      <c r="B1957" s="41" t="s">
        <v>177</v>
      </c>
      <c r="C1957" s="71">
        <v>45832</v>
      </c>
      <c r="D1957" s="121" t="str">
        <f>VLOOKUP(B1957,辅助信息!E:K,7,FALSE)</f>
        <v>JWDDCD2025062200016</v>
      </c>
      <c r="E1957" s="121" t="str">
        <f>VLOOKUP(F1957,辅助信息!A:B,2,FALSE)</f>
        <v>螺纹钢</v>
      </c>
      <c r="F1957" s="41" t="s">
        <v>27</v>
      </c>
      <c r="G1957" s="37">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128</v>
      </c>
      <c r="Q1957" s="30" t="str">
        <f>VLOOKUP(B1957,辅助信息!E:M,9,FALSE)</f>
        <v>ZTWM-CDGS-XS-2025-0033-中铁武汉电气化局集团有限公司成达万高速铁路强电工程项目</v>
      </c>
    </row>
    <row r="1958" hidden="1" spans="2:17">
      <c r="B1958" s="41" t="s">
        <v>177</v>
      </c>
      <c r="C1958" s="71">
        <v>45832</v>
      </c>
      <c r="D1958" s="121" t="str">
        <f>VLOOKUP(B1958,辅助信息!E:K,7,FALSE)</f>
        <v>JWDDCD2025062200016</v>
      </c>
      <c r="E1958" s="121" t="str">
        <f>VLOOKUP(F1958,辅助信息!A:B,2,FALSE)</f>
        <v>螺纹钢</v>
      </c>
      <c r="F1958" s="41" t="s">
        <v>19</v>
      </c>
      <c r="G1958" s="37">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128</v>
      </c>
      <c r="Q1958" s="30" t="str">
        <f>VLOOKUP(B1958,辅助信息!E:M,9,FALSE)</f>
        <v>ZTWM-CDGS-XS-2025-0033-中铁武汉电气化局集团有限公司成达万高速铁路强电工程项目</v>
      </c>
    </row>
    <row r="1959" hidden="1" spans="2:17">
      <c r="B1959" s="41" t="s">
        <v>177</v>
      </c>
      <c r="C1959" s="71">
        <v>45832</v>
      </c>
      <c r="D1959" s="121" t="str">
        <f>VLOOKUP(B1959,辅助信息!E:K,7,FALSE)</f>
        <v>JWDDCD2025062200016</v>
      </c>
      <c r="E1959" s="121" t="str">
        <f>VLOOKUP(F1959,辅助信息!A:B,2,FALSE)</f>
        <v>螺纹钢</v>
      </c>
      <c r="F1959" s="41" t="s">
        <v>32</v>
      </c>
      <c r="G1959" s="37">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128</v>
      </c>
      <c r="Q1959" s="30" t="str">
        <f>VLOOKUP(B1959,辅助信息!E:M,9,FALSE)</f>
        <v>ZTWM-CDGS-XS-2025-0033-中铁武汉电气化局集团有限公司成达万高速铁路强电工程项目</v>
      </c>
    </row>
    <row r="1960" hidden="1" spans="2:17">
      <c r="B1960" s="41" t="s">
        <v>177</v>
      </c>
      <c r="C1960" s="71">
        <v>45832</v>
      </c>
      <c r="D1960" s="121" t="str">
        <f>VLOOKUP(B1960,辅助信息!E:K,7,FALSE)</f>
        <v>JWDDCD2025062200016</v>
      </c>
      <c r="E1960" s="121" t="str">
        <f>VLOOKUP(F1960,辅助信息!A:B,2,FALSE)</f>
        <v>螺纹钢</v>
      </c>
      <c r="F1960" s="41" t="s">
        <v>33</v>
      </c>
      <c r="G1960" s="37">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128</v>
      </c>
      <c r="Q1960" s="30" t="str">
        <f>VLOOKUP(B1960,辅助信息!E:M,9,FALSE)</f>
        <v>ZTWM-CDGS-XS-2025-0033-中铁武汉电气化局集团有限公司成达万高速铁路强电工程项目</v>
      </c>
    </row>
    <row r="1961" hidden="1" spans="2:17">
      <c r="B1961" s="41" t="s">
        <v>177</v>
      </c>
      <c r="C1961" s="71">
        <v>45832</v>
      </c>
      <c r="D1961" s="121" t="str">
        <f>VLOOKUP(B1961,辅助信息!E:K,7,FALSE)</f>
        <v>JWDDCD2025062200016</v>
      </c>
      <c r="E1961" s="121" t="str">
        <f>VLOOKUP(F1961,辅助信息!A:B,2,FALSE)</f>
        <v>螺纹钢</v>
      </c>
      <c r="F1961" s="41" t="s">
        <v>130</v>
      </c>
      <c r="G1961" s="37">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128</v>
      </c>
      <c r="Q1961" s="30"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128</v>
      </c>
      <c r="Q1962" s="30"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128</v>
      </c>
      <c r="Q1963" s="30"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128</v>
      </c>
      <c r="Q1964" s="30"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128</v>
      </c>
      <c r="Q1965" s="30" t="str">
        <f>VLOOKUP(B1965,辅助信息!E:M,9,FALSE)</f>
        <v>ZTWM-CDGS-XS-2024-0030-华西集采-简州大道</v>
      </c>
    </row>
    <row r="1966" hidden="1" spans="1:17">
      <c r="A1966" s="58" t="s">
        <v>178</v>
      </c>
      <c r="B1966" s="41" t="s">
        <v>44</v>
      </c>
      <c r="C1966" s="71">
        <v>45831</v>
      </c>
      <c r="D1966" s="121" t="str">
        <f>VLOOKUP(B1966,辅助信息!E:K,7,FALSE)</f>
        <v>JWDDCD2025060600053</v>
      </c>
      <c r="E1966" s="121" t="str">
        <f>VLOOKUP(F1966,辅助信息!A:B,2,FALSE)</f>
        <v>盘螺</v>
      </c>
      <c r="F1966" s="41" t="s">
        <v>26</v>
      </c>
      <c r="G1966" s="37">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128</v>
      </c>
      <c r="Q1966" s="30" t="str">
        <f>VLOOKUP(B1966,辅助信息!E:M,9,FALSE)</f>
        <v>ZTWM-CDGS-XS-2024-0189-华西集采-酒城南项目</v>
      </c>
    </row>
    <row r="1967" hidden="1" spans="1:18">
      <c r="A1967" s="58" t="s">
        <v>178</v>
      </c>
      <c r="B1967" s="41" t="s">
        <v>151</v>
      </c>
      <c r="C1967" s="71">
        <v>45834</v>
      </c>
      <c r="D1967" s="121" t="str">
        <f>VLOOKUP(B1967,辅助信息!E:K,7,FALSE)</f>
        <v>JWDDCD2025051000019</v>
      </c>
      <c r="E1967" s="121" t="str">
        <f>VLOOKUP(F1967,辅助信息!A:B,2,FALSE)</f>
        <v>螺纹钢</v>
      </c>
      <c r="F1967" s="41" t="s">
        <v>27</v>
      </c>
      <c r="G1967" s="37">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124</v>
      </c>
      <c r="Q1967" s="30" t="str">
        <f>VLOOKUP(B1967,辅助信息!E:M,9,FALSE)</f>
        <v>ZTWM-CDGS-XS-2024-0248-五冶钢构-南充市医学院项目</v>
      </c>
      <c r="R1967" s="30" t="str">
        <f>_xlfn._xlws.FILTER(辅助信息!D:D,辅助信息!E:E=B1967)</f>
        <v>五冶钢构南充医学科学产业园建设项目</v>
      </c>
    </row>
    <row r="1968" hidden="1" spans="2:18">
      <c r="B1968" s="41" t="s">
        <v>151</v>
      </c>
      <c r="C1968" s="71">
        <v>45834</v>
      </c>
      <c r="D1968" s="121" t="str">
        <f>VLOOKUP(B1968,辅助信息!E:K,7,FALSE)</f>
        <v>JWDDCD2025051000019</v>
      </c>
      <c r="E1968" s="121" t="str">
        <f>VLOOKUP(F1968,辅助信息!A:B,2,FALSE)</f>
        <v>螺纹钢</v>
      </c>
      <c r="F1968" s="41" t="s">
        <v>19</v>
      </c>
      <c r="G1968" s="37">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124</v>
      </c>
      <c r="Q1968" s="30" t="str">
        <f>VLOOKUP(B1968,辅助信息!E:M,9,FALSE)</f>
        <v>ZTWM-CDGS-XS-2024-0248-五冶钢构-南充市医学院项目</v>
      </c>
      <c r="R1968" s="30" t="str">
        <f>_xlfn._xlws.FILTER(辅助信息!D:D,辅助信息!E:E=B1968)</f>
        <v>五冶钢构南充医学科学产业园建设项目</v>
      </c>
    </row>
    <row r="1969" hidden="1" spans="2:18">
      <c r="B1969" s="41" t="s">
        <v>179</v>
      </c>
      <c r="C1969" s="71">
        <v>45834</v>
      </c>
      <c r="D1969" s="121" t="str">
        <f>VLOOKUP(B1969,辅助信息!E:K,7,FALSE)</f>
        <v>JWDDCD2025052800131</v>
      </c>
      <c r="E1969" s="121" t="str">
        <f>VLOOKUP(F1969,辅助信息!A:B,2,FALSE)</f>
        <v>螺纹钢</v>
      </c>
      <c r="F1969" s="41" t="s">
        <v>66</v>
      </c>
      <c r="G1969" s="37">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124</v>
      </c>
      <c r="Q1969" s="30" t="str">
        <f>VLOOKUP(B1969,辅助信息!E:M,9,FALSE)</f>
        <v>ZTWM-CDGS-XS-2024-0134-商投建工达州中医药科技成果示范园项目</v>
      </c>
      <c r="R1969" s="30" t="str">
        <f>_xlfn._xlws.FILTER(辅助信息!D:D,辅助信息!E:E=B1969)</f>
        <v>商投建工达州中医药科技园</v>
      </c>
    </row>
    <row r="1970" hidden="1" spans="2:18">
      <c r="B1970" s="41" t="s">
        <v>179</v>
      </c>
      <c r="C1970" s="71">
        <v>45834</v>
      </c>
      <c r="D1970" s="121" t="str">
        <f>VLOOKUP(B1970,辅助信息!E:K,7,FALSE)</f>
        <v>JWDDCD2025052800131</v>
      </c>
      <c r="E1970" s="121" t="str">
        <f>VLOOKUP(F1970,辅助信息!A:B,2,FALSE)</f>
        <v>螺纹钢</v>
      </c>
      <c r="F1970" s="41" t="s">
        <v>58</v>
      </c>
      <c r="G1970" s="37">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124</v>
      </c>
      <c r="Q1970" s="30" t="str">
        <f>VLOOKUP(B1970,辅助信息!E:M,9,FALSE)</f>
        <v>ZTWM-CDGS-XS-2024-0134-商投建工达州中医药科技成果示范园项目</v>
      </c>
      <c r="R1970" s="30" t="str">
        <f>_xlfn._xlws.FILTER(辅助信息!D:D,辅助信息!E:E=B1970)</f>
        <v>商投建工达州中医药科技园</v>
      </c>
    </row>
    <row r="1971" hidden="1" spans="2:18">
      <c r="B1971" s="41" t="s">
        <v>179</v>
      </c>
      <c r="C1971" s="71">
        <v>45834</v>
      </c>
      <c r="D1971" s="121" t="str">
        <f>VLOOKUP(B1971,辅助信息!E:K,7,FALSE)</f>
        <v>JWDDCD2025052800131</v>
      </c>
      <c r="E1971" s="121" t="str">
        <f>VLOOKUP(F1971,辅助信息!A:B,2,FALSE)</f>
        <v>螺纹钢</v>
      </c>
      <c r="F1971" s="41" t="s">
        <v>22</v>
      </c>
      <c r="G1971" s="37">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124</v>
      </c>
      <c r="Q1971" s="30" t="str">
        <f>VLOOKUP(B1971,辅助信息!E:M,9,FALSE)</f>
        <v>ZTWM-CDGS-XS-2024-0134-商投建工达州中医药科技成果示范园项目</v>
      </c>
      <c r="R1971" s="30" t="str">
        <f>_xlfn._xlws.FILTER(辅助信息!D:D,辅助信息!E:E=B1971)</f>
        <v>商投建工达州中医药科技园</v>
      </c>
    </row>
    <row r="1972" hidden="1" spans="2:18">
      <c r="B1972" s="41" t="s">
        <v>180</v>
      </c>
      <c r="C1972" s="71">
        <v>45834</v>
      </c>
      <c r="D1972" s="121" t="str">
        <f>VLOOKUP(B1972,辅助信息!E:K,7,FALSE)</f>
        <v>JWDDCD2025052800131</v>
      </c>
      <c r="E1972" s="121" t="str">
        <f>VLOOKUP(F1972,辅助信息!A:B,2,FALSE)</f>
        <v>螺纹钢</v>
      </c>
      <c r="F1972" s="41" t="s">
        <v>66</v>
      </c>
      <c r="G1972" s="37">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124</v>
      </c>
      <c r="Q1972" s="30" t="str">
        <f>VLOOKUP(B1972,辅助信息!E:M,9,FALSE)</f>
        <v>ZTWM-CDGS-XS-2024-0134-商投建工达州中医药科技成果示范园项目</v>
      </c>
      <c r="R1972" s="30" t="str">
        <f>_xlfn._xlws.FILTER(辅助信息!D:D,辅助信息!E:E=B1972)</f>
        <v>商投建工达州中医药科技园</v>
      </c>
    </row>
    <row r="1973" hidden="1" spans="2:18">
      <c r="B1973" s="41" t="s">
        <v>180</v>
      </c>
      <c r="C1973" s="71">
        <v>45834</v>
      </c>
      <c r="D1973" s="121" t="str">
        <f>VLOOKUP(B1973,辅助信息!E:K,7,FALSE)</f>
        <v>JWDDCD2025052800131</v>
      </c>
      <c r="E1973" s="121" t="str">
        <f>VLOOKUP(F1973,辅助信息!A:B,2,FALSE)</f>
        <v>螺纹钢</v>
      </c>
      <c r="F1973" s="41" t="s">
        <v>45</v>
      </c>
      <c r="G1973" s="37">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124</v>
      </c>
      <c r="Q1973" s="30" t="str">
        <f>VLOOKUP(B1973,辅助信息!E:M,9,FALSE)</f>
        <v>ZTWM-CDGS-XS-2024-0134-商投建工达州中医药科技成果示范园项目</v>
      </c>
      <c r="R1973" s="30" t="str">
        <f>_xlfn._xlws.FILTER(辅助信息!D:D,辅助信息!E:E=B1973)</f>
        <v>商投建工达州中医药科技园</v>
      </c>
    </row>
    <row r="1974" hidden="1" spans="2:18">
      <c r="B1974" s="41" t="s">
        <v>180</v>
      </c>
      <c r="C1974" s="71">
        <v>45834</v>
      </c>
      <c r="D1974" s="121" t="str">
        <f>VLOOKUP(B1974,辅助信息!E:K,7,FALSE)</f>
        <v>JWDDCD2025052800131</v>
      </c>
      <c r="E1974" s="121" t="str">
        <f>VLOOKUP(F1974,辅助信息!A:B,2,FALSE)</f>
        <v>螺纹钢</v>
      </c>
      <c r="F1974" s="41" t="s">
        <v>21</v>
      </c>
      <c r="G1974" s="37">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124</v>
      </c>
      <c r="Q1974" s="30" t="str">
        <f>VLOOKUP(B1974,辅助信息!E:M,9,FALSE)</f>
        <v>ZTWM-CDGS-XS-2024-0134-商投建工达州中医药科技成果示范园项目</v>
      </c>
      <c r="R1974" s="30" t="str">
        <f>_xlfn._xlws.FILTER(辅助信息!D:D,辅助信息!E:E=B1974)</f>
        <v>商投建工达州中医药科技园</v>
      </c>
    </row>
    <row r="1975" hidden="1" spans="2:18">
      <c r="B1975" s="41" t="s">
        <v>180</v>
      </c>
      <c r="C1975" s="71">
        <v>45834</v>
      </c>
      <c r="D1975" s="121" t="str">
        <f>VLOOKUP(B1975,辅助信息!E:K,7,FALSE)</f>
        <v>JWDDCD2025052800131</v>
      </c>
      <c r="E1975" s="121" t="str">
        <f>VLOOKUP(F1975,辅助信息!A:B,2,FALSE)</f>
        <v>螺纹钢</v>
      </c>
      <c r="F1975" s="41" t="s">
        <v>58</v>
      </c>
      <c r="G1975" s="37">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124</v>
      </c>
      <c r="Q1975" s="30" t="str">
        <f>VLOOKUP(B1975,辅助信息!E:M,9,FALSE)</f>
        <v>ZTWM-CDGS-XS-2024-0134-商投建工达州中医药科技成果示范园项目</v>
      </c>
      <c r="R1975" s="30" t="str">
        <f>_xlfn._xlws.FILTER(辅助信息!D:D,辅助信息!E:E=B1975)</f>
        <v>商投建工达州中医药科技园</v>
      </c>
    </row>
    <row r="1976" hidden="1" spans="2:18">
      <c r="B1976" s="41" t="s">
        <v>180</v>
      </c>
      <c r="C1976" s="71">
        <v>45834</v>
      </c>
      <c r="D1976" s="121" t="str">
        <f>VLOOKUP(B1976,辅助信息!E:K,7,FALSE)</f>
        <v>JWDDCD2025052800131</v>
      </c>
      <c r="E1976" s="121" t="str">
        <f>VLOOKUP(F1976,辅助信息!A:B,2,FALSE)</f>
        <v>螺纹钢</v>
      </c>
      <c r="F1976" s="41" t="s">
        <v>46</v>
      </c>
      <c r="G1976" s="37">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124</v>
      </c>
      <c r="Q1976" s="30" t="str">
        <f>VLOOKUP(B1976,辅助信息!E:M,9,FALSE)</f>
        <v>ZTWM-CDGS-XS-2024-0134-商投建工达州中医药科技成果示范园项目</v>
      </c>
      <c r="R1976" s="30" t="str">
        <f>_xlfn._xlws.FILTER(辅助信息!D:D,辅助信息!E:E=B1976)</f>
        <v>商投建工达州中医药科技园</v>
      </c>
    </row>
    <row r="1977" hidden="1" spans="2:18">
      <c r="B1977" s="41" t="s">
        <v>180</v>
      </c>
      <c r="C1977" s="71">
        <v>45834</v>
      </c>
      <c r="D1977" s="121" t="str">
        <f>VLOOKUP(B1977,辅助信息!E:K,7,FALSE)</f>
        <v>JWDDCD2025052800131</v>
      </c>
      <c r="E1977" s="121" t="str">
        <f>VLOOKUP(F1977,辅助信息!A:B,2,FALSE)</f>
        <v>螺纹钢</v>
      </c>
      <c r="F1977" s="41" t="s">
        <v>22</v>
      </c>
      <c r="G1977" s="37">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124</v>
      </c>
      <c r="Q1977" s="30" t="str">
        <f>VLOOKUP(B1977,辅助信息!E:M,9,FALSE)</f>
        <v>ZTWM-CDGS-XS-2024-0134-商投建工达州中医药科技成果示范园项目</v>
      </c>
      <c r="R1977" s="30" t="str">
        <f>_xlfn._xlws.FILTER(辅助信息!D:D,辅助信息!E:E=B1977)</f>
        <v>商投建工达州中医药科技园</v>
      </c>
    </row>
    <row r="1978" hidden="1" spans="2:18">
      <c r="B1978" s="41" t="s">
        <v>47</v>
      </c>
      <c r="C1978" s="71">
        <v>45834</v>
      </c>
      <c r="D1978" s="121" t="str">
        <f>VLOOKUP(B1978,辅助信息!E:K,7,FALSE)</f>
        <v>JWDDCD2025052800131</v>
      </c>
      <c r="E1978" s="121" t="str">
        <f>VLOOKUP(F1978,辅助信息!A:B,2,FALSE)</f>
        <v>螺纹钢</v>
      </c>
      <c r="F1978" s="41" t="s">
        <v>21</v>
      </c>
      <c r="G1978" s="37">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124</v>
      </c>
      <c r="Q1978" s="30" t="str">
        <f>VLOOKUP(B1978,辅助信息!E:M,9,FALSE)</f>
        <v>ZTWM-CDGS-XS-2024-0134-商投建工达州中医药科技成果示范园项目</v>
      </c>
      <c r="R1978" s="30" t="str">
        <f>_xlfn._xlws.FILTER(辅助信息!D:D,辅助信息!E:E=B1978)</f>
        <v>商投建工达州中医药科技园</v>
      </c>
    </row>
    <row r="1979" hidden="1" spans="2:18">
      <c r="B1979" s="41" t="s">
        <v>47</v>
      </c>
      <c r="C1979" s="71">
        <v>45834</v>
      </c>
      <c r="D1979" s="121" t="str">
        <f>VLOOKUP(B1979,辅助信息!E:K,7,FALSE)</f>
        <v>JWDDCD2025052800131</v>
      </c>
      <c r="E1979" s="121" t="str">
        <f>VLOOKUP(F1979,辅助信息!A:B,2,FALSE)</f>
        <v>螺纹钢</v>
      </c>
      <c r="F1979" s="41" t="s">
        <v>58</v>
      </c>
      <c r="G1979" s="37">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124</v>
      </c>
      <c r="Q1979" s="30" t="str">
        <f>VLOOKUP(B1979,辅助信息!E:M,9,FALSE)</f>
        <v>ZTWM-CDGS-XS-2024-0134-商投建工达州中医药科技成果示范园项目</v>
      </c>
      <c r="R1979" s="30" t="str">
        <f>_xlfn._xlws.FILTER(辅助信息!D:D,辅助信息!E:E=B1979)</f>
        <v>商投建工达州中医药科技园</v>
      </c>
    </row>
    <row r="1980" hidden="1" spans="2:18">
      <c r="B1980" s="41" t="s">
        <v>47</v>
      </c>
      <c r="C1980" s="71">
        <v>45834</v>
      </c>
      <c r="D1980" s="121" t="str">
        <f>VLOOKUP(B1980,辅助信息!E:K,7,FALSE)</f>
        <v>JWDDCD2025052800131</v>
      </c>
      <c r="E1980" s="121" t="str">
        <f>VLOOKUP(F1980,辅助信息!A:B,2,FALSE)</f>
        <v>盘螺</v>
      </c>
      <c r="F1980" s="41" t="s">
        <v>49</v>
      </c>
      <c r="G1980" s="37">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124</v>
      </c>
      <c r="Q1980" s="30" t="str">
        <f>VLOOKUP(B1980,辅助信息!E:M,9,FALSE)</f>
        <v>ZTWM-CDGS-XS-2024-0134-商投建工达州中医药科技成果示范园项目</v>
      </c>
      <c r="R1980" s="30" t="str">
        <f>_xlfn._xlws.FILTER(辅助信息!D:D,辅助信息!E:E=B1980)</f>
        <v>商投建工达州中医药科技园</v>
      </c>
    </row>
    <row r="1981" hidden="1" spans="2:18">
      <c r="B1981" s="41" t="s">
        <v>47</v>
      </c>
      <c r="C1981" s="71">
        <v>45834</v>
      </c>
      <c r="D1981" s="121" t="str">
        <f>VLOOKUP(B1981,辅助信息!E:K,7,FALSE)</f>
        <v>JWDDCD2025052800131</v>
      </c>
      <c r="E1981" s="121" t="str">
        <f>VLOOKUP(F1981,辅助信息!A:B,2,FALSE)</f>
        <v>螺纹钢</v>
      </c>
      <c r="F1981" s="41" t="s">
        <v>27</v>
      </c>
      <c r="G1981" s="37">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124</v>
      </c>
      <c r="Q1981" s="30" t="str">
        <f>VLOOKUP(B1981,辅助信息!E:M,9,FALSE)</f>
        <v>ZTWM-CDGS-XS-2024-0134-商投建工达州中医药科技成果示范园项目</v>
      </c>
      <c r="R1981" s="30" t="str">
        <f>_xlfn._xlws.FILTER(辅助信息!D:D,辅助信息!E:E=B1981)</f>
        <v>商投建工达州中医药科技园</v>
      </c>
    </row>
    <row r="1982" hidden="1" spans="2:18">
      <c r="B1982" s="41" t="s">
        <v>47</v>
      </c>
      <c r="C1982" s="71">
        <v>45834</v>
      </c>
      <c r="D1982" s="121" t="str">
        <f>VLOOKUP(B1982,辅助信息!E:K,7,FALSE)</f>
        <v>JWDDCD2025052800131</v>
      </c>
      <c r="E1982" s="121" t="str">
        <f>VLOOKUP(F1982,辅助信息!A:B,2,FALSE)</f>
        <v>螺纹钢</v>
      </c>
      <c r="F1982" s="41" t="s">
        <v>19</v>
      </c>
      <c r="G1982" s="37">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124</v>
      </c>
      <c r="Q1982" s="30" t="str">
        <f>VLOOKUP(B1982,辅助信息!E:M,9,FALSE)</f>
        <v>ZTWM-CDGS-XS-2024-0134-商投建工达州中医药科技成果示范园项目</v>
      </c>
      <c r="R1982" s="30" t="str">
        <f>_xlfn._xlws.FILTER(辅助信息!D:D,辅助信息!E:E=B1982)</f>
        <v>商投建工达州中医药科技园</v>
      </c>
    </row>
    <row r="1983" hidden="1" spans="2:18">
      <c r="B1983" s="41" t="s">
        <v>47</v>
      </c>
      <c r="C1983" s="71">
        <v>45834</v>
      </c>
      <c r="D1983" s="121" t="str">
        <f>VLOOKUP(B1983,辅助信息!E:K,7,FALSE)</f>
        <v>JWDDCD2025052800131</v>
      </c>
      <c r="E1983" s="121" t="str">
        <f>VLOOKUP(F1983,辅助信息!A:B,2,FALSE)</f>
        <v>螺纹钢</v>
      </c>
      <c r="F1983" s="41" t="s">
        <v>32</v>
      </c>
      <c r="G1983" s="37">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124</v>
      </c>
      <c r="Q1983" s="30" t="str">
        <f>VLOOKUP(B1983,辅助信息!E:M,9,FALSE)</f>
        <v>ZTWM-CDGS-XS-2024-0134-商投建工达州中医药科技成果示范园项目</v>
      </c>
      <c r="R1983" s="30" t="str">
        <f>_xlfn._xlws.FILTER(辅助信息!D:D,辅助信息!E:E=B1983)</f>
        <v>商投建工达州中医药科技园</v>
      </c>
    </row>
    <row r="1984" hidden="1" spans="2:18">
      <c r="B1984" s="41" t="s">
        <v>47</v>
      </c>
      <c r="C1984" s="71">
        <v>45834</v>
      </c>
      <c r="D1984" s="121" t="str">
        <f>VLOOKUP(B1984,辅助信息!E:K,7,FALSE)</f>
        <v>JWDDCD2025052800131</v>
      </c>
      <c r="E1984" s="121" t="str">
        <f>VLOOKUP(F1984,辅助信息!A:B,2,FALSE)</f>
        <v>螺纹钢</v>
      </c>
      <c r="F1984" s="41" t="s">
        <v>45</v>
      </c>
      <c r="G1984" s="37">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124</v>
      </c>
      <c r="Q1984" s="30" t="str">
        <f>VLOOKUP(B1984,辅助信息!E:M,9,FALSE)</f>
        <v>ZTWM-CDGS-XS-2024-0134-商投建工达州中医药科技成果示范园项目</v>
      </c>
      <c r="R1984" s="30" t="str">
        <f>_xlfn._xlws.FILTER(辅助信息!D:D,辅助信息!E:E=B1984)</f>
        <v>商投建工达州中医药科技园</v>
      </c>
    </row>
    <row r="1985" hidden="1" spans="2:18">
      <c r="B1985" s="41" t="s">
        <v>47</v>
      </c>
      <c r="C1985" s="71">
        <v>45834</v>
      </c>
      <c r="D1985" s="121" t="str">
        <f>VLOOKUP(B1985,辅助信息!E:K,7,FALSE)</f>
        <v>JWDDCD2025052800131</v>
      </c>
      <c r="E1985" s="121" t="str">
        <f>VLOOKUP(F1985,辅助信息!A:B,2,FALSE)</f>
        <v>螺纹钢</v>
      </c>
      <c r="F1985" s="41" t="s">
        <v>46</v>
      </c>
      <c r="G1985" s="37">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124</v>
      </c>
      <c r="Q1985" s="30" t="str">
        <f>VLOOKUP(B1985,辅助信息!E:M,9,FALSE)</f>
        <v>ZTWM-CDGS-XS-2024-0134-商投建工达州中医药科技成果示范园项目</v>
      </c>
      <c r="R1985" s="30" t="str">
        <f>_xlfn._xlws.FILTER(辅助信息!D:D,辅助信息!E:E=B1985)</f>
        <v>商投建工达州中医药科技园</v>
      </c>
    </row>
    <row r="1986" hidden="1" spans="2:18">
      <c r="B1986" s="41" t="s">
        <v>47</v>
      </c>
      <c r="C1986" s="71">
        <v>45834</v>
      </c>
      <c r="D1986" s="121" t="str">
        <f>VLOOKUP(B1986,辅助信息!E:K,7,FALSE)</f>
        <v>JWDDCD2025052800131</v>
      </c>
      <c r="E1986" s="121" t="str">
        <f>VLOOKUP(F1986,辅助信息!A:B,2,FALSE)</f>
        <v>螺纹钢</v>
      </c>
      <c r="F1986" s="41" t="s">
        <v>22</v>
      </c>
      <c r="G1986" s="37">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124</v>
      </c>
      <c r="Q1986" s="30" t="str">
        <f>VLOOKUP(B1986,辅助信息!E:M,9,FALSE)</f>
        <v>ZTWM-CDGS-XS-2024-0134-商投建工达州中医药科技成果示范园项目</v>
      </c>
      <c r="R1986" s="30"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128</v>
      </c>
      <c r="Q1987" s="30" t="str">
        <f>VLOOKUP(B1987,辅助信息!E:M,9,FALSE)</f>
        <v>ZTWM-CDGS-XS-2025-0033-中铁武汉电气化局集团有限公司成达万高速铁路强电工程项目</v>
      </c>
      <c r="R1987" s="30"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128</v>
      </c>
      <c r="Q1988" s="30" t="str">
        <f>VLOOKUP(B1988,辅助信息!E:M,9,FALSE)</f>
        <v>ZTWM-CDGS-XS-2025-0033-中铁武汉电气化局集团有限公司成达万高速铁路强电工程项目</v>
      </c>
      <c r="R1988" s="30"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128</v>
      </c>
      <c r="Q1989" s="30" t="str">
        <f>VLOOKUP(B1989,辅助信息!E:M,9,FALSE)</f>
        <v>ZTWM-CDGS-XS-2025-0033-中铁武汉电气化局集团有限公司成达万高速铁路强电工程项目</v>
      </c>
      <c r="R1989" s="30" t="str">
        <f>_xlfn._xlws.FILTER(辅助信息!D:D,辅助信息!E:E=B1989)</f>
        <v>武汉电气化局成达万高铁强电项目</v>
      </c>
    </row>
    <row r="1990" hidden="1" spans="2:18">
      <c r="B1990" s="41" t="s">
        <v>167</v>
      </c>
      <c r="C1990" s="71">
        <v>45834</v>
      </c>
      <c r="D1990" s="121" t="str">
        <f>VLOOKUP(B1990,辅助信息!E:K,7,FALSE)</f>
        <v>JWDDCD2025102100473</v>
      </c>
      <c r="E1990" s="121" t="str">
        <f>VLOOKUP(F1990,辅助信息!A:B,2,FALSE)</f>
        <v>高线</v>
      </c>
      <c r="F1990" s="41" t="s">
        <v>53</v>
      </c>
      <c r="G1990" s="37">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128</v>
      </c>
      <c r="Q1990" s="30" t="str">
        <f>VLOOKUP(B1990,辅助信息!E:M,9,FALSE)</f>
        <v>ZTWM-CDGS-XS-2025-0073-五冶天府-成都怡心湖片区及龙泉驿医院等项目</v>
      </c>
      <c r="R1990" s="30" t="str">
        <f>_xlfn._xlws.FILTER(辅助信息!D:D,辅助信息!E:E=B1990)</f>
        <v>五冶建设扩建艺体中学二期工程</v>
      </c>
    </row>
    <row r="1991" hidden="1" spans="2:18">
      <c r="B1991" s="41" t="s">
        <v>167</v>
      </c>
      <c r="C1991" s="71">
        <v>45834</v>
      </c>
      <c r="D1991" s="121" t="str">
        <f>VLOOKUP(B1991,辅助信息!E:K,7,FALSE)</f>
        <v>JWDDCD2025102100473</v>
      </c>
      <c r="E1991" s="121" t="str">
        <f>VLOOKUP(F1991,辅助信息!A:B,2,FALSE)</f>
        <v>高线</v>
      </c>
      <c r="F1991" s="41" t="s">
        <v>51</v>
      </c>
      <c r="G1991" s="37">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128</v>
      </c>
      <c r="Q1991" s="30" t="str">
        <f>VLOOKUP(B1991,辅助信息!E:M,9,FALSE)</f>
        <v>ZTWM-CDGS-XS-2025-0073-五冶天府-成都怡心湖片区及龙泉驿医院等项目</v>
      </c>
      <c r="R1991" s="30" t="str">
        <f>_xlfn._xlws.FILTER(辅助信息!D:D,辅助信息!E:E=B1991)</f>
        <v>五冶建设扩建艺体中学二期工程</v>
      </c>
    </row>
    <row r="1992" hidden="1" spans="2:18">
      <c r="B1992" s="41" t="s">
        <v>167</v>
      </c>
      <c r="C1992" s="71">
        <v>45834</v>
      </c>
      <c r="D1992" s="121" t="str">
        <f>VLOOKUP(B1992,辅助信息!E:K,7,FALSE)</f>
        <v>JWDDCD2025102100473</v>
      </c>
      <c r="E1992" s="121" t="str">
        <f>VLOOKUP(F1992,辅助信息!A:B,2,FALSE)</f>
        <v>盘螺</v>
      </c>
      <c r="F1992" s="41" t="s">
        <v>49</v>
      </c>
      <c r="G1992" s="37">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128</v>
      </c>
      <c r="Q1992" s="30" t="str">
        <f>VLOOKUP(B1992,辅助信息!E:M,9,FALSE)</f>
        <v>ZTWM-CDGS-XS-2025-0073-五冶天府-成都怡心湖片区及龙泉驿医院等项目</v>
      </c>
      <c r="R1992" s="30" t="str">
        <f>_xlfn._xlws.FILTER(辅助信息!D:D,辅助信息!E:E=B1992)</f>
        <v>五冶建设扩建艺体中学二期工程</v>
      </c>
    </row>
    <row r="1993" hidden="1" spans="2:18">
      <c r="B1993" s="41" t="s">
        <v>167</v>
      </c>
      <c r="C1993" s="71">
        <v>45834</v>
      </c>
      <c r="D1993" s="121" t="str">
        <f>VLOOKUP(B1993,辅助信息!E:K,7,FALSE)</f>
        <v>JWDDCD2025102100473</v>
      </c>
      <c r="E1993" s="121" t="str">
        <f>VLOOKUP(F1993,辅助信息!A:B,2,FALSE)</f>
        <v>盘螺</v>
      </c>
      <c r="F1993" s="41" t="s">
        <v>40</v>
      </c>
      <c r="G1993" s="37">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128</v>
      </c>
      <c r="Q1993" s="30" t="str">
        <f>VLOOKUP(B1993,辅助信息!E:M,9,FALSE)</f>
        <v>ZTWM-CDGS-XS-2025-0073-五冶天府-成都怡心湖片区及龙泉驿医院等项目</v>
      </c>
      <c r="R1993" s="30" t="str">
        <f>_xlfn._xlws.FILTER(辅助信息!D:D,辅助信息!E:E=B1993)</f>
        <v>五冶建设扩建艺体中学二期工程</v>
      </c>
    </row>
    <row r="1994" hidden="1" spans="2:18">
      <c r="B1994" s="41" t="s">
        <v>167</v>
      </c>
      <c r="C1994" s="71">
        <v>45834</v>
      </c>
      <c r="D1994" s="121" t="str">
        <f>VLOOKUP(B1994,辅助信息!E:K,7,FALSE)</f>
        <v>JWDDCD2025102100473</v>
      </c>
      <c r="E1994" s="121" t="str">
        <f>VLOOKUP(F1994,辅助信息!A:B,2,FALSE)</f>
        <v>盘螺</v>
      </c>
      <c r="F1994" s="41" t="s">
        <v>41</v>
      </c>
      <c r="G1994" s="37">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128</v>
      </c>
      <c r="Q1994" s="30" t="str">
        <f>VLOOKUP(B1994,辅助信息!E:M,9,FALSE)</f>
        <v>ZTWM-CDGS-XS-2025-0073-五冶天府-成都怡心湖片区及龙泉驿医院等项目</v>
      </c>
      <c r="R1994" s="30" t="str">
        <f>_xlfn._xlws.FILTER(辅助信息!D:D,辅助信息!E:E=B1994)</f>
        <v>五冶建设扩建艺体中学二期工程</v>
      </c>
    </row>
    <row r="1995" hidden="1" spans="2:18">
      <c r="B1995" s="41" t="s">
        <v>167</v>
      </c>
      <c r="C1995" s="71">
        <v>45834</v>
      </c>
      <c r="D1995" s="121" t="str">
        <f>VLOOKUP(B1995,辅助信息!E:K,7,FALSE)</f>
        <v>JWDDCD2025102100473</v>
      </c>
      <c r="E1995" s="121" t="str">
        <f>VLOOKUP(F1995,辅助信息!A:B,2,FALSE)</f>
        <v>螺纹钢</v>
      </c>
      <c r="F1995" s="41" t="s">
        <v>27</v>
      </c>
      <c r="G1995" s="37">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128</v>
      </c>
      <c r="Q1995" s="30" t="str">
        <f>VLOOKUP(B1995,辅助信息!E:M,9,FALSE)</f>
        <v>ZTWM-CDGS-XS-2025-0073-五冶天府-成都怡心湖片区及龙泉驿医院等项目</v>
      </c>
      <c r="R1995" s="30" t="str">
        <f>_xlfn._xlws.FILTER(辅助信息!D:D,辅助信息!E:E=B1995)</f>
        <v>五冶建设扩建艺体中学二期工程</v>
      </c>
    </row>
    <row r="1996" hidden="1" spans="2:18">
      <c r="B1996" s="41" t="s">
        <v>167</v>
      </c>
      <c r="C1996" s="71">
        <v>45834</v>
      </c>
      <c r="D1996" s="121" t="str">
        <f>VLOOKUP(B1996,辅助信息!E:K,7,FALSE)</f>
        <v>JWDDCD2025102100473</v>
      </c>
      <c r="E1996" s="121" t="str">
        <f>VLOOKUP(F1996,辅助信息!A:B,2,FALSE)</f>
        <v>螺纹钢</v>
      </c>
      <c r="F1996" s="41" t="s">
        <v>19</v>
      </c>
      <c r="G1996" s="37">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128</v>
      </c>
      <c r="Q1996" s="30" t="str">
        <f>VLOOKUP(B1996,辅助信息!E:M,9,FALSE)</f>
        <v>ZTWM-CDGS-XS-2025-0073-五冶天府-成都怡心湖片区及龙泉驿医院等项目</v>
      </c>
      <c r="R1996" s="30" t="str">
        <f>_xlfn._xlws.FILTER(辅助信息!D:D,辅助信息!E:E=B1996)</f>
        <v>五冶建设扩建艺体中学二期工程</v>
      </c>
    </row>
    <row r="1997" hidden="1" spans="2:18">
      <c r="B1997" s="41" t="s">
        <v>167</v>
      </c>
      <c r="C1997" s="71">
        <v>45834</v>
      </c>
      <c r="D1997" s="121" t="str">
        <f>VLOOKUP(B1997,辅助信息!E:K,7,FALSE)</f>
        <v>JWDDCD2025102100473</v>
      </c>
      <c r="E1997" s="121" t="str">
        <f>VLOOKUP(F1997,辅助信息!A:B,2,FALSE)</f>
        <v>螺纹钢</v>
      </c>
      <c r="F1997" s="41" t="s">
        <v>32</v>
      </c>
      <c r="G1997" s="37">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128</v>
      </c>
      <c r="Q1997" s="30" t="str">
        <f>VLOOKUP(B1997,辅助信息!E:M,9,FALSE)</f>
        <v>ZTWM-CDGS-XS-2025-0073-五冶天府-成都怡心湖片区及龙泉驿医院等项目</v>
      </c>
      <c r="R1997" s="30" t="str">
        <f>_xlfn._xlws.FILTER(辅助信息!D:D,辅助信息!E:E=B1997)</f>
        <v>五冶建设扩建艺体中学二期工程</v>
      </c>
    </row>
    <row r="1998" hidden="1" spans="2:18">
      <c r="B1998" s="41" t="s">
        <v>167</v>
      </c>
      <c r="C1998" s="71">
        <v>45834</v>
      </c>
      <c r="D1998" s="121" t="str">
        <f>VLOOKUP(B1998,辅助信息!E:K,7,FALSE)</f>
        <v>JWDDCD2025102100473</v>
      </c>
      <c r="E1998" s="121" t="str">
        <f>VLOOKUP(F1998,辅助信息!A:B,2,FALSE)</f>
        <v>螺纹钢</v>
      </c>
      <c r="F1998" s="41" t="s">
        <v>30</v>
      </c>
      <c r="G1998" s="37">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128</v>
      </c>
      <c r="Q1998" s="30" t="str">
        <f>VLOOKUP(B1998,辅助信息!E:M,9,FALSE)</f>
        <v>ZTWM-CDGS-XS-2025-0073-五冶天府-成都怡心湖片区及龙泉驿医院等项目</v>
      </c>
      <c r="R1998" s="30" t="str">
        <f>_xlfn._xlws.FILTER(辅助信息!D:D,辅助信息!E:E=B1998)</f>
        <v>五冶建设扩建艺体中学二期工程</v>
      </c>
    </row>
    <row r="1999" hidden="1" spans="2:18">
      <c r="B1999" s="41" t="s">
        <v>167</v>
      </c>
      <c r="C1999" s="71">
        <v>45834</v>
      </c>
      <c r="D1999" s="121" t="str">
        <f>VLOOKUP(B1999,辅助信息!E:K,7,FALSE)</f>
        <v>JWDDCD2025102100473</v>
      </c>
      <c r="E1999" s="121" t="str">
        <f>VLOOKUP(F1999,辅助信息!A:B,2,FALSE)</f>
        <v>螺纹钢</v>
      </c>
      <c r="F1999" s="41" t="s">
        <v>33</v>
      </c>
      <c r="G1999" s="37">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128</v>
      </c>
      <c r="Q1999" s="30" t="str">
        <f>VLOOKUP(B1999,辅助信息!E:M,9,FALSE)</f>
        <v>ZTWM-CDGS-XS-2025-0073-五冶天府-成都怡心湖片区及龙泉驿医院等项目</v>
      </c>
      <c r="R1999" s="30" t="str">
        <f>_xlfn._xlws.FILTER(辅助信息!D:D,辅助信息!E:E=B1999)</f>
        <v>五冶建设扩建艺体中学二期工程</v>
      </c>
    </row>
    <row r="2000" hidden="1" spans="2:18">
      <c r="B2000" s="41" t="s">
        <v>167</v>
      </c>
      <c r="C2000" s="71">
        <v>45834</v>
      </c>
      <c r="D2000" s="121" t="str">
        <f>VLOOKUP(B2000,辅助信息!E:K,7,FALSE)</f>
        <v>JWDDCD2025102100473</v>
      </c>
      <c r="E2000" s="121" t="str">
        <f>VLOOKUP(F2000,辅助信息!A:B,2,FALSE)</f>
        <v>螺纹钢</v>
      </c>
      <c r="F2000" s="41" t="s">
        <v>28</v>
      </c>
      <c r="G2000" s="37">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128</v>
      </c>
      <c r="Q2000" s="30" t="str">
        <f>VLOOKUP(B2000,辅助信息!E:M,9,FALSE)</f>
        <v>ZTWM-CDGS-XS-2025-0073-五冶天府-成都怡心湖片区及龙泉驿医院等项目</v>
      </c>
      <c r="R2000" s="30" t="str">
        <f>_xlfn._xlws.FILTER(辅助信息!D:D,辅助信息!E:E=B2000)</f>
        <v>五冶建设扩建艺体中学二期工程</v>
      </c>
    </row>
    <row r="2001" hidden="1" spans="2:18">
      <c r="B2001" s="41" t="s">
        <v>167</v>
      </c>
      <c r="C2001" s="71">
        <v>45834</v>
      </c>
      <c r="D2001" s="121" t="str">
        <f>VLOOKUP(B2001,辅助信息!E:K,7,FALSE)</f>
        <v>JWDDCD2025102100473</v>
      </c>
      <c r="E2001" s="121" t="str">
        <f>VLOOKUP(F2001,辅助信息!A:B,2,FALSE)</f>
        <v>螺纹钢</v>
      </c>
      <c r="F2001" s="41" t="s">
        <v>18</v>
      </c>
      <c r="G2001" s="37">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128</v>
      </c>
      <c r="Q2001" s="30" t="str">
        <f>VLOOKUP(B2001,辅助信息!E:M,9,FALSE)</f>
        <v>ZTWM-CDGS-XS-2025-0073-五冶天府-成都怡心湖片区及龙泉驿医院等项目</v>
      </c>
      <c r="R2001" s="30" t="str">
        <f>_xlfn._xlws.FILTER(辅助信息!D:D,辅助信息!E:E=B2001)</f>
        <v>五冶建设扩建艺体中学二期工程</v>
      </c>
    </row>
    <row r="2002" hidden="1" spans="2:18">
      <c r="B2002" s="41" t="s">
        <v>167</v>
      </c>
      <c r="C2002" s="71">
        <v>45834</v>
      </c>
      <c r="D2002" s="121" t="str">
        <f>VLOOKUP(B2002,辅助信息!E:K,7,FALSE)</f>
        <v>JWDDCD2025102100473</v>
      </c>
      <c r="E2002" s="121" t="str">
        <f>VLOOKUP(F2002,辅助信息!A:B,2,FALSE)</f>
        <v>螺纹钢</v>
      </c>
      <c r="F2002" s="41" t="s">
        <v>82</v>
      </c>
      <c r="G2002" s="37">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128</v>
      </c>
      <c r="Q2002" s="30" t="str">
        <f>VLOOKUP(B2002,辅助信息!E:M,9,FALSE)</f>
        <v>ZTWM-CDGS-XS-2025-0073-五冶天府-成都怡心湖片区及龙泉驿医院等项目</v>
      </c>
      <c r="R2002" s="30" t="str">
        <f>_xlfn._xlws.FILTER(辅助信息!D:D,辅助信息!E:E=B2002)</f>
        <v>五冶建设扩建艺体中学二期工程</v>
      </c>
    </row>
    <row r="2003" hidden="1" spans="2:18">
      <c r="B2003" s="41" t="s">
        <v>167</v>
      </c>
      <c r="C2003" s="71">
        <v>45834</v>
      </c>
      <c r="D2003" s="121" t="str">
        <f>VLOOKUP(B2003,辅助信息!E:K,7,FALSE)</f>
        <v>JWDDCD2025102100473</v>
      </c>
      <c r="E2003" s="121" t="str">
        <f>VLOOKUP(F2003,辅助信息!A:B,2,FALSE)</f>
        <v>螺纹钢</v>
      </c>
      <c r="F2003" s="41" t="s">
        <v>45</v>
      </c>
      <c r="G2003" s="37">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128</v>
      </c>
      <c r="Q2003" s="30" t="str">
        <f>VLOOKUP(B2003,辅助信息!E:M,9,FALSE)</f>
        <v>ZTWM-CDGS-XS-2025-0073-五冶天府-成都怡心湖片区及龙泉驿医院等项目</v>
      </c>
      <c r="R2003" s="30" t="str">
        <f>_xlfn._xlws.FILTER(辅助信息!D:D,辅助信息!E:E=B2003)</f>
        <v>五冶建设扩建艺体中学二期工程</v>
      </c>
    </row>
    <row r="2004" hidden="1" spans="2:18">
      <c r="B2004" s="41" t="s">
        <v>167</v>
      </c>
      <c r="C2004" s="71">
        <v>45834</v>
      </c>
      <c r="D2004" s="121" t="str">
        <f>VLOOKUP(B2004,辅助信息!E:K,7,FALSE)</f>
        <v>JWDDCD2025102100473</v>
      </c>
      <c r="E2004" s="121" t="str">
        <f>VLOOKUP(F2004,辅助信息!A:B,2,FALSE)</f>
        <v>螺纹钢</v>
      </c>
      <c r="F2004" s="41" t="s">
        <v>21</v>
      </c>
      <c r="G2004" s="37">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128</v>
      </c>
      <c r="Q2004" s="30" t="str">
        <f>VLOOKUP(B2004,辅助信息!E:M,9,FALSE)</f>
        <v>ZTWM-CDGS-XS-2025-0073-五冶天府-成都怡心湖片区及龙泉驿医院等项目</v>
      </c>
      <c r="R2004" s="30" t="str">
        <f>_xlfn._xlws.FILTER(辅助信息!D:D,辅助信息!E:E=B2004)</f>
        <v>五冶建设扩建艺体中学二期工程</v>
      </c>
    </row>
    <row r="2005" hidden="1" spans="2:18">
      <c r="B2005" s="41" t="s">
        <v>167</v>
      </c>
      <c r="C2005" s="71">
        <v>45834</v>
      </c>
      <c r="D2005" s="121" t="str">
        <f>VLOOKUP(B2005,辅助信息!E:K,7,FALSE)</f>
        <v>JWDDCD2025102100473</v>
      </c>
      <c r="E2005" s="121" t="str">
        <f>VLOOKUP(F2005,辅助信息!A:B,2,FALSE)</f>
        <v>螺纹钢</v>
      </c>
      <c r="F2005" s="41" t="s">
        <v>58</v>
      </c>
      <c r="G2005" s="37">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128</v>
      </c>
      <c r="Q2005" s="30" t="str">
        <f>VLOOKUP(B2005,辅助信息!E:M,9,FALSE)</f>
        <v>ZTWM-CDGS-XS-2025-0073-五冶天府-成都怡心湖片区及龙泉驿医院等项目</v>
      </c>
      <c r="R2005" s="30" t="str">
        <f>_xlfn._xlws.FILTER(辅助信息!D:D,辅助信息!E:E=B2005)</f>
        <v>五冶建设扩建艺体中学二期工程</v>
      </c>
    </row>
    <row r="2006" hidden="1" spans="2:18">
      <c r="B2006" s="41" t="s">
        <v>167</v>
      </c>
      <c r="C2006" s="71">
        <v>45834</v>
      </c>
      <c r="D2006" s="121" t="str">
        <f>VLOOKUP(B2006,辅助信息!E:K,7,FALSE)</f>
        <v>JWDDCD2025102100473</v>
      </c>
      <c r="E2006" s="121" t="str">
        <f>VLOOKUP(F2006,辅助信息!A:B,2,FALSE)</f>
        <v>螺纹钢</v>
      </c>
      <c r="F2006" s="41" t="s">
        <v>46</v>
      </c>
      <c r="G2006" s="37">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128</v>
      </c>
      <c r="Q2006" s="30" t="str">
        <f>VLOOKUP(B2006,辅助信息!E:M,9,FALSE)</f>
        <v>ZTWM-CDGS-XS-2025-0073-五冶天府-成都怡心湖片区及龙泉驿医院等项目</v>
      </c>
      <c r="R2006" s="30" t="str">
        <f>_xlfn._xlws.FILTER(辅助信息!D:D,辅助信息!E:E=B2006)</f>
        <v>五冶建设扩建艺体中学二期工程</v>
      </c>
    </row>
    <row r="2007" hidden="1" spans="2:18">
      <c r="B2007" s="41" t="s">
        <v>167</v>
      </c>
      <c r="C2007" s="71">
        <v>45834</v>
      </c>
      <c r="D2007" s="121" t="str">
        <f>VLOOKUP(B2007,辅助信息!E:K,7,FALSE)</f>
        <v>JWDDCD2025102100473</v>
      </c>
      <c r="E2007" s="121" t="str">
        <f>VLOOKUP(F2007,辅助信息!A:B,2,FALSE)</f>
        <v>螺纹钢</v>
      </c>
      <c r="F2007" s="41" t="s">
        <v>22</v>
      </c>
      <c r="G2007" s="37">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128</v>
      </c>
      <c r="Q2007" s="30" t="str">
        <f>VLOOKUP(B2007,辅助信息!E:M,9,FALSE)</f>
        <v>ZTWM-CDGS-XS-2025-0073-五冶天府-成都怡心湖片区及龙泉驿医院等项目</v>
      </c>
      <c r="R2007" s="30" t="str">
        <f>_xlfn._xlws.FILTER(辅助信息!D:D,辅助信息!E:E=B2007)</f>
        <v>五冶建设扩建艺体中学二期工程</v>
      </c>
    </row>
    <row r="2008" hidden="1" spans="2:18">
      <c r="B2008" s="41" t="s">
        <v>167</v>
      </c>
      <c r="C2008" s="71">
        <v>45834</v>
      </c>
      <c r="D2008" s="121" t="str">
        <f>VLOOKUP(B2008,辅助信息!E:K,7,FALSE)</f>
        <v>JWDDCD2025102100473</v>
      </c>
      <c r="E2008" s="121" t="str">
        <f>VLOOKUP(F2008,辅助信息!A:B,2,FALSE)</f>
        <v>螺纹钢</v>
      </c>
      <c r="F2008" s="41" t="s">
        <v>181</v>
      </c>
      <c r="G2008" s="37">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128</v>
      </c>
      <c r="Q2008" s="30" t="str">
        <f>VLOOKUP(B2008,辅助信息!E:M,9,FALSE)</f>
        <v>ZTWM-CDGS-XS-2025-0073-五冶天府-成都怡心湖片区及龙泉驿医院等项目</v>
      </c>
      <c r="R2008" s="30" t="str">
        <f>_xlfn._xlws.FILTER(辅助信息!D:D,辅助信息!E:E=B2008)</f>
        <v>五冶建设扩建艺体中学二期工程</v>
      </c>
    </row>
    <row r="2009" hidden="1" spans="2:18">
      <c r="B2009" s="41" t="s">
        <v>167</v>
      </c>
      <c r="C2009" s="71">
        <v>45834</v>
      </c>
      <c r="D2009" s="121" t="str">
        <f>VLOOKUP(B2009,辅助信息!E:K,7,FALSE)</f>
        <v>JWDDCD2025102100473</v>
      </c>
      <c r="E2009" s="121" t="str">
        <f>VLOOKUP(F2009,辅助信息!A:B,2,FALSE)</f>
        <v>螺纹钢</v>
      </c>
      <c r="F2009" s="41" t="s">
        <v>182</v>
      </c>
      <c r="G2009" s="37">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128</v>
      </c>
      <c r="Q2009" s="30" t="str">
        <f>VLOOKUP(B2009,辅助信息!E:M,9,FALSE)</f>
        <v>ZTWM-CDGS-XS-2025-0073-五冶天府-成都怡心湖片区及龙泉驿医院等项目</v>
      </c>
      <c r="R2009" s="30"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124</v>
      </c>
      <c r="Q2010" s="30" t="str">
        <f>VLOOKUP(B2010,辅助信息!E:M,9,FALSE)</f>
        <v>ZTWM-CDGS-XS-2024-0134-商投建工达州中医药科技成果示范园项目</v>
      </c>
      <c r="R2010" s="30"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124</v>
      </c>
      <c r="Q2011" s="30" t="str">
        <f>VLOOKUP(B2011,辅助信息!E:M,9,FALSE)</f>
        <v>ZTWM-CDGS-XS-2024-0134-商投建工达州中医药科技成果示范园项目</v>
      </c>
      <c r="R2011" s="30"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124</v>
      </c>
      <c r="Q2012" s="30" t="str">
        <f>VLOOKUP(B2012,辅助信息!E:M,9,FALSE)</f>
        <v>ZTWM-CDGS-XS-2024-0134-商投建工达州中医药科技成果示范园项目</v>
      </c>
      <c r="R2012" s="30"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124</v>
      </c>
      <c r="Q2013" s="30" t="str">
        <f>VLOOKUP(B2013,辅助信息!E:M,9,FALSE)</f>
        <v>ZTWM-CDGS-XS-2024-0134-商投建工达州中医药科技成果示范园项目</v>
      </c>
      <c r="R2013" s="30"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124</v>
      </c>
      <c r="Q2014" s="30" t="str">
        <f>VLOOKUP(B2014,辅助信息!E:M,9,FALSE)</f>
        <v>ZTWM-CDGS-XS-2024-0134-商投建工达州中医药科技成果示范园项目</v>
      </c>
      <c r="R2014" s="30"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124</v>
      </c>
      <c r="Q2015" s="30" t="str">
        <f>VLOOKUP(B2015,辅助信息!E:M,9,FALSE)</f>
        <v>ZTWM-CDGS-XS-2024-0134-商投建工达州中医药科技成果示范园项目</v>
      </c>
      <c r="R2015" s="30"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124</v>
      </c>
      <c r="Q2016" s="30" t="str">
        <f>VLOOKUP(B2016,辅助信息!E:M,9,FALSE)</f>
        <v>ZTWM-CDGS-XS-2024-0134-商投建工达州中医药科技成果示范园项目</v>
      </c>
      <c r="R2016" s="30"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124</v>
      </c>
      <c r="Q2017" s="30" t="str">
        <f>VLOOKUP(B2017,辅助信息!E:M,9,FALSE)</f>
        <v>ZTWM-CDGS-XS-2024-0134-商投建工达州中医药科技成果示范园项目</v>
      </c>
      <c r="R2017" s="30"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124</v>
      </c>
      <c r="Q2018" s="30" t="str">
        <f>VLOOKUP(B2018,辅助信息!E:M,9,FALSE)</f>
        <v>ZTWM-CDGS-XS-2024-0134-商投建工达州中医药科技成果示范园项目</v>
      </c>
      <c r="R2018" s="30"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124</v>
      </c>
      <c r="Q2019" s="30" t="str">
        <f>VLOOKUP(B2019,辅助信息!E:M,9,FALSE)</f>
        <v>ZTWM-CDGS-XS-2024-0134-商投建工达州中医药科技成果示范园项目</v>
      </c>
      <c r="R2019" s="30"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124</v>
      </c>
      <c r="Q2020" s="30" t="str">
        <f>VLOOKUP(B2020,辅助信息!E:M,9,FALSE)</f>
        <v>ZTWM-CDGS-XS-2024-0134-商投建工达州中医药科技成果示范园项目</v>
      </c>
      <c r="R2020" s="30"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124</v>
      </c>
      <c r="Q2021" s="30" t="str">
        <f>VLOOKUP(B2021,辅助信息!E:M,9,FALSE)</f>
        <v>ZTWM-CDGS-XS-2024-0134-商投建工达州中医药科技成果示范园项目</v>
      </c>
      <c r="R2021" s="30"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124</v>
      </c>
      <c r="Q2022" s="30" t="str">
        <f>VLOOKUP(B2022,辅助信息!E:M,9,FALSE)</f>
        <v>ZTWM-CDGS-XS-2024-0134-商投建工达州中医药科技成果示范园项目</v>
      </c>
      <c r="R2022" s="30"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124</v>
      </c>
      <c r="Q2023" s="30" t="str">
        <f>VLOOKUP(B2023,辅助信息!E:M,9,FALSE)</f>
        <v>ZTWM-CDGS-XS-2025-0073-五冶天府-成都怡心湖片区及龙泉驿医院等项目</v>
      </c>
      <c r="R2023" s="30"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124</v>
      </c>
      <c r="Q2024" s="30" t="str">
        <f>VLOOKUP(B2024,辅助信息!E:M,9,FALSE)</f>
        <v>ZTWM-CDGS-XS-2025-0073-五冶天府-成都怡心湖片区及龙泉驿医院等项目</v>
      </c>
      <c r="R2024" s="30"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124</v>
      </c>
      <c r="Q2025" s="30" t="str">
        <f>VLOOKUP(B2025,辅助信息!E:M,9,FALSE)</f>
        <v>ZTWM-CDGS-XS-2025-0073-五冶天府-成都怡心湖片区及龙泉驿医院等项目</v>
      </c>
      <c r="R2025" s="30"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124</v>
      </c>
      <c r="Q2026" s="30" t="str">
        <f>VLOOKUP(B2026,辅助信息!E:M,9,FALSE)</f>
        <v>ZTWM-CDGS-XS-2025-0073-五冶天府-成都怡心湖片区及龙泉驿医院等项目</v>
      </c>
      <c r="R2026" s="30"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124</v>
      </c>
      <c r="Q2027" s="30" t="str">
        <f>VLOOKUP(B2027,辅助信息!E:M,9,FALSE)</f>
        <v>ZTWM-CDGS-XS-2025-0073-五冶天府-成都怡心湖片区及龙泉驿医院等项目</v>
      </c>
      <c r="R2027" s="30"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124</v>
      </c>
      <c r="Q2028" s="30" t="str">
        <f>VLOOKUP(B2028,辅助信息!E:M,9,FALSE)</f>
        <v>ZTWM-CDGS-XS-2025-0073-五冶天府-成都怡心湖片区及龙泉驿医院等项目</v>
      </c>
      <c r="R2028" s="30"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124</v>
      </c>
      <c r="Q2029" s="30" t="str">
        <f>VLOOKUP(B2029,辅助信息!E:M,9,FALSE)</f>
        <v>ZTWM-CDGS-XS-2025-0073-五冶天府-成都怡心湖片区及龙泉驿医院等项目</v>
      </c>
      <c r="R2029" s="30" t="str">
        <f>_xlfn._xlws.FILTER(辅助信息!D:D,辅助信息!E:E=B2029)</f>
        <v>五冶建设扩建艺体中学二期工程</v>
      </c>
    </row>
    <row r="2030" hidden="1" spans="1:18">
      <c r="A2030" s="72" t="s">
        <v>183</v>
      </c>
      <c r="B2030" s="41" t="s">
        <v>81</v>
      </c>
      <c r="C2030" s="71">
        <v>45835</v>
      </c>
      <c r="D2030" s="121" t="str">
        <f>VLOOKUP(B2030,辅助信息!E:K,7,FALSE)</f>
        <v>JWDDCD2025060900080</v>
      </c>
      <c r="E2030" s="121" t="str">
        <f>VLOOKUP(F2030,辅助信息!A:B,2,FALSE)</f>
        <v>盘螺</v>
      </c>
      <c r="F2030" s="41" t="s">
        <v>40</v>
      </c>
      <c r="G2030" s="37">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124</v>
      </c>
      <c r="Q2030" s="30" t="str">
        <f>VLOOKUP(B2030,辅助信息!E:M,9,FALSE)</f>
        <v>ZTWM-CDGS-XS-2024-0030-华西集采-简州大道</v>
      </c>
      <c r="R2030" s="30" t="str">
        <f>_xlfn._xlws.FILTER(辅助信息!D:D,辅助信息!E:E=B2030)</f>
        <v>华西简阳西城嘉苑</v>
      </c>
    </row>
    <row r="2031" hidden="1" spans="1:18">
      <c r="A2031" s="72"/>
      <c r="B2031" s="41" t="s">
        <v>81</v>
      </c>
      <c r="C2031" s="71">
        <v>45835</v>
      </c>
      <c r="D2031" s="121" t="str">
        <f>VLOOKUP(B2031,辅助信息!E:K,7,FALSE)</f>
        <v>JWDDCD2025060900080</v>
      </c>
      <c r="E2031" s="121" t="str">
        <f>VLOOKUP(F2031,辅助信息!A:B,2,FALSE)</f>
        <v>盘螺</v>
      </c>
      <c r="F2031" s="41" t="s">
        <v>41</v>
      </c>
      <c r="G2031" s="37">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124</v>
      </c>
      <c r="Q2031" s="30" t="str">
        <f>VLOOKUP(B2031,辅助信息!E:M,9,FALSE)</f>
        <v>ZTWM-CDGS-XS-2024-0030-华西集采-简州大道</v>
      </c>
      <c r="R2031" s="30" t="str">
        <f>_xlfn._xlws.FILTER(辅助信息!D:D,辅助信息!E:E=B2031)</f>
        <v>华西简阳西城嘉苑</v>
      </c>
    </row>
    <row r="2032" hidden="1" spans="1:18">
      <c r="A2032" s="72"/>
      <c r="B2032" s="41" t="s">
        <v>81</v>
      </c>
      <c r="C2032" s="71">
        <v>45835</v>
      </c>
      <c r="D2032" s="121" t="str">
        <f>VLOOKUP(B2032,辅助信息!E:K,7,FALSE)</f>
        <v>JWDDCD2025060900080</v>
      </c>
      <c r="E2032" s="121" t="str">
        <f>VLOOKUP(F2032,辅助信息!A:B,2,FALSE)</f>
        <v>盘螺</v>
      </c>
      <c r="F2032" s="41" t="s">
        <v>26</v>
      </c>
      <c r="G2032" s="37">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124</v>
      </c>
      <c r="Q2032" s="30" t="str">
        <f>VLOOKUP(B2032,辅助信息!E:M,9,FALSE)</f>
        <v>ZTWM-CDGS-XS-2024-0030-华西集采-简州大道</v>
      </c>
      <c r="R2032" s="30" t="str">
        <f>_xlfn._xlws.FILTER(辅助信息!D:D,辅助信息!E:E=B2032)</f>
        <v>华西简阳西城嘉苑</v>
      </c>
    </row>
    <row r="2033" hidden="1" spans="1:18">
      <c r="A2033" s="72"/>
      <c r="B2033" s="41" t="s">
        <v>81</v>
      </c>
      <c r="C2033" s="71">
        <v>45835</v>
      </c>
      <c r="D2033" s="121" t="str">
        <f>VLOOKUP(B2033,辅助信息!E:K,7,FALSE)</f>
        <v>JWDDCD2025060900080</v>
      </c>
      <c r="E2033" s="121" t="str">
        <f>VLOOKUP(F2033,辅助信息!A:B,2,FALSE)</f>
        <v>螺纹钢</v>
      </c>
      <c r="F2033" s="41" t="s">
        <v>19</v>
      </c>
      <c r="G2033" s="37">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124</v>
      </c>
      <c r="Q2033" s="30" t="str">
        <f>VLOOKUP(B2033,辅助信息!E:M,9,FALSE)</f>
        <v>ZTWM-CDGS-XS-2024-0030-华西集采-简州大道</v>
      </c>
      <c r="R2033" s="30" t="str">
        <f>_xlfn._xlws.FILTER(辅助信息!D:D,辅助信息!E:E=B2033)</f>
        <v>华西简阳西城嘉苑</v>
      </c>
    </row>
    <row r="2034" hidden="1" spans="1:18">
      <c r="A2034" s="72"/>
      <c r="B2034" s="41" t="s">
        <v>81</v>
      </c>
      <c r="C2034" s="71">
        <v>45835</v>
      </c>
      <c r="D2034" s="121" t="str">
        <f>VLOOKUP(B2034,辅助信息!E:K,7,FALSE)</f>
        <v>JWDDCD2025060900080</v>
      </c>
      <c r="E2034" s="121" t="str">
        <f>VLOOKUP(F2034,辅助信息!A:B,2,FALSE)</f>
        <v>螺纹钢</v>
      </c>
      <c r="F2034" s="41" t="s">
        <v>32</v>
      </c>
      <c r="G2034" s="37">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124</v>
      </c>
      <c r="Q2034" s="30" t="str">
        <f>VLOOKUP(B2034,辅助信息!E:M,9,FALSE)</f>
        <v>ZTWM-CDGS-XS-2024-0030-华西集采-简州大道</v>
      </c>
      <c r="R2034" s="30" t="str">
        <f>_xlfn._xlws.FILTER(辅助信息!D:D,辅助信息!E:E=B2034)</f>
        <v>华西简阳西城嘉苑</v>
      </c>
    </row>
    <row r="2035" hidden="1" spans="1:18">
      <c r="A2035" s="72"/>
      <c r="B2035" s="41" t="s">
        <v>81</v>
      </c>
      <c r="C2035" s="71">
        <v>45835</v>
      </c>
      <c r="D2035" s="121" t="str">
        <f>VLOOKUP(B2035,辅助信息!E:K,7,FALSE)</f>
        <v>JWDDCD2025060900080</v>
      </c>
      <c r="E2035" s="121" t="str">
        <f>VLOOKUP(F2035,辅助信息!A:B,2,FALSE)</f>
        <v>螺纹钢</v>
      </c>
      <c r="F2035" s="41" t="s">
        <v>30</v>
      </c>
      <c r="G2035" s="37">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124</v>
      </c>
      <c r="Q2035" s="30" t="str">
        <f>VLOOKUP(B2035,辅助信息!E:M,9,FALSE)</f>
        <v>ZTWM-CDGS-XS-2024-0030-华西集采-简州大道</v>
      </c>
      <c r="R2035" s="30" t="str">
        <f>_xlfn._xlws.FILTER(辅助信息!D:D,辅助信息!E:E=B2035)</f>
        <v>华西简阳西城嘉苑</v>
      </c>
    </row>
    <row r="2036" hidden="1" spans="1:18">
      <c r="A2036" s="72"/>
      <c r="B2036" s="41" t="s">
        <v>81</v>
      </c>
      <c r="C2036" s="71">
        <v>45835</v>
      </c>
      <c r="D2036" s="121" t="str">
        <f>VLOOKUP(B2036,辅助信息!E:K,7,FALSE)</f>
        <v>JWDDCD2025060900080</v>
      </c>
      <c r="E2036" s="121" t="str">
        <f>VLOOKUP(F2036,辅助信息!A:B,2,FALSE)</f>
        <v>螺纹钢</v>
      </c>
      <c r="F2036" s="41" t="s">
        <v>33</v>
      </c>
      <c r="G2036" s="37">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124</v>
      </c>
      <c r="Q2036" s="30" t="str">
        <f>VLOOKUP(B2036,辅助信息!E:M,9,FALSE)</f>
        <v>ZTWM-CDGS-XS-2024-0030-华西集采-简州大道</v>
      </c>
      <c r="R2036" s="30" t="str">
        <f>_xlfn._xlws.FILTER(辅助信息!D:D,辅助信息!E:E=B2036)</f>
        <v>华西简阳西城嘉苑</v>
      </c>
    </row>
    <row r="2037" hidden="1" spans="1:18">
      <c r="A2037" s="72"/>
      <c r="B2037" s="41" t="s">
        <v>81</v>
      </c>
      <c r="C2037" s="71">
        <v>45835</v>
      </c>
      <c r="D2037" s="121" t="str">
        <f>VLOOKUP(B2037,辅助信息!E:K,7,FALSE)</f>
        <v>JWDDCD2025060900080</v>
      </c>
      <c r="E2037" s="121" t="str">
        <f>VLOOKUP(F2037,辅助信息!A:B,2,FALSE)</f>
        <v>螺纹钢</v>
      </c>
      <c r="F2037" s="41" t="s">
        <v>58</v>
      </c>
      <c r="G2037" s="37">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124</v>
      </c>
      <c r="Q2037" s="30" t="str">
        <f>VLOOKUP(B2037,辅助信息!E:M,9,FALSE)</f>
        <v>ZTWM-CDGS-XS-2024-0030-华西集采-简州大道</v>
      </c>
      <c r="R2037" s="30" t="str">
        <f>_xlfn._xlws.FILTER(辅助信息!D:D,辅助信息!E:E=B2037)</f>
        <v>华西简阳西城嘉苑</v>
      </c>
    </row>
    <row r="2038" hidden="1" spans="1:18">
      <c r="A2038" s="72"/>
      <c r="B2038" s="41" t="s">
        <v>81</v>
      </c>
      <c r="C2038" s="71">
        <v>45835</v>
      </c>
      <c r="D2038" s="121" t="str">
        <f>VLOOKUP(B2038,辅助信息!E:K,7,FALSE)</f>
        <v>JWDDCD2025060900080</v>
      </c>
      <c r="E2038" s="121" t="str">
        <f>VLOOKUP(F2038,辅助信息!A:B,2,FALSE)</f>
        <v>螺纹钢</v>
      </c>
      <c r="F2038" s="41" t="s">
        <v>46</v>
      </c>
      <c r="G2038" s="37">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124</v>
      </c>
      <c r="Q2038" s="30" t="str">
        <f>VLOOKUP(B2038,辅助信息!E:M,9,FALSE)</f>
        <v>ZTWM-CDGS-XS-2024-0030-华西集采-简州大道</v>
      </c>
      <c r="R2038" s="30" t="str">
        <f>_xlfn._xlws.FILTER(辅助信息!D:D,辅助信息!E:E=B2038)</f>
        <v>华西简阳西城嘉苑</v>
      </c>
    </row>
    <row r="2039" hidden="1" spans="1:18">
      <c r="A2039" s="72"/>
      <c r="B2039" s="41" t="s">
        <v>81</v>
      </c>
      <c r="C2039" s="71">
        <v>45835</v>
      </c>
      <c r="D2039" s="121" t="str">
        <f>VLOOKUP(B2039,辅助信息!E:K,7,FALSE)</f>
        <v>JWDDCD2025060900080</v>
      </c>
      <c r="E2039" s="121" t="str">
        <f>VLOOKUP(F2039,辅助信息!A:B,2,FALSE)</f>
        <v>螺纹钢</v>
      </c>
      <c r="F2039" s="41" t="s">
        <v>22</v>
      </c>
      <c r="G2039" s="37">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124</v>
      </c>
      <c r="Q2039" s="30" t="str">
        <f>VLOOKUP(B2039,辅助信息!E:M,9,FALSE)</f>
        <v>ZTWM-CDGS-XS-2024-0030-华西集采-简州大道</v>
      </c>
      <c r="R2039" s="30" t="str">
        <f>_xlfn._xlws.FILTER(辅助信息!D:D,辅助信息!E:E=B2039)</f>
        <v>华西简阳西城嘉苑</v>
      </c>
    </row>
    <row r="2040" hidden="1" spans="2:18">
      <c r="B2040" s="41" t="s">
        <v>159</v>
      </c>
      <c r="C2040" s="71">
        <v>45835</v>
      </c>
      <c r="D2040" s="121" t="str">
        <f>VLOOKUP(B2040,辅助信息!E:K,7,FALSE)</f>
        <v>JWDDCD2025052800131</v>
      </c>
      <c r="E2040" s="121" t="str">
        <f>VLOOKUP(F2040,辅助信息!A:B,2,FALSE)</f>
        <v>盘螺</v>
      </c>
      <c r="F2040" s="41" t="s">
        <v>40</v>
      </c>
      <c r="G2040" s="37">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124</v>
      </c>
      <c r="Q2040" s="30" t="str">
        <f>VLOOKUP(B2040,辅助信息!E:M,9,FALSE)</f>
        <v>ZTWM-CDGS-XS-2024-0134-商投建工达州中医药科技成果示范园项目</v>
      </c>
      <c r="R2040" s="30" t="str">
        <f>_xlfn._xlws.FILTER(辅助信息!D:D,辅助信息!E:E=B2040)</f>
        <v>商投建工达州中医药科技园</v>
      </c>
    </row>
    <row r="2041" hidden="1" spans="2:18">
      <c r="B2041" s="41" t="s">
        <v>159</v>
      </c>
      <c r="C2041" s="71">
        <v>45835</v>
      </c>
      <c r="D2041" s="121" t="str">
        <f>VLOOKUP(B2041,辅助信息!E:K,7,FALSE)</f>
        <v>JWDDCD2025052800131</v>
      </c>
      <c r="E2041" s="121" t="str">
        <f>VLOOKUP(F2041,辅助信息!A:B,2,FALSE)</f>
        <v>盘螺</v>
      </c>
      <c r="F2041" s="41" t="s">
        <v>41</v>
      </c>
      <c r="G2041" s="37">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124</v>
      </c>
      <c r="Q2041" s="30" t="str">
        <f>VLOOKUP(B2041,辅助信息!E:M,9,FALSE)</f>
        <v>ZTWM-CDGS-XS-2024-0134-商投建工达州中医药科技成果示范园项目</v>
      </c>
      <c r="R2041" s="30" t="str">
        <f>_xlfn._xlws.FILTER(辅助信息!D:D,辅助信息!E:E=B2041)</f>
        <v>商投建工达州中医药科技园</v>
      </c>
    </row>
    <row r="2042" hidden="1" spans="2:18">
      <c r="B2042" s="41" t="s">
        <v>159</v>
      </c>
      <c r="C2042" s="71">
        <v>45835</v>
      </c>
      <c r="D2042" s="121" t="str">
        <f>VLOOKUP(B2042,辅助信息!E:K,7,FALSE)</f>
        <v>JWDDCD2025052800131</v>
      </c>
      <c r="E2042" s="121" t="str">
        <f>VLOOKUP(F2042,辅助信息!A:B,2,FALSE)</f>
        <v>螺纹钢</v>
      </c>
      <c r="F2042" s="41" t="s">
        <v>19</v>
      </c>
      <c r="G2042" s="37">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124</v>
      </c>
      <c r="Q2042" s="30" t="str">
        <f>VLOOKUP(B2042,辅助信息!E:M,9,FALSE)</f>
        <v>ZTWM-CDGS-XS-2024-0134-商投建工达州中医药科技成果示范园项目</v>
      </c>
      <c r="R2042" s="30" t="str">
        <f>_xlfn._xlws.FILTER(辅助信息!D:D,辅助信息!E:E=B2042)</f>
        <v>商投建工达州中医药科技园</v>
      </c>
    </row>
    <row r="2043" hidden="1" spans="2:18">
      <c r="B2043" s="41" t="s">
        <v>176</v>
      </c>
      <c r="C2043" s="71">
        <v>45839</v>
      </c>
      <c r="D2043" s="121" t="str">
        <f>VLOOKUP(B2043,辅助信息!E:K,7,FALSE)</f>
        <v>JWDDCD2025062200016</v>
      </c>
      <c r="E2043" s="121" t="str">
        <f>VLOOKUP(F2043,辅助信息!A:B,2,FALSE)</f>
        <v>高线</v>
      </c>
      <c r="F2043" s="41" t="s">
        <v>57</v>
      </c>
      <c r="G2043" s="37">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121</v>
      </c>
      <c r="Q2043" s="30" t="str">
        <f>VLOOKUP(B2043,辅助信息!E:M,9,FALSE)</f>
        <v>ZTWM-CDGS-XS-2025-0033-中铁武汉电气化局集团有限公司成达万高速铁路强电工程项目</v>
      </c>
      <c r="R2043" s="30" t="str">
        <f>_xlfn._xlws.FILTER(辅助信息!D:D,辅助信息!E:E=B2043)</f>
        <v>武汉电气化局成达万高铁强电项目</v>
      </c>
    </row>
    <row r="2044" hidden="1" spans="2:18">
      <c r="B2044" s="41" t="s">
        <v>176</v>
      </c>
      <c r="C2044" s="71">
        <v>45839</v>
      </c>
      <c r="D2044" s="121" t="str">
        <f>VLOOKUP(B2044,辅助信息!E:K,7,FALSE)</f>
        <v>JWDDCD2025062200016</v>
      </c>
      <c r="E2044" s="121" t="str">
        <f>VLOOKUP(F2044,辅助信息!A:B,2,FALSE)</f>
        <v>盘螺</v>
      </c>
      <c r="F2044" s="41" t="s">
        <v>40</v>
      </c>
      <c r="G2044" s="37">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121</v>
      </c>
      <c r="Q2044" s="30" t="str">
        <f>VLOOKUP(B2044,辅助信息!E:M,9,FALSE)</f>
        <v>ZTWM-CDGS-XS-2025-0033-中铁武汉电气化局集团有限公司成达万高速铁路强电工程项目</v>
      </c>
      <c r="R2044" s="30" t="str">
        <f>_xlfn._xlws.FILTER(辅助信息!D:D,辅助信息!E:E=B2044)</f>
        <v>武汉电气化局成达万高铁强电项目</v>
      </c>
    </row>
    <row r="2045" hidden="1" spans="2:18">
      <c r="B2045" s="41" t="s">
        <v>176</v>
      </c>
      <c r="C2045" s="71">
        <v>45839</v>
      </c>
      <c r="D2045" s="121" t="str">
        <f>VLOOKUP(B2045,辅助信息!E:K,7,FALSE)</f>
        <v>JWDDCD2025062200016</v>
      </c>
      <c r="E2045" s="121" t="str">
        <f>VLOOKUP(F2045,辅助信息!A:B,2,FALSE)</f>
        <v>螺纹钢</v>
      </c>
      <c r="F2045" s="41" t="s">
        <v>111</v>
      </c>
      <c r="G2045" s="37">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121</v>
      </c>
      <c r="Q2045" s="30" t="str">
        <f>VLOOKUP(B2045,辅助信息!E:M,9,FALSE)</f>
        <v>ZTWM-CDGS-XS-2025-0033-中铁武汉电气化局集团有限公司成达万高速铁路强电工程项目</v>
      </c>
      <c r="R2045" s="30" t="str">
        <f>_xlfn._xlws.FILTER(辅助信息!D:D,辅助信息!E:E=B2045)</f>
        <v>武汉电气化局成达万高铁强电项目</v>
      </c>
    </row>
    <row r="2046" hidden="1" spans="2:18">
      <c r="B2046" s="41" t="s">
        <v>176</v>
      </c>
      <c r="C2046" s="71">
        <v>45839</v>
      </c>
      <c r="D2046" s="121" t="str">
        <f>VLOOKUP(B2046,辅助信息!E:K,7,FALSE)</f>
        <v>JWDDCD2025062200016</v>
      </c>
      <c r="E2046" s="121" t="str">
        <f>VLOOKUP(F2046,辅助信息!A:B,2,FALSE)</f>
        <v>螺纹钢</v>
      </c>
      <c r="F2046" s="41" t="s">
        <v>76</v>
      </c>
      <c r="G2046" s="37">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121</v>
      </c>
      <c r="Q2046" s="30" t="str">
        <f>VLOOKUP(B2046,辅助信息!E:M,9,FALSE)</f>
        <v>ZTWM-CDGS-XS-2025-0033-中铁武汉电气化局集团有限公司成达万高速铁路强电工程项目</v>
      </c>
      <c r="R2046" s="30" t="str">
        <f>_xlfn._xlws.FILTER(辅助信息!D:D,辅助信息!E:E=B2046)</f>
        <v>武汉电气化局成达万高铁强电项目</v>
      </c>
    </row>
    <row r="2047" hidden="1" spans="2:18">
      <c r="B2047" s="41" t="s">
        <v>162</v>
      </c>
      <c r="C2047" s="71">
        <v>45836</v>
      </c>
      <c r="D2047" s="121" t="str">
        <f>VLOOKUP(B2047,辅助信息!E:K,7,FALSE)</f>
        <v>JWDD2025071500089</v>
      </c>
      <c r="E2047" s="121" t="str">
        <f>VLOOKUP(F2047,辅助信息!A:B,2,FALSE)</f>
        <v>盘螺</v>
      </c>
      <c r="F2047" s="41" t="s">
        <v>41</v>
      </c>
      <c r="G2047" s="37">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121</v>
      </c>
      <c r="Q2047" s="30" t="str">
        <f>VLOOKUP(B2047,辅助信息!E:M,9,FALSE)</f>
        <v>ZTWM-CDYXGS-XS-2025-0014-宜宾兴港建材-三江新区长江工业园片区保障性租赁住房建设项目</v>
      </c>
      <c r="R2047" s="30" t="str">
        <f>_xlfn._xlws.FILTER(辅助信息!D:D,辅助信息!E:E=B2047)</f>
        <v>宜宾兴港三江新区长江工业园建设项目</v>
      </c>
    </row>
    <row r="2048" hidden="1" spans="2:18">
      <c r="B2048" s="41" t="s">
        <v>162</v>
      </c>
      <c r="C2048" s="71">
        <v>45836</v>
      </c>
      <c r="D2048" s="121" t="str">
        <f>VLOOKUP(B2048,辅助信息!E:K,7,FALSE)</f>
        <v>JWDD2025071500089</v>
      </c>
      <c r="E2048" s="121" t="str">
        <f>VLOOKUP(F2048,辅助信息!A:B,2,FALSE)</f>
        <v>盘螺</v>
      </c>
      <c r="F2048" s="41" t="s">
        <v>26</v>
      </c>
      <c r="G2048" s="37">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121</v>
      </c>
      <c r="Q2048" s="30" t="str">
        <f>VLOOKUP(B2048,辅助信息!E:M,9,FALSE)</f>
        <v>ZTWM-CDYXGS-XS-2025-0014-宜宾兴港建材-三江新区长江工业园片区保障性租赁住房建设项目</v>
      </c>
      <c r="R2048" s="30" t="str">
        <f>_xlfn._xlws.FILTER(辅助信息!D:D,辅助信息!E:E=B2048)</f>
        <v>宜宾兴港三江新区长江工业园建设项目</v>
      </c>
    </row>
    <row r="2049" hidden="1" spans="2:18">
      <c r="B2049" s="41" t="s">
        <v>162</v>
      </c>
      <c r="C2049" s="71">
        <v>45836</v>
      </c>
      <c r="D2049" s="121" t="str">
        <f>VLOOKUP(B2049,辅助信息!E:K,7,FALSE)</f>
        <v>JWDD2025071500089</v>
      </c>
      <c r="E2049" s="121" t="str">
        <f>VLOOKUP(F2049,辅助信息!A:B,2,FALSE)</f>
        <v>螺纹钢</v>
      </c>
      <c r="F2049" s="41" t="s">
        <v>19</v>
      </c>
      <c r="G2049" s="37">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121</v>
      </c>
      <c r="Q2049" s="30" t="str">
        <f>VLOOKUP(B2049,辅助信息!E:M,9,FALSE)</f>
        <v>ZTWM-CDYXGS-XS-2025-0014-宜宾兴港建材-三江新区长江工业园片区保障性租赁住房建设项目</v>
      </c>
      <c r="R2049" s="30" t="str">
        <f>_xlfn._xlws.FILTER(辅助信息!D:D,辅助信息!E:E=B2049)</f>
        <v>宜宾兴港三江新区长江工业园建设项目</v>
      </c>
    </row>
    <row r="2050" hidden="1" spans="2:18">
      <c r="B2050" s="41" t="s">
        <v>162</v>
      </c>
      <c r="C2050" s="71">
        <v>45836</v>
      </c>
      <c r="D2050" s="121" t="str">
        <f>VLOOKUP(B2050,辅助信息!E:K,7,FALSE)</f>
        <v>JWDD2025071500089</v>
      </c>
      <c r="E2050" s="121" t="str">
        <f>VLOOKUP(F2050,辅助信息!A:B,2,FALSE)</f>
        <v>螺纹钢</v>
      </c>
      <c r="F2050" s="41" t="s">
        <v>32</v>
      </c>
      <c r="G2050" s="37">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121</v>
      </c>
      <c r="Q2050" s="30" t="str">
        <f>VLOOKUP(B2050,辅助信息!E:M,9,FALSE)</f>
        <v>ZTWM-CDYXGS-XS-2025-0014-宜宾兴港建材-三江新区长江工业园片区保障性租赁住房建设项目</v>
      </c>
      <c r="R2050" s="30" t="str">
        <f>_xlfn._xlws.FILTER(辅助信息!D:D,辅助信息!E:E=B2050)</f>
        <v>宜宾兴港三江新区长江工业园建设项目</v>
      </c>
    </row>
    <row r="2051" hidden="1" spans="2:18">
      <c r="B2051" s="41" t="s">
        <v>162</v>
      </c>
      <c r="C2051" s="71">
        <v>45836</v>
      </c>
      <c r="D2051" s="121" t="str">
        <f>VLOOKUP(B2051,辅助信息!E:K,7,FALSE)</f>
        <v>JWDD2025071500089</v>
      </c>
      <c r="E2051" s="121" t="str">
        <f>VLOOKUP(F2051,辅助信息!A:B,2,FALSE)</f>
        <v>螺纹钢</v>
      </c>
      <c r="F2051" s="41" t="s">
        <v>30</v>
      </c>
      <c r="G2051" s="37">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121</v>
      </c>
      <c r="Q2051" s="30" t="str">
        <f>VLOOKUP(B2051,辅助信息!E:M,9,FALSE)</f>
        <v>ZTWM-CDYXGS-XS-2025-0014-宜宾兴港建材-三江新区长江工业园片区保障性租赁住房建设项目</v>
      </c>
      <c r="R2051" s="30" t="str">
        <f>_xlfn._xlws.FILTER(辅助信息!D:D,辅助信息!E:E=B2051)</f>
        <v>宜宾兴港三江新区长江工业园建设项目</v>
      </c>
    </row>
    <row r="2052" hidden="1" spans="2:18">
      <c r="B2052" s="41" t="s">
        <v>184</v>
      </c>
      <c r="C2052" s="71">
        <v>45836</v>
      </c>
      <c r="D2052" s="121" t="str">
        <f>VLOOKUP(B2052,辅助信息!E:K,7,FALSE)</f>
        <v>JWDD2025071500089</v>
      </c>
      <c r="E2052" s="121" t="str">
        <f>VLOOKUP(F2052,辅助信息!A:B,2,FALSE)</f>
        <v>高线</v>
      </c>
      <c r="F2052" s="41" t="s">
        <v>53</v>
      </c>
      <c r="G2052" s="37">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30" t="str">
        <f>VLOOKUP(B2052,辅助信息!E:M,9,FALSE)</f>
        <v>ZTWM-CDYXGS-XS-2025-0014-宜宾兴港建材-三江新区长江工业园片区保障性租赁住房建设项目</v>
      </c>
      <c r="R2052" s="30" t="str">
        <f>_xlfn._xlws.FILTER(辅助信息!D:D,辅助信息!E:E=B2052)</f>
        <v>宜宾兴港三江新区长江工业园建设项目</v>
      </c>
    </row>
    <row r="2053" hidden="1" spans="1:18">
      <c r="A2053" s="120"/>
      <c r="B2053" s="41" t="s">
        <v>147</v>
      </c>
      <c r="C2053" s="71">
        <v>45839</v>
      </c>
      <c r="D2053" s="121" t="str">
        <f>VLOOKUP(B2053,辅助信息!E:K,7,FALSE)</f>
        <v>JWDDCD2025052800131</v>
      </c>
      <c r="E2053" s="121" t="str">
        <f>VLOOKUP(F2053,辅助信息!A:B,2,FALSE)</f>
        <v>高线</v>
      </c>
      <c r="F2053" s="41" t="s">
        <v>57</v>
      </c>
      <c r="G2053" s="37">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121</v>
      </c>
      <c r="Q2053" s="30" t="str">
        <f>VLOOKUP(B2053,辅助信息!E:M,9,FALSE)</f>
        <v>ZTWM-CDGS-XS-2024-0134-商投建工达州中医药科技成果示范园项目</v>
      </c>
      <c r="R2053" s="30" t="str">
        <f>_xlfn._xlws.FILTER(辅助信息!D:D,辅助信息!E:E=B2053)</f>
        <v>商投建工达州中医药科技园</v>
      </c>
    </row>
    <row r="2054" hidden="1" spans="1:18">
      <c r="A2054" s="120"/>
      <c r="B2054" s="41" t="s">
        <v>147</v>
      </c>
      <c r="C2054" s="71">
        <v>45839</v>
      </c>
      <c r="D2054" s="121" t="str">
        <f>VLOOKUP(B2054,辅助信息!E:K,7,FALSE)</f>
        <v>JWDDCD2025052800131</v>
      </c>
      <c r="E2054" s="121" t="str">
        <f>VLOOKUP(F2054,辅助信息!A:B,2,FALSE)</f>
        <v>螺纹钢</v>
      </c>
      <c r="F2054" s="41" t="s">
        <v>21</v>
      </c>
      <c r="G2054" s="37">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121</v>
      </c>
      <c r="Q2054" s="30" t="str">
        <f>VLOOKUP(B2054,辅助信息!E:M,9,FALSE)</f>
        <v>ZTWM-CDGS-XS-2024-0134-商投建工达州中医药科技成果示范园项目</v>
      </c>
      <c r="R2054" s="30" t="str">
        <f>_xlfn._xlws.FILTER(辅助信息!D:D,辅助信息!E:E=B2054)</f>
        <v>商投建工达州中医药科技园</v>
      </c>
    </row>
    <row r="2055" hidden="1" spans="1:18">
      <c r="A2055" s="120"/>
      <c r="B2055" s="41" t="s">
        <v>147</v>
      </c>
      <c r="C2055" s="71">
        <v>45839</v>
      </c>
      <c r="D2055" s="121" t="str">
        <f>VLOOKUP(B2055,辅助信息!E:K,7,FALSE)</f>
        <v>JWDDCD2025052800131</v>
      </c>
      <c r="E2055" s="121" t="str">
        <f>VLOOKUP(F2055,辅助信息!A:B,2,FALSE)</f>
        <v>螺纹钢</v>
      </c>
      <c r="F2055" s="41" t="s">
        <v>46</v>
      </c>
      <c r="G2055" s="37">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121</v>
      </c>
      <c r="Q2055" s="30" t="str">
        <f>VLOOKUP(B2055,辅助信息!E:M,9,FALSE)</f>
        <v>ZTWM-CDGS-XS-2024-0134-商投建工达州中医药科技成果示范园项目</v>
      </c>
      <c r="R2055" s="30" t="str">
        <f>_xlfn._xlws.FILTER(辅助信息!D:D,辅助信息!E:E=B2055)</f>
        <v>商投建工达州中医药科技园</v>
      </c>
    </row>
    <row r="2056" hidden="1" spans="1:18">
      <c r="A2056" s="120"/>
      <c r="B2056" s="41" t="s">
        <v>147</v>
      </c>
      <c r="C2056" s="71">
        <v>45839</v>
      </c>
      <c r="D2056" s="121" t="str">
        <f>VLOOKUP(B2056,辅助信息!E:K,7,FALSE)</f>
        <v>JWDDCD2025052800131</v>
      </c>
      <c r="E2056" s="121" t="str">
        <f>VLOOKUP(F2056,辅助信息!A:B,2,FALSE)</f>
        <v>螺纹钢</v>
      </c>
      <c r="F2056" s="41" t="s">
        <v>22</v>
      </c>
      <c r="G2056" s="37">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121</v>
      </c>
      <c r="Q2056" s="30" t="str">
        <f>VLOOKUP(B2056,辅助信息!E:M,9,FALSE)</f>
        <v>ZTWM-CDGS-XS-2024-0134-商投建工达州中医药科技成果示范园项目</v>
      </c>
      <c r="R2056" s="30" t="str">
        <f>_xlfn._xlws.FILTER(辅助信息!D:D,辅助信息!E:E=B2056)</f>
        <v>商投建工达州中医药科技园</v>
      </c>
    </row>
    <row r="2057" hidden="1" spans="1:18">
      <c r="A2057" s="120"/>
      <c r="B2057" s="41" t="s">
        <v>147</v>
      </c>
      <c r="C2057" s="71">
        <v>45839</v>
      </c>
      <c r="D2057" s="121" t="str">
        <f>VLOOKUP(B2057,辅助信息!E:K,7,FALSE)</f>
        <v>JWDDCD2025052800131</v>
      </c>
      <c r="E2057" s="121" t="str">
        <f>VLOOKUP(F2057,辅助信息!A:B,2,FALSE)</f>
        <v>螺纹钢</v>
      </c>
      <c r="F2057" s="41" t="s">
        <v>45</v>
      </c>
      <c r="G2057" s="37">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121</v>
      </c>
      <c r="Q2057" s="30" t="str">
        <f>VLOOKUP(B2057,辅助信息!E:M,9,FALSE)</f>
        <v>ZTWM-CDGS-XS-2024-0134-商投建工达州中医药科技成果示范园项目</v>
      </c>
      <c r="R2057" s="30" t="str">
        <f>_xlfn._xlws.FILTER(辅助信息!D:D,辅助信息!E:E=B2057)</f>
        <v>商投建工达州中医药科技园</v>
      </c>
    </row>
    <row r="2058" hidden="1" spans="2:18">
      <c r="B2058" s="41" t="s">
        <v>106</v>
      </c>
      <c r="C2058" s="71">
        <v>45839</v>
      </c>
      <c r="D2058" s="121" t="str">
        <f>VLOOKUP(B2058,辅助信息!E:K,7,FALSE)</f>
        <v>JWDDCD2024101600133</v>
      </c>
      <c r="E2058" s="121" t="str">
        <f>VLOOKUP(F2058,辅助信息!A:B,2,FALSE)</f>
        <v>盘螺</v>
      </c>
      <c r="F2058" s="41" t="s">
        <v>49</v>
      </c>
      <c r="G2058" s="37">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121</v>
      </c>
      <c r="Q2058" s="30" t="str">
        <f>VLOOKUP(B2058,辅助信息!E:M,9,FALSE)</f>
        <v>ZTWM-CDGS-XS-2024-0169-中冶西部钢构-宜宾市南溪区幸福路东路,高县月江镇建设项目</v>
      </c>
      <c r="R2058" s="30" t="str">
        <f>_xlfn._xlws.FILTER(辅助信息!D:D,辅助信息!E:E=B2058)</f>
        <v>五冶钢构-宜宾市南溪区高县月江镇建设项目</v>
      </c>
    </row>
    <row r="2059" hidden="1" spans="2:18">
      <c r="B2059" s="41" t="s">
        <v>106</v>
      </c>
      <c r="C2059" s="71">
        <v>45839</v>
      </c>
      <c r="D2059" s="121" t="str">
        <f>VLOOKUP(B2059,辅助信息!E:K,7,FALSE)</f>
        <v>JWDDCD2024101600133</v>
      </c>
      <c r="E2059" s="121" t="str">
        <f>VLOOKUP(F2059,辅助信息!A:B,2,FALSE)</f>
        <v>盘螺</v>
      </c>
      <c r="F2059" s="41" t="s">
        <v>40</v>
      </c>
      <c r="G2059" s="37">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121</v>
      </c>
      <c r="Q2059" s="30" t="str">
        <f>VLOOKUP(B2059,辅助信息!E:M,9,FALSE)</f>
        <v>ZTWM-CDGS-XS-2024-0169-中冶西部钢构-宜宾市南溪区幸福路东路,高县月江镇建设项目</v>
      </c>
      <c r="R2059" s="30" t="str">
        <f>_xlfn._xlws.FILTER(辅助信息!D:D,辅助信息!E:E=B2059)</f>
        <v>五冶钢构-宜宾市南溪区高县月江镇建设项目</v>
      </c>
    </row>
    <row r="2060" hidden="1" spans="2:18">
      <c r="B2060" s="41" t="s">
        <v>106</v>
      </c>
      <c r="C2060" s="71">
        <v>45839</v>
      </c>
      <c r="D2060" s="121" t="str">
        <f>VLOOKUP(B2060,辅助信息!E:K,7,FALSE)</f>
        <v>JWDDCD2024101600133</v>
      </c>
      <c r="E2060" s="121" t="str">
        <f>VLOOKUP(F2060,辅助信息!A:B,2,FALSE)</f>
        <v>盘螺</v>
      </c>
      <c r="F2060" s="41" t="s">
        <v>41</v>
      </c>
      <c r="G2060" s="37">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121</v>
      </c>
      <c r="Q2060" s="30" t="str">
        <f>VLOOKUP(B2060,辅助信息!E:M,9,FALSE)</f>
        <v>ZTWM-CDGS-XS-2024-0169-中冶西部钢构-宜宾市南溪区幸福路东路,高县月江镇建设项目</v>
      </c>
      <c r="R2060" s="30" t="str">
        <f>_xlfn._xlws.FILTER(辅助信息!D:D,辅助信息!E:E=B2060)</f>
        <v>五冶钢构-宜宾市南溪区高县月江镇建设项目</v>
      </c>
    </row>
    <row r="2061" hidden="1" spans="2:18">
      <c r="B2061" s="41" t="s">
        <v>106</v>
      </c>
      <c r="C2061" s="71">
        <v>45839</v>
      </c>
      <c r="D2061" s="121" t="str">
        <f>VLOOKUP(B2061,辅助信息!E:K,7,FALSE)</f>
        <v>JWDDCD2024101600133</v>
      </c>
      <c r="E2061" s="121" t="str">
        <f>VLOOKUP(F2061,辅助信息!A:B,2,FALSE)</f>
        <v>螺纹钢</v>
      </c>
      <c r="F2061" s="41" t="s">
        <v>27</v>
      </c>
      <c r="G2061" s="37">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121</v>
      </c>
      <c r="Q2061" s="30" t="str">
        <f>VLOOKUP(B2061,辅助信息!E:M,9,FALSE)</f>
        <v>ZTWM-CDGS-XS-2024-0169-中冶西部钢构-宜宾市南溪区幸福路东路,高县月江镇建设项目</v>
      </c>
      <c r="R2061" s="30" t="str">
        <f>_xlfn._xlws.FILTER(辅助信息!D:D,辅助信息!E:E=B2061)</f>
        <v>五冶钢构-宜宾市南溪区高县月江镇建设项目</v>
      </c>
    </row>
    <row r="2062" hidden="1" spans="2:18">
      <c r="B2062" s="41" t="s">
        <v>106</v>
      </c>
      <c r="C2062" s="71">
        <v>45839</v>
      </c>
      <c r="D2062" s="121" t="str">
        <f>VLOOKUP(B2062,辅助信息!E:K,7,FALSE)</f>
        <v>JWDDCD2024101600133</v>
      </c>
      <c r="E2062" s="121" t="str">
        <f>VLOOKUP(F2062,辅助信息!A:B,2,FALSE)</f>
        <v>螺纹钢</v>
      </c>
      <c r="F2062" s="41" t="s">
        <v>19</v>
      </c>
      <c r="G2062" s="37">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121</v>
      </c>
      <c r="Q2062" s="30" t="str">
        <f>VLOOKUP(B2062,辅助信息!E:M,9,FALSE)</f>
        <v>ZTWM-CDGS-XS-2024-0169-中冶西部钢构-宜宾市南溪区幸福路东路,高县月江镇建设项目</v>
      </c>
      <c r="R2062" s="30" t="str">
        <f>_xlfn._xlws.FILTER(辅助信息!D:D,辅助信息!E:E=B2062)</f>
        <v>五冶钢构-宜宾市南溪区高县月江镇建设项目</v>
      </c>
    </row>
    <row r="2063" hidden="1" spans="2:18">
      <c r="B2063" s="41" t="s">
        <v>106</v>
      </c>
      <c r="C2063" s="71">
        <v>45839</v>
      </c>
      <c r="D2063" s="121" t="str">
        <f>VLOOKUP(B2063,辅助信息!E:K,7,FALSE)</f>
        <v>JWDDCD2024101600133</v>
      </c>
      <c r="E2063" s="121" t="str">
        <f>VLOOKUP(F2063,辅助信息!A:B,2,FALSE)</f>
        <v>螺纹钢</v>
      </c>
      <c r="F2063" s="41" t="s">
        <v>32</v>
      </c>
      <c r="G2063" s="37">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121</v>
      </c>
      <c r="Q2063" s="30" t="str">
        <f>VLOOKUP(B2063,辅助信息!E:M,9,FALSE)</f>
        <v>ZTWM-CDGS-XS-2024-0169-中冶西部钢构-宜宾市南溪区幸福路东路,高县月江镇建设项目</v>
      </c>
      <c r="R2063" s="30" t="str">
        <f>_xlfn._xlws.FILTER(辅助信息!D:D,辅助信息!E:E=B2063)</f>
        <v>五冶钢构-宜宾市南溪区高县月江镇建设项目</v>
      </c>
    </row>
    <row r="2064" hidden="1" spans="2:18">
      <c r="B2064" s="41" t="s">
        <v>106</v>
      </c>
      <c r="C2064" s="71">
        <v>45839</v>
      </c>
      <c r="D2064" s="121" t="str">
        <f>VLOOKUP(B2064,辅助信息!E:K,7,FALSE)</f>
        <v>JWDDCD2024101600133</v>
      </c>
      <c r="E2064" s="121" t="str">
        <f>VLOOKUP(F2064,辅助信息!A:B,2,FALSE)</f>
        <v>螺纹钢</v>
      </c>
      <c r="F2064" s="41" t="s">
        <v>30</v>
      </c>
      <c r="G2064" s="37">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121</v>
      </c>
      <c r="Q2064" s="30" t="str">
        <f>VLOOKUP(B2064,辅助信息!E:M,9,FALSE)</f>
        <v>ZTWM-CDGS-XS-2024-0169-中冶西部钢构-宜宾市南溪区幸福路东路,高县月江镇建设项目</v>
      </c>
      <c r="R2064" s="30" t="str">
        <f>_xlfn._xlws.FILTER(辅助信息!D:D,辅助信息!E:E=B2064)</f>
        <v>五冶钢构-宜宾市南溪区高县月江镇建设项目</v>
      </c>
    </row>
    <row r="2065" hidden="1" spans="2:18">
      <c r="B2065" s="41" t="s">
        <v>106</v>
      </c>
      <c r="C2065" s="71">
        <v>45839</v>
      </c>
      <c r="D2065" s="121" t="str">
        <f>VLOOKUP(B2065,辅助信息!E:K,7,FALSE)</f>
        <v>JWDDCD2024101600133</v>
      </c>
      <c r="E2065" s="121" t="str">
        <f>VLOOKUP(F2065,辅助信息!A:B,2,FALSE)</f>
        <v>螺纹钢</v>
      </c>
      <c r="F2065" s="41" t="s">
        <v>33</v>
      </c>
      <c r="G2065" s="37">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121</v>
      </c>
      <c r="Q2065" s="30" t="str">
        <f>VLOOKUP(B2065,辅助信息!E:M,9,FALSE)</f>
        <v>ZTWM-CDGS-XS-2024-0169-中冶西部钢构-宜宾市南溪区幸福路东路,高县月江镇建设项目</v>
      </c>
      <c r="R2065" s="30" t="str">
        <f>_xlfn._xlws.FILTER(辅助信息!D:D,辅助信息!E:E=B2065)</f>
        <v>五冶钢构-宜宾市南溪区高县月江镇建设项目</v>
      </c>
    </row>
    <row r="2066" hidden="1" spans="2:18">
      <c r="B2066" s="41" t="s">
        <v>106</v>
      </c>
      <c r="C2066" s="71">
        <v>45839</v>
      </c>
      <c r="D2066" s="121" t="str">
        <f>VLOOKUP(B2066,辅助信息!E:K,7,FALSE)</f>
        <v>JWDDCD2024101600133</v>
      </c>
      <c r="E2066" s="121" t="str">
        <f>VLOOKUP(F2066,辅助信息!A:B,2,FALSE)</f>
        <v>螺纹钢</v>
      </c>
      <c r="F2066" s="41" t="s">
        <v>28</v>
      </c>
      <c r="G2066" s="37">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121</v>
      </c>
      <c r="Q2066" s="30" t="str">
        <f>VLOOKUP(B2066,辅助信息!E:M,9,FALSE)</f>
        <v>ZTWM-CDGS-XS-2024-0169-中冶西部钢构-宜宾市南溪区幸福路东路,高县月江镇建设项目</v>
      </c>
      <c r="R2066" s="30" t="str">
        <f>_xlfn._xlws.FILTER(辅助信息!D:D,辅助信息!E:E=B2066)</f>
        <v>五冶钢构-宜宾市南溪区高县月江镇建设项目</v>
      </c>
    </row>
    <row r="2067" hidden="1" spans="2:18">
      <c r="B2067" s="41" t="s">
        <v>106</v>
      </c>
      <c r="C2067" s="71">
        <v>45839</v>
      </c>
      <c r="D2067" s="121" t="str">
        <f>VLOOKUP(B2067,辅助信息!E:K,7,FALSE)</f>
        <v>JWDDCD2024101600133</v>
      </c>
      <c r="E2067" s="121" t="str">
        <f>VLOOKUP(F2067,辅助信息!A:B,2,FALSE)</f>
        <v>螺纹钢</v>
      </c>
      <c r="F2067" s="41" t="s">
        <v>18</v>
      </c>
      <c r="G2067" s="37">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121</v>
      </c>
      <c r="Q2067" s="30" t="str">
        <f>VLOOKUP(B2067,辅助信息!E:M,9,FALSE)</f>
        <v>ZTWM-CDGS-XS-2024-0169-中冶西部钢构-宜宾市南溪区幸福路东路,高县月江镇建设项目</v>
      </c>
      <c r="R2067" s="30" t="str">
        <f>_xlfn._xlws.FILTER(辅助信息!D:D,辅助信息!E:E=B2067)</f>
        <v>五冶钢构-宜宾市南溪区高县月江镇建设项目</v>
      </c>
    </row>
    <row r="2068" hidden="1" spans="2:18">
      <c r="B2068" s="41" t="s">
        <v>186</v>
      </c>
      <c r="C2068" s="71">
        <v>45839</v>
      </c>
      <c r="D2068" s="121" t="str">
        <f>VLOOKUP(B2068,辅助信息!E:K,7,FALSE)</f>
        <v>JWDDCD2025072900123</v>
      </c>
      <c r="E2068" s="121" t="str">
        <f>VLOOKUP(F2068,辅助信息!A:B,2,FALSE)</f>
        <v>盘螺</v>
      </c>
      <c r="F2068" s="41" t="s">
        <v>49</v>
      </c>
      <c r="G2068" s="37">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121</v>
      </c>
      <c r="Q2068" s="30" t="str">
        <f>VLOOKUP(B2068,辅助信息!E:M,9,FALSE)</f>
        <v>ZTWM-CDGS-XS-2025-0126-四川机司-乐山市校地共建产教融合基地配套设施项目施工二标段钢筋采购合同</v>
      </c>
      <c r="R2068" s="30" t="str">
        <f>_xlfn._xlws.FILTER(辅助信息!D:D,辅助信息!E:E=B2068)</f>
        <v>乐山市校地共建产教融合基地建设项目</v>
      </c>
    </row>
    <row r="2069" hidden="1" spans="2:18">
      <c r="B2069" s="41" t="s">
        <v>186</v>
      </c>
      <c r="C2069" s="71">
        <v>45839</v>
      </c>
      <c r="D2069" s="121" t="str">
        <f>VLOOKUP(B2069,辅助信息!E:K,7,FALSE)</f>
        <v>JWDDCD2025072900123</v>
      </c>
      <c r="E2069" s="121" t="str">
        <f>VLOOKUP(F2069,辅助信息!A:B,2,FALSE)</f>
        <v>盘螺</v>
      </c>
      <c r="F2069" s="41" t="s">
        <v>40</v>
      </c>
      <c r="G2069" s="37">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121</v>
      </c>
      <c r="Q2069" s="30" t="str">
        <f>VLOOKUP(B2069,辅助信息!E:M,9,FALSE)</f>
        <v>ZTWM-CDGS-XS-2025-0126-四川机司-乐山市校地共建产教融合基地配套设施项目施工二标段钢筋采购合同</v>
      </c>
      <c r="R2069" s="30" t="str">
        <f>_xlfn._xlws.FILTER(辅助信息!D:D,辅助信息!E:E=B2069)</f>
        <v>乐山市校地共建产教融合基地建设项目</v>
      </c>
    </row>
    <row r="2070" hidden="1" spans="2:18">
      <c r="B2070" s="41" t="s">
        <v>186</v>
      </c>
      <c r="C2070" s="71">
        <v>45839</v>
      </c>
      <c r="D2070" s="121" t="str">
        <f>VLOOKUP(B2070,辅助信息!E:K,7,FALSE)</f>
        <v>JWDDCD2025072900123</v>
      </c>
      <c r="E2070" s="121" t="str">
        <f>VLOOKUP(F2070,辅助信息!A:B,2,FALSE)</f>
        <v>盘螺</v>
      </c>
      <c r="F2070" s="41" t="s">
        <v>41</v>
      </c>
      <c r="G2070" s="37">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121</v>
      </c>
      <c r="Q2070" s="30" t="str">
        <f>VLOOKUP(B2070,辅助信息!E:M,9,FALSE)</f>
        <v>ZTWM-CDGS-XS-2025-0126-四川机司-乐山市校地共建产教融合基地配套设施项目施工二标段钢筋采购合同</v>
      </c>
      <c r="R2070" s="30" t="str">
        <f>_xlfn._xlws.FILTER(辅助信息!D:D,辅助信息!E:E=B2070)</f>
        <v>乐山市校地共建产教融合基地建设项目</v>
      </c>
    </row>
    <row r="2071" hidden="1" spans="2:18">
      <c r="B2071" s="41" t="s">
        <v>186</v>
      </c>
      <c r="C2071" s="71">
        <v>45839</v>
      </c>
      <c r="D2071" s="121" t="str">
        <f>VLOOKUP(B2071,辅助信息!E:K,7,FALSE)</f>
        <v>JWDDCD2025072900123</v>
      </c>
      <c r="E2071" s="121" t="str">
        <f>VLOOKUP(F2071,辅助信息!A:B,2,FALSE)</f>
        <v>螺纹钢</v>
      </c>
      <c r="F2071" s="41" t="s">
        <v>66</v>
      </c>
      <c r="G2071" s="37">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121</v>
      </c>
      <c r="Q2071" s="30" t="str">
        <f>VLOOKUP(B2071,辅助信息!E:M,9,FALSE)</f>
        <v>ZTWM-CDGS-XS-2025-0126-四川机司-乐山市校地共建产教融合基地配套设施项目施工二标段钢筋采购合同</v>
      </c>
      <c r="R2071" s="30" t="str">
        <f>_xlfn._xlws.FILTER(辅助信息!D:D,辅助信息!E:E=B2071)</f>
        <v>乐山市校地共建产教融合基地建设项目</v>
      </c>
    </row>
    <row r="2072" hidden="1" spans="2:18">
      <c r="B2072" s="41" t="s">
        <v>186</v>
      </c>
      <c r="C2072" s="71">
        <v>45839</v>
      </c>
      <c r="D2072" s="121" t="str">
        <f>VLOOKUP(B2072,辅助信息!E:K,7,FALSE)</f>
        <v>JWDDCD2025072900123</v>
      </c>
      <c r="E2072" s="121" t="str">
        <f>VLOOKUP(F2072,辅助信息!A:B,2,FALSE)</f>
        <v>螺纹钢</v>
      </c>
      <c r="F2072" s="41" t="s">
        <v>82</v>
      </c>
      <c r="G2072" s="37">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121</v>
      </c>
      <c r="Q2072" s="30" t="str">
        <f>VLOOKUP(B2072,辅助信息!E:M,9,FALSE)</f>
        <v>ZTWM-CDGS-XS-2025-0126-四川机司-乐山市校地共建产教融合基地配套设施项目施工二标段钢筋采购合同</v>
      </c>
      <c r="R2072" s="30" t="str">
        <f>_xlfn._xlws.FILTER(辅助信息!D:D,辅助信息!E:E=B2072)</f>
        <v>乐山市校地共建产教融合基地建设项目</v>
      </c>
    </row>
    <row r="2073" hidden="1" spans="2:18">
      <c r="B2073" s="41" t="s">
        <v>186</v>
      </c>
      <c r="C2073" s="71">
        <v>45839</v>
      </c>
      <c r="D2073" s="121" t="str">
        <f>VLOOKUP(B2073,辅助信息!E:K,7,FALSE)</f>
        <v>JWDDCD2025072900123</v>
      </c>
      <c r="E2073" s="121" t="str">
        <f>VLOOKUP(F2073,辅助信息!A:B,2,FALSE)</f>
        <v>螺纹钢</v>
      </c>
      <c r="F2073" s="41" t="s">
        <v>45</v>
      </c>
      <c r="G2073" s="37">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121</v>
      </c>
      <c r="Q2073" s="30" t="str">
        <f>VLOOKUP(B2073,辅助信息!E:M,9,FALSE)</f>
        <v>ZTWM-CDGS-XS-2025-0126-四川机司-乐山市校地共建产教融合基地配套设施项目施工二标段钢筋采购合同</v>
      </c>
      <c r="R2073" s="30" t="str">
        <f>_xlfn._xlws.FILTER(辅助信息!D:D,辅助信息!E:E=B2073)</f>
        <v>乐山市校地共建产教融合基地建设项目</v>
      </c>
    </row>
    <row r="2074" hidden="1" spans="2:18">
      <c r="B2074" s="41" t="s">
        <v>186</v>
      </c>
      <c r="C2074" s="71">
        <v>45839</v>
      </c>
      <c r="D2074" s="121" t="str">
        <f>VLOOKUP(B2074,辅助信息!E:K,7,FALSE)</f>
        <v>JWDDCD2025072900123</v>
      </c>
      <c r="E2074" s="121" t="str">
        <f>VLOOKUP(F2074,辅助信息!A:B,2,FALSE)</f>
        <v>螺纹钢</v>
      </c>
      <c r="F2074" s="41" t="s">
        <v>21</v>
      </c>
      <c r="G2074" s="37">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121</v>
      </c>
      <c r="Q2074" s="30" t="str">
        <f>VLOOKUP(B2074,辅助信息!E:M,9,FALSE)</f>
        <v>ZTWM-CDGS-XS-2025-0126-四川机司-乐山市校地共建产教融合基地配套设施项目施工二标段钢筋采购合同</v>
      </c>
      <c r="R2074" s="30" t="str">
        <f>_xlfn._xlws.FILTER(辅助信息!D:D,辅助信息!E:E=B2074)</f>
        <v>乐山市校地共建产教融合基地建设项目</v>
      </c>
    </row>
    <row r="2075" hidden="1" spans="2:18">
      <c r="B2075" s="41" t="s">
        <v>186</v>
      </c>
      <c r="C2075" s="71">
        <v>45839</v>
      </c>
      <c r="D2075" s="121" t="str">
        <f>VLOOKUP(B2075,辅助信息!E:K,7,FALSE)</f>
        <v>JWDDCD2025072900123</v>
      </c>
      <c r="E2075" s="121" t="str">
        <f>VLOOKUP(F2075,辅助信息!A:B,2,FALSE)</f>
        <v>螺纹钢</v>
      </c>
      <c r="F2075" s="41" t="s">
        <v>58</v>
      </c>
      <c r="G2075" s="37">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121</v>
      </c>
      <c r="Q2075" s="30" t="str">
        <f>VLOOKUP(B2075,辅助信息!E:M,9,FALSE)</f>
        <v>ZTWM-CDGS-XS-2025-0126-四川机司-乐山市校地共建产教融合基地配套设施项目施工二标段钢筋采购合同</v>
      </c>
      <c r="R2075" s="30" t="str">
        <f>_xlfn._xlws.FILTER(辅助信息!D:D,辅助信息!E:E=B2075)</f>
        <v>乐山市校地共建产教融合基地建设项目</v>
      </c>
    </row>
    <row r="2076" hidden="1" spans="2:18">
      <c r="B2076" s="41" t="s">
        <v>186</v>
      </c>
      <c r="C2076" s="71">
        <v>45839</v>
      </c>
      <c r="D2076" s="121" t="str">
        <f>VLOOKUP(B2076,辅助信息!E:K,7,FALSE)</f>
        <v>JWDDCD2025072900123</v>
      </c>
      <c r="E2076" s="121" t="str">
        <f>VLOOKUP(F2076,辅助信息!A:B,2,FALSE)</f>
        <v>螺纹钢</v>
      </c>
      <c r="F2076" s="41" t="s">
        <v>46</v>
      </c>
      <c r="G2076" s="37">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121</v>
      </c>
      <c r="Q2076" s="30" t="str">
        <f>VLOOKUP(B2076,辅助信息!E:M,9,FALSE)</f>
        <v>ZTWM-CDGS-XS-2025-0126-四川机司-乐山市校地共建产教融合基地配套设施项目施工二标段钢筋采购合同</v>
      </c>
      <c r="R2076" s="30" t="str">
        <f>_xlfn._xlws.FILTER(辅助信息!D:D,辅助信息!E:E=B2076)</f>
        <v>乐山市校地共建产教融合基地建设项目</v>
      </c>
    </row>
    <row r="2077" hidden="1" spans="2:18">
      <c r="B2077" s="41" t="s">
        <v>186</v>
      </c>
      <c r="C2077" s="71">
        <v>45839</v>
      </c>
      <c r="D2077" s="121" t="str">
        <f>VLOOKUP(B2077,辅助信息!E:K,7,FALSE)</f>
        <v>JWDDCD2025072900123</v>
      </c>
      <c r="E2077" s="121" t="str">
        <f>VLOOKUP(F2077,辅助信息!A:B,2,FALSE)</f>
        <v>螺纹钢</v>
      </c>
      <c r="F2077" s="41" t="s">
        <v>22</v>
      </c>
      <c r="G2077" s="37">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121</v>
      </c>
      <c r="Q2077" s="30" t="str">
        <f>VLOOKUP(B2077,辅助信息!E:M,9,FALSE)</f>
        <v>ZTWM-CDGS-XS-2025-0126-四川机司-乐山市校地共建产教融合基地配套设施项目施工二标段钢筋采购合同</v>
      </c>
      <c r="R2077" s="30" t="str">
        <f>_xlfn._xlws.FILTER(辅助信息!D:D,辅助信息!E:E=B2077)</f>
        <v>乐山市校地共建产教融合基地建设项目</v>
      </c>
    </row>
    <row r="2078" hidden="1" spans="2:18">
      <c r="B2078" s="41" t="s">
        <v>186</v>
      </c>
      <c r="C2078" s="71">
        <v>45839</v>
      </c>
      <c r="D2078" s="121" t="str">
        <f>VLOOKUP(B2078,辅助信息!E:K,7,FALSE)</f>
        <v>JWDDCD2025072900123</v>
      </c>
      <c r="E2078" s="121" t="str">
        <f>VLOOKUP(F2078,辅助信息!A:B,2,FALSE)</f>
        <v>螺纹钢</v>
      </c>
      <c r="F2078" s="41" t="s">
        <v>181</v>
      </c>
      <c r="G2078" s="37">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121</v>
      </c>
      <c r="Q2078" s="30" t="str">
        <f>VLOOKUP(B2078,辅助信息!E:M,9,FALSE)</f>
        <v>ZTWM-CDGS-XS-2025-0126-四川机司-乐山市校地共建产教融合基地配套设施项目施工二标段钢筋采购合同</v>
      </c>
      <c r="R2078" s="30" t="str">
        <f>_xlfn._xlws.FILTER(辅助信息!D:D,辅助信息!E:E=B2078)</f>
        <v>乐山市校地共建产教融合基地建设项目</v>
      </c>
    </row>
    <row r="2079" hidden="1" spans="2:18">
      <c r="B2079" s="41" t="s">
        <v>186</v>
      </c>
      <c r="C2079" s="71">
        <v>45839</v>
      </c>
      <c r="D2079" s="121" t="str">
        <f>VLOOKUP(B2079,辅助信息!E:K,7,FALSE)</f>
        <v>JWDDCD2025072900123</v>
      </c>
      <c r="E2079" s="121" t="str">
        <f>VLOOKUP(F2079,辅助信息!A:B,2,FALSE)</f>
        <v>螺纹钢</v>
      </c>
      <c r="F2079" s="41" t="s">
        <v>182</v>
      </c>
      <c r="G2079" s="37">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121</v>
      </c>
      <c r="Q2079" s="30" t="str">
        <f>VLOOKUP(B2079,辅助信息!E:M,9,FALSE)</f>
        <v>ZTWM-CDGS-XS-2025-0126-四川机司-乐山市校地共建产教融合基地配套设施项目施工二标段钢筋采购合同</v>
      </c>
      <c r="R2079" s="30" t="str">
        <f>_xlfn._xlws.FILTER(辅助信息!D:D,辅助信息!E:E=B2079)</f>
        <v>乐山市校地共建产教融合基地建设项目</v>
      </c>
    </row>
    <row r="2080" hidden="1" spans="2:18">
      <c r="B2080" s="41" t="s">
        <v>31</v>
      </c>
      <c r="C2080" s="71">
        <v>45839</v>
      </c>
      <c r="D2080" s="121" t="str">
        <f>VLOOKUP(B2080,辅助信息!E:K,7,FALSE)</f>
        <v>JWDDCD2024121000136</v>
      </c>
      <c r="E2080" s="121" t="str">
        <f>VLOOKUP(F2080,辅助信息!A:B,2,FALSE)</f>
        <v>高线</v>
      </c>
      <c r="F2080" s="41" t="s">
        <v>53</v>
      </c>
      <c r="G2080" s="37">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121</v>
      </c>
      <c r="Q2080" s="30" t="str">
        <f>VLOOKUP(B2080,辅助信息!E:M,9,FALSE)</f>
        <v>ZTWM-CDGS-XS-2024-0179-四川商投-射洪城乡一体化建设项目</v>
      </c>
      <c r="R2080" s="30" t="str">
        <f>_xlfn._xlws.FILTER(辅助信息!D:D,辅助信息!E:E=B2080)</f>
        <v>四川商建
射洪城乡一体化项目</v>
      </c>
    </row>
    <row r="2081" hidden="1" spans="2:18">
      <c r="B2081" s="41" t="s">
        <v>31</v>
      </c>
      <c r="C2081" s="71">
        <v>45839</v>
      </c>
      <c r="D2081" s="121" t="str">
        <f>VLOOKUP(B2081,辅助信息!E:K,7,FALSE)</f>
        <v>JWDDCD2024121000136</v>
      </c>
      <c r="E2081" s="121" t="str">
        <f>VLOOKUP(F2081,辅助信息!A:B,2,FALSE)</f>
        <v>螺纹钢</v>
      </c>
      <c r="F2081" s="41" t="s">
        <v>66</v>
      </c>
      <c r="G2081" s="37">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121</v>
      </c>
      <c r="Q2081" s="30" t="str">
        <f>VLOOKUP(B2081,辅助信息!E:M,9,FALSE)</f>
        <v>ZTWM-CDGS-XS-2024-0179-四川商投-射洪城乡一体化建设项目</v>
      </c>
      <c r="R2081" s="30" t="str">
        <f>_xlfn._xlws.FILTER(辅助信息!D:D,辅助信息!E:E=B2081)</f>
        <v>四川商建
射洪城乡一体化项目</v>
      </c>
    </row>
    <row r="2082" hidden="1" spans="2:18">
      <c r="B2082" s="41" t="s">
        <v>31</v>
      </c>
      <c r="C2082" s="71">
        <v>45839</v>
      </c>
      <c r="D2082" s="121" t="str">
        <f>VLOOKUP(B2082,辅助信息!E:K,7,FALSE)</f>
        <v>JWDDCD2024121000136</v>
      </c>
      <c r="E2082" s="121" t="str">
        <f>VLOOKUP(F2082,辅助信息!A:B,2,FALSE)</f>
        <v>螺纹钢</v>
      </c>
      <c r="F2082" s="41" t="s">
        <v>45</v>
      </c>
      <c r="G2082" s="37">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121</v>
      </c>
      <c r="Q2082" s="30" t="str">
        <f>VLOOKUP(B2082,辅助信息!E:M,9,FALSE)</f>
        <v>ZTWM-CDGS-XS-2024-0179-四川商投-射洪城乡一体化建设项目</v>
      </c>
      <c r="R2082" s="30" t="str">
        <f>_xlfn._xlws.FILTER(辅助信息!D:D,辅助信息!E:E=B2082)</f>
        <v>四川商建
射洪城乡一体化项目</v>
      </c>
    </row>
    <row r="2083" hidden="1" spans="2:18">
      <c r="B2083" s="41" t="s">
        <v>31</v>
      </c>
      <c r="C2083" s="71">
        <v>45839</v>
      </c>
      <c r="D2083" s="121" t="str">
        <f>VLOOKUP(B2083,辅助信息!E:K,7,FALSE)</f>
        <v>JWDDCD2024121000136</v>
      </c>
      <c r="E2083" s="121" t="str">
        <f>VLOOKUP(F2083,辅助信息!A:B,2,FALSE)</f>
        <v>螺纹钢</v>
      </c>
      <c r="F2083" s="41" t="s">
        <v>21</v>
      </c>
      <c r="G2083" s="37">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121</v>
      </c>
      <c r="Q2083" s="30" t="str">
        <f>VLOOKUP(B2083,辅助信息!E:M,9,FALSE)</f>
        <v>ZTWM-CDGS-XS-2024-0179-四川商投-射洪城乡一体化建设项目</v>
      </c>
      <c r="R2083" s="30" t="str">
        <f>_xlfn._xlws.FILTER(辅助信息!D:D,辅助信息!E:E=B2083)</f>
        <v>四川商建
射洪城乡一体化项目</v>
      </c>
    </row>
    <row r="2084" hidden="1" spans="2:18">
      <c r="B2084" s="41" t="s">
        <v>31</v>
      </c>
      <c r="C2084" s="71">
        <v>45839</v>
      </c>
      <c r="D2084" s="121" t="str">
        <f>VLOOKUP(B2084,辅助信息!E:K,7,FALSE)</f>
        <v>JWDDCD2024121000136</v>
      </c>
      <c r="E2084" s="121" t="str">
        <f>VLOOKUP(F2084,辅助信息!A:B,2,FALSE)</f>
        <v>螺纹钢</v>
      </c>
      <c r="F2084" s="41" t="s">
        <v>58</v>
      </c>
      <c r="G2084" s="37">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121</v>
      </c>
      <c r="Q2084" s="30" t="str">
        <f>VLOOKUP(B2084,辅助信息!E:M,9,FALSE)</f>
        <v>ZTWM-CDGS-XS-2024-0179-四川商投-射洪城乡一体化建设项目</v>
      </c>
      <c r="R2084" s="30" t="str">
        <f>_xlfn._xlws.FILTER(辅助信息!D:D,辅助信息!E:E=B2084)</f>
        <v>四川商建
射洪城乡一体化项目</v>
      </c>
    </row>
    <row r="2085" hidden="1" spans="2:18">
      <c r="B2085" s="41" t="s">
        <v>31</v>
      </c>
      <c r="C2085" s="71">
        <v>45839</v>
      </c>
      <c r="D2085" s="121" t="str">
        <f>VLOOKUP(B2085,辅助信息!E:K,7,FALSE)</f>
        <v>JWDDCD2024121000136</v>
      </c>
      <c r="E2085" s="121" t="str">
        <f>VLOOKUP(F2085,辅助信息!A:B,2,FALSE)</f>
        <v>螺纹钢</v>
      </c>
      <c r="F2085" s="41" t="s">
        <v>46</v>
      </c>
      <c r="G2085" s="37">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121</v>
      </c>
      <c r="Q2085" s="30" t="str">
        <f>VLOOKUP(B2085,辅助信息!E:M,9,FALSE)</f>
        <v>ZTWM-CDGS-XS-2024-0179-四川商投-射洪城乡一体化建设项目</v>
      </c>
      <c r="R2085" s="30" t="str">
        <f>_xlfn._xlws.FILTER(辅助信息!D:D,辅助信息!E:E=B2085)</f>
        <v>四川商建
射洪城乡一体化项目</v>
      </c>
    </row>
    <row r="2086" hidden="1" spans="2:18">
      <c r="B2086" s="41" t="s">
        <v>31</v>
      </c>
      <c r="C2086" s="71">
        <v>45839</v>
      </c>
      <c r="D2086" s="121" t="str">
        <f>VLOOKUP(B2086,辅助信息!E:K,7,FALSE)</f>
        <v>JWDDCD2024121000136</v>
      </c>
      <c r="E2086" s="121" t="str">
        <f>VLOOKUP(F2086,辅助信息!A:B,2,FALSE)</f>
        <v>螺纹钢</v>
      </c>
      <c r="F2086" s="41" t="s">
        <v>22</v>
      </c>
      <c r="G2086" s="37">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121</v>
      </c>
      <c r="Q2086" s="30" t="str">
        <f>VLOOKUP(B2086,辅助信息!E:M,9,FALSE)</f>
        <v>ZTWM-CDGS-XS-2024-0179-四川商投-射洪城乡一体化建设项目</v>
      </c>
      <c r="R2086" s="30"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118</v>
      </c>
      <c r="Q2087" s="30" t="str">
        <f>VLOOKUP(B2087,辅助信息!E:M,9,FALSE)</f>
        <v>ZTWM-CDGS-XS-2025-0033-中铁武汉电气化局集团有限公司成达万高速铁路强电工程项目</v>
      </c>
      <c r="R2087" s="30"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118</v>
      </c>
      <c r="Q2088" s="30" t="str">
        <f>VLOOKUP(B2088,辅助信息!E:M,9,FALSE)</f>
        <v>ZTWM-CDGS-XS-2025-0033-中铁武汉电气化局集团有限公司成达万高速铁路强电工程项目</v>
      </c>
      <c r="R2088" s="30"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118</v>
      </c>
      <c r="Q2089" s="30" t="str">
        <f>VLOOKUP(B2089,辅助信息!E:M,9,FALSE)</f>
        <v>ZTWM-CDGS-XS-2025-0033-中铁武汉电气化局集团有限公司成达万高速铁路强电工程项目</v>
      </c>
      <c r="R2089" s="30"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118</v>
      </c>
      <c r="Q2090" s="30" t="str">
        <f>VLOOKUP(B2090,辅助信息!E:M,9,FALSE)</f>
        <v>ZTWM-CDGS-XS-2025-0033-中铁武汉电气化局集团有限公司成达万高速铁路强电工程项目</v>
      </c>
      <c r="R2090" s="30" t="str">
        <f>_xlfn._xlws.FILTER(辅助信息!D:D,辅助信息!E:E=B2090)</f>
        <v>武汉电气化局成达万高铁强电项目</v>
      </c>
    </row>
    <row r="2091" hidden="1" spans="2:18">
      <c r="B2091" s="41" t="s">
        <v>147</v>
      </c>
      <c r="C2091" s="71">
        <v>45842</v>
      </c>
      <c r="D2091" s="121" t="str">
        <f>VLOOKUP(B2091,辅助信息!E:K,7,FALSE)</f>
        <v>JWDDCD2025052800131</v>
      </c>
      <c r="E2091" s="121" t="str">
        <f>VLOOKUP(F2091,辅助信息!A:B,2,FALSE)</f>
        <v>螺纹钢</v>
      </c>
      <c r="F2091" s="41" t="s">
        <v>21</v>
      </c>
      <c r="G2091" s="37">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117</v>
      </c>
      <c r="Q2091" s="30" t="str">
        <f>VLOOKUP(B2091,辅助信息!E:M,9,FALSE)</f>
        <v>ZTWM-CDGS-XS-2024-0134-商投建工达州中医药科技成果示范园项目</v>
      </c>
      <c r="R2091" s="30" t="str">
        <f>_xlfn._xlws.FILTER(辅助信息!D:D,辅助信息!E:E=B2091)</f>
        <v>商投建工达州中医药科技园</v>
      </c>
    </row>
    <row r="2092" hidden="1" spans="2:18">
      <c r="B2092" s="41" t="s">
        <v>147</v>
      </c>
      <c r="C2092" s="71">
        <v>45842</v>
      </c>
      <c r="D2092" s="121" t="str">
        <f>VLOOKUP(B2092,辅助信息!E:K,7,FALSE)</f>
        <v>JWDDCD2025052800131</v>
      </c>
      <c r="E2092" s="121" t="str">
        <f>VLOOKUP(F2092,辅助信息!A:B,2,FALSE)</f>
        <v>螺纹钢</v>
      </c>
      <c r="F2092" s="41" t="s">
        <v>58</v>
      </c>
      <c r="G2092" s="37">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117</v>
      </c>
      <c r="Q2092" s="30" t="str">
        <f>VLOOKUP(B2092,辅助信息!E:M,9,FALSE)</f>
        <v>ZTWM-CDGS-XS-2024-0134-商投建工达州中医药科技成果示范园项目</v>
      </c>
      <c r="R2092" s="30" t="str">
        <f>_xlfn._xlws.FILTER(辅助信息!D:D,辅助信息!E:E=B2092)</f>
        <v>商投建工达州中医药科技园</v>
      </c>
    </row>
    <row r="2093" hidden="1" spans="2:18">
      <c r="B2093" s="41" t="s">
        <v>147</v>
      </c>
      <c r="C2093" s="71">
        <v>45842</v>
      </c>
      <c r="D2093" s="121" t="str">
        <f>VLOOKUP(B2093,辅助信息!E:K,7,FALSE)</f>
        <v>JWDDCD2025052800131</v>
      </c>
      <c r="E2093" s="121" t="str">
        <f>VLOOKUP(F2093,辅助信息!A:B,2,FALSE)</f>
        <v>螺纹钢</v>
      </c>
      <c r="F2093" s="41" t="s">
        <v>46</v>
      </c>
      <c r="G2093" s="37">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117</v>
      </c>
      <c r="Q2093" s="30" t="str">
        <f>VLOOKUP(B2093,辅助信息!E:M,9,FALSE)</f>
        <v>ZTWM-CDGS-XS-2024-0134-商投建工达州中医药科技成果示范园项目</v>
      </c>
      <c r="R2093" s="30" t="str">
        <f>_xlfn._xlws.FILTER(辅助信息!D:D,辅助信息!E:E=B2093)</f>
        <v>商投建工达州中医药科技园</v>
      </c>
    </row>
    <row r="2094" hidden="1" spans="2:18">
      <c r="B2094" s="41" t="s">
        <v>147</v>
      </c>
      <c r="C2094" s="71">
        <v>45842</v>
      </c>
      <c r="D2094" s="121" t="str">
        <f>VLOOKUP(B2094,辅助信息!E:K,7,FALSE)</f>
        <v>JWDDCD2025052800131</v>
      </c>
      <c r="E2094" s="121" t="str">
        <f>VLOOKUP(F2094,辅助信息!A:B,2,FALSE)</f>
        <v>螺纹钢</v>
      </c>
      <c r="F2094" s="41" t="s">
        <v>22</v>
      </c>
      <c r="G2094" s="37">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117</v>
      </c>
      <c r="Q2094" s="30" t="str">
        <f>VLOOKUP(B2094,辅助信息!E:M,9,FALSE)</f>
        <v>ZTWM-CDGS-XS-2024-0134-商投建工达州中医药科技成果示范园项目</v>
      </c>
      <c r="R2094" s="30" t="str">
        <f>_xlfn._xlws.FILTER(辅助信息!D:D,辅助信息!E:E=B2094)</f>
        <v>商投建工达州中医药科技园</v>
      </c>
    </row>
    <row r="2095" hidden="1" spans="2:18">
      <c r="B2095" s="41" t="s">
        <v>81</v>
      </c>
      <c r="C2095" s="71">
        <v>45842</v>
      </c>
      <c r="D2095" s="121" t="str">
        <f>VLOOKUP(B2095,辅助信息!E:K,7,FALSE)</f>
        <v>JWDDCD2025060900080</v>
      </c>
      <c r="E2095" s="121" t="str">
        <f>VLOOKUP(F2095,辅助信息!A:B,2,FALSE)</f>
        <v>盘螺</v>
      </c>
      <c r="F2095" s="41" t="s">
        <v>49</v>
      </c>
      <c r="G2095" s="37">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114</v>
      </c>
      <c r="Q2095" s="30" t="str">
        <f>VLOOKUP(B2095,辅助信息!E:M,9,FALSE)</f>
        <v>ZTWM-CDGS-XS-2024-0030-华西集采-简州大道</v>
      </c>
      <c r="R2095" s="30" t="str">
        <f>_xlfn._xlws.FILTER(辅助信息!D:D,辅助信息!E:E=B2095)</f>
        <v>华西简阳西城嘉苑</v>
      </c>
    </row>
    <row r="2096" hidden="1" spans="2:18">
      <c r="B2096" s="41" t="s">
        <v>81</v>
      </c>
      <c r="C2096" s="71">
        <v>45842</v>
      </c>
      <c r="D2096" s="121" t="str">
        <f>VLOOKUP(B2096,辅助信息!E:K,7,FALSE)</f>
        <v>JWDDCD2025060900080</v>
      </c>
      <c r="E2096" s="121" t="str">
        <f>VLOOKUP(F2096,辅助信息!A:B,2,FALSE)</f>
        <v>盘螺</v>
      </c>
      <c r="F2096" s="41" t="s">
        <v>40</v>
      </c>
      <c r="G2096" s="37">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114</v>
      </c>
      <c r="Q2096" s="30" t="str">
        <f>VLOOKUP(B2096,辅助信息!E:M,9,FALSE)</f>
        <v>ZTWM-CDGS-XS-2024-0030-华西集采-简州大道</v>
      </c>
      <c r="R2096" s="30" t="str">
        <f>_xlfn._xlws.FILTER(辅助信息!D:D,辅助信息!E:E=B2096)</f>
        <v>华西简阳西城嘉苑</v>
      </c>
    </row>
    <row r="2097" hidden="1" spans="2:18">
      <c r="B2097" s="41" t="s">
        <v>81</v>
      </c>
      <c r="C2097" s="71">
        <v>45842</v>
      </c>
      <c r="D2097" s="121" t="str">
        <f>VLOOKUP(B2097,辅助信息!E:K,7,FALSE)</f>
        <v>JWDDCD2025060900080</v>
      </c>
      <c r="E2097" s="121" t="str">
        <f>VLOOKUP(F2097,辅助信息!A:B,2,FALSE)</f>
        <v>盘螺</v>
      </c>
      <c r="F2097" s="41" t="s">
        <v>26</v>
      </c>
      <c r="G2097" s="37">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114</v>
      </c>
      <c r="Q2097" s="30" t="str">
        <f>VLOOKUP(B2097,辅助信息!E:M,9,FALSE)</f>
        <v>ZTWM-CDGS-XS-2024-0030-华西集采-简州大道</v>
      </c>
      <c r="R2097" s="30" t="str">
        <f>_xlfn._xlws.FILTER(辅助信息!D:D,辅助信息!E:E=B2097)</f>
        <v>华西简阳西城嘉苑</v>
      </c>
    </row>
    <row r="2098" hidden="1" spans="2:18">
      <c r="B2098" s="41" t="s">
        <v>81</v>
      </c>
      <c r="C2098" s="71">
        <v>45842</v>
      </c>
      <c r="D2098" s="121" t="str">
        <f>VLOOKUP(B2098,辅助信息!E:K,7,FALSE)</f>
        <v>JWDDCD2025060900080</v>
      </c>
      <c r="E2098" s="121" t="str">
        <f>VLOOKUP(F2098,辅助信息!A:B,2,FALSE)</f>
        <v>螺纹钢</v>
      </c>
      <c r="F2098" s="41" t="s">
        <v>19</v>
      </c>
      <c r="G2098" s="37">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114</v>
      </c>
      <c r="Q2098" s="30" t="str">
        <f>VLOOKUP(B2098,辅助信息!E:M,9,FALSE)</f>
        <v>ZTWM-CDGS-XS-2024-0030-华西集采-简州大道</v>
      </c>
      <c r="R2098" s="30" t="str">
        <f>_xlfn._xlws.FILTER(辅助信息!D:D,辅助信息!E:E=B2098)</f>
        <v>华西简阳西城嘉苑</v>
      </c>
    </row>
    <row r="2099" hidden="1" spans="2:18">
      <c r="B2099" s="41" t="s">
        <v>81</v>
      </c>
      <c r="C2099" s="71">
        <v>45842</v>
      </c>
      <c r="D2099" s="121" t="str">
        <f>VLOOKUP(B2099,辅助信息!E:K,7,FALSE)</f>
        <v>JWDDCD2025060900080</v>
      </c>
      <c r="E2099" s="121" t="str">
        <f>VLOOKUP(F2099,辅助信息!A:B,2,FALSE)</f>
        <v>螺纹钢</v>
      </c>
      <c r="F2099" s="41" t="s">
        <v>32</v>
      </c>
      <c r="G2099" s="37">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114</v>
      </c>
      <c r="Q2099" s="30" t="str">
        <f>VLOOKUP(B2099,辅助信息!E:M,9,FALSE)</f>
        <v>ZTWM-CDGS-XS-2024-0030-华西集采-简州大道</v>
      </c>
      <c r="R2099" s="30" t="str">
        <f>_xlfn._xlws.FILTER(辅助信息!D:D,辅助信息!E:E=B2099)</f>
        <v>华西简阳西城嘉苑</v>
      </c>
    </row>
    <row r="2100" hidden="1" spans="2:18">
      <c r="B2100" s="41" t="s">
        <v>81</v>
      </c>
      <c r="C2100" s="71">
        <v>45842</v>
      </c>
      <c r="D2100" s="121" t="str">
        <f>VLOOKUP(B2100,辅助信息!E:K,7,FALSE)</f>
        <v>JWDDCD2025060900080</v>
      </c>
      <c r="E2100" s="121" t="str">
        <f>VLOOKUP(F2100,辅助信息!A:B,2,FALSE)</f>
        <v>螺纹钢</v>
      </c>
      <c r="F2100" s="41" t="s">
        <v>30</v>
      </c>
      <c r="G2100" s="37">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114</v>
      </c>
      <c r="Q2100" s="30" t="str">
        <f>VLOOKUP(B2100,辅助信息!E:M,9,FALSE)</f>
        <v>ZTWM-CDGS-XS-2024-0030-华西集采-简州大道</v>
      </c>
      <c r="R2100" s="30" t="str">
        <f>_xlfn._xlws.FILTER(辅助信息!D:D,辅助信息!E:E=B2100)</f>
        <v>华西简阳西城嘉苑</v>
      </c>
    </row>
    <row r="2101" hidden="1" spans="2:18">
      <c r="B2101" s="41" t="s">
        <v>81</v>
      </c>
      <c r="C2101" s="71">
        <v>45842</v>
      </c>
      <c r="D2101" s="121" t="str">
        <f>VLOOKUP(B2101,辅助信息!E:K,7,FALSE)</f>
        <v>JWDDCD2025060900080</v>
      </c>
      <c r="E2101" s="121" t="str">
        <f>VLOOKUP(F2101,辅助信息!A:B,2,FALSE)</f>
        <v>螺纹钢</v>
      </c>
      <c r="F2101" s="41" t="s">
        <v>33</v>
      </c>
      <c r="G2101" s="37">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114</v>
      </c>
      <c r="Q2101" s="30" t="str">
        <f>VLOOKUP(B2101,辅助信息!E:M,9,FALSE)</f>
        <v>ZTWM-CDGS-XS-2024-0030-华西集采-简州大道</v>
      </c>
      <c r="R2101" s="30" t="str">
        <f>_xlfn._xlws.FILTER(辅助信息!D:D,辅助信息!E:E=B2101)</f>
        <v>华西简阳西城嘉苑</v>
      </c>
    </row>
    <row r="2102" hidden="1" spans="2:18">
      <c r="B2102" s="41" t="s">
        <v>81</v>
      </c>
      <c r="C2102" s="71">
        <v>45842</v>
      </c>
      <c r="D2102" s="121" t="str">
        <f>VLOOKUP(B2102,辅助信息!E:K,7,FALSE)</f>
        <v>JWDDCD2025060900080</v>
      </c>
      <c r="E2102" s="121" t="str">
        <f>VLOOKUP(F2102,辅助信息!A:B,2,FALSE)</f>
        <v>螺纹钢</v>
      </c>
      <c r="F2102" s="41" t="s">
        <v>18</v>
      </c>
      <c r="G2102" s="37">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114</v>
      </c>
      <c r="Q2102" s="30" t="str">
        <f>VLOOKUP(B2102,辅助信息!E:M,9,FALSE)</f>
        <v>ZTWM-CDGS-XS-2024-0030-华西集采-简州大道</v>
      </c>
      <c r="R2102" s="30" t="str">
        <f>_xlfn._xlws.FILTER(辅助信息!D:D,辅助信息!E:E=B2102)</f>
        <v>华西简阳西城嘉苑</v>
      </c>
    </row>
    <row r="2103" hidden="1" spans="2:18">
      <c r="B2103" s="41" t="s">
        <v>187</v>
      </c>
      <c r="C2103" s="71">
        <v>45842</v>
      </c>
      <c r="D2103" s="121" t="str">
        <f>VLOOKUP(B2103,辅助信息!E:K,7,FALSE)</f>
        <v>JWDDCD2025072900121</v>
      </c>
      <c r="E2103" s="121" t="str">
        <f>VLOOKUP(F2103,辅助信息!A:B,2,FALSE)</f>
        <v>盘螺</v>
      </c>
      <c r="F2103" s="41" t="s">
        <v>40</v>
      </c>
      <c r="G2103" s="37">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116</v>
      </c>
      <c r="Q2103" s="30" t="str">
        <f>VLOOKUP(B2103,辅助信息!E:M,9,FALSE)</f>
        <v>ZTWM-CDGS-XS-2025-0125-四川机司-乐山市校地共建产教融合基地配套设施项目施工一标段钢筋采购合同</v>
      </c>
      <c r="R2103" s="30" t="str">
        <f>_xlfn._xlws.FILTER(辅助信息!D:D,辅助信息!E:E=B2103)</f>
        <v>乐山市校地共建产教融合基地建设项目</v>
      </c>
    </row>
    <row r="2104" hidden="1" spans="2:18">
      <c r="B2104" s="41" t="s">
        <v>187</v>
      </c>
      <c r="C2104" s="71">
        <v>45842</v>
      </c>
      <c r="D2104" s="121" t="str">
        <f>VLOOKUP(B2104,辅助信息!E:K,7,FALSE)</f>
        <v>JWDDCD2025072900121</v>
      </c>
      <c r="E2104" s="121" t="str">
        <f>VLOOKUP(F2104,辅助信息!A:B,2,FALSE)</f>
        <v>螺纹钢</v>
      </c>
      <c r="F2104" s="41" t="s">
        <v>32</v>
      </c>
      <c r="G2104" s="37">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116</v>
      </c>
      <c r="Q2104" s="30" t="str">
        <f>VLOOKUP(B2104,辅助信息!E:M,9,FALSE)</f>
        <v>ZTWM-CDGS-XS-2025-0125-四川机司-乐山市校地共建产教融合基地配套设施项目施工一标段钢筋采购合同</v>
      </c>
      <c r="R2104" s="30" t="str">
        <f>_xlfn._xlws.FILTER(辅助信息!D:D,辅助信息!E:E=B2104)</f>
        <v>乐山市校地共建产教融合基地建设项目</v>
      </c>
    </row>
    <row r="2105" hidden="1" spans="2:18">
      <c r="B2105" s="41" t="s">
        <v>187</v>
      </c>
      <c r="C2105" s="71">
        <v>45842</v>
      </c>
      <c r="D2105" s="121" t="str">
        <f>VLOOKUP(B2105,辅助信息!E:K,7,FALSE)</f>
        <v>JWDDCD2025072900121</v>
      </c>
      <c r="E2105" s="121" t="str">
        <f>VLOOKUP(F2105,辅助信息!A:B,2,FALSE)</f>
        <v>螺纹钢</v>
      </c>
      <c r="F2105" s="41" t="s">
        <v>30</v>
      </c>
      <c r="G2105" s="37">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116</v>
      </c>
      <c r="Q2105" s="30" t="str">
        <f>VLOOKUP(B2105,辅助信息!E:M,9,FALSE)</f>
        <v>ZTWM-CDGS-XS-2025-0125-四川机司-乐山市校地共建产教融合基地配套设施项目施工一标段钢筋采购合同</v>
      </c>
      <c r="R2105" s="30" t="str">
        <f>_xlfn._xlws.FILTER(辅助信息!D:D,辅助信息!E:E=B2105)</f>
        <v>乐山市校地共建产教融合基地建设项目</v>
      </c>
    </row>
    <row r="2106" hidden="1" spans="2:18">
      <c r="B2106" s="41" t="s">
        <v>187</v>
      </c>
      <c r="C2106" s="71">
        <v>45842</v>
      </c>
      <c r="D2106" s="121" t="str">
        <f>VLOOKUP(B2106,辅助信息!E:K,7,FALSE)</f>
        <v>JWDDCD2025072900121</v>
      </c>
      <c r="E2106" s="121" t="str">
        <f>VLOOKUP(F2106,辅助信息!A:B,2,FALSE)</f>
        <v>螺纹钢</v>
      </c>
      <c r="F2106" s="41" t="s">
        <v>33</v>
      </c>
      <c r="G2106" s="37">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116</v>
      </c>
      <c r="Q2106" s="30" t="str">
        <f>VLOOKUP(B2106,辅助信息!E:M,9,FALSE)</f>
        <v>ZTWM-CDGS-XS-2025-0125-四川机司-乐山市校地共建产教融合基地配套设施项目施工一标段钢筋采购合同</v>
      </c>
      <c r="R2106" s="30" t="str">
        <f>_xlfn._xlws.FILTER(辅助信息!D:D,辅助信息!E:E=B2106)</f>
        <v>乐山市校地共建产教融合基地建设项目</v>
      </c>
    </row>
    <row r="2107" hidden="1" spans="2:18">
      <c r="B2107" s="41" t="s">
        <v>187</v>
      </c>
      <c r="C2107" s="71">
        <v>45842</v>
      </c>
      <c r="D2107" s="121" t="str">
        <f>VLOOKUP(B2107,辅助信息!E:K,7,FALSE)</f>
        <v>JWDDCD2025072900121</v>
      </c>
      <c r="E2107" s="121" t="str">
        <f>VLOOKUP(F2107,辅助信息!A:B,2,FALSE)</f>
        <v>螺纹钢</v>
      </c>
      <c r="F2107" s="41" t="s">
        <v>28</v>
      </c>
      <c r="G2107" s="37">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116</v>
      </c>
      <c r="Q2107" s="30" t="str">
        <f>VLOOKUP(B2107,辅助信息!E:M,9,FALSE)</f>
        <v>ZTWM-CDGS-XS-2025-0125-四川机司-乐山市校地共建产教融合基地配套设施项目施工一标段钢筋采购合同</v>
      </c>
      <c r="R2107" s="30" t="str">
        <f>_xlfn._xlws.FILTER(辅助信息!D:D,辅助信息!E:E=B2107)</f>
        <v>乐山市校地共建产教融合基地建设项目</v>
      </c>
    </row>
    <row r="2108" hidden="1" spans="2:18">
      <c r="B2108" s="41" t="s">
        <v>187</v>
      </c>
      <c r="C2108" s="71">
        <v>45842</v>
      </c>
      <c r="D2108" s="121" t="str">
        <f>VLOOKUP(B2108,辅助信息!E:K,7,FALSE)</f>
        <v>JWDDCD2025072900121</v>
      </c>
      <c r="E2108" s="121" t="str">
        <f>VLOOKUP(F2108,辅助信息!A:B,2,FALSE)</f>
        <v>螺纹钢</v>
      </c>
      <c r="F2108" s="41" t="s">
        <v>18</v>
      </c>
      <c r="G2108" s="37">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116</v>
      </c>
      <c r="Q2108" s="30" t="str">
        <f>VLOOKUP(B2108,辅助信息!E:M,9,FALSE)</f>
        <v>ZTWM-CDGS-XS-2025-0125-四川机司-乐山市校地共建产教融合基地配套设施项目施工一标段钢筋采购合同</v>
      </c>
      <c r="R2108" s="30"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114</v>
      </c>
      <c r="Q2109" s="30" t="str">
        <f>VLOOKUP(B2109,辅助信息!E:M,9,FALSE)</f>
        <v>ZTWM-CDGS-XS-2025-0033-中铁武汉电气化局集团有限公司成达万高速铁路强电工程项目</v>
      </c>
      <c r="R2109" s="30"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114</v>
      </c>
      <c r="Q2110" s="30" t="str">
        <f>VLOOKUP(B2110,辅助信息!E:M,9,FALSE)</f>
        <v>ZTWM-CDGS-XS-2025-0033-中铁武汉电气化局集团有限公司成达万高速铁路强电工程项目</v>
      </c>
      <c r="R2110" s="30"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114</v>
      </c>
      <c r="Q2111" s="30" t="str">
        <f>VLOOKUP(B2111,辅助信息!E:M,9,FALSE)</f>
        <v>ZTWM-CDGS-XS-2025-0033-中铁武汉电气化局集团有限公司成达万高速铁路强电工程项目</v>
      </c>
      <c r="R2111" s="30"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114</v>
      </c>
      <c r="Q2112" s="30" t="str">
        <f>VLOOKUP(B2112,辅助信息!E:M,9,FALSE)</f>
        <v>ZTWM-CDGS-XS-2025-0033-中铁武汉电气化局集团有限公司成达万高速铁路强电工程项目</v>
      </c>
      <c r="R2112" s="30"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114</v>
      </c>
      <c r="Q2113" s="30" t="str">
        <f>VLOOKUP(B2113,辅助信息!E:M,9,FALSE)</f>
        <v>ZTWM-CDGS-XS-2025-0033-中铁武汉电气化局集团有限公司成达万高速铁路强电工程项目</v>
      </c>
      <c r="R2113" s="30"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114</v>
      </c>
      <c r="Q2114" s="30" t="str">
        <f>VLOOKUP(B2114,辅助信息!E:M,9,FALSE)</f>
        <v>ZTWM-CDGS-XS-2025-0033-中铁武汉电气化局集团有限公司成达万高速铁路强电工程项目</v>
      </c>
      <c r="R2114" s="30"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114</v>
      </c>
      <c r="Q2115" s="30" t="str">
        <f>VLOOKUP(B2115,辅助信息!E:M,9,FALSE)</f>
        <v>ZTWM-CDGS-XS-2025-0033-中铁武汉电气化局集团有限公司成达万高速铁路强电工程项目</v>
      </c>
      <c r="R2115" s="30"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114</v>
      </c>
      <c r="Q2116" s="30" t="str">
        <f>VLOOKUP(B2116,辅助信息!E:M,9,FALSE)</f>
        <v>ZTWM-CDGS-XS-2025-0033-中铁武汉电气化局集团有限公司成达万高速铁路强电工程项目</v>
      </c>
      <c r="R2116" s="30"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114</v>
      </c>
      <c r="Q2117" s="30" t="str">
        <f>VLOOKUP(B2117,辅助信息!E:M,9,FALSE)</f>
        <v>ZTWM-CDGS-XS-2025-0033-中铁武汉电气化局集团有限公司成达万高速铁路强电工程项目</v>
      </c>
      <c r="R2117" s="30"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114</v>
      </c>
      <c r="Q2118" s="30" t="str">
        <f>VLOOKUP(B2118,辅助信息!E:M,9,FALSE)</f>
        <v>ZTWM-CDGS-XS-2025-0033-中铁武汉电气化局集团有限公司成达万高速铁路强电工程项目</v>
      </c>
      <c r="R2118" s="30"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114</v>
      </c>
      <c r="Q2119" s="30" t="str">
        <f>VLOOKUP(B2119,辅助信息!E:M,9,FALSE)</f>
        <v>ZTWM-CDGS-XS-2025-0033-中铁武汉电气化局集团有限公司成达万高速铁路强电工程项目</v>
      </c>
      <c r="R2119" s="30"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114</v>
      </c>
      <c r="Q2120" s="30" t="str">
        <f>VLOOKUP(B2120,辅助信息!E:M,9,FALSE)</f>
        <v>ZTWM-CDGS-XS-2025-0033-中铁武汉电气化局集团有限公司成达万高速铁路强电工程项目</v>
      </c>
      <c r="R2120" s="30"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114</v>
      </c>
      <c r="Q2121" s="30" t="str">
        <f>VLOOKUP(B2121,辅助信息!E:M,9,FALSE)</f>
        <v>ZTWM-CDGS-XS-2025-0033-中铁武汉电气化局集团有限公司成达万高速铁路强电工程项目</v>
      </c>
      <c r="R2121" s="30"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114</v>
      </c>
      <c r="Q2122" s="30" t="str">
        <f>VLOOKUP(B2122,辅助信息!E:M,9,FALSE)</f>
        <v>ZTWM-CDGS-XS-2025-0033-中铁武汉电气化局集团有限公司成达万高速铁路强电工程项目</v>
      </c>
      <c r="R2122" s="30"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114</v>
      </c>
      <c r="Q2123" s="30" t="str">
        <f>VLOOKUP(B2123,辅助信息!E:M,9,FALSE)</f>
        <v>ZTWM-CDGS-XS-2025-0033-中铁武汉电气化局集团有限公司成达万高速铁路强电工程项目</v>
      </c>
      <c r="R2123" s="30"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114</v>
      </c>
      <c r="Q2124" s="30" t="str">
        <f>VLOOKUP(B2124,辅助信息!E:M,9,FALSE)</f>
        <v>ZTWM-CDGS-XS-2025-0033-中铁武汉电气化局集团有限公司成达万高速铁路强电工程项目</v>
      </c>
      <c r="R2124" s="30"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114</v>
      </c>
      <c r="Q2125" s="30" t="str">
        <f>VLOOKUP(B2125,辅助信息!E:M,9,FALSE)</f>
        <v>ZTWM-CDGS-XS-2025-0033-中铁武汉电气化局集团有限公司成达万高速铁路强电工程项目</v>
      </c>
      <c r="R2125" s="30"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114</v>
      </c>
      <c r="Q2126" s="30" t="str">
        <f>VLOOKUP(B2126,辅助信息!E:M,9,FALSE)</f>
        <v>ZTWM-CDGS-XS-2025-0033-中铁武汉电气化局集团有限公司成达万高速铁路强电工程项目</v>
      </c>
      <c r="R2126" s="30"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114</v>
      </c>
      <c r="Q2127" s="30" t="str">
        <f>VLOOKUP(B2127,辅助信息!E:M,9,FALSE)</f>
        <v>ZTWM-CDGS-XS-2025-0033-中铁武汉电气化局集团有限公司成达万高速铁路强电工程项目</v>
      </c>
      <c r="R2127" s="30"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114</v>
      </c>
      <c r="Q2128" s="30" t="str">
        <f>VLOOKUP(B2128,辅助信息!E:M,9,FALSE)</f>
        <v>ZTWM-CDGS-XS-2025-0033-中铁武汉电气化局集团有限公司成达万高速铁路强电工程项目</v>
      </c>
      <c r="R2128" s="30"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114</v>
      </c>
      <c r="Q2129" s="30" t="str">
        <f>VLOOKUP(B2129,辅助信息!E:M,9,FALSE)</f>
        <v>ZTWM-CDGS-XS-2024-0134-商投建工达州中医药科技成果示范园项目</v>
      </c>
      <c r="R2129" s="30"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114</v>
      </c>
      <c r="Q2130" s="30" t="str">
        <f>VLOOKUP(B2130,辅助信息!E:M,9,FALSE)</f>
        <v>ZTWM-CDGS-XS-2024-0134-商投建工达州中医药科技成果示范园项目</v>
      </c>
      <c r="R2130" s="30"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114</v>
      </c>
      <c r="Q2131" s="30" t="str">
        <f>VLOOKUP(B2131,辅助信息!E:M,9,FALSE)</f>
        <v>ZTWM-CDGS-XS-2024-0134-商投建工达州中医药科技成果示范园项目</v>
      </c>
      <c r="R2131" s="30"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114</v>
      </c>
      <c r="Q2132" s="30" t="str">
        <f>VLOOKUP(B2132,辅助信息!E:M,9,FALSE)</f>
        <v>ZTWM-CDGS-XS-2024-0134-商投建工达州中医药科技成果示范园项目</v>
      </c>
      <c r="R2132" s="30"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114</v>
      </c>
      <c r="Q2133" s="30" t="str">
        <f>VLOOKUP(B2133,辅助信息!E:M,9,FALSE)</f>
        <v>ZTWM-CDGS-XS-2024-0030-华西集采-简州大道</v>
      </c>
      <c r="R2133" s="30"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114</v>
      </c>
      <c r="Q2134" s="30" t="str">
        <f>VLOOKUP(B2134,辅助信息!E:M,9,FALSE)</f>
        <v>ZTWM-CDGS-XS-2024-0030-华西集采-简州大道</v>
      </c>
      <c r="R2134" s="30"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114</v>
      </c>
      <c r="Q2135" s="30" t="str">
        <f>VLOOKUP(B2135,辅助信息!E:M,9,FALSE)</f>
        <v>ZTWM-CDGS-XS-2024-0030-华西集采-简州大道</v>
      </c>
      <c r="R2135" s="30" t="str">
        <f>_xlfn._xlws.FILTER(辅助信息!D:D,辅助信息!E:E=B2135)</f>
        <v>华西简阳西城嘉苑</v>
      </c>
    </row>
    <row r="2136" hidden="1" spans="2:18">
      <c r="B2136" s="41" t="s">
        <v>159</v>
      </c>
      <c r="C2136" s="71">
        <v>45845</v>
      </c>
      <c r="D2136" s="121" t="str">
        <f>VLOOKUP(B2136,辅助信息!E:K,7,FALSE)</f>
        <v>JWDDCD2025052800131</v>
      </c>
      <c r="E2136" s="121" t="str">
        <f>VLOOKUP(F2136,辅助信息!A:B,2,FALSE)</f>
        <v>螺纹钢</v>
      </c>
      <c r="F2136" s="41" t="s">
        <v>66</v>
      </c>
      <c r="G2136" s="37">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114</v>
      </c>
      <c r="Q2136" s="30" t="str">
        <f>VLOOKUP(B2136,辅助信息!E:M,9,FALSE)</f>
        <v>ZTWM-CDGS-XS-2024-0134-商投建工达州中医药科技成果示范园项目</v>
      </c>
      <c r="R2136" s="30" t="str">
        <f>_xlfn._xlws.FILTER(辅助信息!D:D,辅助信息!E:E=B2136)</f>
        <v>商投建工达州中医药科技园</v>
      </c>
    </row>
    <row r="2137" hidden="1" spans="2:18">
      <c r="B2137" s="41" t="s">
        <v>159</v>
      </c>
      <c r="C2137" s="71">
        <v>45845</v>
      </c>
      <c r="D2137" s="121" t="str">
        <f>VLOOKUP(B2137,辅助信息!E:K,7,FALSE)</f>
        <v>JWDDCD2025052800131</v>
      </c>
      <c r="E2137" s="121" t="str">
        <f>VLOOKUP(F2137,辅助信息!A:B,2,FALSE)</f>
        <v>螺纹钢</v>
      </c>
      <c r="F2137" s="41" t="s">
        <v>45</v>
      </c>
      <c r="G2137" s="37">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114</v>
      </c>
      <c r="Q2137" s="30" t="str">
        <f>VLOOKUP(B2137,辅助信息!E:M,9,FALSE)</f>
        <v>ZTWM-CDGS-XS-2024-0134-商投建工达州中医药科技成果示范园项目</v>
      </c>
      <c r="R2137" s="30" t="str">
        <f>_xlfn._xlws.FILTER(辅助信息!D:D,辅助信息!E:E=B2137)</f>
        <v>商投建工达州中医药科技园</v>
      </c>
    </row>
    <row r="2138" hidden="1" spans="2:18">
      <c r="B2138" s="41" t="s">
        <v>159</v>
      </c>
      <c r="C2138" s="71">
        <v>45845</v>
      </c>
      <c r="D2138" s="121" t="str">
        <f>VLOOKUP(B2138,辅助信息!E:K,7,FALSE)</f>
        <v>JWDDCD2025052800131</v>
      </c>
      <c r="E2138" s="121" t="str">
        <f>VLOOKUP(F2138,辅助信息!A:B,2,FALSE)</f>
        <v>螺纹钢</v>
      </c>
      <c r="F2138" s="41" t="s">
        <v>21</v>
      </c>
      <c r="G2138" s="37">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114</v>
      </c>
      <c r="Q2138" s="30" t="str">
        <f>VLOOKUP(B2138,辅助信息!E:M,9,FALSE)</f>
        <v>ZTWM-CDGS-XS-2024-0134-商投建工达州中医药科技成果示范园项目</v>
      </c>
      <c r="R2138" s="30" t="str">
        <f>_xlfn._xlws.FILTER(辅助信息!D:D,辅助信息!E:E=B2138)</f>
        <v>商投建工达州中医药科技园</v>
      </c>
    </row>
    <row r="2139" hidden="1" spans="2:18">
      <c r="B2139" s="41" t="s">
        <v>159</v>
      </c>
      <c r="C2139" s="71">
        <v>45845</v>
      </c>
      <c r="D2139" s="121" t="str">
        <f>VLOOKUP(B2139,辅助信息!E:K,7,FALSE)</f>
        <v>JWDDCD2025052800131</v>
      </c>
      <c r="E2139" s="121" t="str">
        <f>VLOOKUP(F2139,辅助信息!A:B,2,FALSE)</f>
        <v>螺纹钢</v>
      </c>
      <c r="F2139" s="41" t="s">
        <v>46</v>
      </c>
      <c r="G2139" s="37">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114</v>
      </c>
      <c r="Q2139" s="30" t="str">
        <f>VLOOKUP(B2139,辅助信息!E:M,9,FALSE)</f>
        <v>ZTWM-CDGS-XS-2024-0134-商投建工达州中医药科技成果示范园项目</v>
      </c>
      <c r="R2139" s="30" t="str">
        <f>_xlfn._xlws.FILTER(辅助信息!D:D,辅助信息!E:E=B2139)</f>
        <v>商投建工达州中医药科技园</v>
      </c>
    </row>
    <row r="2140" hidden="1" spans="2:18">
      <c r="B2140" s="41" t="s">
        <v>156</v>
      </c>
      <c r="C2140" s="71">
        <v>45845</v>
      </c>
      <c r="D2140" s="121" t="e">
        <f>VLOOKUP(B2140,辅助信息!E:K,7,FALSE)</f>
        <v>#N/A</v>
      </c>
      <c r="E2140" s="121" t="str">
        <f>VLOOKUP(F2140,辅助信息!A:B,2,FALSE)</f>
        <v>盘螺</v>
      </c>
      <c r="F2140" s="41" t="s">
        <v>40</v>
      </c>
      <c r="G2140" s="37">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114</v>
      </c>
      <c r="Q2140" s="30" t="e">
        <f>VLOOKUP(B2140,辅助信息!E:M,9,FALSE)</f>
        <v>#N/A</v>
      </c>
      <c r="R2140" s="30" vm="1" t="e">
        <f>_xlfn._xlws.FILTER(辅助信息!D:D,辅助信息!E:E=B2140)</f>
        <v>#VALUE!</v>
      </c>
    </row>
    <row r="2141" hidden="1" spans="2:18">
      <c r="B2141" s="41" t="s">
        <v>156</v>
      </c>
      <c r="C2141" s="71">
        <v>45845</v>
      </c>
      <c r="D2141" s="121" t="e">
        <f>VLOOKUP(B2141,辅助信息!E:K,7,FALSE)</f>
        <v>#N/A</v>
      </c>
      <c r="E2141" s="121" t="str">
        <f>VLOOKUP(F2141,辅助信息!A:B,2,FALSE)</f>
        <v>螺纹钢</v>
      </c>
      <c r="F2141" s="41" t="s">
        <v>19</v>
      </c>
      <c r="G2141" s="37">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114</v>
      </c>
      <c r="Q2141" s="30" t="e">
        <f>VLOOKUP(B2141,辅助信息!E:M,9,FALSE)</f>
        <v>#N/A</v>
      </c>
      <c r="R2141" s="30" vm="1" t="e">
        <f>_xlfn._xlws.FILTER(辅助信息!D:D,辅助信息!E:E=B2141)</f>
        <v>#VALUE!</v>
      </c>
    </row>
    <row r="2142" hidden="1" spans="2:18">
      <c r="B2142" s="41" t="s">
        <v>156</v>
      </c>
      <c r="C2142" s="71">
        <v>45845</v>
      </c>
      <c r="D2142" s="121" t="e">
        <f>VLOOKUP(B2142,辅助信息!E:K,7,FALSE)</f>
        <v>#N/A</v>
      </c>
      <c r="E2142" s="121" t="str">
        <f>VLOOKUP(F2142,辅助信息!A:B,2,FALSE)</f>
        <v>螺纹钢</v>
      </c>
      <c r="F2142" s="41" t="s">
        <v>30</v>
      </c>
      <c r="G2142" s="37">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114</v>
      </c>
      <c r="Q2142" s="30" t="e">
        <f>VLOOKUP(B2142,辅助信息!E:M,9,FALSE)</f>
        <v>#N/A</v>
      </c>
      <c r="R2142" s="30" vm="1" t="e">
        <f>_xlfn._xlws.FILTER(辅助信息!D:D,辅助信息!E:E=B2142)</f>
        <v>#VALUE!</v>
      </c>
    </row>
    <row r="2143" hidden="1" spans="1:12">
      <c r="A2143" s="72" t="s">
        <v>189</v>
      </c>
      <c r="B2143" s="41" t="s">
        <v>180</v>
      </c>
      <c r="C2143" s="71">
        <v>45845</v>
      </c>
      <c r="D2143" s="121" t="str">
        <f>VLOOKUP(B2143,辅助信息!E:K,7,FALSE)</f>
        <v>JWDDCD2025052800131</v>
      </c>
      <c r="E2143" s="121" t="str">
        <f>VLOOKUP(F2143,辅助信息!A:B,2,FALSE)</f>
        <v>盘螺</v>
      </c>
      <c r="F2143" s="41" t="s">
        <v>49</v>
      </c>
      <c r="G2143" s="37">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1" t="s">
        <v>180</v>
      </c>
      <c r="C2144" s="71">
        <v>45845</v>
      </c>
      <c r="D2144" s="121" t="str">
        <f>VLOOKUP(B2144,辅助信息!E:K,7,FALSE)</f>
        <v>JWDDCD2025052800131</v>
      </c>
      <c r="E2144" s="121" t="str">
        <f>VLOOKUP(F2144,辅助信息!A:B,2,FALSE)</f>
        <v>盘螺</v>
      </c>
      <c r="F2144" s="41" t="s">
        <v>40</v>
      </c>
      <c r="G2144" s="37">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1" t="s">
        <v>180</v>
      </c>
      <c r="C2145" s="71">
        <v>45845</v>
      </c>
      <c r="D2145" s="121" t="str">
        <f>VLOOKUP(B2145,辅助信息!E:K,7,FALSE)</f>
        <v>JWDDCD2025052800131</v>
      </c>
      <c r="E2145" s="121" t="str">
        <f>VLOOKUP(F2145,辅助信息!A:B,2,FALSE)</f>
        <v>盘螺</v>
      </c>
      <c r="F2145" s="41" t="s">
        <v>41</v>
      </c>
      <c r="G2145" s="37">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1" t="s">
        <v>69</v>
      </c>
      <c r="C2146" s="71">
        <v>45845</v>
      </c>
      <c r="D2146" s="121" t="str">
        <f>VLOOKUP(B2146,辅助信息!E:K,7,FALSE)</f>
        <v>JWDDCD2025052800131</v>
      </c>
      <c r="E2146" s="121" t="str">
        <f>VLOOKUP(F2146,辅助信息!A:B,2,FALSE)</f>
        <v>螺纹钢</v>
      </c>
      <c r="F2146" s="41" t="s">
        <v>19</v>
      </c>
      <c r="G2146" s="37">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114</v>
      </c>
      <c r="Q2147" s="30" t="str">
        <f>VLOOKUP(B2147,辅助信息!E:M,9,FALSE)</f>
        <v>ZTWM-CDGS-XS-2025-0033-中铁武汉电气化局集团有限公司成达万高速铁路强电工程项目</v>
      </c>
      <c r="R2147" s="30"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114</v>
      </c>
      <c r="Q2148" s="30" t="str">
        <f>VLOOKUP(B2148,辅助信息!E:M,9,FALSE)</f>
        <v>ZTWM-CDGS-XS-2025-0033-中铁武汉电气化局集团有限公司成达万高速铁路强电工程项目</v>
      </c>
      <c r="R2148" s="30"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114</v>
      </c>
      <c r="Q2149" s="30" t="str">
        <f>VLOOKUP(B2149,辅助信息!E:M,9,FALSE)</f>
        <v>ZTWM-CDGS-XS-2025-0033-中铁武汉电气化局集团有限公司成达万高速铁路强电工程项目</v>
      </c>
      <c r="R2149" s="30"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114</v>
      </c>
      <c r="Q2150" s="30" t="str">
        <f>VLOOKUP(B2150,辅助信息!E:M,9,FALSE)</f>
        <v>ZTWM-CDGS-XS-2025-0033-中铁武汉电气化局集团有限公司成达万高速铁路强电工程项目</v>
      </c>
      <c r="R2150" s="30"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114</v>
      </c>
      <c r="Q2151" s="30" t="str">
        <f>VLOOKUP(B2151,辅助信息!E:M,9,FALSE)</f>
        <v>ZTWM-CDGS-XS-2024-0134-商投建工达州中医药科技成果示范园项目</v>
      </c>
      <c r="R2151" s="30"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114</v>
      </c>
      <c r="Q2152" s="30" t="str">
        <f>VLOOKUP(B2152,辅助信息!E:M,9,FALSE)</f>
        <v>ZTWM-CDGS-XS-2024-0134-商投建工达州中医药科技成果示范园项目</v>
      </c>
      <c r="R2152" s="30"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114</v>
      </c>
      <c r="Q2153" s="30" t="str">
        <f>VLOOKUP(B2153,辅助信息!E:M,9,FALSE)</f>
        <v>ZTWM-CDGS-XS-2024-0134-商投建工达州中医药科技成果示范园项目</v>
      </c>
      <c r="R2153" s="30"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114</v>
      </c>
      <c r="Q2154" s="30" t="str">
        <f>VLOOKUP(B2154,辅助信息!E:M,9,FALSE)</f>
        <v>ZTWM-CDGS-XS-2024-0134-商投建工达州中医药科技成果示范园项目</v>
      </c>
      <c r="R2154" s="30"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114</v>
      </c>
      <c r="Q2155" s="30" t="str">
        <f>VLOOKUP(B2155,辅助信息!E:M,9,FALSE)</f>
        <v>ZTWM-CDGS-XS-2024-0134-商投建工达州中医药科技成果示范园项目</v>
      </c>
      <c r="R2155" s="30"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114</v>
      </c>
      <c r="Q2156" s="30" t="str">
        <f>VLOOKUP(B2156,辅助信息!E:M,9,FALSE)</f>
        <v>ZTWM-CDGS-XS-2024-0134-商投建工达州中医药科技成果示范园项目</v>
      </c>
      <c r="R2156" s="30"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114</v>
      </c>
      <c r="Q2157" s="30" t="str">
        <f>VLOOKUP(B2157,辅助信息!E:M,9,FALSE)</f>
        <v>ZTWM-CDGS-XS-2024-0134-商投建工达州中医药科技成果示范园项目</v>
      </c>
      <c r="R2157" s="30"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114</v>
      </c>
      <c r="Q2158" s="30" t="str">
        <f>VLOOKUP(B2158,辅助信息!E:M,9,FALSE)</f>
        <v>ZTWM-CDGS-XS-2024-0134-商投建工达州中医药科技成果示范园项目</v>
      </c>
      <c r="R2158" s="30"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114</v>
      </c>
      <c r="Q2159" s="30" t="e">
        <f>VLOOKUP(B2159,辅助信息!E:M,9,FALSE)</f>
        <v>#N/A</v>
      </c>
      <c r="R2159" s="30"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114</v>
      </c>
      <c r="Q2160" s="30" t="e">
        <f>VLOOKUP(B2160,辅助信息!E:M,9,FALSE)</f>
        <v>#N/A</v>
      </c>
      <c r="R2160" s="30"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114</v>
      </c>
      <c r="Q2161" s="30" t="e">
        <f>VLOOKUP(B2161,辅助信息!E:M,9,FALSE)</f>
        <v>#N/A</v>
      </c>
      <c r="R2161" s="30"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114</v>
      </c>
      <c r="Q2162" s="30" t="str">
        <f>VLOOKUP(B2162,辅助信息!E:M,9,FALSE)</f>
        <v>ZTWM-CDGS-XS-2024-0134-商投建工达州中医药科技成果示范园项目</v>
      </c>
      <c r="R2162" s="30"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114</v>
      </c>
      <c r="Q2163" s="30" t="str">
        <f>VLOOKUP(B2163,辅助信息!E:M,9,FALSE)</f>
        <v>ZTWM-CDGS-XS-2024-0134-商投建工达州中医药科技成果示范园项目</v>
      </c>
      <c r="R2163" s="30"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114</v>
      </c>
      <c r="Q2164" s="30" t="str">
        <f>VLOOKUP(B2164,辅助信息!E:M,9,FALSE)</f>
        <v>ZTWM-CDGS-XS-2024-0134-商投建工达州中医药科技成果示范园项目</v>
      </c>
      <c r="R2164" s="30"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114</v>
      </c>
      <c r="Q2165" s="30" t="str">
        <f>VLOOKUP(B2165,辅助信息!E:M,9,FALSE)</f>
        <v>ZTWM-CDGS-XS-2024-0134-商投建工达州中医药科技成果示范园项目</v>
      </c>
      <c r="R2165" s="30" t="str">
        <f>_xlfn._xlws.FILTER(辅助信息!D:D,辅助信息!E:E=B2165)</f>
        <v>商投建工达州中医药科技园</v>
      </c>
    </row>
    <row r="2166" hidden="1" spans="2:18">
      <c r="B2166" s="41" t="s">
        <v>81</v>
      </c>
      <c r="C2166" s="71">
        <v>45847</v>
      </c>
      <c r="D2166" s="121" t="str">
        <f>VLOOKUP(B2166,辅助信息!E:K,7,FALSE)</f>
        <v>JWDDCD2025060900080</v>
      </c>
      <c r="E2166" s="121" t="str">
        <f>VLOOKUP(F2166,辅助信息!A:B,2,FALSE)</f>
        <v>螺纹钢</v>
      </c>
      <c r="F2166" s="41" t="s">
        <v>66</v>
      </c>
      <c r="G2166" s="37">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112</v>
      </c>
      <c r="Q2166" s="30" t="str">
        <f>VLOOKUP(B2166,辅助信息!E:M,9,FALSE)</f>
        <v>ZTWM-CDGS-XS-2024-0030-华西集采-简州大道</v>
      </c>
      <c r="R2166" s="30" t="str">
        <f>_xlfn._xlws.FILTER(辅助信息!D:D,辅助信息!E:E=B2166)</f>
        <v>华西简阳西城嘉苑</v>
      </c>
    </row>
    <row r="2167" hidden="1" spans="2:18">
      <c r="B2167" s="41" t="s">
        <v>186</v>
      </c>
      <c r="C2167" s="71">
        <v>45847</v>
      </c>
      <c r="D2167" s="121" t="str">
        <f>VLOOKUP(B2167,辅助信息!E:K,7,FALSE)</f>
        <v>JWDDCD2025072900123</v>
      </c>
      <c r="E2167" s="121" t="str">
        <f>VLOOKUP(F2167,辅助信息!A:B,2,FALSE)</f>
        <v>螺纹钢</v>
      </c>
      <c r="F2167" s="41" t="s">
        <v>22</v>
      </c>
      <c r="G2167" s="37">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112</v>
      </c>
      <c r="Q2167" s="30" t="str">
        <f>VLOOKUP(B2167,辅助信息!E:M,9,FALSE)</f>
        <v>ZTWM-CDGS-XS-2025-0126-四川机司-乐山市校地共建产教融合基地配套设施项目施工二标段钢筋采购合同</v>
      </c>
      <c r="R2167" s="30" t="str">
        <f>_xlfn._xlws.FILTER(辅助信息!D:D,辅助信息!E:E=B2167)</f>
        <v>乐山市校地共建产教融合基地建设项目</v>
      </c>
    </row>
    <row r="2168" hidden="1" spans="2:18">
      <c r="B2168" s="41" t="s">
        <v>92</v>
      </c>
      <c r="C2168" s="71">
        <v>45847</v>
      </c>
      <c r="D2168" s="121" t="str">
        <f>VLOOKUP(B2168,辅助信息!E:K,7,FALSE)</f>
        <v>JWDDCD2025051800046</v>
      </c>
      <c r="E2168" s="121" t="str">
        <f>VLOOKUP(F2168,辅助信息!A:B,2,FALSE)</f>
        <v>螺纹钢</v>
      </c>
      <c r="F2168" s="41" t="s">
        <v>30</v>
      </c>
      <c r="G2168" s="37">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112</v>
      </c>
      <c r="Q2168" s="30" t="str">
        <f>VLOOKUP(B2168,辅助信息!E:M,9,FALSE)</f>
        <v>ZTWM-CDGS-XS-2024-0092-华西-萌海科创农业生态谷</v>
      </c>
      <c r="R2168" s="30" t="str">
        <f>_xlfn._xlws.FILTER(辅助信息!D:D,辅助信息!E:E=B2168)</f>
        <v>华西萌海-科创农业生态谷</v>
      </c>
    </row>
    <row r="2169" hidden="1" spans="2:18">
      <c r="B2169" s="41" t="s">
        <v>92</v>
      </c>
      <c r="C2169" s="71">
        <v>45847</v>
      </c>
      <c r="D2169" s="121" t="str">
        <f>VLOOKUP(B2169,辅助信息!E:K,7,FALSE)</f>
        <v>JWDDCD2025051800046</v>
      </c>
      <c r="E2169" s="121" t="str">
        <f>VLOOKUP(F2169,辅助信息!A:B,2,FALSE)</f>
        <v>螺纹钢</v>
      </c>
      <c r="F2169" s="41" t="s">
        <v>46</v>
      </c>
      <c r="G2169" s="37">
        <v>10</v>
      </c>
      <c r="H2169" s="135">
        <f>_xlfn.XLOOKUP(C2169&amp;F2169&amp;I2169&amp;J2169,'[1]2025年已发货'!$F:$F&amp;'[1]2025年已发货'!$C:$C&amp;'[1]2025年已发货'!$G:$G&amp;'[1]2025年已发货'!$H:$H,'[1]2025年已发货'!$E:$E,"未发货")</f>
        <v>10</v>
      </c>
      <c r="I2169" s="41" t="str">
        <f>VLOOKUP(B2169,辅助信息!E:I,3,FALSE)</f>
        <v>（华西萌海科创农业生态谷）成都市简阳市白金山水库</v>
      </c>
      <c r="J2169" s="41" t="str">
        <f>VLOOKUP(B2169,辅助信息!E:I,4,FALSE)</f>
        <v>石清国</v>
      </c>
      <c r="K2169" s="41">
        <f>VLOOKUP(J2169,辅助信息!H:I,2,FALSE)</f>
        <v>13458642015</v>
      </c>
      <c r="L2169" s="110" t="str">
        <f>VLOOKUP(B2169,辅助信息!E:J,6,FALSE)</f>
        <v>优先威钢,我方卸车,新老国标钢厂不加价可直发</v>
      </c>
      <c r="M2169" s="92">
        <v>45847</v>
      </c>
      <c r="O2169" s="63">
        <f ca="1" t="shared" si="147"/>
        <v>0</v>
      </c>
      <c r="P2169" s="63">
        <f ca="1" t="shared" si="148"/>
        <v>112</v>
      </c>
      <c r="Q2169" s="30" t="str">
        <f>VLOOKUP(B2169,辅助信息!E:M,9,FALSE)</f>
        <v>ZTWM-CDGS-XS-2024-0092-华西-萌海科创农业生态谷</v>
      </c>
      <c r="R2169" s="30" t="str">
        <f>_xlfn._xlws.FILTER(辅助信息!D:D,辅助信息!E:E=B2169)</f>
        <v>华西萌海-科创农业生态谷</v>
      </c>
    </row>
    <row r="2170" hidden="1" spans="2:18">
      <c r="B2170" s="41" t="s">
        <v>92</v>
      </c>
      <c r="C2170" s="71">
        <v>45847</v>
      </c>
      <c r="D2170" s="121" t="str">
        <f>VLOOKUP(B2170,辅助信息!E:K,7,FALSE)</f>
        <v>JWDDCD2025051800046</v>
      </c>
      <c r="E2170" s="121" t="str">
        <f>VLOOKUP(F2170,辅助信息!A:B,2,FALSE)</f>
        <v>螺纹钢</v>
      </c>
      <c r="F2170" s="41" t="s">
        <v>22</v>
      </c>
      <c r="G2170" s="37">
        <v>27</v>
      </c>
      <c r="H2170" s="135">
        <f>_xlfn.XLOOKUP(C2170&amp;F2170&amp;I2170&amp;J2170,'[1]2025年已发货'!$F:$F&amp;'[1]2025年已发货'!$C:$C&amp;'[1]2025年已发货'!$G:$G&amp;'[1]2025年已发货'!$H:$H,'[1]2025年已发货'!$E:$E,"未发货")</f>
        <v>27</v>
      </c>
      <c r="I2170" s="41" t="str">
        <f>VLOOKUP(B2170,辅助信息!E:I,3,FALSE)</f>
        <v>（华西萌海科创农业生态谷）成都市简阳市白金山水库</v>
      </c>
      <c r="J2170" s="41" t="str">
        <f>VLOOKUP(B2170,辅助信息!E:I,4,FALSE)</f>
        <v>石清国</v>
      </c>
      <c r="K2170" s="41">
        <f>VLOOKUP(J2170,辅助信息!H:I,2,FALSE)</f>
        <v>13458642015</v>
      </c>
      <c r="L2170" s="110" t="str">
        <f>VLOOKUP(B2170,辅助信息!E:J,6,FALSE)</f>
        <v>优先威钢,我方卸车,新老国标钢厂不加价可直发</v>
      </c>
      <c r="M2170" s="92">
        <v>45847</v>
      </c>
      <c r="O2170" s="63">
        <f ca="1" t="shared" si="147"/>
        <v>0</v>
      </c>
      <c r="P2170" s="63">
        <f ca="1" t="shared" si="148"/>
        <v>112</v>
      </c>
      <c r="Q2170" s="30" t="str">
        <f>VLOOKUP(B2170,辅助信息!E:M,9,FALSE)</f>
        <v>ZTWM-CDGS-XS-2024-0092-华西-萌海科创农业生态谷</v>
      </c>
      <c r="R2170" s="30" t="str">
        <f>_xlfn._xlws.FILTER(辅助信息!D:D,辅助信息!E:E=B2170)</f>
        <v>华西萌海-科创农业生态谷</v>
      </c>
    </row>
    <row r="2171" hidden="1" spans="2:18">
      <c r="B2171" s="41" t="s">
        <v>167</v>
      </c>
      <c r="C2171" s="71">
        <v>45847</v>
      </c>
      <c r="D2171" s="41" t="str">
        <f>VLOOKUP(B2171,辅助信息!E:K,7,FALSE)</f>
        <v>JWDDCD2025102100473</v>
      </c>
      <c r="E2171" s="41" t="str">
        <f>VLOOKUP(F2171,辅助信息!A:B,2,FALSE)</f>
        <v>螺纹钢</v>
      </c>
      <c r="F2171" s="41" t="s">
        <v>32</v>
      </c>
      <c r="G2171" s="37">
        <v>5</v>
      </c>
      <c r="H2171" s="135">
        <f>_xlfn.XLOOKUP(C2171&amp;F2171&amp;I2171&amp;J2171,'[1]2025年已发货'!$F:$F&amp;'[1]2025年已发货'!$C:$C&amp;'[1]2025年已发货'!$G:$G&amp;'[1]2025年已发货'!$H:$H,'[1]2025年已发货'!$E:$E,"未发货")</f>
        <v>5</v>
      </c>
      <c r="I2171" s="41" t="str">
        <f>VLOOKUP(B2171,辅助信息!E:I,3,FALSE)</f>
        <v>(五冶建设扩建艺体中学二期工程)四川省成都市双流区光荣路成都艺体中学南200米</v>
      </c>
      <c r="J2171" s="41" t="str">
        <f>VLOOKUP(B2171,辅助信息!E:I,4,FALSE)</f>
        <v>谢序强</v>
      </c>
      <c r="K2171" s="41">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112</v>
      </c>
      <c r="Q2171" s="30" t="str">
        <f>VLOOKUP(B2171,辅助信息!E:M,9,FALSE)</f>
        <v>ZTWM-CDGS-XS-2025-0073-五冶天府-成都怡心湖片区及龙泉驿医院等项目</v>
      </c>
      <c r="R2171" s="30" t="str">
        <f>_xlfn._xlws.FILTER(辅助信息!D:D,辅助信息!E:E=B2171)</f>
        <v>五冶建设扩建艺体中学二期工程</v>
      </c>
    </row>
    <row r="2172" hidden="1" spans="2:18">
      <c r="B2172" s="41" t="s">
        <v>167</v>
      </c>
      <c r="C2172" s="71">
        <v>45847</v>
      </c>
      <c r="D2172" s="41" t="str">
        <f>VLOOKUP(B2172,辅助信息!E:K,7,FALSE)</f>
        <v>JWDDCD2025102100473</v>
      </c>
      <c r="E2172" s="41" t="str">
        <f>VLOOKUP(F2172,辅助信息!A:B,2,FALSE)</f>
        <v>螺纹钢</v>
      </c>
      <c r="F2172" s="41" t="s">
        <v>30</v>
      </c>
      <c r="G2172" s="37">
        <v>25</v>
      </c>
      <c r="H2172" s="135">
        <f>_xlfn.XLOOKUP(C2172&amp;F2172&amp;I2172&amp;J2172,'[1]2025年已发货'!$F:$F&amp;'[1]2025年已发货'!$C:$C&amp;'[1]2025年已发货'!$G:$G&amp;'[1]2025年已发货'!$H:$H,'[1]2025年已发货'!$E:$E,"未发货")</f>
        <v>25</v>
      </c>
      <c r="I2172" s="41" t="str">
        <f>VLOOKUP(B2172,辅助信息!E:I,3,FALSE)</f>
        <v>(五冶建设扩建艺体中学二期工程)四川省成都市双流区光荣路成都艺体中学南200米</v>
      </c>
      <c r="J2172" s="41" t="str">
        <f>VLOOKUP(B2172,辅助信息!E:I,4,FALSE)</f>
        <v>谢序强</v>
      </c>
      <c r="K2172" s="41">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112</v>
      </c>
      <c r="Q2172" s="30" t="str">
        <f>VLOOKUP(B2172,辅助信息!E:M,9,FALSE)</f>
        <v>ZTWM-CDGS-XS-2025-0073-五冶天府-成都怡心湖片区及龙泉驿医院等项目</v>
      </c>
      <c r="R2172" s="30" t="str">
        <f>_xlfn._xlws.FILTER(辅助信息!D:D,辅助信息!E:E=B2172)</f>
        <v>五冶建设扩建艺体中学二期工程</v>
      </c>
    </row>
    <row r="2173" hidden="1" spans="2:18">
      <c r="B2173" s="41" t="s">
        <v>167</v>
      </c>
      <c r="C2173" s="71">
        <v>45847</v>
      </c>
      <c r="D2173" s="41" t="str">
        <f>VLOOKUP(B2173,辅助信息!E:K,7,FALSE)</f>
        <v>JWDDCD2025102100473</v>
      </c>
      <c r="E2173" s="41" t="str">
        <f>VLOOKUP(F2173,辅助信息!A:B,2,FALSE)</f>
        <v>螺纹钢</v>
      </c>
      <c r="F2173" s="41" t="s">
        <v>33</v>
      </c>
      <c r="G2173" s="37">
        <v>5</v>
      </c>
      <c r="H2173" s="135">
        <f>_xlfn.XLOOKUP(C2173&amp;F2173&amp;I2173&amp;J2173,'[1]2025年已发货'!$F:$F&amp;'[1]2025年已发货'!$C:$C&amp;'[1]2025年已发货'!$G:$G&amp;'[1]2025年已发货'!$H:$H,'[1]2025年已发货'!$E:$E,"未发货")</f>
        <v>5</v>
      </c>
      <c r="I2173" s="41" t="str">
        <f>VLOOKUP(B2173,辅助信息!E:I,3,FALSE)</f>
        <v>(五冶建设扩建艺体中学二期工程)四川省成都市双流区光荣路成都艺体中学南200米</v>
      </c>
      <c r="J2173" s="41" t="str">
        <f>VLOOKUP(B2173,辅助信息!E:I,4,FALSE)</f>
        <v>谢序强</v>
      </c>
      <c r="K2173" s="41">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112</v>
      </c>
      <c r="Q2173" s="30" t="str">
        <f>VLOOKUP(B2173,辅助信息!E:M,9,FALSE)</f>
        <v>ZTWM-CDGS-XS-2025-0073-五冶天府-成都怡心湖片区及龙泉驿医院等项目</v>
      </c>
      <c r="R2173" s="30"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114</v>
      </c>
      <c r="Q2174" s="30" t="str">
        <f>VLOOKUP(B2174,辅助信息!E:M,9,FALSE)</f>
        <v>ZTWM-CDGS-XS-2024-0134-商投建工达州中医药科技成果示范园项目</v>
      </c>
      <c r="R2174" s="30"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114</v>
      </c>
      <c r="Q2175" s="30" t="str">
        <f>VLOOKUP(B2175,辅助信息!E:M,9,FALSE)</f>
        <v>ZTWM-CDGS-XS-2024-0134-商投建工达州中医药科技成果示范园项目</v>
      </c>
      <c r="R2175" s="30"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114</v>
      </c>
      <c r="Q2176" s="30" t="str">
        <f>VLOOKUP(B2176,辅助信息!E:M,9,FALSE)</f>
        <v>ZTWM-CDGS-XS-2024-0134-商投建工达州中医药科技成果示范园项目</v>
      </c>
      <c r="R2176" s="30"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114</v>
      </c>
      <c r="Q2177" s="30" t="str">
        <f>VLOOKUP(B2177,辅助信息!E:M,9,FALSE)</f>
        <v>ZTWM-CDGS-XS-2024-0134-商投建工达州中医药科技成果示范园项目</v>
      </c>
      <c r="R2177" s="30"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114</v>
      </c>
      <c r="Q2178" s="30" t="str">
        <f>VLOOKUP(B2178,辅助信息!E:M,9,FALSE)</f>
        <v>ZTWM-CDGS-XS-2024-0134-商投建工达州中医药科技成果示范园项目</v>
      </c>
      <c r="R2178" s="30"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114</v>
      </c>
      <c r="Q2179" s="30" t="str">
        <f>VLOOKUP(B2179,辅助信息!E:M,9,FALSE)</f>
        <v>ZTWM-CDGS-XS-2024-0134-商投建工达州中医药科技成果示范园项目</v>
      </c>
      <c r="R2179" s="30"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114</v>
      </c>
      <c r="Q2180" s="30" t="str">
        <f>VLOOKUP(B2180,辅助信息!E:M,9,FALSE)</f>
        <v>ZTWM-CDGS-XS-2024-0134-商投建工达州中医药科技成果示范园项目</v>
      </c>
      <c r="R2180" s="30"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114</v>
      </c>
      <c r="Q2181" s="30" t="str">
        <f>VLOOKUP(B2181,辅助信息!E:M,9,FALSE)</f>
        <v>ZTWM-CDGS-XS-2024-0134-商投建工达州中医药科技成果示范园项目</v>
      </c>
      <c r="R2181" s="30"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112</v>
      </c>
      <c r="Q2182" s="30" t="str">
        <f>VLOOKUP(B2182,辅助信息!E:M,9,FALSE)</f>
        <v>ZTWM-CDGS-XS-2024-0030-华西集采-简州大道</v>
      </c>
      <c r="R2182" s="30"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112</v>
      </c>
      <c r="Q2183" s="30" t="str">
        <f>VLOOKUP(B2183,辅助信息!E:M,9,FALSE)</f>
        <v>ZTWM-CDGS-XS-2025-0126-四川机司-乐山市校地共建产教融合基地配套设施项目施工二标段钢筋采购合同</v>
      </c>
      <c r="R2183" s="30" t="str">
        <f>_xlfn._xlws.FILTER(辅助信息!D:D,辅助信息!E:E=B2183)</f>
        <v>乐山市校地共建产教融合基地建设项目</v>
      </c>
    </row>
    <row r="2184" hidden="1" spans="2:18">
      <c r="B2184" s="41" t="s">
        <v>47</v>
      </c>
      <c r="C2184" s="71">
        <v>45849</v>
      </c>
      <c r="D2184" s="41" t="str">
        <f>VLOOKUP(B2184,辅助信息!E:K,7,FALSE)</f>
        <v>JWDDCD2025052800131</v>
      </c>
      <c r="E2184" s="41" t="str">
        <f>VLOOKUP(F2184,辅助信息!A:B,2,FALSE)</f>
        <v>盘螺</v>
      </c>
      <c r="F2184" s="41" t="s">
        <v>49</v>
      </c>
      <c r="G2184" s="37">
        <v>6</v>
      </c>
      <c r="H2184" s="135">
        <f>_xlfn.XLOOKUP(C2184&amp;F2184&amp;I2184&amp;J2184,'[1]2025年已发货'!$F:$F&amp;'[1]2025年已发货'!$C:$C&amp;'[1]2025年已发货'!$G:$G&amp;'[1]2025年已发货'!$H:$H,'[1]2025年已发货'!$E:$E,"未发货")</f>
        <v>6</v>
      </c>
      <c r="I2184" s="41" t="str">
        <f>VLOOKUP(B2184,辅助信息!E:I,3,FALSE)</f>
        <v>（商投建工达州中医药科技园-1工区）达州市通川区达州中医药职业学院犀牛大道北段</v>
      </c>
      <c r="J2184" s="41" t="str">
        <f>VLOOKUP(B2184,辅助信息!E:I,4,FALSE)</f>
        <v>程黄刚</v>
      </c>
      <c r="K2184" s="41">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110</v>
      </c>
      <c r="Q2184" s="30" t="str">
        <f>VLOOKUP(B2184,辅助信息!E:M,9,FALSE)</f>
        <v>ZTWM-CDGS-XS-2024-0134-商投建工达州中医药科技成果示范园项目</v>
      </c>
      <c r="R2184" s="30" t="str">
        <f>_xlfn._xlws.FILTER(辅助信息!D:D,辅助信息!E:E=B2184)</f>
        <v>商投建工达州中医药科技园</v>
      </c>
    </row>
    <row r="2185" hidden="1" spans="2:18">
      <c r="B2185" s="41" t="s">
        <v>47</v>
      </c>
      <c r="C2185" s="71">
        <v>45849</v>
      </c>
      <c r="D2185" s="41" t="str">
        <f>VLOOKUP(B2185,辅助信息!E:K,7,FALSE)</f>
        <v>JWDDCD2025052800131</v>
      </c>
      <c r="E2185" s="41" t="str">
        <f>VLOOKUP(F2185,辅助信息!A:B,2,FALSE)</f>
        <v>盘螺</v>
      </c>
      <c r="F2185" s="41" t="s">
        <v>40</v>
      </c>
      <c r="G2185" s="37">
        <v>15</v>
      </c>
      <c r="H2185" s="135">
        <f>_xlfn.XLOOKUP(C2185&amp;F2185&amp;I2185&amp;J2185,'[1]2025年已发货'!$F:$F&amp;'[1]2025年已发货'!$C:$C&amp;'[1]2025年已发货'!$G:$G&amp;'[1]2025年已发货'!$H:$H,'[1]2025年已发货'!$E:$E,"未发货")</f>
        <v>15</v>
      </c>
      <c r="I2185" s="41" t="str">
        <f>VLOOKUP(B2185,辅助信息!E:I,3,FALSE)</f>
        <v>（商投建工达州中医药科技园-1工区）达州市通川区达州中医药职业学院犀牛大道北段</v>
      </c>
      <c r="J2185" s="41" t="str">
        <f>VLOOKUP(B2185,辅助信息!E:I,4,FALSE)</f>
        <v>程黄刚</v>
      </c>
      <c r="K2185" s="41">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110</v>
      </c>
      <c r="Q2185" s="30" t="str">
        <f>VLOOKUP(B2185,辅助信息!E:M,9,FALSE)</f>
        <v>ZTWM-CDGS-XS-2024-0134-商投建工达州中医药科技成果示范园项目</v>
      </c>
      <c r="R2185" s="30" t="str">
        <f>_xlfn._xlws.FILTER(辅助信息!D:D,辅助信息!E:E=B2185)</f>
        <v>商投建工达州中医药科技园</v>
      </c>
    </row>
    <row r="2186" hidden="1" spans="2:18">
      <c r="B2186" s="41" t="s">
        <v>47</v>
      </c>
      <c r="C2186" s="71">
        <v>45849</v>
      </c>
      <c r="D2186" s="41" t="str">
        <f>VLOOKUP(B2186,辅助信息!E:K,7,FALSE)</f>
        <v>JWDDCD2025052800131</v>
      </c>
      <c r="E2186" s="41" t="str">
        <f>VLOOKUP(F2186,辅助信息!A:B,2,FALSE)</f>
        <v>盘螺</v>
      </c>
      <c r="F2186" s="41" t="s">
        <v>41</v>
      </c>
      <c r="G2186" s="37">
        <v>24</v>
      </c>
      <c r="H2186" s="135">
        <f>_xlfn.XLOOKUP(C2186&amp;F2186&amp;I2186&amp;J2186,'[1]2025年已发货'!$F:$F&amp;'[1]2025年已发货'!$C:$C&amp;'[1]2025年已发货'!$G:$G&amp;'[1]2025年已发货'!$H:$H,'[1]2025年已发货'!$E:$E,"未发货")</f>
        <v>24</v>
      </c>
      <c r="I2186" s="41" t="str">
        <f>VLOOKUP(B2186,辅助信息!E:I,3,FALSE)</f>
        <v>（商投建工达州中医药科技园-1工区）达州市通川区达州中医药职业学院犀牛大道北段</v>
      </c>
      <c r="J2186" s="41" t="str">
        <f>VLOOKUP(B2186,辅助信息!E:I,4,FALSE)</f>
        <v>程黄刚</v>
      </c>
      <c r="K2186" s="41">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110</v>
      </c>
      <c r="Q2186" s="30" t="str">
        <f>VLOOKUP(B2186,辅助信息!E:M,9,FALSE)</f>
        <v>ZTWM-CDGS-XS-2024-0134-商投建工达州中医药科技成果示范园项目</v>
      </c>
      <c r="R2186" s="30" t="str">
        <f>_xlfn._xlws.FILTER(辅助信息!D:D,辅助信息!E:E=B2186)</f>
        <v>商投建工达州中医药科技园</v>
      </c>
    </row>
    <row r="2187" hidden="1" spans="2:18">
      <c r="B2187" s="41" t="s">
        <v>47</v>
      </c>
      <c r="C2187" s="71">
        <v>45849</v>
      </c>
      <c r="D2187" s="41" t="str">
        <f>VLOOKUP(B2187,辅助信息!E:K,7,FALSE)</f>
        <v>JWDDCD2025052800131</v>
      </c>
      <c r="E2187" s="41" t="str">
        <f>VLOOKUP(F2187,辅助信息!A:B,2,FALSE)</f>
        <v>螺纹钢</v>
      </c>
      <c r="F2187" s="41" t="s">
        <v>27</v>
      </c>
      <c r="G2187" s="37">
        <v>9</v>
      </c>
      <c r="H2187" s="135">
        <f>_xlfn.XLOOKUP(C2187&amp;F2187&amp;I2187&amp;J2187,'[1]2025年已发货'!$F:$F&amp;'[1]2025年已发货'!$C:$C&amp;'[1]2025年已发货'!$G:$G&amp;'[1]2025年已发货'!$H:$H,'[1]2025年已发货'!$E:$E,"未发货")</f>
        <v>9</v>
      </c>
      <c r="I2187" s="41" t="str">
        <f>VLOOKUP(B2187,辅助信息!E:I,3,FALSE)</f>
        <v>（商投建工达州中医药科技园-1工区）达州市通川区达州中医药职业学院犀牛大道北段</v>
      </c>
      <c r="J2187" s="41" t="str">
        <f>VLOOKUP(B2187,辅助信息!E:I,4,FALSE)</f>
        <v>程黄刚</v>
      </c>
      <c r="K2187" s="41">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110</v>
      </c>
      <c r="Q2187" s="30" t="str">
        <f>VLOOKUP(B2187,辅助信息!E:M,9,FALSE)</f>
        <v>ZTWM-CDGS-XS-2024-0134-商投建工达州中医药科技成果示范园项目</v>
      </c>
      <c r="R2187" s="30" t="str">
        <f>_xlfn._xlws.FILTER(辅助信息!D:D,辅助信息!E:E=B2187)</f>
        <v>商投建工达州中医药科技园</v>
      </c>
    </row>
    <row r="2188" hidden="1" spans="1:18">
      <c r="A2188" s="83" t="s">
        <v>190</v>
      </c>
      <c r="B2188" s="41" t="s">
        <v>31</v>
      </c>
      <c r="C2188" s="71">
        <v>45849</v>
      </c>
      <c r="D2188" s="41" t="str">
        <f>VLOOKUP(B2188,辅助信息!E:K,7,FALSE)</f>
        <v>JWDDCD2024121000136</v>
      </c>
      <c r="E2188" s="41" t="str">
        <f>VLOOKUP(F2188,辅助信息!A:B,2,FALSE)</f>
        <v>螺纹钢</v>
      </c>
      <c r="F2188" s="41" t="s">
        <v>22</v>
      </c>
      <c r="G2188" s="37">
        <v>35</v>
      </c>
      <c r="H2188" s="135">
        <f>_xlfn.XLOOKUP(C2188&amp;F2188&amp;I2188&amp;J2188,'[1]2025年已发货'!$F:$F&amp;'[1]2025年已发货'!$C:$C&amp;'[1]2025年已发货'!$G:$G&amp;'[1]2025年已发货'!$H:$H,'[1]2025年已发货'!$E:$E,"未发货")</f>
        <v>35</v>
      </c>
      <c r="I2188" s="41" t="str">
        <f>VLOOKUP(B2188,辅助信息!E:I,3,FALSE)</f>
        <v>（四川商建-射洪城乡一体化项目）遂宁市射洪市忠新幼儿园北侧约220米新溪小区</v>
      </c>
      <c r="J2188" s="41" t="str">
        <f>VLOOKUP(B2188,辅助信息!E:I,4,FALSE)</f>
        <v>柏子刚</v>
      </c>
      <c r="K2188" s="41">
        <f>VLOOKUP(J2188,辅助信息!H:I,2,FALSE)</f>
        <v>15692885305</v>
      </c>
      <c r="L2188" s="110" t="str">
        <f>VLOOKUP(B2188,辅助信息!E:J,6,FALSE)</f>
        <v>提前联系到场规格及数量</v>
      </c>
      <c r="M2188" s="92">
        <v>45849</v>
      </c>
      <c r="O2188" s="63">
        <f ca="1" t="shared" si="147"/>
        <v>0</v>
      </c>
      <c r="P2188" s="63">
        <f ca="1" t="shared" si="148"/>
        <v>110</v>
      </c>
      <c r="Q2188" s="30" t="str">
        <f>VLOOKUP(B2188,辅助信息!E:M,9,FALSE)</f>
        <v>ZTWM-CDGS-XS-2024-0179-四川商投-射洪城乡一体化建设项目</v>
      </c>
      <c r="R2188" s="30" t="str">
        <f>_xlfn._xlws.FILTER(辅助信息!D:D,辅助信息!E:E=B2188)</f>
        <v>四川商建
射洪城乡一体化项目</v>
      </c>
    </row>
    <row r="2189" hidden="1" spans="2:18">
      <c r="B2189" s="41" t="s">
        <v>171</v>
      </c>
      <c r="C2189" s="71">
        <v>45849</v>
      </c>
      <c r="D2189" s="41" t="str">
        <f>VLOOKUP(B2189,辅助信息!E:K,7,FALSE)</f>
        <v>JWDDCD2024101600133</v>
      </c>
      <c r="E2189" s="41" t="str">
        <f>VLOOKUP(F2189,辅助信息!A:B,2,FALSE)</f>
        <v>盘螺</v>
      </c>
      <c r="F2189" s="41" t="s">
        <v>40</v>
      </c>
      <c r="G2189" s="37">
        <v>20</v>
      </c>
      <c r="H2189" s="135">
        <f>_xlfn.XLOOKUP(C2189&amp;F2189&amp;I2189&amp;J2189,'[1]2025年已发货'!$F:$F&amp;'[1]2025年已发货'!$C:$C&amp;'[1]2025年已发货'!$G:$G&amp;'[1]2025年已发货'!$H:$H,'[1]2025年已发货'!$E:$E,"未发货")</f>
        <v>20</v>
      </c>
      <c r="I2189" s="41" t="str">
        <f>VLOOKUP(B2189,辅助信息!E:I,3,FALSE)</f>
        <v>(五冶钢构宜宾南溪区项目土建4标)四川省宜宾市高县高县庆符镇鹅卵新农村高县广久大道(庆符厂房项目)</v>
      </c>
      <c r="J2189" s="41" t="str">
        <f>VLOOKUP(B2189,辅助信息!E:I,4,FALSE)</f>
        <v>张朝亮</v>
      </c>
      <c r="K2189" s="41">
        <f>VLOOKUP(J2189,辅助信息!H:I,2,FALSE)</f>
        <v>15228205853</v>
      </c>
      <c r="L2189" s="110" t="str">
        <f>VLOOKUP(B2189,辅助信息!E:J,6,FALSE)</f>
        <v>提前联系到场规格</v>
      </c>
      <c r="M2189" s="92">
        <v>45849</v>
      </c>
      <c r="O2189" s="63">
        <f ca="1" t="shared" si="147"/>
        <v>0</v>
      </c>
      <c r="P2189" s="63">
        <f ca="1" t="shared" si="148"/>
        <v>110</v>
      </c>
      <c r="Q2189" s="30" t="str">
        <f>VLOOKUP(B2189,辅助信息!E:M,9,FALSE)</f>
        <v>ZTWM-CDGS-XS-2024-0169-中冶西部钢构-宜宾市南溪区幸福路东路,高县月江镇建设项目</v>
      </c>
      <c r="R2189" s="30" t="str">
        <f>_xlfn._xlws.FILTER(辅助信息!D:D,辅助信息!E:E=B2189)</f>
        <v>五冶钢构-宜宾市南溪区高县月江镇建设项目</v>
      </c>
    </row>
    <row r="2190" hidden="1" spans="2:18">
      <c r="B2190" s="41" t="s">
        <v>171</v>
      </c>
      <c r="C2190" s="71">
        <v>45849</v>
      </c>
      <c r="D2190" s="41" t="str">
        <f>VLOOKUP(B2190,辅助信息!E:K,7,FALSE)</f>
        <v>JWDDCD2024101600133</v>
      </c>
      <c r="E2190" s="41" t="str">
        <f>VLOOKUP(F2190,辅助信息!A:B,2,FALSE)</f>
        <v>盘螺</v>
      </c>
      <c r="F2190" s="41" t="s">
        <v>41</v>
      </c>
      <c r="G2190" s="37">
        <v>11</v>
      </c>
      <c r="H2190" s="135">
        <f>_xlfn.XLOOKUP(C2190&amp;F2190&amp;I2190&amp;J2190,'[1]2025年已发货'!$F:$F&amp;'[1]2025年已发货'!$C:$C&amp;'[1]2025年已发货'!$G:$G&amp;'[1]2025年已发货'!$H:$H,'[1]2025年已发货'!$E:$E,"未发货")</f>
        <v>11</v>
      </c>
      <c r="I2190" s="41" t="str">
        <f>VLOOKUP(B2190,辅助信息!E:I,3,FALSE)</f>
        <v>(五冶钢构宜宾南溪区项目土建4标)四川省宜宾市高县高县庆符镇鹅卵新农村高县广久大道(庆符厂房项目)</v>
      </c>
      <c r="J2190" s="41" t="str">
        <f>VLOOKUP(B2190,辅助信息!E:I,4,FALSE)</f>
        <v>张朝亮</v>
      </c>
      <c r="K2190" s="41">
        <f>VLOOKUP(J2190,辅助信息!H:I,2,FALSE)</f>
        <v>15228205853</v>
      </c>
      <c r="L2190" s="110" t="str">
        <f>VLOOKUP(B2190,辅助信息!E:J,6,FALSE)</f>
        <v>提前联系到场规格</v>
      </c>
      <c r="M2190" s="92">
        <v>45849</v>
      </c>
      <c r="O2190" s="63">
        <f ca="1" t="shared" si="147"/>
        <v>0</v>
      </c>
      <c r="P2190" s="63">
        <f ca="1" t="shared" si="148"/>
        <v>110</v>
      </c>
      <c r="Q2190" s="30" t="str">
        <f>VLOOKUP(B2190,辅助信息!E:M,9,FALSE)</f>
        <v>ZTWM-CDGS-XS-2024-0169-中冶西部钢构-宜宾市南溪区幸福路东路,高县月江镇建设项目</v>
      </c>
      <c r="R2190" s="30" t="str">
        <f>_xlfn._xlws.FILTER(辅助信息!D:D,辅助信息!E:E=B2190)</f>
        <v>五冶钢构-宜宾市南溪区高县月江镇建设项目</v>
      </c>
    </row>
    <row r="2191" hidden="1" spans="2:18">
      <c r="B2191" s="41" t="s">
        <v>171</v>
      </c>
      <c r="C2191" s="71">
        <v>45849</v>
      </c>
      <c r="D2191" s="41" t="str">
        <f>VLOOKUP(B2191,辅助信息!E:K,7,FALSE)</f>
        <v>JWDDCD2024101600133</v>
      </c>
      <c r="E2191" s="41" t="str">
        <f>VLOOKUP(F2191,辅助信息!A:B,2,FALSE)</f>
        <v>螺纹钢</v>
      </c>
      <c r="F2191" s="41" t="s">
        <v>18</v>
      </c>
      <c r="G2191" s="37">
        <v>3</v>
      </c>
      <c r="H2191" s="135">
        <f>_xlfn.XLOOKUP(C2191&amp;F2191&amp;I2191&amp;J2191,'[1]2025年已发货'!$F:$F&amp;'[1]2025年已发货'!$C:$C&amp;'[1]2025年已发货'!$G:$G&amp;'[1]2025年已发货'!$H:$H,'[1]2025年已发货'!$E:$E,"未发货")</f>
        <v>3</v>
      </c>
      <c r="I2191" s="41" t="str">
        <f>VLOOKUP(B2191,辅助信息!E:I,3,FALSE)</f>
        <v>(五冶钢构宜宾南溪区项目土建4标)四川省宜宾市高县高县庆符镇鹅卵新农村高县广久大道(庆符厂房项目)</v>
      </c>
      <c r="J2191" s="41" t="str">
        <f>VLOOKUP(B2191,辅助信息!E:I,4,FALSE)</f>
        <v>张朝亮</v>
      </c>
      <c r="K2191" s="41">
        <f>VLOOKUP(J2191,辅助信息!H:I,2,FALSE)</f>
        <v>15228205853</v>
      </c>
      <c r="L2191" s="110" t="str">
        <f>VLOOKUP(B2191,辅助信息!E:J,6,FALSE)</f>
        <v>提前联系到场规格</v>
      </c>
      <c r="M2191" s="92">
        <v>45849</v>
      </c>
      <c r="O2191" s="63">
        <f ca="1" t="shared" si="147"/>
        <v>0</v>
      </c>
      <c r="P2191" s="63">
        <f ca="1" t="shared" si="148"/>
        <v>110</v>
      </c>
      <c r="Q2191" s="30" t="str">
        <f>VLOOKUP(B2191,辅助信息!E:M,9,FALSE)</f>
        <v>ZTWM-CDGS-XS-2024-0169-中冶西部钢构-宜宾市南溪区幸福路东路,高县月江镇建设项目</v>
      </c>
      <c r="R2191" s="30"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114</v>
      </c>
      <c r="Q2192" s="30" t="str">
        <f>VLOOKUP(B2192,辅助信息!E:M,9,FALSE)</f>
        <v>ZTWM-CDGS-XS-2024-0134-商投建工达州中医药科技成果示范园项目</v>
      </c>
      <c r="R2192" s="30"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114</v>
      </c>
      <c r="Q2193" s="30" t="str">
        <f>VLOOKUP(B2193,辅助信息!E:M,9,FALSE)</f>
        <v>ZTWM-CDGS-XS-2024-0134-商投建工达州中医药科技成果示范园项目</v>
      </c>
      <c r="R2193" s="30"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114</v>
      </c>
      <c r="Q2194" s="30" t="str">
        <f>VLOOKUP(B2194,辅助信息!E:M,9,FALSE)</f>
        <v>ZTWM-CDGS-XS-2024-0134-商投建工达州中医药科技成果示范园项目</v>
      </c>
      <c r="R2194" s="30"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114</v>
      </c>
      <c r="Q2195" s="30" t="str">
        <f>VLOOKUP(B2195,辅助信息!E:M,9,FALSE)</f>
        <v>ZTWM-CDGS-XS-2024-0134-商投建工达州中医药科技成果示范园项目</v>
      </c>
      <c r="R2195" s="30"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114</v>
      </c>
      <c r="Q2196" s="30" t="str">
        <f>VLOOKUP(B2196,辅助信息!E:M,9,FALSE)</f>
        <v>ZTWM-CDGS-XS-2024-0134-商投建工达州中医药科技成果示范园项目</v>
      </c>
      <c r="R2196" s="30"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114</v>
      </c>
      <c r="Q2197" s="30" t="str">
        <f>VLOOKUP(B2197,辅助信息!E:M,9,FALSE)</f>
        <v>ZTWM-CDGS-XS-2024-0134-商投建工达州中医药科技成果示范园项目</v>
      </c>
      <c r="R2197" s="30"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114</v>
      </c>
      <c r="Q2198" s="30" t="str">
        <f>VLOOKUP(B2198,辅助信息!E:M,9,FALSE)</f>
        <v>ZTWM-CDGS-XS-2024-0134-商投建工达州中医药科技成果示范园项目</v>
      </c>
      <c r="R2198" s="30"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114</v>
      </c>
      <c r="Q2199" s="30" t="str">
        <f>VLOOKUP(B2199,辅助信息!E:M,9,FALSE)</f>
        <v>ZTWM-CDGS-XS-2024-0134-商投建工达州中医药科技成果示范园项目</v>
      </c>
      <c r="R2199" s="30"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112</v>
      </c>
      <c r="Q2200" s="30" t="str">
        <f>VLOOKUP(B2200,辅助信息!E:M,9,FALSE)</f>
        <v>ZTWM-CDGS-XS-2024-0030-华西集采-简州大道</v>
      </c>
      <c r="R2200" s="30" t="str">
        <f>_xlfn._xlws.FILTER(辅助信息!D:D,辅助信息!E:E=B2200)</f>
        <v>华西简阳西城嘉苑</v>
      </c>
    </row>
    <row r="2201" hidden="1" spans="2:18">
      <c r="B2201" s="41" t="s">
        <v>186</v>
      </c>
      <c r="C2201" s="71">
        <v>45850</v>
      </c>
      <c r="D2201" s="41" t="str">
        <f>VLOOKUP(B2201,辅助信息!E:K,7,FALSE)</f>
        <v>JWDDCD2025072900123</v>
      </c>
      <c r="E2201" s="41" t="str">
        <f>VLOOKUP(F2201,辅助信息!A:B,2,FALSE)</f>
        <v>高线</v>
      </c>
      <c r="F2201" s="41" t="s">
        <v>57</v>
      </c>
      <c r="G2201" s="37">
        <v>3</v>
      </c>
      <c r="H2201" s="135">
        <f>_xlfn.XLOOKUP(C2201&amp;F2201&amp;I2201&amp;J2201,'[1]2025年已发货'!$F:$F&amp;'[1]2025年已发货'!$C:$C&amp;'[1]2025年已发货'!$G:$G&amp;'[1]2025年已发货'!$H:$H,'[1]2025年已发货'!$E:$E,"未发货")</f>
        <v>3</v>
      </c>
      <c r="I2201" s="41" t="str">
        <f>VLOOKUP(B2201,辅助信息!E:I,3,FALSE)</f>
        <v>(乐山市校地共建产教融合基地建设项目二标段)四川省乐山市市中区苏稽镇</v>
      </c>
      <c r="J2201" s="41" t="str">
        <f>VLOOKUP(B2201,辅助信息!E:I,4,FALSE)</f>
        <v>彭江涛</v>
      </c>
      <c r="K2201" s="41">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108</v>
      </c>
      <c r="Q2201" s="30" t="str">
        <f>VLOOKUP(B2201,辅助信息!E:M,9,FALSE)</f>
        <v>ZTWM-CDGS-XS-2025-0126-四川机司-乐山市校地共建产教融合基地配套设施项目施工二标段钢筋采购合同</v>
      </c>
      <c r="R2201" s="30" t="str">
        <f>_xlfn._xlws.FILTER(辅助信息!D:D,辅助信息!E:E=B2201)</f>
        <v>乐山市校地共建产教融合基地建设项目</v>
      </c>
    </row>
    <row r="2202" hidden="1" spans="2:18">
      <c r="B2202" s="41" t="s">
        <v>186</v>
      </c>
      <c r="C2202" s="71">
        <v>45850</v>
      </c>
      <c r="D2202" s="41" t="str">
        <f>VLOOKUP(B2202,辅助信息!E:K,7,FALSE)</f>
        <v>JWDDCD2025072900123</v>
      </c>
      <c r="E2202" s="41" t="str">
        <f>VLOOKUP(F2202,辅助信息!A:B,2,FALSE)</f>
        <v>高线</v>
      </c>
      <c r="F2202" s="41" t="s">
        <v>53</v>
      </c>
      <c r="G2202" s="37">
        <v>3</v>
      </c>
      <c r="H2202" s="135">
        <f>_xlfn.XLOOKUP(C2202&amp;F2202&amp;I2202&amp;J2202,'[1]2025年已发货'!$F:$F&amp;'[1]2025年已发货'!$C:$C&amp;'[1]2025年已发货'!$G:$G&amp;'[1]2025年已发货'!$H:$H,'[1]2025年已发货'!$E:$E,"未发货")</f>
        <v>3</v>
      </c>
      <c r="I2202" s="41" t="str">
        <f>VLOOKUP(B2202,辅助信息!E:I,3,FALSE)</f>
        <v>(乐山市校地共建产教融合基地建设项目二标段)四川省乐山市市中区苏稽镇</v>
      </c>
      <c r="J2202" s="41" t="str">
        <f>VLOOKUP(B2202,辅助信息!E:I,4,FALSE)</f>
        <v>彭江涛</v>
      </c>
      <c r="K2202" s="41">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108</v>
      </c>
      <c r="Q2202" s="30" t="str">
        <f>VLOOKUP(B2202,辅助信息!E:M,9,FALSE)</f>
        <v>ZTWM-CDGS-XS-2025-0126-四川机司-乐山市校地共建产教融合基地配套设施项目施工二标段钢筋采购合同</v>
      </c>
      <c r="R2202" s="30" t="str">
        <f>_xlfn._xlws.FILTER(辅助信息!D:D,辅助信息!E:E=B2202)</f>
        <v>乐山市校地共建产教融合基地建设项目</v>
      </c>
    </row>
    <row r="2203" hidden="1" spans="2:18">
      <c r="B2203" s="41" t="s">
        <v>186</v>
      </c>
      <c r="C2203" s="71">
        <v>45850</v>
      </c>
      <c r="D2203" s="41" t="str">
        <f>VLOOKUP(B2203,辅助信息!E:K,7,FALSE)</f>
        <v>JWDDCD2025072900123</v>
      </c>
      <c r="E2203" s="41" t="str">
        <f>VLOOKUP(F2203,辅助信息!A:B,2,FALSE)</f>
        <v>盘螺</v>
      </c>
      <c r="F2203" s="41" t="s">
        <v>40</v>
      </c>
      <c r="G2203" s="37">
        <v>12</v>
      </c>
      <c r="H2203" s="135">
        <f>_xlfn.XLOOKUP(C2203&amp;F2203&amp;I2203&amp;J2203,'[1]2025年已发货'!$F:$F&amp;'[1]2025年已发货'!$C:$C&amp;'[1]2025年已发货'!$G:$G&amp;'[1]2025年已发货'!$H:$H,'[1]2025年已发货'!$E:$E,"未发货")</f>
        <v>12</v>
      </c>
      <c r="I2203" s="41" t="str">
        <f>VLOOKUP(B2203,辅助信息!E:I,3,FALSE)</f>
        <v>(乐山市校地共建产教融合基地建设项目二标段)四川省乐山市市中区苏稽镇</v>
      </c>
      <c r="J2203" s="41" t="str">
        <f>VLOOKUP(B2203,辅助信息!E:I,4,FALSE)</f>
        <v>彭江涛</v>
      </c>
      <c r="K2203" s="41">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108</v>
      </c>
      <c r="Q2203" s="30" t="str">
        <f>VLOOKUP(B2203,辅助信息!E:M,9,FALSE)</f>
        <v>ZTWM-CDGS-XS-2025-0126-四川机司-乐山市校地共建产教融合基地配套设施项目施工二标段钢筋采购合同</v>
      </c>
      <c r="R2203" s="30" t="str">
        <f>_xlfn._xlws.FILTER(辅助信息!D:D,辅助信息!E:E=B2203)</f>
        <v>乐山市校地共建产教融合基地建设项目</v>
      </c>
    </row>
    <row r="2204" hidden="1" spans="2:18">
      <c r="B2204" s="41" t="s">
        <v>186</v>
      </c>
      <c r="C2204" s="71">
        <v>45850</v>
      </c>
      <c r="D2204" s="41" t="str">
        <f>VLOOKUP(B2204,辅助信息!E:K,7,FALSE)</f>
        <v>JWDDCD2025072900123</v>
      </c>
      <c r="E2204" s="41" t="str">
        <f>VLOOKUP(F2204,辅助信息!A:B,2,FALSE)</f>
        <v>盘螺</v>
      </c>
      <c r="F2204" s="41" t="s">
        <v>41</v>
      </c>
      <c r="G2204" s="37">
        <v>8</v>
      </c>
      <c r="H2204" s="135">
        <f>_xlfn.XLOOKUP(C2204&amp;F2204&amp;I2204&amp;J2204,'[1]2025年已发货'!$F:$F&amp;'[1]2025年已发货'!$C:$C&amp;'[1]2025年已发货'!$G:$G&amp;'[1]2025年已发货'!$H:$H,'[1]2025年已发货'!$E:$E,"未发货")</f>
        <v>8</v>
      </c>
      <c r="I2204" s="41" t="str">
        <f>VLOOKUP(B2204,辅助信息!E:I,3,FALSE)</f>
        <v>(乐山市校地共建产教融合基地建设项目二标段)四川省乐山市市中区苏稽镇</v>
      </c>
      <c r="J2204" s="41" t="str">
        <f>VLOOKUP(B2204,辅助信息!E:I,4,FALSE)</f>
        <v>彭江涛</v>
      </c>
      <c r="K2204" s="41">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108</v>
      </c>
      <c r="Q2204" s="30" t="str">
        <f>VLOOKUP(B2204,辅助信息!E:M,9,FALSE)</f>
        <v>ZTWM-CDGS-XS-2025-0126-四川机司-乐山市校地共建产教融合基地配套设施项目施工二标段钢筋采购合同</v>
      </c>
      <c r="R2204" s="30" t="str">
        <f>_xlfn._xlws.FILTER(辅助信息!D:D,辅助信息!E:E=B2204)</f>
        <v>乐山市校地共建产教融合基地建设项目</v>
      </c>
    </row>
    <row r="2205" hidden="1" spans="2:18">
      <c r="B2205" s="41" t="s">
        <v>186</v>
      </c>
      <c r="C2205" s="71">
        <v>45850</v>
      </c>
      <c r="D2205" s="41" t="str">
        <f>VLOOKUP(B2205,辅助信息!E:K,7,FALSE)</f>
        <v>JWDDCD2025072900123</v>
      </c>
      <c r="E2205" s="41" t="str">
        <f>VLOOKUP(F2205,辅助信息!A:B,2,FALSE)</f>
        <v>盘螺</v>
      </c>
      <c r="F2205" s="41" t="s">
        <v>26</v>
      </c>
      <c r="G2205" s="37">
        <v>6</v>
      </c>
      <c r="H2205" s="135">
        <f>_xlfn.XLOOKUP(C2205&amp;F2205&amp;I2205&amp;J2205,'[1]2025年已发货'!$F:$F&amp;'[1]2025年已发货'!$C:$C&amp;'[1]2025年已发货'!$G:$G&amp;'[1]2025年已发货'!$H:$H,'[1]2025年已发货'!$E:$E,"未发货")</f>
        <v>6</v>
      </c>
      <c r="I2205" s="41" t="str">
        <f>VLOOKUP(B2205,辅助信息!E:I,3,FALSE)</f>
        <v>(乐山市校地共建产教融合基地建设项目二标段)四川省乐山市市中区苏稽镇</v>
      </c>
      <c r="J2205" s="41" t="str">
        <f>VLOOKUP(B2205,辅助信息!E:I,4,FALSE)</f>
        <v>彭江涛</v>
      </c>
      <c r="K2205" s="41">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108</v>
      </c>
      <c r="Q2205" s="30" t="str">
        <f>VLOOKUP(B2205,辅助信息!E:M,9,FALSE)</f>
        <v>ZTWM-CDGS-XS-2025-0126-四川机司-乐山市校地共建产教融合基地配套设施项目施工二标段钢筋采购合同</v>
      </c>
      <c r="R2205" s="30" t="str">
        <f>_xlfn._xlws.FILTER(辅助信息!D:D,辅助信息!E:E=B2205)</f>
        <v>乐山市校地共建产教融合基地建设项目</v>
      </c>
    </row>
    <row r="2206" hidden="1" spans="2:18">
      <c r="B2206" s="41" t="s">
        <v>186</v>
      </c>
      <c r="C2206" s="71">
        <v>45850</v>
      </c>
      <c r="D2206" s="41" t="str">
        <f>VLOOKUP(B2206,辅助信息!E:K,7,FALSE)</f>
        <v>JWDDCD2025072900123</v>
      </c>
      <c r="E2206" s="41" t="str">
        <f>VLOOKUP(F2206,辅助信息!A:B,2,FALSE)</f>
        <v>螺纹钢</v>
      </c>
      <c r="F2206" s="41" t="s">
        <v>32</v>
      </c>
      <c r="G2206" s="37">
        <v>3</v>
      </c>
      <c r="H2206" s="135">
        <f>_xlfn.XLOOKUP(C2206&amp;F2206&amp;I2206&amp;J2206,'[1]2025年已发货'!$F:$F&amp;'[1]2025年已发货'!$C:$C&amp;'[1]2025年已发货'!$G:$G&amp;'[1]2025年已发货'!$H:$H,'[1]2025年已发货'!$E:$E,"未发货")</f>
        <v>3</v>
      </c>
      <c r="I2206" s="41" t="str">
        <f>VLOOKUP(B2206,辅助信息!E:I,3,FALSE)</f>
        <v>(乐山市校地共建产教融合基地建设项目二标段)四川省乐山市市中区苏稽镇</v>
      </c>
      <c r="J2206" s="41" t="str">
        <f>VLOOKUP(B2206,辅助信息!E:I,4,FALSE)</f>
        <v>彭江涛</v>
      </c>
      <c r="K2206" s="41">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108</v>
      </c>
      <c r="Q2206" s="30" t="str">
        <f>VLOOKUP(B2206,辅助信息!E:M,9,FALSE)</f>
        <v>ZTWM-CDGS-XS-2025-0126-四川机司-乐山市校地共建产教融合基地配套设施项目施工二标段钢筋采购合同</v>
      </c>
      <c r="R2206" s="30" t="str">
        <f>_xlfn._xlws.FILTER(辅助信息!D:D,辅助信息!E:E=B2206)</f>
        <v>乐山市校地共建产教融合基地建设项目</v>
      </c>
    </row>
    <row r="2207" hidden="1" spans="2:18">
      <c r="B2207" s="41" t="s">
        <v>186</v>
      </c>
      <c r="C2207" s="71">
        <v>45850</v>
      </c>
      <c r="D2207" s="41" t="str">
        <f>VLOOKUP(B2207,辅助信息!E:K,7,FALSE)</f>
        <v>JWDDCD2025072900123</v>
      </c>
      <c r="E2207" s="41" t="str">
        <f>VLOOKUP(F2207,辅助信息!A:B,2,FALSE)</f>
        <v>螺纹钢</v>
      </c>
      <c r="F2207" s="41" t="s">
        <v>30</v>
      </c>
      <c r="G2207" s="37">
        <f>21-7</f>
        <v>14</v>
      </c>
      <c r="H2207" s="135">
        <f>_xlfn.XLOOKUP(C2207&amp;F2207&amp;I2207&amp;J2207,'[1]2025年已发货'!$F:$F&amp;'[1]2025年已发货'!$C:$C&amp;'[1]2025年已发货'!$G:$G&amp;'[1]2025年已发货'!$H:$H,'[1]2025年已发货'!$E:$E,"未发货")</f>
        <v>14</v>
      </c>
      <c r="I2207" s="41" t="str">
        <f>VLOOKUP(B2207,辅助信息!E:I,3,FALSE)</f>
        <v>(乐山市校地共建产教融合基地建设项目二标段)四川省乐山市市中区苏稽镇</v>
      </c>
      <c r="J2207" s="41" t="str">
        <f>VLOOKUP(B2207,辅助信息!E:I,4,FALSE)</f>
        <v>彭江涛</v>
      </c>
      <c r="K2207" s="41">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108</v>
      </c>
      <c r="Q2207" s="30" t="str">
        <f>VLOOKUP(B2207,辅助信息!E:M,9,FALSE)</f>
        <v>ZTWM-CDGS-XS-2025-0126-四川机司-乐山市校地共建产教融合基地配套设施项目施工二标段钢筋采购合同</v>
      </c>
      <c r="R2207" s="30" t="str">
        <f>_xlfn._xlws.FILTER(辅助信息!D:D,辅助信息!E:E=B2207)</f>
        <v>乐山市校地共建产教融合基地建设项目</v>
      </c>
    </row>
    <row r="2208" hidden="1" spans="2:18">
      <c r="B2208" s="41" t="s">
        <v>186</v>
      </c>
      <c r="C2208" s="71">
        <v>45850</v>
      </c>
      <c r="D2208" s="41" t="str">
        <f>VLOOKUP(B2208,辅助信息!E:K,7,FALSE)</f>
        <v>JWDDCD2025072900123</v>
      </c>
      <c r="E2208" s="41" t="str">
        <f>VLOOKUP(F2208,辅助信息!A:B,2,FALSE)</f>
        <v>螺纹钢</v>
      </c>
      <c r="F2208" s="41" t="s">
        <v>45</v>
      </c>
      <c r="G2208" s="37">
        <v>4</v>
      </c>
      <c r="H2208" s="135">
        <f>_xlfn.XLOOKUP(C2208&amp;F2208&amp;I2208&amp;J2208,'[1]2025年已发货'!$F:$F&amp;'[1]2025年已发货'!$C:$C&amp;'[1]2025年已发货'!$G:$G&amp;'[1]2025年已发货'!$H:$H,'[1]2025年已发货'!$E:$E,"未发货")</f>
        <v>4</v>
      </c>
      <c r="I2208" s="41" t="str">
        <f>VLOOKUP(B2208,辅助信息!E:I,3,FALSE)</f>
        <v>(乐山市校地共建产教融合基地建设项目二标段)四川省乐山市市中区苏稽镇</v>
      </c>
      <c r="J2208" s="41" t="str">
        <f>VLOOKUP(B2208,辅助信息!E:I,4,FALSE)</f>
        <v>彭江涛</v>
      </c>
      <c r="K2208" s="41">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108</v>
      </c>
      <c r="Q2208" s="30" t="str">
        <f>VLOOKUP(B2208,辅助信息!E:M,9,FALSE)</f>
        <v>ZTWM-CDGS-XS-2025-0126-四川机司-乐山市校地共建产教融合基地配套设施项目施工二标段钢筋采购合同</v>
      </c>
      <c r="R2208" s="30" t="str">
        <f>_xlfn._xlws.FILTER(辅助信息!D:D,辅助信息!E:E=B2208)</f>
        <v>乐山市校地共建产教融合基地建设项目</v>
      </c>
    </row>
    <row r="2209" hidden="1" spans="2:18">
      <c r="B2209" s="41" t="s">
        <v>186</v>
      </c>
      <c r="C2209" s="71">
        <v>45850</v>
      </c>
      <c r="D2209" s="41" t="str">
        <f>VLOOKUP(B2209,辅助信息!E:K,7,FALSE)</f>
        <v>JWDDCD2025072900123</v>
      </c>
      <c r="E2209" s="41" t="str">
        <f>VLOOKUP(F2209,辅助信息!A:B,2,FALSE)</f>
        <v>螺纹钢</v>
      </c>
      <c r="F2209" s="41" t="s">
        <v>21</v>
      </c>
      <c r="G2209" s="37">
        <v>7</v>
      </c>
      <c r="H2209" s="135">
        <f>_xlfn.XLOOKUP(C2209&amp;F2209&amp;I2209&amp;J2209,'[1]2025年已发货'!$F:$F&amp;'[1]2025年已发货'!$C:$C&amp;'[1]2025年已发货'!$G:$G&amp;'[1]2025年已发货'!$H:$H,'[1]2025年已发货'!$E:$E,"未发货")</f>
        <v>7</v>
      </c>
      <c r="I2209" s="41" t="str">
        <f>VLOOKUP(B2209,辅助信息!E:I,3,FALSE)</f>
        <v>(乐山市校地共建产教融合基地建设项目二标段)四川省乐山市市中区苏稽镇</v>
      </c>
      <c r="J2209" s="41" t="str">
        <f>VLOOKUP(B2209,辅助信息!E:I,4,FALSE)</f>
        <v>彭江涛</v>
      </c>
      <c r="K2209" s="41">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108</v>
      </c>
      <c r="Q2209" s="30" t="str">
        <f>VLOOKUP(B2209,辅助信息!E:M,9,FALSE)</f>
        <v>ZTWM-CDGS-XS-2025-0126-四川机司-乐山市校地共建产教融合基地配套设施项目施工二标段钢筋采购合同</v>
      </c>
      <c r="R2209" s="30" t="str">
        <f>_xlfn._xlws.FILTER(辅助信息!D:D,辅助信息!E:E=B2209)</f>
        <v>乐山市校地共建产教融合基地建设项目</v>
      </c>
    </row>
    <row r="2210" hidden="1" spans="2:18">
      <c r="B2210" s="41" t="s">
        <v>186</v>
      </c>
      <c r="C2210" s="71">
        <v>45850</v>
      </c>
      <c r="D2210" s="41" t="str">
        <f>VLOOKUP(B2210,辅助信息!E:K,7,FALSE)</f>
        <v>JWDDCD2025072900123</v>
      </c>
      <c r="E2210" s="41" t="str">
        <f>VLOOKUP(F2210,辅助信息!A:B,2,FALSE)</f>
        <v>螺纹钢</v>
      </c>
      <c r="F2210" s="41" t="s">
        <v>58</v>
      </c>
      <c r="G2210" s="37">
        <v>5</v>
      </c>
      <c r="H2210" s="135">
        <f>_xlfn.XLOOKUP(C2210&amp;F2210&amp;I2210&amp;J2210,'[1]2025年已发货'!$F:$F&amp;'[1]2025年已发货'!$C:$C&amp;'[1]2025年已发货'!$G:$G&amp;'[1]2025年已发货'!$H:$H,'[1]2025年已发货'!$E:$E,"未发货")</f>
        <v>5</v>
      </c>
      <c r="I2210" s="41" t="str">
        <f>VLOOKUP(B2210,辅助信息!E:I,3,FALSE)</f>
        <v>(乐山市校地共建产教融合基地建设项目二标段)四川省乐山市市中区苏稽镇</v>
      </c>
      <c r="J2210" s="41" t="str">
        <f>VLOOKUP(B2210,辅助信息!E:I,4,FALSE)</f>
        <v>彭江涛</v>
      </c>
      <c r="K2210" s="41">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108</v>
      </c>
      <c r="Q2210" s="30" t="str">
        <f>VLOOKUP(B2210,辅助信息!E:M,9,FALSE)</f>
        <v>ZTWM-CDGS-XS-2025-0126-四川机司-乐山市校地共建产教融合基地配套设施项目施工二标段钢筋采购合同</v>
      </c>
      <c r="R2210" s="30" t="str">
        <f>_xlfn._xlws.FILTER(辅助信息!D:D,辅助信息!E:E=B2210)</f>
        <v>乐山市校地共建产教融合基地建设项目</v>
      </c>
    </row>
    <row r="2211" hidden="1" spans="2:18">
      <c r="B2211" s="41" t="s">
        <v>186</v>
      </c>
      <c r="C2211" s="71">
        <v>45850</v>
      </c>
      <c r="D2211" s="41" t="str">
        <f>VLOOKUP(B2211,辅助信息!E:K,7,FALSE)</f>
        <v>JWDDCD2025072900123</v>
      </c>
      <c r="E2211" s="41" t="str">
        <f>VLOOKUP(F2211,辅助信息!A:B,2,FALSE)</f>
        <v>螺纹钢</v>
      </c>
      <c r="F2211" s="41" t="s">
        <v>46</v>
      </c>
      <c r="G2211" s="37">
        <v>12</v>
      </c>
      <c r="H2211" s="135">
        <f>_xlfn.XLOOKUP(C2211&amp;F2211&amp;I2211&amp;J2211,'[1]2025年已发货'!$F:$F&amp;'[1]2025年已发货'!$C:$C&amp;'[1]2025年已发货'!$G:$G&amp;'[1]2025年已发货'!$H:$H,'[1]2025年已发货'!$E:$E,"未发货")</f>
        <v>12</v>
      </c>
      <c r="I2211" s="41" t="str">
        <f>VLOOKUP(B2211,辅助信息!E:I,3,FALSE)</f>
        <v>(乐山市校地共建产教融合基地建设项目二标段)四川省乐山市市中区苏稽镇</v>
      </c>
      <c r="J2211" s="41" t="str">
        <f>VLOOKUP(B2211,辅助信息!E:I,4,FALSE)</f>
        <v>彭江涛</v>
      </c>
      <c r="K2211" s="41">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108</v>
      </c>
      <c r="Q2211" s="30" t="str">
        <f>VLOOKUP(B2211,辅助信息!E:M,9,FALSE)</f>
        <v>ZTWM-CDGS-XS-2025-0126-四川机司-乐山市校地共建产教融合基地配套设施项目施工二标段钢筋采购合同</v>
      </c>
      <c r="R2211" s="30" t="str">
        <f>_xlfn._xlws.FILTER(辅助信息!D:D,辅助信息!E:E=B2211)</f>
        <v>乐山市校地共建产教融合基地建设项目</v>
      </c>
    </row>
    <row r="2212" hidden="1" spans="2:18">
      <c r="B2212" s="41" t="s">
        <v>186</v>
      </c>
      <c r="C2212" s="71">
        <v>45850</v>
      </c>
      <c r="D2212" s="41" t="str">
        <f>VLOOKUP(B2212,辅助信息!E:K,7,FALSE)</f>
        <v>JWDDCD2025072900123</v>
      </c>
      <c r="E2212" s="41" t="str">
        <f>VLOOKUP(F2212,辅助信息!A:B,2,FALSE)</f>
        <v>螺纹钢</v>
      </c>
      <c r="F2212" s="41" t="s">
        <v>22</v>
      </c>
      <c r="G2212" s="37">
        <f>29-17</f>
        <v>12</v>
      </c>
      <c r="H2212" s="135">
        <f>_xlfn.XLOOKUP(C2212&amp;F2212&amp;I2212&amp;J2212,'[1]2025年已发货'!$F:$F&amp;'[1]2025年已发货'!$C:$C&amp;'[1]2025年已发货'!$G:$G&amp;'[1]2025年已发货'!$H:$H,'[1]2025年已发货'!$E:$E,"未发货")</f>
        <v>12</v>
      </c>
      <c r="I2212" s="41" t="str">
        <f>VLOOKUP(B2212,辅助信息!E:I,3,FALSE)</f>
        <v>(乐山市校地共建产教融合基地建设项目二标段)四川省乐山市市中区苏稽镇</v>
      </c>
      <c r="J2212" s="41" t="str">
        <f>VLOOKUP(B2212,辅助信息!E:I,4,FALSE)</f>
        <v>彭江涛</v>
      </c>
      <c r="K2212" s="41">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108</v>
      </c>
      <c r="Q2212" s="30" t="str">
        <f>VLOOKUP(B2212,辅助信息!E:M,9,FALSE)</f>
        <v>ZTWM-CDGS-XS-2025-0126-四川机司-乐山市校地共建产教融合基地配套设施项目施工二标段钢筋采购合同</v>
      </c>
      <c r="R2212" s="30" t="str">
        <f>_xlfn._xlws.FILTER(辅助信息!D:D,辅助信息!E:E=B2212)</f>
        <v>乐山市校地共建产教融合基地建设项目</v>
      </c>
    </row>
    <row r="2213" hidden="1" spans="2:18">
      <c r="B2213" s="41" t="s">
        <v>186</v>
      </c>
      <c r="C2213" s="71">
        <v>45850</v>
      </c>
      <c r="D2213" s="41" t="str">
        <f>VLOOKUP(B2213,辅助信息!E:K,7,FALSE)</f>
        <v>JWDDCD2025072900123</v>
      </c>
      <c r="E2213" s="41" t="str">
        <f>VLOOKUP(F2213,辅助信息!A:B,2,FALSE)</f>
        <v>螺纹钢</v>
      </c>
      <c r="F2213" s="41" t="s">
        <v>181</v>
      </c>
      <c r="G2213" s="37">
        <v>8</v>
      </c>
      <c r="H2213" s="135">
        <f>_xlfn.XLOOKUP(C2213&amp;F2213&amp;I2213&amp;J2213,'[1]2025年已发货'!$F:$F&amp;'[1]2025年已发货'!$C:$C&amp;'[1]2025年已发货'!$G:$G&amp;'[1]2025年已发货'!$H:$H,'[1]2025年已发货'!$E:$E,"未发货")</f>
        <v>8</v>
      </c>
      <c r="I2213" s="41" t="str">
        <f>VLOOKUP(B2213,辅助信息!E:I,3,FALSE)</f>
        <v>(乐山市校地共建产教融合基地建设项目二标段)四川省乐山市市中区苏稽镇</v>
      </c>
      <c r="J2213" s="41" t="str">
        <f>VLOOKUP(B2213,辅助信息!E:I,4,FALSE)</f>
        <v>彭江涛</v>
      </c>
      <c r="K2213" s="41">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108</v>
      </c>
      <c r="Q2213" s="30" t="str">
        <f>VLOOKUP(B2213,辅助信息!E:M,9,FALSE)</f>
        <v>ZTWM-CDGS-XS-2025-0126-四川机司-乐山市校地共建产教融合基地配套设施项目施工二标段钢筋采购合同</v>
      </c>
      <c r="R2213" s="30" t="str">
        <f>_xlfn._xlws.FILTER(辅助信息!D:D,辅助信息!E:E=B2213)</f>
        <v>乐山市校地共建产教融合基地建设项目</v>
      </c>
    </row>
    <row r="2214" hidden="1" spans="2:18">
      <c r="B2214" s="41" t="s">
        <v>186</v>
      </c>
      <c r="C2214" s="71">
        <v>45850</v>
      </c>
      <c r="D2214" s="41" t="str">
        <f>VLOOKUP(B2214,辅助信息!E:K,7,FALSE)</f>
        <v>JWDDCD2025072900123</v>
      </c>
      <c r="E2214" s="41" t="str">
        <f>VLOOKUP(F2214,辅助信息!A:B,2,FALSE)</f>
        <v>螺纹钢</v>
      </c>
      <c r="F2214" s="41" t="s">
        <v>182</v>
      </c>
      <c r="G2214" s="37">
        <v>7</v>
      </c>
      <c r="H2214" s="135">
        <f>_xlfn.XLOOKUP(C2214&amp;F2214&amp;I2214&amp;J2214,'[1]2025年已发货'!$F:$F&amp;'[1]2025年已发货'!$C:$C&amp;'[1]2025年已发货'!$G:$G&amp;'[1]2025年已发货'!$H:$H,'[1]2025年已发货'!$E:$E,"未发货")</f>
        <v>7</v>
      </c>
      <c r="I2214" s="41" t="str">
        <f>VLOOKUP(B2214,辅助信息!E:I,3,FALSE)</f>
        <v>(乐山市校地共建产教融合基地建设项目二标段)四川省乐山市市中区苏稽镇</v>
      </c>
      <c r="J2214" s="41" t="str">
        <f>VLOOKUP(B2214,辅助信息!E:I,4,FALSE)</f>
        <v>彭江涛</v>
      </c>
      <c r="K2214" s="41">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108</v>
      </c>
      <c r="Q2214" s="30" t="str">
        <f>VLOOKUP(B2214,辅助信息!E:M,9,FALSE)</f>
        <v>ZTWM-CDGS-XS-2025-0126-四川机司-乐山市校地共建产教融合基地配套设施项目施工二标段钢筋采购合同</v>
      </c>
      <c r="R2214" s="30" t="str">
        <f>_xlfn._xlws.FILTER(辅助信息!D:D,辅助信息!E:E=B2214)</f>
        <v>乐山市校地共建产教融合基地建设项目</v>
      </c>
    </row>
    <row r="2215" hidden="1" spans="2:18">
      <c r="B2215" s="41" t="s">
        <v>171</v>
      </c>
      <c r="C2215" s="71">
        <v>45850</v>
      </c>
      <c r="D2215" s="41" t="str">
        <f>VLOOKUP(B2215,辅助信息!E:K,7,FALSE)</f>
        <v>JWDDCD2024101600133</v>
      </c>
      <c r="E2215" s="41" t="str">
        <f>VLOOKUP(F2215,辅助信息!A:B,2,FALSE)</f>
        <v>螺纹钢</v>
      </c>
      <c r="F2215" s="41" t="s">
        <v>76</v>
      </c>
      <c r="G2215" s="37">
        <v>6</v>
      </c>
      <c r="H2215" s="135">
        <f>_xlfn.XLOOKUP(C2215&amp;F2215&amp;I2215&amp;J2215,'[1]2025年已发货'!$F:$F&amp;'[1]2025年已发货'!$C:$C&amp;'[1]2025年已发货'!$G:$G&amp;'[1]2025年已发货'!$H:$H,'[1]2025年已发货'!$E:$E,"未发货")</f>
        <v>6</v>
      </c>
      <c r="I2215" s="41" t="str">
        <f>VLOOKUP(B2215,辅助信息!E:I,3,FALSE)</f>
        <v>(五冶钢构宜宾南溪区项目土建4标)四川省宜宾市高县高县庆符镇鹅卵新农村高县广久大道(庆符厂房项目)</v>
      </c>
      <c r="J2215" s="41" t="str">
        <f>VLOOKUP(B2215,辅助信息!E:I,4,FALSE)</f>
        <v>张朝亮</v>
      </c>
      <c r="K2215" s="41">
        <f>VLOOKUP(J2215,辅助信息!H:I,2,FALSE)</f>
        <v>15228205853</v>
      </c>
      <c r="L2215" s="110" t="str">
        <f>VLOOKUP(B2215,辅助信息!E:J,6,FALSE)</f>
        <v>提前联系到场规格</v>
      </c>
      <c r="M2215" s="92">
        <v>45851</v>
      </c>
      <c r="O2215" s="63">
        <f ca="1" t="shared" si="149"/>
        <v>0</v>
      </c>
      <c r="P2215" s="63">
        <f ca="1" t="shared" si="150"/>
        <v>108</v>
      </c>
      <c r="Q2215" s="30" t="str">
        <f>VLOOKUP(B2215,辅助信息!E:M,9,FALSE)</f>
        <v>ZTWM-CDGS-XS-2024-0169-中冶西部钢构-宜宾市南溪区幸福路东路,高县月江镇建设项目</v>
      </c>
      <c r="R2215" s="30" t="str">
        <f>_xlfn._xlws.FILTER(辅助信息!D:D,辅助信息!E:E=B2215)</f>
        <v>五冶钢构-宜宾市南溪区高县月江镇建设项目</v>
      </c>
    </row>
    <row r="2216" hidden="1" spans="2:18">
      <c r="B2216" s="41" t="s">
        <v>171</v>
      </c>
      <c r="C2216" s="71">
        <v>45850</v>
      </c>
      <c r="D2216" s="41" t="str">
        <f>VLOOKUP(B2216,辅助信息!E:K,7,FALSE)</f>
        <v>JWDDCD2024101600133</v>
      </c>
      <c r="E2216" s="41" t="str">
        <f>VLOOKUP(F2216,辅助信息!A:B,2,FALSE)</f>
        <v>螺纹钢</v>
      </c>
      <c r="F2216" s="41" t="s">
        <v>90</v>
      </c>
      <c r="G2216" s="37">
        <v>3</v>
      </c>
      <c r="H2216" s="135">
        <f>_xlfn.XLOOKUP(C2216&amp;F2216&amp;I2216&amp;J2216,'[1]2025年已发货'!$F:$F&amp;'[1]2025年已发货'!$C:$C&amp;'[1]2025年已发货'!$G:$G&amp;'[1]2025年已发货'!$H:$H,'[1]2025年已发货'!$E:$E,"未发货")</f>
        <v>3</v>
      </c>
      <c r="I2216" s="41" t="str">
        <f>VLOOKUP(B2216,辅助信息!E:I,3,FALSE)</f>
        <v>(五冶钢构宜宾南溪区项目土建4标)四川省宜宾市高县高县庆符镇鹅卵新农村高县广久大道(庆符厂房项目)</v>
      </c>
      <c r="J2216" s="41" t="str">
        <f>VLOOKUP(B2216,辅助信息!E:I,4,FALSE)</f>
        <v>张朝亮</v>
      </c>
      <c r="K2216" s="41">
        <f>VLOOKUP(J2216,辅助信息!H:I,2,FALSE)</f>
        <v>15228205853</v>
      </c>
      <c r="L2216" s="110" t="str">
        <f>VLOOKUP(B2216,辅助信息!E:J,6,FALSE)</f>
        <v>提前联系到场规格</v>
      </c>
      <c r="M2216" s="92">
        <v>45851</v>
      </c>
      <c r="O2216" s="63">
        <f ca="1" t="shared" si="149"/>
        <v>0</v>
      </c>
      <c r="P2216" s="63">
        <f ca="1" t="shared" si="150"/>
        <v>108</v>
      </c>
      <c r="Q2216" s="30" t="str">
        <f>VLOOKUP(B2216,辅助信息!E:M,9,FALSE)</f>
        <v>ZTWM-CDGS-XS-2024-0169-中冶西部钢构-宜宾市南溪区幸福路东路,高县月江镇建设项目</v>
      </c>
      <c r="R2216" s="30" t="str">
        <f>_xlfn._xlws.FILTER(辅助信息!D:D,辅助信息!E:E=B2216)</f>
        <v>五冶钢构-宜宾市南溪区高县月江镇建设项目</v>
      </c>
    </row>
    <row r="2217" hidden="1" spans="2:18">
      <c r="B2217" s="41" t="s">
        <v>171</v>
      </c>
      <c r="C2217" s="71">
        <v>45850</v>
      </c>
      <c r="D2217" s="41" t="str">
        <f>VLOOKUP(B2217,辅助信息!E:K,7,FALSE)</f>
        <v>JWDDCD2024101600133</v>
      </c>
      <c r="E2217" s="41" t="str">
        <f>VLOOKUP(F2217,辅助信息!A:B,2,FALSE)</f>
        <v>螺纹钢</v>
      </c>
      <c r="F2217" s="41" t="s">
        <v>138</v>
      </c>
      <c r="G2217" s="37">
        <v>3</v>
      </c>
      <c r="H2217" s="135">
        <f>_xlfn.XLOOKUP(C2217&amp;F2217&amp;I2217&amp;J2217,'[1]2025年已发货'!$F:$F&amp;'[1]2025年已发货'!$C:$C&amp;'[1]2025年已发货'!$G:$G&amp;'[1]2025年已发货'!$H:$H,'[1]2025年已发货'!$E:$E,"未发货")</f>
        <v>3</v>
      </c>
      <c r="I2217" s="41" t="str">
        <f>VLOOKUP(B2217,辅助信息!E:I,3,FALSE)</f>
        <v>(五冶钢构宜宾南溪区项目土建4标)四川省宜宾市高县高县庆符镇鹅卵新农村高县广久大道(庆符厂房项目)</v>
      </c>
      <c r="J2217" s="41" t="str">
        <f>VLOOKUP(B2217,辅助信息!E:I,4,FALSE)</f>
        <v>张朝亮</v>
      </c>
      <c r="K2217" s="41">
        <f>VLOOKUP(J2217,辅助信息!H:I,2,FALSE)</f>
        <v>15228205853</v>
      </c>
      <c r="L2217" s="110" t="str">
        <f>VLOOKUP(B2217,辅助信息!E:J,6,FALSE)</f>
        <v>提前联系到场规格</v>
      </c>
      <c r="M2217" s="92">
        <v>45851</v>
      </c>
      <c r="O2217" s="63">
        <f ca="1" t="shared" si="149"/>
        <v>0</v>
      </c>
      <c r="P2217" s="63">
        <f ca="1" t="shared" si="150"/>
        <v>108</v>
      </c>
      <c r="Q2217" s="30" t="str">
        <f>VLOOKUP(B2217,辅助信息!E:M,9,FALSE)</f>
        <v>ZTWM-CDGS-XS-2024-0169-中冶西部钢构-宜宾市南溪区幸福路东路,高县月江镇建设项目</v>
      </c>
      <c r="R2217" s="30" t="str">
        <f>_xlfn._xlws.FILTER(辅助信息!D:D,辅助信息!E:E=B2217)</f>
        <v>五冶钢构-宜宾市南溪区高县月江镇建设项目</v>
      </c>
    </row>
    <row r="2218" hidden="1" spans="2:18">
      <c r="B2218" s="41" t="s">
        <v>171</v>
      </c>
      <c r="C2218" s="71">
        <v>45850</v>
      </c>
      <c r="D2218" s="41" t="str">
        <f>VLOOKUP(B2218,辅助信息!E:K,7,FALSE)</f>
        <v>JWDDCD2024101600133</v>
      </c>
      <c r="E2218" s="41" t="str">
        <f>VLOOKUP(F2218,辅助信息!A:B,2,FALSE)</f>
        <v>螺纹钢</v>
      </c>
      <c r="F2218" s="41" t="s">
        <v>133</v>
      </c>
      <c r="G2218" s="37">
        <v>3</v>
      </c>
      <c r="H2218" s="135">
        <f>_xlfn.XLOOKUP(C2218&amp;F2218&amp;I2218&amp;J2218,'[1]2025年已发货'!$F:$F&amp;'[1]2025年已发货'!$C:$C&amp;'[1]2025年已发货'!$G:$G&amp;'[1]2025年已发货'!$H:$H,'[1]2025年已发货'!$E:$E,"未发货")</f>
        <v>3</v>
      </c>
      <c r="I2218" s="41" t="str">
        <f>VLOOKUP(B2218,辅助信息!E:I,3,FALSE)</f>
        <v>(五冶钢构宜宾南溪区项目土建4标)四川省宜宾市高县高县庆符镇鹅卵新农村高县广久大道(庆符厂房项目)</v>
      </c>
      <c r="J2218" s="41" t="str">
        <f>VLOOKUP(B2218,辅助信息!E:I,4,FALSE)</f>
        <v>张朝亮</v>
      </c>
      <c r="K2218" s="41">
        <f>VLOOKUP(J2218,辅助信息!H:I,2,FALSE)</f>
        <v>15228205853</v>
      </c>
      <c r="L2218" s="110" t="str">
        <f>VLOOKUP(B2218,辅助信息!E:J,6,FALSE)</f>
        <v>提前联系到场规格</v>
      </c>
      <c r="M2218" s="92">
        <v>45851</v>
      </c>
      <c r="O2218" s="63">
        <f ca="1" t="shared" si="149"/>
        <v>0</v>
      </c>
      <c r="P2218" s="63">
        <f ca="1" t="shared" si="150"/>
        <v>108</v>
      </c>
      <c r="Q2218" s="30" t="str">
        <f>VLOOKUP(B2218,辅助信息!E:M,9,FALSE)</f>
        <v>ZTWM-CDGS-XS-2024-0169-中冶西部钢构-宜宾市南溪区幸福路东路,高县月江镇建设项目</v>
      </c>
      <c r="R2218" s="30" t="str">
        <f>_xlfn._xlws.FILTER(辅助信息!D:D,辅助信息!E:E=B2218)</f>
        <v>五冶钢构-宜宾市南溪区高县月江镇建设项目</v>
      </c>
    </row>
    <row r="2219" hidden="1" spans="2:18">
      <c r="B2219" s="41" t="s">
        <v>171</v>
      </c>
      <c r="C2219" s="71">
        <v>45850</v>
      </c>
      <c r="D2219" s="41" t="str">
        <f>VLOOKUP(B2219,辅助信息!E:K,7,FALSE)</f>
        <v>JWDDCD2024101600133</v>
      </c>
      <c r="E2219" s="41" t="str">
        <f>VLOOKUP(F2219,辅助信息!A:B,2,FALSE)</f>
        <v>螺纹钢</v>
      </c>
      <c r="F2219" s="41" t="s">
        <v>91</v>
      </c>
      <c r="G2219" s="37">
        <v>21</v>
      </c>
      <c r="H2219" s="135">
        <f>_xlfn.XLOOKUP(C2219&amp;F2219&amp;I2219&amp;J2219,'[1]2025年已发货'!$F:$F&amp;'[1]2025年已发货'!$C:$C&amp;'[1]2025年已发货'!$G:$G&amp;'[1]2025年已发货'!$H:$H,'[1]2025年已发货'!$E:$E,"未发货")</f>
        <v>21</v>
      </c>
      <c r="I2219" s="41" t="str">
        <f>VLOOKUP(B2219,辅助信息!E:I,3,FALSE)</f>
        <v>(五冶钢构宜宾南溪区项目土建4标)四川省宜宾市高县高县庆符镇鹅卵新农村高县广久大道(庆符厂房项目)</v>
      </c>
      <c r="J2219" s="41" t="str">
        <f>VLOOKUP(B2219,辅助信息!E:I,4,FALSE)</f>
        <v>张朝亮</v>
      </c>
      <c r="K2219" s="41">
        <f>VLOOKUP(J2219,辅助信息!H:I,2,FALSE)</f>
        <v>15228205853</v>
      </c>
      <c r="L2219" s="110" t="str">
        <f>VLOOKUP(B2219,辅助信息!E:J,6,FALSE)</f>
        <v>提前联系到场规格</v>
      </c>
      <c r="M2219" s="92">
        <v>45851</v>
      </c>
      <c r="O2219" s="63">
        <f ca="1" t="shared" si="149"/>
        <v>0</v>
      </c>
      <c r="P2219" s="63">
        <f ca="1" t="shared" si="150"/>
        <v>108</v>
      </c>
      <c r="Q2219" s="30" t="str">
        <f>VLOOKUP(B2219,辅助信息!E:M,9,FALSE)</f>
        <v>ZTWM-CDGS-XS-2024-0169-中冶西部钢构-宜宾市南溪区幸福路东路,高县月江镇建设项目</v>
      </c>
      <c r="R2219" s="30" t="str">
        <f>_xlfn._xlws.FILTER(辅助信息!D:D,辅助信息!E:E=B2219)</f>
        <v>五冶钢构-宜宾市南溪区高县月江镇建设项目</v>
      </c>
    </row>
    <row r="2220" hidden="1" spans="2:18">
      <c r="B2220" s="41" t="s">
        <v>180</v>
      </c>
      <c r="C2220" s="71">
        <v>45853</v>
      </c>
      <c r="D2220" s="41" t="str">
        <f>VLOOKUP(B2220,辅助信息!E:K,7,FALSE)</f>
        <v>JWDDCD2025052800131</v>
      </c>
      <c r="E2220" s="41" t="str">
        <f>VLOOKUP(F2220,辅助信息!A:B,2,FALSE)</f>
        <v>螺纹钢</v>
      </c>
      <c r="F2220" s="41" t="s">
        <v>66</v>
      </c>
      <c r="G2220" s="37">
        <v>12</v>
      </c>
      <c r="H2220" s="135">
        <f>_xlfn.XLOOKUP(C2220&amp;F2220&amp;I2220&amp;J2220,'[1]2025年已发货'!$F:$F&amp;'[1]2025年已发货'!$C:$C&amp;'[1]2025年已发货'!$G:$G&amp;'[1]2025年已发货'!$H:$H,'[1]2025年已发货'!$E:$E,"未发货")</f>
        <v>12</v>
      </c>
      <c r="I2220" s="41" t="str">
        <f>VLOOKUP(B2220,辅助信息!E:I,3,FALSE)</f>
        <v>（商投建工达州中医药科技园-4工区-8号楼）达州市通川区达州中医药职业学院犀牛大道北段</v>
      </c>
      <c r="J2220" s="41" t="str">
        <f>VLOOKUP(B2220,辅助信息!E:I,4,FALSE)</f>
        <v>张扬</v>
      </c>
      <c r="K2220" s="41">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106</v>
      </c>
      <c r="Q2220" s="30" t="str">
        <f>VLOOKUP(B2220,辅助信息!E:M,9,FALSE)</f>
        <v>ZTWM-CDGS-XS-2024-0134-商投建工达州中医药科技成果示范园项目</v>
      </c>
      <c r="R2220" s="30" t="str">
        <f>_xlfn._xlws.FILTER(辅助信息!D:D,辅助信息!E:E=B2220)</f>
        <v>商投建工达州中医药科技园</v>
      </c>
    </row>
    <row r="2221" hidden="1" spans="2:18">
      <c r="B2221" s="41" t="s">
        <v>180</v>
      </c>
      <c r="C2221" s="71">
        <v>45853</v>
      </c>
      <c r="D2221" s="41" t="str">
        <f>VLOOKUP(B2221,辅助信息!E:K,7,FALSE)</f>
        <v>JWDDCD2025052800131</v>
      </c>
      <c r="E2221" s="41" t="str">
        <f>VLOOKUP(F2221,辅助信息!A:B,2,FALSE)</f>
        <v>螺纹钢</v>
      </c>
      <c r="F2221" s="41" t="s">
        <v>45</v>
      </c>
      <c r="G2221" s="37">
        <v>6</v>
      </c>
      <c r="H2221" s="135">
        <f>_xlfn.XLOOKUP(C2221&amp;F2221&amp;I2221&amp;J2221,'[1]2025年已发货'!$F:$F&amp;'[1]2025年已发货'!$C:$C&amp;'[1]2025年已发货'!$G:$G&amp;'[1]2025年已发货'!$H:$H,'[1]2025年已发货'!$E:$E,"未发货")</f>
        <v>6</v>
      </c>
      <c r="I2221" s="41" t="str">
        <f>VLOOKUP(B2221,辅助信息!E:I,3,FALSE)</f>
        <v>（商投建工达州中医药科技园-4工区-8号楼）达州市通川区达州中医药职业学院犀牛大道北段</v>
      </c>
      <c r="J2221" s="41" t="str">
        <f>VLOOKUP(B2221,辅助信息!E:I,4,FALSE)</f>
        <v>张扬</v>
      </c>
      <c r="K2221" s="41">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106</v>
      </c>
      <c r="Q2221" s="30" t="str">
        <f>VLOOKUP(B2221,辅助信息!E:M,9,FALSE)</f>
        <v>ZTWM-CDGS-XS-2024-0134-商投建工达州中医药科技成果示范园项目</v>
      </c>
      <c r="R2221" s="30" t="str">
        <f>_xlfn._xlws.FILTER(辅助信息!D:D,辅助信息!E:E=B2221)</f>
        <v>商投建工达州中医药科技园</v>
      </c>
    </row>
    <row r="2222" hidden="1" spans="2:18">
      <c r="B2222" s="41" t="s">
        <v>180</v>
      </c>
      <c r="C2222" s="71">
        <v>45853</v>
      </c>
      <c r="D2222" s="41" t="str">
        <f>VLOOKUP(B2222,辅助信息!E:K,7,FALSE)</f>
        <v>JWDDCD2025052800131</v>
      </c>
      <c r="E2222" s="41" t="str">
        <f>VLOOKUP(F2222,辅助信息!A:B,2,FALSE)</f>
        <v>螺纹钢</v>
      </c>
      <c r="F2222" s="41" t="s">
        <v>21</v>
      </c>
      <c r="G2222" s="37">
        <v>6</v>
      </c>
      <c r="H2222" s="135" t="str">
        <f>_xlfn.XLOOKUP(C2222&amp;F2222&amp;I2222&amp;J2222,'[1]2025年已发货'!$F:$F&amp;'[1]2025年已发货'!$C:$C&amp;'[1]2025年已发货'!$G:$G&amp;'[1]2025年已发货'!$H:$H,'[1]2025年已发货'!$E:$E,"未发货")</f>
        <v>未发货</v>
      </c>
      <c r="I2222" s="41" t="str">
        <f>VLOOKUP(B2222,辅助信息!E:I,3,FALSE)</f>
        <v>（商投建工达州中医药科技园-4工区-8号楼）达州市通川区达州中医药职业学院犀牛大道北段</v>
      </c>
      <c r="J2222" s="41" t="str">
        <f>VLOOKUP(B2222,辅助信息!E:I,4,FALSE)</f>
        <v>张扬</v>
      </c>
      <c r="K2222" s="41">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106</v>
      </c>
      <c r="Q2222" s="30" t="str">
        <f>VLOOKUP(B2222,辅助信息!E:M,9,FALSE)</f>
        <v>ZTWM-CDGS-XS-2024-0134-商投建工达州中医药科技成果示范园项目</v>
      </c>
      <c r="R2222" s="30" t="str">
        <f>_xlfn._xlws.FILTER(辅助信息!D:D,辅助信息!E:E=B2222)</f>
        <v>商投建工达州中医药科技园</v>
      </c>
    </row>
    <row r="2223" hidden="1" spans="2:18">
      <c r="B2223" s="41" t="s">
        <v>180</v>
      </c>
      <c r="C2223" s="71">
        <v>45853</v>
      </c>
      <c r="D2223" s="41" t="str">
        <f>VLOOKUP(B2223,辅助信息!E:K,7,FALSE)</f>
        <v>JWDDCD2025052800131</v>
      </c>
      <c r="E2223" s="41" t="str">
        <f>VLOOKUP(F2223,辅助信息!A:B,2,FALSE)</f>
        <v>螺纹钢</v>
      </c>
      <c r="F2223" s="41" t="s">
        <v>58</v>
      </c>
      <c r="G2223" s="37">
        <v>12</v>
      </c>
      <c r="H2223" s="135">
        <f>_xlfn.XLOOKUP(C2223&amp;F2223&amp;I2223&amp;J2223,'[1]2025年已发货'!$F:$F&amp;'[1]2025年已发货'!$C:$C&amp;'[1]2025年已发货'!$G:$G&amp;'[1]2025年已发货'!$H:$H,'[1]2025年已发货'!$E:$E,"未发货")</f>
        <v>12</v>
      </c>
      <c r="I2223" s="41" t="str">
        <f>VLOOKUP(B2223,辅助信息!E:I,3,FALSE)</f>
        <v>（商投建工达州中医药科技园-4工区-8号楼）达州市通川区达州中医药职业学院犀牛大道北段</v>
      </c>
      <c r="J2223" s="41" t="str">
        <f>VLOOKUP(B2223,辅助信息!E:I,4,FALSE)</f>
        <v>张扬</v>
      </c>
      <c r="K2223" s="41">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106</v>
      </c>
      <c r="Q2223" s="30" t="str">
        <f>VLOOKUP(B2223,辅助信息!E:M,9,FALSE)</f>
        <v>ZTWM-CDGS-XS-2024-0134-商投建工达州中医药科技成果示范园项目</v>
      </c>
      <c r="R2223" s="30" t="str">
        <f>_xlfn._xlws.FILTER(辅助信息!D:D,辅助信息!E:E=B2223)</f>
        <v>商投建工达州中医药科技园</v>
      </c>
    </row>
    <row r="2224" hidden="1" spans="2:18">
      <c r="B2224" s="41" t="s">
        <v>180</v>
      </c>
      <c r="C2224" s="71">
        <v>45853</v>
      </c>
      <c r="D2224" s="41" t="str">
        <f>VLOOKUP(B2224,辅助信息!E:K,7,FALSE)</f>
        <v>JWDDCD2025052800131</v>
      </c>
      <c r="E2224" s="41" t="str">
        <f>VLOOKUP(F2224,辅助信息!A:B,2,FALSE)</f>
        <v>螺纹钢</v>
      </c>
      <c r="F2224" s="41" t="s">
        <v>22</v>
      </c>
      <c r="G2224" s="37">
        <v>21</v>
      </c>
      <c r="H2224" s="135">
        <f>_xlfn.XLOOKUP(C2224&amp;F2224&amp;I2224&amp;J2224,'[1]2025年已发货'!$F:$F&amp;'[1]2025年已发货'!$C:$C&amp;'[1]2025年已发货'!$G:$G&amp;'[1]2025年已发货'!$H:$H,'[1]2025年已发货'!$E:$E,"未发货")</f>
        <v>21</v>
      </c>
      <c r="I2224" s="41" t="str">
        <f>VLOOKUP(B2224,辅助信息!E:I,3,FALSE)</f>
        <v>（商投建工达州中医药科技园-4工区-8号楼）达州市通川区达州中医药职业学院犀牛大道北段</v>
      </c>
      <c r="J2224" s="41" t="str">
        <f>VLOOKUP(B2224,辅助信息!E:I,4,FALSE)</f>
        <v>张扬</v>
      </c>
      <c r="K2224" s="41">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106</v>
      </c>
      <c r="Q2224" s="30" t="str">
        <f>VLOOKUP(B2224,辅助信息!E:M,9,FALSE)</f>
        <v>ZTWM-CDGS-XS-2024-0134-商投建工达州中医药科技成果示范园项目</v>
      </c>
      <c r="R2224" s="30" t="str">
        <f>_xlfn._xlws.FILTER(辅助信息!D:D,辅助信息!E:E=B2224)</f>
        <v>商投建工达州中医药科技园</v>
      </c>
    </row>
    <row r="2225" hidden="1" spans="2:18">
      <c r="B2225" s="41" t="s">
        <v>147</v>
      </c>
      <c r="C2225" s="71">
        <v>45853</v>
      </c>
      <c r="D2225" s="41" t="str">
        <f>VLOOKUP(B2225,辅助信息!E:K,7,FALSE)</f>
        <v>JWDDCD2025052800131</v>
      </c>
      <c r="E2225" s="41" t="str">
        <f>VLOOKUP(F2225,辅助信息!A:B,2,FALSE)</f>
        <v>盘螺</v>
      </c>
      <c r="F2225" s="41" t="s">
        <v>40</v>
      </c>
      <c r="G2225" s="37">
        <v>15</v>
      </c>
      <c r="H2225" s="135">
        <f>_xlfn.XLOOKUP(C2225&amp;F2225&amp;I2225&amp;J2225,'[1]2025年已发货'!$F:$F&amp;'[1]2025年已发货'!$C:$C&amp;'[1]2025年已发货'!$G:$G&amp;'[1]2025年已发货'!$H:$H,'[1]2025年已发货'!$E:$E,"未发货")</f>
        <v>15</v>
      </c>
      <c r="I2225" s="41" t="str">
        <f>VLOOKUP(B2225,辅助信息!E:I,3,FALSE)</f>
        <v>（商投建工达州中医药科技园-4工区-11号楼）达州市通川区达州中医药职业学院犀牛大道北段</v>
      </c>
      <c r="J2225" s="41" t="str">
        <f>VLOOKUP(B2225,辅助信息!E:I,4,FALSE)</f>
        <v>张扬</v>
      </c>
      <c r="K2225" s="41">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106</v>
      </c>
      <c r="Q2225" s="30" t="str">
        <f>VLOOKUP(B2225,辅助信息!E:M,9,FALSE)</f>
        <v>ZTWM-CDGS-XS-2024-0134-商投建工达州中医药科技成果示范园项目</v>
      </c>
      <c r="R2225" s="30" t="str">
        <f>_xlfn._xlws.FILTER(辅助信息!D:D,辅助信息!E:E=B2225)</f>
        <v>商投建工达州中医药科技园</v>
      </c>
    </row>
    <row r="2226" hidden="1" spans="2:18">
      <c r="B2226" s="41" t="s">
        <v>147</v>
      </c>
      <c r="C2226" s="71">
        <v>45853</v>
      </c>
      <c r="D2226" s="41" t="str">
        <f>VLOOKUP(B2226,辅助信息!E:K,7,FALSE)</f>
        <v>JWDDCD2025052800131</v>
      </c>
      <c r="E2226" s="41" t="str">
        <f>VLOOKUP(F2226,辅助信息!A:B,2,FALSE)</f>
        <v>盘螺</v>
      </c>
      <c r="F2226" s="41" t="s">
        <v>41</v>
      </c>
      <c r="G2226" s="37">
        <v>5</v>
      </c>
      <c r="H2226" s="135">
        <f>_xlfn.XLOOKUP(C2226&amp;F2226&amp;I2226&amp;J2226,'[1]2025年已发货'!$F:$F&amp;'[1]2025年已发货'!$C:$C&amp;'[1]2025年已发货'!$G:$G&amp;'[1]2025年已发货'!$H:$H,'[1]2025年已发货'!$E:$E,"未发货")</f>
        <v>5</v>
      </c>
      <c r="I2226" s="41" t="str">
        <f>VLOOKUP(B2226,辅助信息!E:I,3,FALSE)</f>
        <v>（商投建工达州中医药科技园-4工区-11号楼）达州市通川区达州中医药职业学院犀牛大道北段</v>
      </c>
      <c r="J2226" s="41" t="str">
        <f>VLOOKUP(B2226,辅助信息!E:I,4,FALSE)</f>
        <v>张扬</v>
      </c>
      <c r="K2226" s="41">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30" t="str">
        <f>VLOOKUP(B2226,辅助信息!E:M,9,FALSE)</f>
        <v>ZTWM-CDGS-XS-2024-0134-商投建工达州中医药科技成果示范园项目</v>
      </c>
      <c r="R2226" s="30" t="str">
        <f>_xlfn._xlws.FILTER(辅助信息!D:D,辅助信息!E:E=B2226)</f>
        <v>商投建工达州中医药科技园</v>
      </c>
    </row>
    <row r="2227" hidden="1" spans="2:18">
      <c r="B2227" s="41" t="s">
        <v>147</v>
      </c>
      <c r="C2227" s="71">
        <v>45853</v>
      </c>
      <c r="D2227" s="41" t="str">
        <f>VLOOKUP(B2227,辅助信息!E:K,7,FALSE)</f>
        <v>JWDDCD2025052800131</v>
      </c>
      <c r="E2227" s="41" t="str">
        <f>VLOOKUP(F2227,辅助信息!A:B,2,FALSE)</f>
        <v>螺纹钢</v>
      </c>
      <c r="F2227" s="41" t="s">
        <v>30</v>
      </c>
      <c r="G2227" s="37">
        <v>9</v>
      </c>
      <c r="H2227" s="135" t="str">
        <f>_xlfn.XLOOKUP(C2227&amp;F2227&amp;I2227&amp;J2227,'[1]2025年已发货'!$F:$F&amp;'[1]2025年已发货'!$C:$C&amp;'[1]2025年已发货'!$G:$G&amp;'[1]2025年已发货'!$H:$H,'[1]2025年已发货'!$E:$E,"未发货")</f>
        <v>未发货</v>
      </c>
      <c r="I2227" s="41" t="str">
        <f>VLOOKUP(B2227,辅助信息!E:I,3,FALSE)</f>
        <v>（商投建工达州中医药科技园-4工区-11号楼）达州市通川区达州中医药职业学院犀牛大道北段</v>
      </c>
      <c r="J2227" s="41" t="str">
        <f>VLOOKUP(B2227,辅助信息!E:I,4,FALSE)</f>
        <v>张扬</v>
      </c>
      <c r="K2227" s="41">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106</v>
      </c>
      <c r="Q2227" s="30" t="str">
        <f>VLOOKUP(B2227,辅助信息!E:M,9,FALSE)</f>
        <v>ZTWM-CDGS-XS-2024-0134-商投建工达州中医药科技成果示范园项目</v>
      </c>
      <c r="R2227" s="30" t="str">
        <f>_xlfn._xlws.FILTER(辅助信息!D:D,辅助信息!E:E=B2227)</f>
        <v>商投建工达州中医药科技园</v>
      </c>
    </row>
    <row r="2228" hidden="1" spans="2:18">
      <c r="B2228" s="41" t="s">
        <v>147</v>
      </c>
      <c r="C2228" s="71">
        <v>45853</v>
      </c>
      <c r="D2228" s="41" t="str">
        <f>VLOOKUP(B2228,辅助信息!E:K,7,FALSE)</f>
        <v>JWDDCD2025052800131</v>
      </c>
      <c r="E2228" s="41" t="str">
        <f>VLOOKUP(F2228,辅助信息!A:B,2,FALSE)</f>
        <v>螺纹钢</v>
      </c>
      <c r="F2228" s="41" t="s">
        <v>33</v>
      </c>
      <c r="G2228" s="37">
        <v>3</v>
      </c>
      <c r="H2228" s="135">
        <f>_xlfn.XLOOKUP(C2228&amp;F2228&amp;I2228&amp;J2228,'[1]2025年已发货'!$F:$F&amp;'[1]2025年已发货'!$C:$C&amp;'[1]2025年已发货'!$G:$G&amp;'[1]2025年已发货'!$H:$H,'[1]2025年已发货'!$E:$E,"未发货")</f>
        <v>3</v>
      </c>
      <c r="I2228" s="41" t="str">
        <f>VLOOKUP(B2228,辅助信息!E:I,3,FALSE)</f>
        <v>（商投建工达州中医药科技园-4工区-11号楼）达州市通川区达州中医药职业学院犀牛大道北段</v>
      </c>
      <c r="J2228" s="41" t="str">
        <f>VLOOKUP(B2228,辅助信息!E:I,4,FALSE)</f>
        <v>张扬</v>
      </c>
      <c r="K2228" s="41">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106</v>
      </c>
      <c r="Q2228" s="30" t="str">
        <f>VLOOKUP(B2228,辅助信息!E:M,9,FALSE)</f>
        <v>ZTWM-CDGS-XS-2024-0134-商投建工达州中医药科技成果示范园项目</v>
      </c>
      <c r="R2228" s="30" t="str">
        <f>_xlfn._xlws.FILTER(辅助信息!D:D,辅助信息!E:E=B2228)</f>
        <v>商投建工达州中医药科技园</v>
      </c>
    </row>
    <row r="2229" hidden="1" spans="2:18">
      <c r="B2229" s="41" t="s">
        <v>147</v>
      </c>
      <c r="C2229" s="71">
        <v>45853</v>
      </c>
      <c r="D2229" s="41" t="str">
        <f>VLOOKUP(B2229,辅助信息!E:K,7,FALSE)</f>
        <v>JWDDCD2025052800131</v>
      </c>
      <c r="E2229" s="41" t="str">
        <f>VLOOKUP(F2229,辅助信息!A:B,2,FALSE)</f>
        <v>螺纹钢</v>
      </c>
      <c r="F2229" s="41" t="s">
        <v>18</v>
      </c>
      <c r="G2229" s="37">
        <v>12</v>
      </c>
      <c r="H2229" s="135">
        <f>_xlfn.XLOOKUP(C2229&amp;F2229&amp;I2229&amp;J2229,'[1]2025年已发货'!$F:$F&amp;'[1]2025年已发货'!$C:$C&amp;'[1]2025年已发货'!$G:$G&amp;'[1]2025年已发货'!$H:$H,'[1]2025年已发货'!$E:$E,"未发货")</f>
        <v>12</v>
      </c>
      <c r="I2229" s="41" t="str">
        <f>VLOOKUP(B2229,辅助信息!E:I,3,FALSE)</f>
        <v>（商投建工达州中医药科技园-4工区-11号楼）达州市通川区达州中医药职业学院犀牛大道北段</v>
      </c>
      <c r="J2229" s="41" t="str">
        <f>VLOOKUP(B2229,辅助信息!E:I,4,FALSE)</f>
        <v>张扬</v>
      </c>
      <c r="K2229" s="41">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106</v>
      </c>
      <c r="Q2229" s="30" t="str">
        <f>VLOOKUP(B2229,辅助信息!E:M,9,FALSE)</f>
        <v>ZTWM-CDGS-XS-2024-0134-商投建工达州中医药科技成果示范园项目</v>
      </c>
      <c r="R2229" s="30" t="str">
        <f>_xlfn._xlws.FILTER(辅助信息!D:D,辅助信息!E:E=B2229)</f>
        <v>商投建工达州中医药科技园</v>
      </c>
    </row>
    <row r="2230" hidden="1" spans="1:18">
      <c r="A2230" s="72" t="s">
        <v>191</v>
      </c>
      <c r="B2230" s="136" t="s">
        <v>156</v>
      </c>
      <c r="C2230" s="71">
        <v>45853</v>
      </c>
      <c r="D2230" s="41" t="e">
        <f>VLOOKUP(B2230,辅助信息!E:K,7,FALSE)</f>
        <v>#N/A</v>
      </c>
      <c r="E2230" s="41" t="str">
        <f>VLOOKUP(F2230,辅助信息!A:B,2,FALSE)</f>
        <v>螺纹钢</v>
      </c>
      <c r="F2230" s="41" t="s">
        <v>27</v>
      </c>
      <c r="G2230" s="37">
        <v>3</v>
      </c>
      <c r="H2230" s="135" t="e">
        <f>_xlfn.XLOOKUP(C2230&amp;F2230&amp;I2230&amp;J2230,'[1]2025年已发货'!$F:$F&amp;'[1]2025年已发货'!$C:$C&amp;'[1]2025年已发货'!$G:$G&amp;'[1]2025年已发货'!$H:$H,'[1]2025年已发货'!$E:$E,"未发货")</f>
        <v>#N/A</v>
      </c>
      <c r="I2230" s="41" t="e">
        <f>VLOOKUP(B2230,辅助信息!E:I,3,FALSE)</f>
        <v>#N/A</v>
      </c>
      <c r="J2230" s="41" t="e">
        <f>VLOOKUP(B2230,辅助信息!E:I,4,FALSE)</f>
        <v>#N/A</v>
      </c>
      <c r="K2230" s="41" t="e">
        <f>VLOOKUP(J2230,辅助信息!H:I,2,FALSE)</f>
        <v>#N/A</v>
      </c>
      <c r="L2230" s="110" t="e">
        <f>VLOOKUP(B2230,辅助信息!E:J,6,FALSE)</f>
        <v>#N/A</v>
      </c>
      <c r="M2230" s="92">
        <v>45855</v>
      </c>
      <c r="O2230" s="63">
        <f ca="1" t="shared" si="149"/>
        <v>0</v>
      </c>
      <c r="P2230" s="63">
        <f ca="1" t="shared" si="150"/>
        <v>104</v>
      </c>
      <c r="Q2230" s="30" t="e">
        <f>VLOOKUP(B2230,辅助信息!E:M,9,FALSE)</f>
        <v>#N/A</v>
      </c>
      <c r="R2230" s="30" vm="1" t="e">
        <f>_xlfn._xlws.FILTER(辅助信息!D:D,辅助信息!E:E=B2230)</f>
        <v>#VALUE!</v>
      </c>
    </row>
    <row r="2231" hidden="1" spans="1:18">
      <c r="A2231" s="72"/>
      <c r="B2231" s="136" t="s">
        <v>156</v>
      </c>
      <c r="C2231" s="71">
        <v>45853</v>
      </c>
      <c r="D2231" s="41" t="e">
        <f>VLOOKUP(B2231,辅助信息!E:K,7,FALSE)</f>
        <v>#N/A</v>
      </c>
      <c r="E2231" s="41" t="str">
        <f>VLOOKUP(F2231,辅助信息!A:B,2,FALSE)</f>
        <v>螺纹钢</v>
      </c>
      <c r="F2231" s="41" t="s">
        <v>19</v>
      </c>
      <c r="G2231" s="37">
        <v>8</v>
      </c>
      <c r="H2231" s="135" t="e">
        <f>_xlfn.XLOOKUP(C2231&amp;F2231&amp;I2231&amp;J2231,'[1]2025年已发货'!$F:$F&amp;'[1]2025年已发货'!$C:$C&amp;'[1]2025年已发货'!$G:$G&amp;'[1]2025年已发货'!$H:$H,'[1]2025年已发货'!$E:$E,"未发货")</f>
        <v>#N/A</v>
      </c>
      <c r="I2231" s="41" t="e">
        <f>VLOOKUP(B2231,辅助信息!E:I,3,FALSE)</f>
        <v>#N/A</v>
      </c>
      <c r="J2231" s="41" t="e">
        <f>VLOOKUP(B2231,辅助信息!E:I,4,FALSE)</f>
        <v>#N/A</v>
      </c>
      <c r="K2231" s="41" t="e">
        <f>VLOOKUP(J2231,辅助信息!H:I,2,FALSE)</f>
        <v>#N/A</v>
      </c>
      <c r="L2231" s="110" t="e">
        <f>VLOOKUP(B2231,辅助信息!E:J,6,FALSE)</f>
        <v>#N/A</v>
      </c>
      <c r="M2231" s="92">
        <v>45855</v>
      </c>
      <c r="O2231" s="63">
        <f ca="1" t="shared" si="149"/>
        <v>0</v>
      </c>
      <c r="P2231" s="63">
        <f ca="1" t="shared" si="150"/>
        <v>104</v>
      </c>
      <c r="Q2231" s="30" t="e">
        <f>VLOOKUP(B2231,辅助信息!E:M,9,FALSE)</f>
        <v>#N/A</v>
      </c>
      <c r="R2231" s="30" vm="1" t="e">
        <f>_xlfn._xlws.FILTER(辅助信息!D:D,辅助信息!E:E=B2231)</f>
        <v>#VALUE!</v>
      </c>
    </row>
    <row r="2232" hidden="1" spans="1:18">
      <c r="A2232" s="72"/>
      <c r="B2232" s="136" t="s">
        <v>156</v>
      </c>
      <c r="C2232" s="71">
        <v>45853</v>
      </c>
      <c r="D2232" s="41" t="e">
        <f>VLOOKUP(B2232,辅助信息!E:K,7,FALSE)</f>
        <v>#N/A</v>
      </c>
      <c r="E2232" s="41" t="str">
        <f>VLOOKUP(F2232,辅助信息!A:B,2,FALSE)</f>
        <v>螺纹钢</v>
      </c>
      <c r="F2232" s="41" t="s">
        <v>30</v>
      </c>
      <c r="G2232" s="37">
        <v>17</v>
      </c>
      <c r="H2232" s="135" t="e">
        <f>_xlfn.XLOOKUP(C2232&amp;F2232&amp;I2232&amp;J2232,'[1]2025年已发货'!$F:$F&amp;'[1]2025年已发货'!$C:$C&amp;'[1]2025年已发货'!$G:$G&amp;'[1]2025年已发货'!$H:$H,'[1]2025年已发货'!$E:$E,"未发货")</f>
        <v>#N/A</v>
      </c>
      <c r="I2232" s="41" t="e">
        <f>VLOOKUP(B2232,辅助信息!E:I,3,FALSE)</f>
        <v>#N/A</v>
      </c>
      <c r="J2232" s="41" t="e">
        <f>VLOOKUP(B2232,辅助信息!E:I,4,FALSE)</f>
        <v>#N/A</v>
      </c>
      <c r="K2232" s="41" t="e">
        <f>VLOOKUP(J2232,辅助信息!H:I,2,FALSE)</f>
        <v>#N/A</v>
      </c>
      <c r="L2232" s="110" t="e">
        <f>VLOOKUP(B2232,辅助信息!E:J,6,FALSE)</f>
        <v>#N/A</v>
      </c>
      <c r="M2232" s="92">
        <v>45855</v>
      </c>
      <c r="O2232" s="63">
        <f ca="1" t="shared" si="149"/>
        <v>0</v>
      </c>
      <c r="P2232" s="63">
        <f ca="1" t="shared" si="150"/>
        <v>104</v>
      </c>
      <c r="Q2232" s="30" t="e">
        <f>VLOOKUP(B2232,辅助信息!E:M,9,FALSE)</f>
        <v>#N/A</v>
      </c>
      <c r="R2232" s="30" vm="1" t="e">
        <f>_xlfn._xlws.FILTER(辅助信息!D:D,辅助信息!E:E=B2232)</f>
        <v>#VALUE!</v>
      </c>
    </row>
    <row r="2233" hidden="1" spans="1:18">
      <c r="A2233" s="72"/>
      <c r="B2233" s="136" t="s">
        <v>156</v>
      </c>
      <c r="C2233" s="71">
        <v>45853</v>
      </c>
      <c r="D2233" s="41" t="e">
        <f>VLOOKUP(B2233,辅助信息!E:K,7,FALSE)</f>
        <v>#N/A</v>
      </c>
      <c r="E2233" s="41" t="str">
        <f>VLOOKUP(F2233,辅助信息!A:B,2,FALSE)</f>
        <v>螺纹钢</v>
      </c>
      <c r="F2233" s="41" t="s">
        <v>18</v>
      </c>
      <c r="G2233" s="37">
        <v>8</v>
      </c>
      <c r="H2233" s="135" t="e">
        <f>_xlfn.XLOOKUP(C2233&amp;F2233&amp;I2233&amp;J2233,'[1]2025年已发货'!$F:$F&amp;'[1]2025年已发货'!$C:$C&amp;'[1]2025年已发货'!$G:$G&amp;'[1]2025年已发货'!$H:$H,'[1]2025年已发货'!$E:$E,"未发货")</f>
        <v>#N/A</v>
      </c>
      <c r="I2233" s="41" t="e">
        <f>VLOOKUP(B2233,辅助信息!E:I,3,FALSE)</f>
        <v>#N/A</v>
      </c>
      <c r="J2233" s="41" t="e">
        <f>VLOOKUP(B2233,辅助信息!E:I,4,FALSE)</f>
        <v>#N/A</v>
      </c>
      <c r="K2233" s="41" t="e">
        <f>VLOOKUP(J2233,辅助信息!H:I,2,FALSE)</f>
        <v>#N/A</v>
      </c>
      <c r="L2233" s="110" t="e">
        <f>VLOOKUP(B2233,辅助信息!E:J,6,FALSE)</f>
        <v>#N/A</v>
      </c>
      <c r="M2233" s="92">
        <v>45855</v>
      </c>
      <c r="O2233" s="63">
        <f ca="1" t="shared" si="149"/>
        <v>0</v>
      </c>
      <c r="P2233" s="63">
        <f ca="1" t="shared" si="150"/>
        <v>104</v>
      </c>
      <c r="Q2233" s="30" t="e">
        <f>VLOOKUP(B2233,辅助信息!E:M,9,FALSE)</f>
        <v>#N/A</v>
      </c>
      <c r="R2233" s="30"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104</v>
      </c>
      <c r="Q2234" s="30" t="str">
        <f>VLOOKUP(B2234,辅助信息!E:M,9,FALSE)</f>
        <v>ZTWM-CDGS-XS-2024-0134-商投建工达州中医药科技成果示范园项目</v>
      </c>
      <c r="R2234" s="30"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104</v>
      </c>
      <c r="Q2235" s="30" t="str">
        <f>VLOOKUP(B2235,辅助信息!E:M,9,FALSE)</f>
        <v>ZTWM-CDGS-XS-2024-0134-商投建工达州中医药科技成果示范园项目</v>
      </c>
      <c r="R2235" s="30"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104</v>
      </c>
      <c r="Q2236" s="30" t="str">
        <f>VLOOKUP(B2236,辅助信息!E:M,9,FALSE)</f>
        <v>ZTWM-CDGS-XS-2024-0134-商投建工达州中医药科技成果示范园项目</v>
      </c>
      <c r="R2236" s="30"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104</v>
      </c>
      <c r="Q2237" s="30" t="str">
        <f>VLOOKUP(B2237,辅助信息!E:M,9,FALSE)</f>
        <v>ZTWM-CDGS-XS-2024-0134-商投建工达州中医药科技成果示范园项目</v>
      </c>
      <c r="R2237" s="30" t="str">
        <f>_xlfn._xlws.FILTER(辅助信息!D:D,辅助信息!E:E=B2237)</f>
        <v>商投建工达州中医药科技园</v>
      </c>
    </row>
    <row r="2238" hidden="1" spans="2:18">
      <c r="B2238" s="41" t="s">
        <v>192</v>
      </c>
      <c r="C2238" s="71">
        <v>45853</v>
      </c>
      <c r="D2238" s="41" t="str">
        <f>VLOOKUP(B2238,辅助信息!E:K,7,FALSE)</f>
        <v>JWDDCD2025102100475</v>
      </c>
      <c r="E2238" s="41" t="str">
        <f>VLOOKUP(F2238,辅助信息!A:B,2,FALSE)</f>
        <v>盘螺</v>
      </c>
      <c r="F2238" s="41" t="s">
        <v>40</v>
      </c>
      <c r="G2238" s="37">
        <v>5</v>
      </c>
      <c r="H2238" s="135" t="str">
        <f>_xlfn.XLOOKUP(C2238&amp;F2238&amp;I2238&amp;J2238,'[1]2025年已发货'!$F:$F&amp;'[1]2025年已发货'!$C:$C&amp;'[1]2025年已发货'!$G:$G&amp;'[1]2025年已发货'!$H:$H,'[1]2025年已发货'!$E:$E,"未发货")</f>
        <v>未发货</v>
      </c>
      <c r="I2238" s="41" t="str">
        <f>VLOOKUP(B2238,辅助信息!E:I,3,FALSE)</f>
        <v>(五冶建设成都国际铁路港多式联项目)四川省成都市青白江区桂平大道成都中远海运陆港多式联运有限公司</v>
      </c>
      <c r="J2238" s="41" t="str">
        <f>VLOOKUP(B2238,辅助信息!E:I,4,FALSE)</f>
        <v>黄勇杰</v>
      </c>
      <c r="K2238" s="41">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104</v>
      </c>
      <c r="Q2238" s="30" t="str">
        <f>VLOOKUP(B2238,辅助信息!E:M,9,FALSE)</f>
        <v>ZTWM-CDGS-XS-2025-0073-五冶天府-成都怡心湖片区及龙泉驿医院等项目</v>
      </c>
      <c r="R2238" s="30" t="str">
        <f>_xlfn._xlws.FILTER(辅助信息!D:D,辅助信息!E:E=B2238)</f>
        <v>五冶建设成都国际铁路港多式联项目</v>
      </c>
    </row>
    <row r="2239" hidden="1" spans="2:18">
      <c r="B2239" s="41" t="s">
        <v>192</v>
      </c>
      <c r="C2239" s="71">
        <v>45853</v>
      </c>
      <c r="D2239" s="41" t="str">
        <f>VLOOKUP(B2239,辅助信息!E:K,7,FALSE)</f>
        <v>JWDDCD2025102100475</v>
      </c>
      <c r="E2239" s="41" t="str">
        <f>VLOOKUP(F2239,辅助信息!A:B,2,FALSE)</f>
        <v>盘螺</v>
      </c>
      <c r="F2239" s="41" t="s">
        <v>41</v>
      </c>
      <c r="G2239" s="37">
        <v>25</v>
      </c>
      <c r="H2239" s="135" t="str">
        <f>_xlfn.XLOOKUP(C2239&amp;F2239&amp;I2239&amp;J2239,'[1]2025年已发货'!$F:$F&amp;'[1]2025年已发货'!$C:$C&amp;'[1]2025年已发货'!$G:$G&amp;'[1]2025年已发货'!$H:$H,'[1]2025年已发货'!$E:$E,"未发货")</f>
        <v>未发货</v>
      </c>
      <c r="I2239" s="41" t="str">
        <f>VLOOKUP(B2239,辅助信息!E:I,3,FALSE)</f>
        <v>(五冶建设成都国际铁路港多式联项目)四川省成都市青白江区桂平大道成都中远海运陆港多式联运有限公司</v>
      </c>
      <c r="J2239" s="41" t="str">
        <f>VLOOKUP(B2239,辅助信息!E:I,4,FALSE)</f>
        <v>黄勇杰</v>
      </c>
      <c r="K2239" s="41">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104</v>
      </c>
      <c r="Q2239" s="30" t="str">
        <f>VLOOKUP(B2239,辅助信息!E:M,9,FALSE)</f>
        <v>ZTWM-CDGS-XS-2025-0073-五冶天府-成都怡心湖片区及龙泉驿医院等项目</v>
      </c>
      <c r="R2239" s="30" t="str">
        <f>_xlfn._xlws.FILTER(辅助信息!D:D,辅助信息!E:E=B2239)</f>
        <v>五冶建设成都国际铁路港多式联项目</v>
      </c>
    </row>
    <row r="2240" hidden="1" spans="2:18">
      <c r="B2240" s="41" t="s">
        <v>192</v>
      </c>
      <c r="C2240" s="71">
        <v>45853</v>
      </c>
      <c r="D2240" s="41" t="str">
        <f>VLOOKUP(B2240,辅助信息!E:K,7,FALSE)</f>
        <v>JWDDCD2025102100475</v>
      </c>
      <c r="E2240" s="41" t="str">
        <f>VLOOKUP(F2240,辅助信息!A:B,2,FALSE)</f>
        <v>螺纹钢</v>
      </c>
      <c r="F2240" s="41" t="s">
        <v>27</v>
      </c>
      <c r="G2240" s="37">
        <v>6</v>
      </c>
      <c r="H2240" s="135" t="str">
        <f>_xlfn.XLOOKUP(C2240&amp;F2240&amp;I2240&amp;J2240,'[1]2025年已发货'!$F:$F&amp;'[1]2025年已发货'!$C:$C&amp;'[1]2025年已发货'!$G:$G&amp;'[1]2025年已发货'!$H:$H,'[1]2025年已发货'!$E:$E,"未发货")</f>
        <v>未发货</v>
      </c>
      <c r="I2240" s="41" t="str">
        <f>VLOOKUP(B2240,辅助信息!E:I,3,FALSE)</f>
        <v>(五冶建设成都国际铁路港多式联项目)四川省成都市青白江区桂平大道成都中远海运陆港多式联运有限公司</v>
      </c>
      <c r="J2240" s="41" t="str">
        <f>VLOOKUP(B2240,辅助信息!E:I,4,FALSE)</f>
        <v>黄勇杰</v>
      </c>
      <c r="K2240" s="41">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104</v>
      </c>
      <c r="Q2240" s="30" t="str">
        <f>VLOOKUP(B2240,辅助信息!E:M,9,FALSE)</f>
        <v>ZTWM-CDGS-XS-2025-0073-五冶天府-成都怡心湖片区及龙泉驿医院等项目</v>
      </c>
      <c r="R2240" s="30" t="str">
        <f>_xlfn._xlws.FILTER(辅助信息!D:D,辅助信息!E:E=B2240)</f>
        <v>五冶建设成都国际铁路港多式联项目</v>
      </c>
    </row>
    <row r="2241" hidden="1" spans="2:18">
      <c r="B2241" s="41" t="s">
        <v>192</v>
      </c>
      <c r="C2241" s="71">
        <v>45853</v>
      </c>
      <c r="D2241" s="41" t="str">
        <f>VLOOKUP(B2241,辅助信息!E:K,7,FALSE)</f>
        <v>JWDDCD2025102100475</v>
      </c>
      <c r="E2241" s="41" t="str">
        <f>VLOOKUP(F2241,辅助信息!A:B,2,FALSE)</f>
        <v>螺纹钢</v>
      </c>
      <c r="F2241" s="41" t="s">
        <v>19</v>
      </c>
      <c r="G2241" s="37">
        <v>9</v>
      </c>
      <c r="H2241" s="135" t="str">
        <f>_xlfn.XLOOKUP(C2241&amp;F2241&amp;I2241&amp;J2241,'[1]2025年已发货'!$F:$F&amp;'[1]2025年已发货'!$C:$C&amp;'[1]2025年已发货'!$G:$G&amp;'[1]2025年已发货'!$H:$H,'[1]2025年已发货'!$E:$E,"未发货")</f>
        <v>未发货</v>
      </c>
      <c r="I2241" s="41" t="str">
        <f>VLOOKUP(B2241,辅助信息!E:I,3,FALSE)</f>
        <v>(五冶建设成都国际铁路港多式联项目)四川省成都市青白江区桂平大道成都中远海运陆港多式联运有限公司</v>
      </c>
      <c r="J2241" s="41" t="str">
        <f>VLOOKUP(B2241,辅助信息!E:I,4,FALSE)</f>
        <v>黄勇杰</v>
      </c>
      <c r="K2241" s="41">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104</v>
      </c>
      <c r="Q2241" s="30" t="str">
        <f>VLOOKUP(B2241,辅助信息!E:M,9,FALSE)</f>
        <v>ZTWM-CDGS-XS-2025-0073-五冶天府-成都怡心湖片区及龙泉驿医院等项目</v>
      </c>
      <c r="R2241" s="30" t="str">
        <f>_xlfn._xlws.FILTER(辅助信息!D:D,辅助信息!E:E=B2241)</f>
        <v>五冶建设成都国际铁路港多式联项目</v>
      </c>
    </row>
    <row r="2242" hidden="1" spans="2:18">
      <c r="B2242" s="41" t="s">
        <v>192</v>
      </c>
      <c r="C2242" s="71">
        <v>45853</v>
      </c>
      <c r="D2242" s="41" t="str">
        <f>VLOOKUP(B2242,辅助信息!E:K,7,FALSE)</f>
        <v>JWDDCD2025102100475</v>
      </c>
      <c r="E2242" s="41" t="str">
        <f>VLOOKUP(F2242,辅助信息!A:B,2,FALSE)</f>
        <v>螺纹钢</v>
      </c>
      <c r="F2242" s="41" t="s">
        <v>32</v>
      </c>
      <c r="G2242" s="37">
        <v>6</v>
      </c>
      <c r="H2242" s="135" t="str">
        <f>_xlfn.XLOOKUP(C2242&amp;F2242&amp;I2242&amp;J2242,'[1]2025年已发货'!$F:$F&amp;'[1]2025年已发货'!$C:$C&amp;'[1]2025年已发货'!$G:$G&amp;'[1]2025年已发货'!$H:$H,'[1]2025年已发货'!$E:$E,"未发货")</f>
        <v>未发货</v>
      </c>
      <c r="I2242" s="41" t="str">
        <f>VLOOKUP(B2242,辅助信息!E:I,3,FALSE)</f>
        <v>(五冶建设成都国际铁路港多式联项目)四川省成都市青白江区桂平大道成都中远海运陆港多式联运有限公司</v>
      </c>
      <c r="J2242" s="41" t="str">
        <f>VLOOKUP(B2242,辅助信息!E:I,4,FALSE)</f>
        <v>黄勇杰</v>
      </c>
      <c r="K2242" s="41">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104</v>
      </c>
      <c r="Q2242" s="30" t="str">
        <f>VLOOKUP(B2242,辅助信息!E:M,9,FALSE)</f>
        <v>ZTWM-CDGS-XS-2025-0073-五冶天府-成都怡心湖片区及龙泉驿医院等项目</v>
      </c>
      <c r="R2242" s="30" t="str">
        <f>_xlfn._xlws.FILTER(辅助信息!D:D,辅助信息!E:E=B2242)</f>
        <v>五冶建设成都国际铁路港多式联项目</v>
      </c>
    </row>
    <row r="2243" hidden="1" spans="2:18">
      <c r="B2243" s="41" t="s">
        <v>192</v>
      </c>
      <c r="C2243" s="71">
        <v>45853</v>
      </c>
      <c r="D2243" s="41" t="str">
        <f>VLOOKUP(B2243,辅助信息!E:K,7,FALSE)</f>
        <v>JWDDCD2025102100475</v>
      </c>
      <c r="E2243" s="41" t="str">
        <f>VLOOKUP(F2243,辅助信息!A:B,2,FALSE)</f>
        <v>螺纹钢</v>
      </c>
      <c r="F2243" s="41" t="s">
        <v>30</v>
      </c>
      <c r="G2243" s="37">
        <v>6</v>
      </c>
      <c r="H2243" s="135" t="str">
        <f>_xlfn.XLOOKUP(C2243&amp;F2243&amp;I2243&amp;J2243,'[1]2025年已发货'!$F:$F&amp;'[1]2025年已发货'!$C:$C&amp;'[1]2025年已发货'!$G:$G&amp;'[1]2025年已发货'!$H:$H,'[1]2025年已发货'!$E:$E,"未发货")</f>
        <v>未发货</v>
      </c>
      <c r="I2243" s="41" t="str">
        <f>VLOOKUP(B2243,辅助信息!E:I,3,FALSE)</f>
        <v>(五冶建设成都国际铁路港多式联项目)四川省成都市青白江区桂平大道成都中远海运陆港多式联运有限公司</v>
      </c>
      <c r="J2243" s="41" t="str">
        <f>VLOOKUP(B2243,辅助信息!E:I,4,FALSE)</f>
        <v>黄勇杰</v>
      </c>
      <c r="K2243" s="41">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104</v>
      </c>
      <c r="Q2243" s="30" t="str">
        <f>VLOOKUP(B2243,辅助信息!E:M,9,FALSE)</f>
        <v>ZTWM-CDGS-XS-2025-0073-五冶天府-成都怡心湖片区及龙泉驿医院等项目</v>
      </c>
      <c r="R2243" s="30" t="str">
        <f>_xlfn._xlws.FILTER(辅助信息!D:D,辅助信息!E:E=B2243)</f>
        <v>五冶建设成都国际铁路港多式联项目</v>
      </c>
    </row>
    <row r="2244" hidden="1" spans="2:18">
      <c r="B2244" s="41" t="s">
        <v>192</v>
      </c>
      <c r="C2244" s="71">
        <v>45853</v>
      </c>
      <c r="D2244" s="41" t="str">
        <f>VLOOKUP(B2244,辅助信息!E:K,7,FALSE)</f>
        <v>JWDDCD2025102100475</v>
      </c>
      <c r="E2244" s="41" t="str">
        <f>VLOOKUP(F2244,辅助信息!A:B,2,FALSE)</f>
        <v>螺纹钢</v>
      </c>
      <c r="F2244" s="41" t="s">
        <v>33</v>
      </c>
      <c r="G2244" s="37">
        <v>3</v>
      </c>
      <c r="H2244" s="135" t="str">
        <f>_xlfn.XLOOKUP(C2244&amp;F2244&amp;I2244&amp;J2244,'[1]2025年已发货'!$F:$F&amp;'[1]2025年已发货'!$C:$C&amp;'[1]2025年已发货'!$G:$G&amp;'[1]2025年已发货'!$H:$H,'[1]2025年已发货'!$E:$E,"未发货")</f>
        <v>未发货</v>
      </c>
      <c r="I2244" s="41" t="str">
        <f>VLOOKUP(B2244,辅助信息!E:I,3,FALSE)</f>
        <v>(五冶建设成都国际铁路港多式联项目)四川省成都市青白江区桂平大道成都中远海运陆港多式联运有限公司</v>
      </c>
      <c r="J2244" s="41" t="str">
        <f>VLOOKUP(B2244,辅助信息!E:I,4,FALSE)</f>
        <v>黄勇杰</v>
      </c>
      <c r="K2244" s="41">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104</v>
      </c>
      <c r="Q2244" s="30" t="str">
        <f>VLOOKUP(B2244,辅助信息!E:M,9,FALSE)</f>
        <v>ZTWM-CDGS-XS-2025-0073-五冶天府-成都怡心湖片区及龙泉驿医院等项目</v>
      </c>
      <c r="R2244" s="30" t="str">
        <f>_xlfn._xlws.FILTER(辅助信息!D:D,辅助信息!E:E=B2244)</f>
        <v>五冶建设成都国际铁路港多式联项目</v>
      </c>
    </row>
    <row r="2245" hidden="1" spans="2:18">
      <c r="B2245" s="41" t="s">
        <v>192</v>
      </c>
      <c r="C2245" s="71">
        <v>45853</v>
      </c>
      <c r="D2245" s="41" t="str">
        <f>VLOOKUP(B2245,辅助信息!E:K,7,FALSE)</f>
        <v>JWDDCD2025102100475</v>
      </c>
      <c r="E2245" s="41" t="str">
        <f>VLOOKUP(F2245,辅助信息!A:B,2,FALSE)</f>
        <v>螺纹钢</v>
      </c>
      <c r="F2245" s="41" t="s">
        <v>28</v>
      </c>
      <c r="G2245" s="37">
        <v>6</v>
      </c>
      <c r="H2245" s="135" t="str">
        <f>_xlfn.XLOOKUP(C2245&amp;F2245&amp;I2245&amp;J2245,'[1]2025年已发货'!$F:$F&amp;'[1]2025年已发货'!$C:$C&amp;'[1]2025年已发货'!$G:$G&amp;'[1]2025年已发货'!$H:$H,'[1]2025年已发货'!$E:$E,"未发货")</f>
        <v>未发货</v>
      </c>
      <c r="I2245" s="41" t="str">
        <f>VLOOKUP(B2245,辅助信息!E:I,3,FALSE)</f>
        <v>(五冶建设成都国际铁路港多式联项目)四川省成都市青白江区桂平大道成都中远海运陆港多式联运有限公司</v>
      </c>
      <c r="J2245" s="41" t="str">
        <f>VLOOKUP(B2245,辅助信息!E:I,4,FALSE)</f>
        <v>黄勇杰</v>
      </c>
      <c r="K2245" s="41">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104</v>
      </c>
      <c r="Q2245" s="30" t="str">
        <f>VLOOKUP(B2245,辅助信息!E:M,9,FALSE)</f>
        <v>ZTWM-CDGS-XS-2025-0073-五冶天府-成都怡心湖片区及龙泉驿医院等项目</v>
      </c>
      <c r="R2245" s="30" t="str">
        <f>_xlfn._xlws.FILTER(辅助信息!D:D,辅助信息!E:E=B2245)</f>
        <v>五冶建设成都国际铁路港多式联项目</v>
      </c>
    </row>
    <row r="2246" hidden="1" spans="2:18">
      <c r="B2246" s="41" t="s">
        <v>180</v>
      </c>
      <c r="C2246" s="71">
        <v>45854</v>
      </c>
      <c r="D2246" s="41" t="str">
        <f>VLOOKUP(B2246,辅助信息!E:K,7,FALSE)</f>
        <v>JWDDCD2025052800131</v>
      </c>
      <c r="E2246" s="41" t="str">
        <f>VLOOKUP(F2246,辅助信息!A:B,2,FALSE)</f>
        <v>盘螺</v>
      </c>
      <c r="F2246" s="41" t="s">
        <v>40</v>
      </c>
      <c r="G2246" s="37">
        <v>8</v>
      </c>
      <c r="H2246" s="135" t="str">
        <f>_xlfn.XLOOKUP(C2246&amp;F2246&amp;I2246&amp;J2246,'[1]2025年已发货'!$F:$F&amp;'[1]2025年已发货'!$C:$C&amp;'[1]2025年已发货'!$G:$G&amp;'[1]2025年已发货'!$H:$H,'[1]2025年已发货'!$E:$E,"未发货")</f>
        <v>未发货</v>
      </c>
      <c r="I2246" s="41" t="str">
        <f>VLOOKUP(B2246,辅助信息!E:I,3,FALSE)</f>
        <v>（商投建工达州中医药科技园-4工区-8号楼）达州市通川区达州中医药职业学院犀牛大道北段</v>
      </c>
      <c r="J2246" s="41" t="str">
        <f>VLOOKUP(B2246,辅助信息!E:I,4,FALSE)</f>
        <v>张扬</v>
      </c>
      <c r="K2246" s="41">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30" t="str">
        <f>VLOOKUP(B2246,辅助信息!E:M,9,FALSE)</f>
        <v>ZTWM-CDGS-XS-2024-0134-商投建工达州中医药科技成果示范园项目</v>
      </c>
      <c r="R2246" s="30"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30" t="str">
        <f>VLOOKUP(B2247,辅助信息!E:M,9,FALSE)</f>
        <v>ZTWM-CDGS-XS-2024-0134-商投建工达州中医药科技成果示范园项目</v>
      </c>
      <c r="R2247" s="30"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30" t="str">
        <f>VLOOKUP(B2248,辅助信息!E:M,9,FALSE)</f>
        <v>ZTWM-CDGS-XS-2024-0134-商投建工达州中医药科技成果示范园项目</v>
      </c>
      <c r="R2248" s="30"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30" t="str">
        <f>VLOOKUP(B2249,辅助信息!E:M,9,FALSE)</f>
        <v>ZTWM-CDGS-XS-2024-0134-商投建工达州中医药科技成果示范园项目</v>
      </c>
      <c r="R2249" s="30"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106</v>
      </c>
      <c r="Q2250" s="30" t="str">
        <f>VLOOKUP(B2250,辅助信息!E:M,9,FALSE)</f>
        <v>ZTWM-CDGS-XS-2024-0134-商投建工达州中医药科技成果示范园项目</v>
      </c>
      <c r="R2250" s="30"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106</v>
      </c>
      <c r="Q2251" s="30" t="str">
        <f>VLOOKUP(B2251,辅助信息!E:M,9,FALSE)</f>
        <v>ZTWM-CDGS-XS-2024-0134-商投建工达州中医药科技成果示范园项目</v>
      </c>
      <c r="R2251" s="30"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104</v>
      </c>
      <c r="Q2252" s="30" t="e">
        <f>VLOOKUP(B2252,辅助信息!E:M,9,FALSE)</f>
        <v>#N/A</v>
      </c>
      <c r="R2252" s="30"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104</v>
      </c>
      <c r="Q2253" s="30" t="e">
        <f>VLOOKUP(B2253,辅助信息!E:M,9,FALSE)</f>
        <v>#N/A</v>
      </c>
      <c r="R2253" s="30"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104</v>
      </c>
      <c r="Q2254" s="30" t="e">
        <f>VLOOKUP(B2254,辅助信息!E:M,9,FALSE)</f>
        <v>#N/A</v>
      </c>
      <c r="R2254" s="30"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104</v>
      </c>
      <c r="Q2255" s="30" t="e">
        <f>VLOOKUP(B2255,辅助信息!E:M,9,FALSE)</f>
        <v>#N/A</v>
      </c>
      <c r="R2255" s="30"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104</v>
      </c>
      <c r="Q2256" s="30" t="str">
        <f>VLOOKUP(B2256,辅助信息!E:M,9,FALSE)</f>
        <v>ZTWM-CDGS-XS-2024-0134-商投建工达州中医药科技成果示范园项目</v>
      </c>
      <c r="R2256" s="30"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104</v>
      </c>
      <c r="Q2257" s="30" t="str">
        <f>VLOOKUP(B2257,辅助信息!E:M,9,FALSE)</f>
        <v>ZTWM-CDGS-XS-2024-0134-商投建工达州中医药科技成果示范园项目</v>
      </c>
      <c r="R2257" s="30"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104</v>
      </c>
      <c r="Q2258" s="30" t="str">
        <f>VLOOKUP(B2258,辅助信息!E:M,9,FALSE)</f>
        <v>ZTWM-CDGS-XS-2024-0134-商投建工达州中医药科技成果示范园项目</v>
      </c>
      <c r="R2258" s="30"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104</v>
      </c>
      <c r="Q2259" s="30" t="str">
        <f>VLOOKUP(B2259,辅助信息!E:M,9,FALSE)</f>
        <v>ZTWM-CDGS-XS-2024-0134-商投建工达州中医药科技成果示范园项目</v>
      </c>
      <c r="R2259" s="30" t="str">
        <f>_xlfn._xlws.FILTER(辅助信息!D:D,辅助信息!E:E=B2259)</f>
        <v>商投建工达州中医药科技园</v>
      </c>
    </row>
    <row r="2260" hidden="1" spans="2:18">
      <c r="B2260" s="41" t="s">
        <v>187</v>
      </c>
      <c r="C2260" s="71">
        <v>45854</v>
      </c>
      <c r="D2260" s="41" t="str">
        <f>VLOOKUP(B2260,辅助信息!E:K,7,FALSE)</f>
        <v>JWDDCD2025072900121</v>
      </c>
      <c r="E2260" s="41" t="str">
        <f>VLOOKUP(F2260,辅助信息!A:B,2,FALSE)</f>
        <v>盘螺</v>
      </c>
      <c r="F2260" s="41" t="s">
        <v>40</v>
      </c>
      <c r="G2260" s="37">
        <v>3</v>
      </c>
      <c r="H2260" s="135">
        <f>_xlfn.XLOOKUP(C2260&amp;F2260&amp;I2260&amp;J2260,'[1]2025年已发货'!$F:$F&amp;'[1]2025年已发货'!$C:$C&amp;'[1]2025年已发货'!$G:$G&amp;'[1]2025年已发货'!$H:$H,'[1]2025年已发货'!$E:$E,"未发货")</f>
        <v>3</v>
      </c>
      <c r="I2260" s="41" t="str">
        <f>VLOOKUP(B2260,辅助信息!E:I,3,FALSE)</f>
        <v>(乐山市校地共建产教融合基地建设项目一标段)四川省乐山市市中区苏稽镇周山嘴</v>
      </c>
      <c r="J2260" s="41" t="str">
        <f>VLOOKUP(B2260,辅助信息!E:I,4,FALSE)</f>
        <v>范增云</v>
      </c>
      <c r="K2260" s="41">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104</v>
      </c>
      <c r="Q2260" s="30" t="str">
        <f>VLOOKUP(B2260,辅助信息!E:M,9,FALSE)</f>
        <v>ZTWM-CDGS-XS-2025-0125-四川机司-乐山市校地共建产教融合基地配套设施项目施工一标段钢筋采购合同</v>
      </c>
      <c r="R2260" s="30" t="str">
        <f>_xlfn._xlws.FILTER(辅助信息!D:D,辅助信息!E:E=B2260)</f>
        <v>乐山市校地共建产教融合基地建设项目</v>
      </c>
    </row>
    <row r="2261" hidden="1" spans="2:18">
      <c r="B2261" s="41" t="s">
        <v>187</v>
      </c>
      <c r="C2261" s="71">
        <v>45854</v>
      </c>
      <c r="D2261" s="41" t="str">
        <f>VLOOKUP(B2261,辅助信息!E:K,7,FALSE)</f>
        <v>JWDDCD2025072900121</v>
      </c>
      <c r="E2261" s="41" t="str">
        <f>VLOOKUP(F2261,辅助信息!A:B,2,FALSE)</f>
        <v>螺纹钢</v>
      </c>
      <c r="F2261" s="41" t="s">
        <v>32</v>
      </c>
      <c r="G2261" s="37">
        <v>5</v>
      </c>
      <c r="H2261" s="135">
        <f>_xlfn.XLOOKUP(C2261&amp;F2261&amp;I2261&amp;J2261,'[1]2025年已发货'!$F:$F&amp;'[1]2025年已发货'!$C:$C&amp;'[1]2025年已发货'!$G:$G&amp;'[1]2025年已发货'!$H:$H,'[1]2025年已发货'!$E:$E,"未发货")</f>
        <v>5</v>
      </c>
      <c r="I2261" s="41" t="str">
        <f>VLOOKUP(B2261,辅助信息!E:I,3,FALSE)</f>
        <v>(乐山市校地共建产教融合基地建设项目一标段)四川省乐山市市中区苏稽镇周山嘴</v>
      </c>
      <c r="J2261" s="41" t="str">
        <f>VLOOKUP(B2261,辅助信息!E:I,4,FALSE)</f>
        <v>范增云</v>
      </c>
      <c r="K2261" s="41">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104</v>
      </c>
      <c r="Q2261" s="30" t="str">
        <f>VLOOKUP(B2261,辅助信息!E:M,9,FALSE)</f>
        <v>ZTWM-CDGS-XS-2025-0125-四川机司-乐山市校地共建产教融合基地配套设施项目施工一标段钢筋采购合同</v>
      </c>
      <c r="R2261" s="30" t="str">
        <f>_xlfn._xlws.FILTER(辅助信息!D:D,辅助信息!E:E=B2261)</f>
        <v>乐山市校地共建产教融合基地建设项目</v>
      </c>
    </row>
    <row r="2262" hidden="1" spans="2:18">
      <c r="B2262" s="41" t="s">
        <v>187</v>
      </c>
      <c r="C2262" s="71">
        <v>45854</v>
      </c>
      <c r="D2262" s="41" t="str">
        <f>VLOOKUP(B2262,辅助信息!E:K,7,FALSE)</f>
        <v>JWDDCD2025072900121</v>
      </c>
      <c r="E2262" s="41" t="str">
        <f>VLOOKUP(F2262,辅助信息!A:B,2,FALSE)</f>
        <v>螺纹钢</v>
      </c>
      <c r="F2262" s="41" t="s">
        <v>30</v>
      </c>
      <c r="G2262" s="37">
        <v>3</v>
      </c>
      <c r="H2262" s="135">
        <f>_xlfn.XLOOKUP(C2262&amp;F2262&amp;I2262&amp;J2262,'[1]2025年已发货'!$F:$F&amp;'[1]2025年已发货'!$C:$C&amp;'[1]2025年已发货'!$G:$G&amp;'[1]2025年已发货'!$H:$H,'[1]2025年已发货'!$E:$E,"未发货")</f>
        <v>3</v>
      </c>
      <c r="I2262" s="41" t="str">
        <f>VLOOKUP(B2262,辅助信息!E:I,3,FALSE)</f>
        <v>(乐山市校地共建产教融合基地建设项目一标段)四川省乐山市市中区苏稽镇周山嘴</v>
      </c>
      <c r="J2262" s="41" t="str">
        <f>VLOOKUP(B2262,辅助信息!E:I,4,FALSE)</f>
        <v>范增云</v>
      </c>
      <c r="K2262" s="41">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104</v>
      </c>
      <c r="Q2262" s="30" t="str">
        <f>VLOOKUP(B2262,辅助信息!E:M,9,FALSE)</f>
        <v>ZTWM-CDGS-XS-2025-0125-四川机司-乐山市校地共建产教融合基地配套设施项目施工一标段钢筋采购合同</v>
      </c>
      <c r="R2262" s="30" t="str">
        <f>_xlfn._xlws.FILTER(辅助信息!D:D,辅助信息!E:E=B2262)</f>
        <v>乐山市校地共建产教融合基地建设项目</v>
      </c>
    </row>
    <row r="2263" hidden="1" spans="2:18">
      <c r="B2263" s="41" t="s">
        <v>187</v>
      </c>
      <c r="C2263" s="71">
        <v>45854</v>
      </c>
      <c r="D2263" s="41" t="str">
        <f>VLOOKUP(B2263,辅助信息!E:K,7,FALSE)</f>
        <v>JWDDCD2025072900121</v>
      </c>
      <c r="E2263" s="41" t="str">
        <f>VLOOKUP(F2263,辅助信息!A:B,2,FALSE)</f>
        <v>螺纹钢</v>
      </c>
      <c r="F2263" s="41" t="s">
        <v>33</v>
      </c>
      <c r="G2263" s="37">
        <v>3</v>
      </c>
      <c r="H2263" s="135">
        <f>_xlfn.XLOOKUP(C2263&amp;F2263&amp;I2263&amp;J2263,'[1]2025年已发货'!$F:$F&amp;'[1]2025年已发货'!$C:$C&amp;'[1]2025年已发货'!$G:$G&amp;'[1]2025年已发货'!$H:$H,'[1]2025年已发货'!$E:$E,"未发货")</f>
        <v>3</v>
      </c>
      <c r="I2263" s="41" t="str">
        <f>VLOOKUP(B2263,辅助信息!E:I,3,FALSE)</f>
        <v>(乐山市校地共建产教融合基地建设项目一标段)四川省乐山市市中区苏稽镇周山嘴</v>
      </c>
      <c r="J2263" s="41" t="str">
        <f>VLOOKUP(B2263,辅助信息!E:I,4,FALSE)</f>
        <v>范增云</v>
      </c>
      <c r="K2263" s="41">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104</v>
      </c>
      <c r="Q2263" s="30" t="str">
        <f>VLOOKUP(B2263,辅助信息!E:M,9,FALSE)</f>
        <v>ZTWM-CDGS-XS-2025-0125-四川机司-乐山市校地共建产教融合基地配套设施项目施工一标段钢筋采购合同</v>
      </c>
      <c r="R2263" s="30" t="str">
        <f>_xlfn._xlws.FILTER(辅助信息!D:D,辅助信息!E:E=B2263)</f>
        <v>乐山市校地共建产教融合基地建设项目</v>
      </c>
    </row>
    <row r="2264" hidden="1" spans="2:18">
      <c r="B2264" s="41" t="s">
        <v>187</v>
      </c>
      <c r="C2264" s="71">
        <v>45854</v>
      </c>
      <c r="D2264" s="41" t="str">
        <f>VLOOKUP(B2264,辅助信息!E:K,7,FALSE)</f>
        <v>JWDDCD2025072900121</v>
      </c>
      <c r="E2264" s="41" t="str">
        <f>VLOOKUP(F2264,辅助信息!A:B,2,FALSE)</f>
        <v>螺纹钢</v>
      </c>
      <c r="F2264" s="41" t="s">
        <v>28</v>
      </c>
      <c r="G2264" s="37">
        <v>3</v>
      </c>
      <c r="H2264" s="135">
        <f>_xlfn.XLOOKUP(C2264&amp;F2264&amp;I2264&amp;J2264,'[1]2025年已发货'!$F:$F&amp;'[1]2025年已发货'!$C:$C&amp;'[1]2025年已发货'!$G:$G&amp;'[1]2025年已发货'!$H:$H,'[1]2025年已发货'!$E:$E,"未发货")</f>
        <v>3</v>
      </c>
      <c r="I2264" s="41" t="str">
        <f>VLOOKUP(B2264,辅助信息!E:I,3,FALSE)</f>
        <v>(乐山市校地共建产教融合基地建设项目一标段)四川省乐山市市中区苏稽镇周山嘴</v>
      </c>
      <c r="J2264" s="41" t="str">
        <f>VLOOKUP(B2264,辅助信息!E:I,4,FALSE)</f>
        <v>范增云</v>
      </c>
      <c r="K2264" s="41">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104</v>
      </c>
      <c r="Q2264" s="30" t="str">
        <f>VLOOKUP(B2264,辅助信息!E:M,9,FALSE)</f>
        <v>ZTWM-CDGS-XS-2025-0125-四川机司-乐山市校地共建产教融合基地配套设施项目施工一标段钢筋采购合同</v>
      </c>
      <c r="R2264" s="30" t="str">
        <f>_xlfn._xlws.FILTER(辅助信息!D:D,辅助信息!E:E=B2264)</f>
        <v>乐山市校地共建产教融合基地建设项目</v>
      </c>
    </row>
    <row r="2265" hidden="1" spans="2:18">
      <c r="B2265" s="41" t="s">
        <v>187</v>
      </c>
      <c r="C2265" s="71">
        <v>45854</v>
      </c>
      <c r="D2265" s="41" t="str">
        <f>VLOOKUP(B2265,辅助信息!E:K,7,FALSE)</f>
        <v>JWDDCD2025072900121</v>
      </c>
      <c r="E2265" s="41" t="str">
        <f>VLOOKUP(F2265,辅助信息!A:B,2,FALSE)</f>
        <v>螺纹钢</v>
      </c>
      <c r="F2265" s="41" t="s">
        <v>18</v>
      </c>
      <c r="G2265" s="37">
        <v>18</v>
      </c>
      <c r="H2265" s="135">
        <f>_xlfn.XLOOKUP(C2265&amp;F2265&amp;I2265&amp;J2265,'[1]2025年已发货'!$F:$F&amp;'[1]2025年已发货'!$C:$C&amp;'[1]2025年已发货'!$G:$G&amp;'[1]2025年已发货'!$H:$H,'[1]2025年已发货'!$E:$E,"未发货")</f>
        <v>18</v>
      </c>
      <c r="I2265" s="41" t="str">
        <f>VLOOKUP(B2265,辅助信息!E:I,3,FALSE)</f>
        <v>(乐山市校地共建产教融合基地建设项目一标段)四川省乐山市市中区苏稽镇周山嘴</v>
      </c>
      <c r="J2265" s="41" t="str">
        <f>VLOOKUP(B2265,辅助信息!E:I,4,FALSE)</f>
        <v>范增云</v>
      </c>
      <c r="K2265" s="41">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104</v>
      </c>
      <c r="Q2265" s="30" t="str">
        <f>VLOOKUP(B2265,辅助信息!E:M,9,FALSE)</f>
        <v>ZTWM-CDGS-XS-2025-0125-四川机司-乐山市校地共建产教融合基地配套设施项目施工一标段钢筋采购合同</v>
      </c>
      <c r="R2265" s="30" t="str">
        <f>_xlfn._xlws.FILTER(辅助信息!D:D,辅助信息!E:E=B2265)</f>
        <v>乐山市校地共建产教融合基地建设项目</v>
      </c>
    </row>
    <row r="2266" hidden="1" spans="2:18">
      <c r="B2266" s="41" t="s">
        <v>162</v>
      </c>
      <c r="C2266" s="71">
        <v>45854</v>
      </c>
      <c r="D2266" s="41" t="str">
        <f>VLOOKUP(B2266,辅助信息!E:K,7,FALSE)</f>
        <v>JWDD2025071500089</v>
      </c>
      <c r="E2266" s="41" t="str">
        <f>VLOOKUP(F2266,辅助信息!A:B,2,FALSE)</f>
        <v>螺纹钢</v>
      </c>
      <c r="F2266" s="41" t="s">
        <v>30</v>
      </c>
      <c r="G2266" s="37">
        <v>35</v>
      </c>
      <c r="H2266" s="135" t="str">
        <f>_xlfn.XLOOKUP(C2266&amp;F2266&amp;I2266&amp;J2266,'[1]2025年已发货'!$F:$F&amp;'[1]2025年已发货'!$C:$C&amp;'[1]2025年已发货'!$G:$G&amp;'[1]2025年已发货'!$H:$H,'[1]2025年已发货'!$E:$E,"未发货")</f>
        <v>未发货</v>
      </c>
      <c r="I2266" s="41" t="str">
        <f>VLOOKUP(B2266,辅助信息!E:I,3,FALSE)</f>
        <v>(宜宾兴港三江新区长江工业园保障性租赁住房建设项目-2标)四川省宜宾市翠屏区永善路南段宜宾市三江新区长江工业园区</v>
      </c>
      <c r="J2266" s="41" t="str">
        <f>VLOOKUP(B2266,辅助信息!E:I,4,FALSE)</f>
        <v>赵元虎</v>
      </c>
      <c r="K2266" s="41">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30" t="str">
        <f>VLOOKUP(B2266,辅助信息!E:M,9,FALSE)</f>
        <v>ZTWM-CDYXGS-XS-2025-0014-宜宾兴港建材-三江新区长江工业园片区保障性租赁住房建设项目</v>
      </c>
      <c r="R2266" s="30" t="str">
        <f>_xlfn._xlws.FILTER(辅助信息!D:D,辅助信息!E:E=B2266)</f>
        <v>宜宾兴港三江新区长江工业园建设项目</v>
      </c>
    </row>
    <row r="2267" hidden="1" spans="1:18">
      <c r="A2267" s="138" t="s">
        <v>193</v>
      </c>
      <c r="B2267" s="41" t="s">
        <v>161</v>
      </c>
      <c r="C2267" s="71">
        <v>45854</v>
      </c>
      <c r="D2267" s="41" t="str">
        <f>VLOOKUP(B2267,辅助信息!E:K,7,FALSE)</f>
        <v>JWDD2025071500089</v>
      </c>
      <c r="E2267" s="41" t="str">
        <f>VLOOKUP(F2267,辅助信息!A:B,2,FALSE)</f>
        <v>盘螺</v>
      </c>
      <c r="F2267" s="41" t="s">
        <v>26</v>
      </c>
      <c r="G2267" s="37">
        <v>20</v>
      </c>
      <c r="H2267" s="135" t="str">
        <f>_xlfn.XLOOKUP(C2267&amp;F2267&amp;I2267&amp;J2267,'[1]2025年已发货'!$F:$F&amp;'[1]2025年已发货'!$C:$C&amp;'[1]2025年已发货'!$G:$G&amp;'[1]2025年已发货'!$H:$H,'[1]2025年已发货'!$E:$E,"未发货")</f>
        <v>未发货</v>
      </c>
      <c r="I2267" s="41" t="str">
        <f>VLOOKUP(B2267,辅助信息!E:I,3,FALSE)</f>
        <v>(宜宾兴港三江新区长江工业园保障性租赁住房建设项目-1标)四川省宜宾市翠屏区永善路南段宜宾市三江新区长江工业园区</v>
      </c>
      <c r="J2267" s="41" t="str">
        <f>VLOOKUP(B2267,辅助信息!E:I,4,FALSE)</f>
        <v>赵元虎</v>
      </c>
      <c r="K2267" s="41">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30" t="str">
        <f>VLOOKUP(B2267,辅助信息!E:M,9,FALSE)</f>
        <v>ZTWM-CDYXGS-XS-2025-0014-宜宾兴港建材-三江新区长江工业园片区保障性租赁住房建设项目</v>
      </c>
      <c r="R2267" s="30" t="str">
        <f>_xlfn._xlws.FILTER(辅助信息!D:D,辅助信息!E:E=B2267)</f>
        <v>宜宾兴港三江新区长江工业园建设项目</v>
      </c>
    </row>
    <row r="2268" hidden="1" spans="1:18">
      <c r="A2268" s="138"/>
      <c r="B2268" s="41" t="s">
        <v>161</v>
      </c>
      <c r="C2268" s="71">
        <v>45854</v>
      </c>
      <c r="D2268" s="41" t="str">
        <f>VLOOKUP(B2268,辅助信息!E:K,7,FALSE)</f>
        <v>JWDD2025071500089</v>
      </c>
      <c r="E2268" s="41" t="str">
        <f>VLOOKUP(F2268,辅助信息!A:B,2,FALSE)</f>
        <v>螺纹钢</v>
      </c>
      <c r="F2268" s="41" t="s">
        <v>32</v>
      </c>
      <c r="G2268" s="37">
        <v>3</v>
      </c>
      <c r="H2268" s="135" t="str">
        <f>_xlfn.XLOOKUP(C2268&amp;F2268&amp;I2268&amp;J2268,'[1]2025年已发货'!$F:$F&amp;'[1]2025年已发货'!$C:$C&amp;'[1]2025年已发货'!$G:$G&amp;'[1]2025年已发货'!$H:$H,'[1]2025年已发货'!$E:$E,"未发货")</f>
        <v>未发货</v>
      </c>
      <c r="I2268" s="41" t="str">
        <f>VLOOKUP(B2268,辅助信息!E:I,3,FALSE)</f>
        <v>(宜宾兴港三江新区长江工业园保障性租赁住房建设项目-1标)四川省宜宾市翠屏区永善路南段宜宾市三江新区长江工业园区</v>
      </c>
      <c r="J2268" s="41" t="str">
        <f>VLOOKUP(B2268,辅助信息!E:I,4,FALSE)</f>
        <v>赵元虎</v>
      </c>
      <c r="K2268" s="41">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30" t="str">
        <f>VLOOKUP(B2268,辅助信息!E:M,9,FALSE)</f>
        <v>ZTWM-CDYXGS-XS-2025-0014-宜宾兴港建材-三江新区长江工业园片区保障性租赁住房建设项目</v>
      </c>
      <c r="R2268" s="30" t="str">
        <f>_xlfn._xlws.FILTER(辅助信息!D:D,辅助信息!E:E=B2268)</f>
        <v>宜宾兴港三江新区长江工业园建设项目</v>
      </c>
    </row>
    <row r="2269" hidden="1" spans="1:18">
      <c r="A2269" s="138"/>
      <c r="B2269" s="41" t="s">
        <v>194</v>
      </c>
      <c r="C2269" s="71">
        <v>45854</v>
      </c>
      <c r="D2269" s="41" t="str">
        <f>VLOOKUP(B2269,辅助信息!E:K,7,FALSE)</f>
        <v>JWDD2025071500089</v>
      </c>
      <c r="E2269" s="41" t="str">
        <f>VLOOKUP(F2269,辅助信息!A:B,2,FALSE)</f>
        <v>螺纹钢</v>
      </c>
      <c r="F2269" s="41" t="s">
        <v>18</v>
      </c>
      <c r="G2269" s="37">
        <v>12</v>
      </c>
      <c r="H2269" s="135" t="str">
        <f>_xlfn.XLOOKUP(C2269&amp;F2269&amp;I2269&amp;J2269,'[1]2025年已发货'!$F:$F&amp;'[1]2025年已发货'!$C:$C&amp;'[1]2025年已发货'!$G:$G&amp;'[1]2025年已发货'!$H:$H,'[1]2025年已发货'!$E:$E,"未发货")</f>
        <v>未发货</v>
      </c>
      <c r="I2269" s="41" t="str">
        <f>VLOOKUP(B2269,辅助信息!E:I,3,FALSE)</f>
        <v>(宜宾兴港三江新区长江工业园保障性租赁住房建设项目-土建)四川省宜宾市翠屏区永善路南段宜宾市三江新区长江工业园区</v>
      </c>
      <c r="J2269" s="41" t="str">
        <f>VLOOKUP(B2269,辅助信息!E:I,4,FALSE)</f>
        <v>赵元虎</v>
      </c>
      <c r="K2269" s="41">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30" t="str">
        <f>VLOOKUP(B2269,辅助信息!E:M,9,FALSE)</f>
        <v>ZTWM-CDYXGS-XS-2025-0014-宜宾兴港建材-三江新区长江工业园片区保障性租赁住房建设项目</v>
      </c>
      <c r="R2269" s="30" t="str">
        <f>_xlfn._xlws.FILTER(辅助信息!D:D,辅助信息!E:E=B2269)</f>
        <v>宜宾兴港三江新区长江工业园建设项目</v>
      </c>
    </row>
    <row r="2270" hidden="1" spans="2:18">
      <c r="B2270" s="41" t="s">
        <v>192</v>
      </c>
      <c r="C2270" s="71">
        <v>45854</v>
      </c>
      <c r="D2270" s="41" t="str">
        <f>VLOOKUP(B2270,辅助信息!E:K,7,FALSE)</f>
        <v>JWDDCD2025102100475</v>
      </c>
      <c r="E2270" s="41" t="str">
        <f>VLOOKUP(F2270,辅助信息!A:B,2,FALSE)</f>
        <v>盘螺</v>
      </c>
      <c r="F2270" s="41" t="s">
        <v>40</v>
      </c>
      <c r="G2270" s="37">
        <v>5</v>
      </c>
      <c r="H2270" s="135">
        <f>_xlfn.XLOOKUP(C2270&amp;F2270&amp;I2270&amp;J2270,'[1]2025年已发货'!$F:$F&amp;'[1]2025年已发货'!$C:$C&amp;'[1]2025年已发货'!$G:$G&amp;'[1]2025年已发货'!$H:$H,'[1]2025年已发货'!$E:$E,"未发货")</f>
        <v>5</v>
      </c>
      <c r="I2270" s="41" t="str">
        <f>VLOOKUP(B2270,辅助信息!E:I,3,FALSE)</f>
        <v>(五冶建设成都国际铁路港多式联项目)四川省成都市青白江区桂平大道成都中远海运陆港多式联运有限公司</v>
      </c>
      <c r="J2270" s="41" t="str">
        <f>VLOOKUP(B2270,辅助信息!E:I,4,FALSE)</f>
        <v>黄勇杰</v>
      </c>
      <c r="K2270" s="41">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104</v>
      </c>
      <c r="Q2270" s="30" t="str">
        <f>VLOOKUP(B2270,辅助信息!E:M,9,FALSE)</f>
        <v>ZTWM-CDGS-XS-2025-0073-五冶天府-成都怡心湖片区及龙泉驿医院等项目</v>
      </c>
      <c r="R2270" s="30" t="str">
        <f>_xlfn._xlws.FILTER(辅助信息!D:D,辅助信息!E:E=B2270)</f>
        <v>五冶建设成都国际铁路港多式联项目</v>
      </c>
    </row>
    <row r="2271" hidden="1" spans="2:18">
      <c r="B2271" s="41" t="s">
        <v>192</v>
      </c>
      <c r="C2271" s="71">
        <v>45854</v>
      </c>
      <c r="D2271" s="41" t="str">
        <f>VLOOKUP(B2271,辅助信息!E:K,7,FALSE)</f>
        <v>JWDDCD2025102100475</v>
      </c>
      <c r="E2271" s="41" t="str">
        <f>VLOOKUP(F2271,辅助信息!A:B,2,FALSE)</f>
        <v>盘螺</v>
      </c>
      <c r="F2271" s="41" t="s">
        <v>41</v>
      </c>
      <c r="G2271" s="37">
        <v>30</v>
      </c>
      <c r="H2271" s="135">
        <f>_xlfn.XLOOKUP(C2271&amp;F2271&amp;I2271&amp;J2271,'[1]2025年已发货'!$F:$F&amp;'[1]2025年已发货'!$C:$C&amp;'[1]2025年已发货'!$G:$G&amp;'[1]2025年已发货'!$H:$H,'[1]2025年已发货'!$E:$E,"未发货")</f>
        <v>30</v>
      </c>
      <c r="I2271" s="41" t="str">
        <f>VLOOKUP(B2271,辅助信息!E:I,3,FALSE)</f>
        <v>(五冶建设成都国际铁路港多式联项目)四川省成都市青白江区桂平大道成都中远海运陆港多式联运有限公司</v>
      </c>
      <c r="J2271" s="41" t="str">
        <f>VLOOKUP(B2271,辅助信息!E:I,4,FALSE)</f>
        <v>黄勇杰</v>
      </c>
      <c r="K2271" s="41">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104</v>
      </c>
      <c r="Q2271" s="30" t="str">
        <f>VLOOKUP(B2271,辅助信息!E:M,9,FALSE)</f>
        <v>ZTWM-CDGS-XS-2025-0073-五冶天府-成都怡心湖片区及龙泉驿医院等项目</v>
      </c>
      <c r="R2271" s="30" t="str">
        <f>_xlfn._xlws.FILTER(辅助信息!D:D,辅助信息!E:E=B2271)</f>
        <v>五冶建设成都国际铁路港多式联项目</v>
      </c>
    </row>
    <row r="2272" hidden="1" spans="2:18">
      <c r="B2272" s="41" t="s">
        <v>192</v>
      </c>
      <c r="C2272" s="71">
        <v>45854</v>
      </c>
      <c r="D2272" s="41" t="str">
        <f>VLOOKUP(B2272,辅助信息!E:K,7,FALSE)</f>
        <v>JWDDCD2025102100475</v>
      </c>
      <c r="E2272" s="41" t="str">
        <f>VLOOKUP(F2272,辅助信息!A:B,2,FALSE)</f>
        <v>螺纹钢</v>
      </c>
      <c r="F2272" s="41" t="s">
        <v>27</v>
      </c>
      <c r="G2272" s="37">
        <v>6</v>
      </c>
      <c r="H2272" s="135">
        <f>_xlfn.XLOOKUP(C2272&amp;F2272&amp;I2272&amp;J2272,'[1]2025年已发货'!$F:$F&amp;'[1]2025年已发货'!$C:$C&amp;'[1]2025年已发货'!$G:$G&amp;'[1]2025年已发货'!$H:$H,'[1]2025年已发货'!$E:$E,"未发货")</f>
        <v>6</v>
      </c>
      <c r="I2272" s="41" t="str">
        <f>VLOOKUP(B2272,辅助信息!E:I,3,FALSE)</f>
        <v>(五冶建设成都国际铁路港多式联项目)四川省成都市青白江区桂平大道成都中远海运陆港多式联运有限公司</v>
      </c>
      <c r="J2272" s="41" t="str">
        <f>VLOOKUP(B2272,辅助信息!E:I,4,FALSE)</f>
        <v>黄勇杰</v>
      </c>
      <c r="K2272" s="41">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104</v>
      </c>
      <c r="Q2272" s="30" t="str">
        <f>VLOOKUP(B2272,辅助信息!E:M,9,FALSE)</f>
        <v>ZTWM-CDGS-XS-2025-0073-五冶天府-成都怡心湖片区及龙泉驿医院等项目</v>
      </c>
      <c r="R2272" s="30" t="str">
        <f>_xlfn._xlws.FILTER(辅助信息!D:D,辅助信息!E:E=B2272)</f>
        <v>五冶建设成都国际铁路港多式联项目</v>
      </c>
    </row>
    <row r="2273" hidden="1" spans="2:18">
      <c r="B2273" s="41" t="s">
        <v>192</v>
      </c>
      <c r="C2273" s="71">
        <v>45854</v>
      </c>
      <c r="D2273" s="41" t="str">
        <f>VLOOKUP(B2273,辅助信息!E:K,7,FALSE)</f>
        <v>JWDDCD2025102100475</v>
      </c>
      <c r="E2273" s="41" t="str">
        <f>VLOOKUP(F2273,辅助信息!A:B,2,FALSE)</f>
        <v>螺纹钢</v>
      </c>
      <c r="F2273" s="41" t="s">
        <v>19</v>
      </c>
      <c r="G2273" s="37">
        <v>9</v>
      </c>
      <c r="H2273" s="135">
        <f>_xlfn.XLOOKUP(C2273&amp;F2273&amp;I2273&amp;J2273,'[1]2025年已发货'!$F:$F&amp;'[1]2025年已发货'!$C:$C&amp;'[1]2025年已发货'!$G:$G&amp;'[1]2025年已发货'!$H:$H,'[1]2025年已发货'!$E:$E,"未发货")</f>
        <v>9</v>
      </c>
      <c r="I2273" s="41" t="str">
        <f>VLOOKUP(B2273,辅助信息!E:I,3,FALSE)</f>
        <v>(五冶建设成都国际铁路港多式联项目)四川省成都市青白江区桂平大道成都中远海运陆港多式联运有限公司</v>
      </c>
      <c r="J2273" s="41" t="str">
        <f>VLOOKUP(B2273,辅助信息!E:I,4,FALSE)</f>
        <v>黄勇杰</v>
      </c>
      <c r="K2273" s="41">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104</v>
      </c>
      <c r="Q2273" s="30" t="str">
        <f>VLOOKUP(B2273,辅助信息!E:M,9,FALSE)</f>
        <v>ZTWM-CDGS-XS-2025-0073-五冶天府-成都怡心湖片区及龙泉驿医院等项目</v>
      </c>
      <c r="R2273" s="30" t="str">
        <f>_xlfn._xlws.FILTER(辅助信息!D:D,辅助信息!E:E=B2273)</f>
        <v>五冶建设成都国际铁路港多式联项目</v>
      </c>
    </row>
    <row r="2274" hidden="1" spans="2:18">
      <c r="B2274" s="41" t="s">
        <v>192</v>
      </c>
      <c r="C2274" s="71">
        <v>45854</v>
      </c>
      <c r="D2274" s="41" t="str">
        <f>VLOOKUP(B2274,辅助信息!E:K,7,FALSE)</f>
        <v>JWDDCD2025102100475</v>
      </c>
      <c r="E2274" s="41" t="str">
        <f>VLOOKUP(F2274,辅助信息!A:B,2,FALSE)</f>
        <v>螺纹钢</v>
      </c>
      <c r="F2274" s="41" t="s">
        <v>32</v>
      </c>
      <c r="G2274" s="37">
        <v>6</v>
      </c>
      <c r="H2274" s="135">
        <f>_xlfn.XLOOKUP(C2274&amp;F2274&amp;I2274&amp;J2274,'[1]2025年已发货'!$F:$F&amp;'[1]2025年已发货'!$C:$C&amp;'[1]2025年已发货'!$G:$G&amp;'[1]2025年已发货'!$H:$H,'[1]2025年已发货'!$E:$E,"未发货")</f>
        <v>6</v>
      </c>
      <c r="I2274" s="41" t="str">
        <f>VLOOKUP(B2274,辅助信息!E:I,3,FALSE)</f>
        <v>(五冶建设成都国际铁路港多式联项目)四川省成都市青白江区桂平大道成都中远海运陆港多式联运有限公司</v>
      </c>
      <c r="J2274" s="41" t="str">
        <f>VLOOKUP(B2274,辅助信息!E:I,4,FALSE)</f>
        <v>黄勇杰</v>
      </c>
      <c r="K2274" s="41">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104</v>
      </c>
      <c r="Q2274" s="30" t="str">
        <f>VLOOKUP(B2274,辅助信息!E:M,9,FALSE)</f>
        <v>ZTWM-CDGS-XS-2025-0073-五冶天府-成都怡心湖片区及龙泉驿医院等项目</v>
      </c>
      <c r="R2274" s="30" t="str">
        <f>_xlfn._xlws.FILTER(辅助信息!D:D,辅助信息!E:E=B2274)</f>
        <v>五冶建设成都国际铁路港多式联项目</v>
      </c>
    </row>
    <row r="2275" hidden="1" spans="2:18">
      <c r="B2275" s="41" t="s">
        <v>192</v>
      </c>
      <c r="C2275" s="71">
        <v>45854</v>
      </c>
      <c r="D2275" s="41" t="str">
        <f>VLOOKUP(B2275,辅助信息!E:K,7,FALSE)</f>
        <v>JWDDCD2025102100475</v>
      </c>
      <c r="E2275" s="41" t="str">
        <f>VLOOKUP(F2275,辅助信息!A:B,2,FALSE)</f>
        <v>螺纹钢</v>
      </c>
      <c r="F2275" s="41" t="s">
        <v>30</v>
      </c>
      <c r="G2275" s="37">
        <v>6</v>
      </c>
      <c r="H2275" s="135">
        <f>_xlfn.XLOOKUP(C2275&amp;F2275&amp;I2275&amp;J2275,'[1]2025年已发货'!$F:$F&amp;'[1]2025年已发货'!$C:$C&amp;'[1]2025年已发货'!$G:$G&amp;'[1]2025年已发货'!$H:$H,'[1]2025年已发货'!$E:$E,"未发货")</f>
        <v>6</v>
      </c>
      <c r="I2275" s="41" t="str">
        <f>VLOOKUP(B2275,辅助信息!E:I,3,FALSE)</f>
        <v>(五冶建设成都国际铁路港多式联项目)四川省成都市青白江区桂平大道成都中远海运陆港多式联运有限公司</v>
      </c>
      <c r="J2275" s="41" t="str">
        <f>VLOOKUP(B2275,辅助信息!E:I,4,FALSE)</f>
        <v>黄勇杰</v>
      </c>
      <c r="K2275" s="41">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104</v>
      </c>
      <c r="Q2275" s="30" t="str">
        <f>VLOOKUP(B2275,辅助信息!E:M,9,FALSE)</f>
        <v>ZTWM-CDGS-XS-2025-0073-五冶天府-成都怡心湖片区及龙泉驿医院等项目</v>
      </c>
      <c r="R2275" s="30" t="str">
        <f>_xlfn._xlws.FILTER(辅助信息!D:D,辅助信息!E:E=B2275)</f>
        <v>五冶建设成都国际铁路港多式联项目</v>
      </c>
    </row>
    <row r="2276" hidden="1" spans="2:18">
      <c r="B2276" s="41" t="s">
        <v>192</v>
      </c>
      <c r="C2276" s="71">
        <v>45854</v>
      </c>
      <c r="D2276" s="41" t="str">
        <f>VLOOKUP(B2276,辅助信息!E:K,7,FALSE)</f>
        <v>JWDDCD2025102100475</v>
      </c>
      <c r="E2276" s="41" t="str">
        <f>VLOOKUP(F2276,辅助信息!A:B,2,FALSE)</f>
        <v>螺纹钢</v>
      </c>
      <c r="F2276" s="41" t="s">
        <v>33</v>
      </c>
      <c r="G2276" s="37">
        <v>3</v>
      </c>
      <c r="H2276" s="135">
        <f>_xlfn.XLOOKUP(C2276&amp;F2276&amp;I2276&amp;J2276,'[1]2025年已发货'!$F:$F&amp;'[1]2025年已发货'!$C:$C&amp;'[1]2025年已发货'!$G:$G&amp;'[1]2025年已发货'!$H:$H,'[1]2025年已发货'!$E:$E,"未发货")</f>
        <v>3</v>
      </c>
      <c r="I2276" s="41" t="str">
        <f>VLOOKUP(B2276,辅助信息!E:I,3,FALSE)</f>
        <v>(五冶建设成都国际铁路港多式联项目)四川省成都市青白江区桂平大道成都中远海运陆港多式联运有限公司</v>
      </c>
      <c r="J2276" s="41" t="str">
        <f>VLOOKUP(B2276,辅助信息!E:I,4,FALSE)</f>
        <v>黄勇杰</v>
      </c>
      <c r="K2276" s="41">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104</v>
      </c>
      <c r="Q2276" s="30" t="str">
        <f>VLOOKUP(B2276,辅助信息!E:M,9,FALSE)</f>
        <v>ZTWM-CDGS-XS-2025-0073-五冶天府-成都怡心湖片区及龙泉驿医院等项目</v>
      </c>
      <c r="R2276" s="30" t="str">
        <f>_xlfn._xlws.FILTER(辅助信息!D:D,辅助信息!E:E=B2276)</f>
        <v>五冶建设成都国际铁路港多式联项目</v>
      </c>
    </row>
    <row r="2277" hidden="1" spans="2:18">
      <c r="B2277" s="41" t="s">
        <v>192</v>
      </c>
      <c r="C2277" s="71">
        <v>45854</v>
      </c>
      <c r="D2277" s="41" t="str">
        <f>VLOOKUP(B2277,辅助信息!E:K,7,FALSE)</f>
        <v>JWDDCD2025102100475</v>
      </c>
      <c r="E2277" s="41" t="str">
        <f>VLOOKUP(F2277,辅助信息!A:B,2,FALSE)</f>
        <v>螺纹钢</v>
      </c>
      <c r="F2277" s="41" t="s">
        <v>28</v>
      </c>
      <c r="G2277" s="37">
        <v>6</v>
      </c>
      <c r="H2277" s="135">
        <f>_xlfn.XLOOKUP(C2277&amp;F2277&amp;I2277&amp;J2277,'[1]2025年已发货'!$F:$F&amp;'[1]2025年已发货'!$C:$C&amp;'[1]2025年已发货'!$G:$G&amp;'[1]2025年已发货'!$H:$H,'[1]2025年已发货'!$E:$E,"未发货")</f>
        <v>6</v>
      </c>
      <c r="I2277" s="41" t="str">
        <f>VLOOKUP(B2277,辅助信息!E:I,3,FALSE)</f>
        <v>(五冶建设成都国际铁路港多式联项目)四川省成都市青白江区桂平大道成都中远海运陆港多式联运有限公司</v>
      </c>
      <c r="J2277" s="41" t="str">
        <f>VLOOKUP(B2277,辅助信息!E:I,4,FALSE)</f>
        <v>黄勇杰</v>
      </c>
      <c r="K2277" s="41">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104</v>
      </c>
      <c r="Q2277" s="30" t="str">
        <f>VLOOKUP(B2277,辅助信息!E:M,9,FALSE)</f>
        <v>ZTWM-CDGS-XS-2025-0073-五冶天府-成都怡心湖片区及龙泉驿医院等项目</v>
      </c>
      <c r="R2277" s="30"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30" t="str">
        <f>VLOOKUP(B2278,辅助信息!E:M,9,FALSE)</f>
        <v>ZTWM-CDGS-XS-2024-0134-商投建工达州中医药科技成果示范园项目</v>
      </c>
      <c r="R2278" s="30"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30" t="str">
        <f>VLOOKUP(B2279,辅助信息!E:M,9,FALSE)</f>
        <v>ZTWM-CDGS-XS-2024-0134-商投建工达州中医药科技成果示范园项目</v>
      </c>
      <c r="R2279" s="30"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30" t="str">
        <f>VLOOKUP(B2280,辅助信息!E:M,9,FALSE)</f>
        <v>ZTWM-CDGS-XS-2024-0134-商投建工达州中医药科技成果示范园项目</v>
      </c>
      <c r="R2280" s="30"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30" t="str">
        <f>VLOOKUP(B2281,辅助信息!E:M,9,FALSE)</f>
        <v>ZTWM-CDGS-XS-2024-0134-商投建工达州中医药科技成果示范园项目</v>
      </c>
      <c r="R2281" s="30"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106</v>
      </c>
      <c r="Q2282" s="30" t="str">
        <f>VLOOKUP(B2282,辅助信息!E:M,9,FALSE)</f>
        <v>ZTWM-CDGS-XS-2024-0134-商投建工达州中医药科技成果示范园项目</v>
      </c>
      <c r="R2282" s="30"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106</v>
      </c>
      <c r="Q2283" s="30" t="str">
        <f>VLOOKUP(B2283,辅助信息!E:M,9,FALSE)</f>
        <v>ZTWM-CDGS-XS-2024-0134-商投建工达州中医药科技成果示范园项目</v>
      </c>
      <c r="R2283" s="30"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104</v>
      </c>
      <c r="Q2284" s="30" t="e">
        <f>VLOOKUP(B2284,辅助信息!E:M,9,FALSE)</f>
        <v>#N/A</v>
      </c>
      <c r="R2284" s="30"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104</v>
      </c>
      <c r="Q2285" s="30" t="e">
        <f>VLOOKUP(B2285,辅助信息!E:M,9,FALSE)</f>
        <v>#N/A</v>
      </c>
      <c r="R2285" s="30"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104</v>
      </c>
      <c r="Q2286" s="30" t="e">
        <f>VLOOKUP(B2286,辅助信息!E:M,9,FALSE)</f>
        <v>#N/A</v>
      </c>
      <c r="R2286" s="30"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104</v>
      </c>
      <c r="Q2287" s="30" t="e">
        <f>VLOOKUP(B2287,辅助信息!E:M,9,FALSE)</f>
        <v>#N/A</v>
      </c>
      <c r="R2287" s="30"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104</v>
      </c>
      <c r="Q2288" s="30" t="str">
        <f>VLOOKUP(B2288,辅助信息!E:M,9,FALSE)</f>
        <v>ZTWM-CDGS-XS-2024-0134-商投建工达州中医药科技成果示范园项目</v>
      </c>
      <c r="R2288" s="30"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104</v>
      </c>
      <c r="Q2289" s="30" t="str">
        <f>VLOOKUP(B2289,辅助信息!E:M,9,FALSE)</f>
        <v>ZTWM-CDGS-XS-2024-0134-商投建工达州中医药科技成果示范园项目</v>
      </c>
      <c r="R2289" s="30"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104</v>
      </c>
      <c r="Q2290" s="30" t="str">
        <f>VLOOKUP(B2290,辅助信息!E:M,9,FALSE)</f>
        <v>ZTWM-CDGS-XS-2024-0134-商投建工达州中医药科技成果示范园项目</v>
      </c>
      <c r="R2290" s="30"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104</v>
      </c>
      <c r="Q2291" s="30" t="str">
        <f>VLOOKUP(B2291,辅助信息!E:M,9,FALSE)</f>
        <v>ZTWM-CDGS-XS-2024-0134-商投建工达州中医药科技成果示范园项目</v>
      </c>
      <c r="R2291" s="30"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30" t="str">
        <f>VLOOKUP(B2292,辅助信息!E:M,9,FALSE)</f>
        <v>ZTWM-CDYXGS-XS-2025-0014-宜宾兴港建材-三江新区长江工业园片区保障性租赁住房建设项目</v>
      </c>
      <c r="R2292" s="30" t="str">
        <f>_xlfn._xlws.FILTER(辅助信息!D:D,辅助信息!E:E=B2292)</f>
        <v>宜宾兴港三江新区长江工业园建设项目</v>
      </c>
    </row>
    <row r="2293" hidden="1" spans="2:18">
      <c r="B2293" s="41" t="s">
        <v>194</v>
      </c>
      <c r="C2293" s="71">
        <v>45855</v>
      </c>
      <c r="D2293" s="41" t="str">
        <f>VLOOKUP(B2293,辅助信息!E:K,7,FALSE)</f>
        <v>JWDD2025071500089</v>
      </c>
      <c r="E2293" s="41" t="str">
        <f>VLOOKUP(F2293,辅助信息!A:B,2,FALSE)</f>
        <v>盘螺</v>
      </c>
      <c r="F2293" s="41" t="s">
        <v>41</v>
      </c>
      <c r="G2293" s="37">
        <v>8</v>
      </c>
      <c r="H2293" s="135" t="str">
        <f>_xlfn.XLOOKUP(C2293&amp;F2293&amp;I2293&amp;J2293,'[1]2025年已发货'!$F:$F&amp;'[1]2025年已发货'!$C:$C&amp;'[1]2025年已发货'!$G:$G&amp;'[1]2025年已发货'!$H:$H,'[1]2025年已发货'!$E:$E,"未发货")</f>
        <v>未发货</v>
      </c>
      <c r="I2293" s="41" t="str">
        <f>VLOOKUP(B2293,辅助信息!E:I,3,FALSE)</f>
        <v>(宜宾兴港三江新区长江工业园保障性租赁住房建设项目-土建)四川省宜宾市翠屏区永善路南段宜宾市三江新区长江工业园区</v>
      </c>
      <c r="J2293" s="41" t="str">
        <f>VLOOKUP(B2293,辅助信息!E:I,4,FALSE)</f>
        <v>赵元虎</v>
      </c>
      <c r="K2293" s="41">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99</v>
      </c>
      <c r="Q2293" s="30" t="str">
        <f>VLOOKUP(B2293,辅助信息!E:M,9,FALSE)</f>
        <v>ZTWM-CDYXGS-XS-2025-0014-宜宾兴港建材-三江新区长江工业园片区保障性租赁住房建设项目</v>
      </c>
      <c r="R2293" s="30" t="str">
        <f>_xlfn._xlws.FILTER(辅助信息!D:D,辅助信息!E:E=B2293)</f>
        <v>宜宾兴港三江新区长江工业园建设项目</v>
      </c>
    </row>
    <row r="2294" hidden="1" spans="2:18">
      <c r="B2294" s="41" t="s">
        <v>194</v>
      </c>
      <c r="C2294" s="71">
        <v>45855</v>
      </c>
      <c r="D2294" s="41" t="str">
        <f>VLOOKUP(B2294,辅助信息!E:K,7,FALSE)</f>
        <v>JWDD2025071500089</v>
      </c>
      <c r="E2294" s="41" t="str">
        <f>VLOOKUP(F2294,辅助信息!A:B,2,FALSE)</f>
        <v>螺纹钢</v>
      </c>
      <c r="F2294" s="41" t="s">
        <v>27</v>
      </c>
      <c r="G2294" s="37">
        <v>10</v>
      </c>
      <c r="H2294" s="135" t="str">
        <f>_xlfn.XLOOKUP(C2294&amp;F2294&amp;I2294&amp;J2294,'[1]2025年已发货'!$F:$F&amp;'[1]2025年已发货'!$C:$C&amp;'[1]2025年已发货'!$G:$G&amp;'[1]2025年已发货'!$H:$H,'[1]2025年已发货'!$E:$E,"未发货")</f>
        <v>未发货</v>
      </c>
      <c r="I2294" s="41" t="str">
        <f>VLOOKUP(B2294,辅助信息!E:I,3,FALSE)</f>
        <v>(宜宾兴港三江新区长江工业园保障性租赁住房建设项目-土建)四川省宜宾市翠屏区永善路南段宜宾市三江新区长江工业园区</v>
      </c>
      <c r="J2294" s="41" t="str">
        <f>VLOOKUP(B2294,辅助信息!E:I,4,FALSE)</f>
        <v>赵元虎</v>
      </c>
      <c r="K2294" s="41">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99</v>
      </c>
      <c r="Q2294" s="30" t="str">
        <f>VLOOKUP(B2294,辅助信息!E:M,9,FALSE)</f>
        <v>ZTWM-CDYXGS-XS-2025-0014-宜宾兴港建材-三江新区长江工业园片区保障性租赁住房建设项目</v>
      </c>
      <c r="R2294" s="30" t="str">
        <f>_xlfn._xlws.FILTER(辅助信息!D:D,辅助信息!E:E=B2294)</f>
        <v>宜宾兴港三江新区长江工业园建设项目</v>
      </c>
    </row>
    <row r="2295" hidden="1" spans="2:18">
      <c r="B2295" s="41" t="s">
        <v>194</v>
      </c>
      <c r="C2295" s="71">
        <v>45855</v>
      </c>
      <c r="D2295" s="41" t="str">
        <f>VLOOKUP(B2295,辅助信息!E:K,7,FALSE)</f>
        <v>JWDD2025071500089</v>
      </c>
      <c r="E2295" s="41" t="str">
        <f>VLOOKUP(F2295,辅助信息!A:B,2,FALSE)</f>
        <v>螺纹钢</v>
      </c>
      <c r="F2295" s="41" t="s">
        <v>19</v>
      </c>
      <c r="G2295" s="37">
        <v>50</v>
      </c>
      <c r="H2295" s="135" t="str">
        <f>_xlfn.XLOOKUP(C2295&amp;F2295&amp;I2295&amp;J2295,'[1]2025年已发货'!$F:$F&amp;'[1]2025年已发货'!$C:$C&amp;'[1]2025年已发货'!$G:$G&amp;'[1]2025年已发货'!$H:$H,'[1]2025年已发货'!$E:$E,"未发货")</f>
        <v>未发货</v>
      </c>
      <c r="I2295" s="41" t="str">
        <f>VLOOKUP(B2295,辅助信息!E:I,3,FALSE)</f>
        <v>(宜宾兴港三江新区长江工业园保障性租赁住房建设项目-土建)四川省宜宾市翠屏区永善路南段宜宾市三江新区长江工业园区</v>
      </c>
      <c r="J2295" s="41" t="str">
        <f>VLOOKUP(B2295,辅助信息!E:I,4,FALSE)</f>
        <v>赵元虎</v>
      </c>
      <c r="K2295" s="41">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99</v>
      </c>
      <c r="Q2295" s="30" t="str">
        <f>VLOOKUP(B2295,辅助信息!E:M,9,FALSE)</f>
        <v>ZTWM-CDYXGS-XS-2025-0014-宜宾兴港建材-三江新区长江工业园片区保障性租赁住房建设项目</v>
      </c>
      <c r="R2295" s="30" t="str">
        <f>_xlfn._xlws.FILTER(辅助信息!D:D,辅助信息!E:E=B2295)</f>
        <v>宜宾兴港三江新区长江工业园建设项目</v>
      </c>
    </row>
    <row r="2296" hidden="1" spans="2:18">
      <c r="B2296" s="41" t="s">
        <v>194</v>
      </c>
      <c r="C2296" s="71">
        <v>45855</v>
      </c>
      <c r="D2296" s="41" t="str">
        <f>VLOOKUP(B2296,辅助信息!E:K,7,FALSE)</f>
        <v>JWDD2025071500089</v>
      </c>
      <c r="E2296" s="41" t="str">
        <f>VLOOKUP(F2296,辅助信息!A:B,2,FALSE)</f>
        <v>螺纹钢</v>
      </c>
      <c r="F2296" s="41" t="s">
        <v>32</v>
      </c>
      <c r="G2296" s="37">
        <v>50</v>
      </c>
      <c r="H2296" s="135" t="str">
        <f>_xlfn.XLOOKUP(C2296&amp;F2296&amp;I2296&amp;J2296,'[1]2025年已发货'!$F:$F&amp;'[1]2025年已发货'!$C:$C&amp;'[1]2025年已发货'!$G:$G&amp;'[1]2025年已发货'!$H:$H,'[1]2025年已发货'!$E:$E,"未发货")</f>
        <v>未发货</v>
      </c>
      <c r="I2296" s="41" t="str">
        <f>VLOOKUP(B2296,辅助信息!E:I,3,FALSE)</f>
        <v>(宜宾兴港三江新区长江工业园保障性租赁住房建设项目-土建)四川省宜宾市翠屏区永善路南段宜宾市三江新区长江工业园区</v>
      </c>
      <c r="J2296" s="41" t="str">
        <f>VLOOKUP(B2296,辅助信息!E:I,4,FALSE)</f>
        <v>赵元虎</v>
      </c>
      <c r="K2296" s="41">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99</v>
      </c>
      <c r="Q2296" s="30" t="str">
        <f>VLOOKUP(B2296,辅助信息!E:M,9,FALSE)</f>
        <v>ZTWM-CDYXGS-XS-2025-0014-宜宾兴港建材-三江新区长江工业园片区保障性租赁住房建设项目</v>
      </c>
      <c r="R2296" s="30" t="str">
        <f>_xlfn._xlws.FILTER(辅助信息!D:D,辅助信息!E:E=B2296)</f>
        <v>宜宾兴港三江新区长江工业园建设项目</v>
      </c>
    </row>
    <row r="2297" hidden="1" spans="2:18">
      <c r="B2297" s="41" t="s">
        <v>194</v>
      </c>
      <c r="C2297" s="71">
        <v>45855</v>
      </c>
      <c r="D2297" s="41" t="str">
        <f>VLOOKUP(B2297,辅助信息!E:K,7,FALSE)</f>
        <v>JWDD2025071500089</v>
      </c>
      <c r="E2297" s="41" t="str">
        <f>VLOOKUP(F2297,辅助信息!A:B,2,FALSE)</f>
        <v>螺纹钢</v>
      </c>
      <c r="F2297" s="41" t="s">
        <v>30</v>
      </c>
      <c r="G2297" s="37">
        <v>25</v>
      </c>
      <c r="H2297" s="135" t="str">
        <f>_xlfn.XLOOKUP(C2297&amp;F2297&amp;I2297&amp;J2297,'[1]2025年已发货'!$F:$F&amp;'[1]2025年已发货'!$C:$C&amp;'[1]2025年已发货'!$G:$G&amp;'[1]2025年已发货'!$H:$H,'[1]2025年已发货'!$E:$E,"未发货")</f>
        <v>未发货</v>
      </c>
      <c r="I2297" s="41" t="str">
        <f>VLOOKUP(B2297,辅助信息!E:I,3,FALSE)</f>
        <v>(宜宾兴港三江新区长江工业园保障性租赁住房建设项目-土建)四川省宜宾市翠屏区永善路南段宜宾市三江新区长江工业园区</v>
      </c>
      <c r="J2297" s="41" t="str">
        <f>VLOOKUP(B2297,辅助信息!E:I,4,FALSE)</f>
        <v>赵元虎</v>
      </c>
      <c r="K2297" s="41">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99</v>
      </c>
      <c r="Q2297" s="30" t="str">
        <f>VLOOKUP(B2297,辅助信息!E:M,9,FALSE)</f>
        <v>ZTWM-CDYXGS-XS-2025-0014-宜宾兴港建材-三江新区长江工业园片区保障性租赁住房建设项目</v>
      </c>
      <c r="R2297" s="30" t="str">
        <f>_xlfn._xlws.FILTER(辅助信息!D:D,辅助信息!E:E=B2297)</f>
        <v>宜宾兴港三江新区长江工业园建设项目</v>
      </c>
    </row>
    <row r="2298" hidden="1" spans="2:18">
      <c r="B2298" s="41" t="s">
        <v>194</v>
      </c>
      <c r="C2298" s="71">
        <v>45855</v>
      </c>
      <c r="D2298" s="41" t="str">
        <f>VLOOKUP(B2298,辅助信息!E:K,7,FALSE)</f>
        <v>JWDD2025071500089</v>
      </c>
      <c r="E2298" s="41" t="str">
        <f>VLOOKUP(F2298,辅助信息!A:B,2,FALSE)</f>
        <v>螺纹钢</v>
      </c>
      <c r="F2298" s="41" t="s">
        <v>28</v>
      </c>
      <c r="G2298" s="37">
        <v>6</v>
      </c>
      <c r="H2298" s="135" t="str">
        <f>_xlfn.XLOOKUP(C2298&amp;F2298&amp;I2298&amp;J2298,'[1]2025年已发货'!$F:$F&amp;'[1]2025年已发货'!$C:$C&amp;'[1]2025年已发货'!$G:$G&amp;'[1]2025年已发货'!$H:$H,'[1]2025年已发货'!$E:$E,"未发货")</f>
        <v>未发货</v>
      </c>
      <c r="I2298" s="41" t="str">
        <f>VLOOKUP(B2298,辅助信息!E:I,3,FALSE)</f>
        <v>(宜宾兴港三江新区长江工业园保障性租赁住房建设项目-土建)四川省宜宾市翠屏区永善路南段宜宾市三江新区长江工业园区</v>
      </c>
      <c r="J2298" s="41" t="str">
        <f>VLOOKUP(B2298,辅助信息!E:I,4,FALSE)</f>
        <v>赵元虎</v>
      </c>
      <c r="K2298" s="41">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99</v>
      </c>
      <c r="Q2298" s="30" t="str">
        <f>VLOOKUP(B2298,辅助信息!E:M,9,FALSE)</f>
        <v>ZTWM-CDYXGS-XS-2025-0014-宜宾兴港建材-三江新区长江工业园片区保障性租赁住房建设项目</v>
      </c>
      <c r="R2298" s="30" t="str">
        <f>_xlfn._xlws.FILTER(辅助信息!D:D,辅助信息!E:E=B2298)</f>
        <v>宜宾兴港三江新区长江工业园建设项目</v>
      </c>
    </row>
    <row r="2299" hidden="1" spans="2:18">
      <c r="B2299" s="41" t="s">
        <v>194</v>
      </c>
      <c r="C2299" s="71">
        <v>45855</v>
      </c>
      <c r="D2299" s="41" t="str">
        <f>VLOOKUP(B2299,辅助信息!E:K,7,FALSE)</f>
        <v>JWDD2025071500089</v>
      </c>
      <c r="E2299" s="41" t="str">
        <f>VLOOKUP(F2299,辅助信息!A:B,2,FALSE)</f>
        <v>螺纹钢</v>
      </c>
      <c r="F2299" s="41" t="s">
        <v>18</v>
      </c>
      <c r="G2299" s="37">
        <v>38</v>
      </c>
      <c r="H2299" s="135" t="str">
        <f>_xlfn.XLOOKUP(C2299&amp;F2299&amp;I2299&amp;J2299,'[1]2025年已发货'!$F:$F&amp;'[1]2025年已发货'!$C:$C&amp;'[1]2025年已发货'!$G:$G&amp;'[1]2025年已发货'!$H:$H,'[1]2025年已发货'!$E:$E,"未发货")</f>
        <v>未发货</v>
      </c>
      <c r="I2299" s="41" t="str">
        <f>VLOOKUP(B2299,辅助信息!E:I,3,FALSE)</f>
        <v>(宜宾兴港三江新区长江工业园保障性租赁住房建设项目-土建)四川省宜宾市翠屏区永善路南段宜宾市三江新区长江工业园区</v>
      </c>
      <c r="J2299" s="41" t="str">
        <f>VLOOKUP(B2299,辅助信息!E:I,4,FALSE)</f>
        <v>赵元虎</v>
      </c>
      <c r="K2299" s="41">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99</v>
      </c>
      <c r="Q2299" s="30" t="str">
        <f>VLOOKUP(B2299,辅助信息!E:M,9,FALSE)</f>
        <v>ZTWM-CDYXGS-XS-2025-0014-宜宾兴港建材-三江新区长江工业园片区保障性租赁住房建设项目</v>
      </c>
      <c r="R2299" s="30" t="str">
        <f>_xlfn._xlws.FILTER(辅助信息!D:D,辅助信息!E:E=B2299)</f>
        <v>宜宾兴港三江新区长江工业园建设项目</v>
      </c>
    </row>
    <row r="2300" hidden="1" spans="2:18">
      <c r="B2300" s="41" t="s">
        <v>167</v>
      </c>
      <c r="C2300" s="71">
        <v>45856</v>
      </c>
      <c r="D2300" s="41" t="str">
        <f>VLOOKUP(B2300,辅助信息!E:K,7,FALSE)</f>
        <v>JWDDCD2025102100473</v>
      </c>
      <c r="E2300" s="41" t="str">
        <f>VLOOKUP(F2300,辅助信息!A:B,2,FALSE)</f>
        <v>螺纹钢</v>
      </c>
      <c r="F2300" s="41" t="s">
        <v>19</v>
      </c>
      <c r="G2300" s="37">
        <v>12</v>
      </c>
      <c r="H2300" s="135">
        <f>_xlfn.XLOOKUP(C2300&amp;F2300&amp;I2300&amp;J2300,'[1]2025年已发货'!$F:$F&amp;'[1]2025年已发货'!$C:$C&amp;'[1]2025年已发货'!$G:$G&amp;'[1]2025年已发货'!$H:$H,'[1]2025年已发货'!$E:$E,"未发货")</f>
        <v>12</v>
      </c>
      <c r="I2300" s="41" t="str">
        <f>VLOOKUP(B2300,辅助信息!E:I,3,FALSE)</f>
        <v>(五冶建设扩建艺体中学二期工程)四川省成都市双流区光荣路成都艺体中学南200米</v>
      </c>
      <c r="J2300" s="41" t="str">
        <f>VLOOKUP(B2300,辅助信息!E:I,4,FALSE)</f>
        <v>谢序强</v>
      </c>
      <c r="K2300" s="41">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99</v>
      </c>
      <c r="Q2300" s="30" t="str">
        <f>VLOOKUP(B2300,辅助信息!E:M,9,FALSE)</f>
        <v>ZTWM-CDGS-XS-2025-0073-五冶天府-成都怡心湖片区及龙泉驿医院等项目</v>
      </c>
      <c r="R2300" s="30" t="str">
        <f>_xlfn._xlws.FILTER(辅助信息!D:D,辅助信息!E:E=B2300)</f>
        <v>五冶建设扩建艺体中学二期工程</v>
      </c>
    </row>
    <row r="2301" hidden="1" spans="2:18">
      <c r="B2301" s="41" t="s">
        <v>167</v>
      </c>
      <c r="C2301" s="71">
        <v>45856</v>
      </c>
      <c r="D2301" s="41" t="str">
        <f>VLOOKUP(B2301,辅助信息!E:K,7,FALSE)</f>
        <v>JWDDCD2025102100473</v>
      </c>
      <c r="E2301" s="41" t="str">
        <f>VLOOKUP(F2301,辅助信息!A:B,2,FALSE)</f>
        <v>螺纹钢</v>
      </c>
      <c r="F2301" s="41" t="s">
        <v>32</v>
      </c>
      <c r="G2301" s="37">
        <v>40</v>
      </c>
      <c r="H2301" s="135">
        <f>_xlfn.XLOOKUP(C2301&amp;F2301&amp;I2301&amp;J2301,'[1]2025年已发货'!$F:$F&amp;'[1]2025年已发货'!$C:$C&amp;'[1]2025年已发货'!$G:$G&amp;'[1]2025年已发货'!$H:$H,'[1]2025年已发货'!$E:$E,"未发货")</f>
        <v>40</v>
      </c>
      <c r="I2301" s="41" t="str">
        <f>VLOOKUP(B2301,辅助信息!E:I,3,FALSE)</f>
        <v>(五冶建设扩建艺体中学二期工程)四川省成都市双流区光荣路成都艺体中学南200米</v>
      </c>
      <c r="J2301" s="41" t="str">
        <f>VLOOKUP(B2301,辅助信息!E:I,4,FALSE)</f>
        <v>谢序强</v>
      </c>
      <c r="K2301" s="41">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99</v>
      </c>
      <c r="Q2301" s="30" t="str">
        <f>VLOOKUP(B2301,辅助信息!E:M,9,FALSE)</f>
        <v>ZTWM-CDGS-XS-2025-0073-五冶天府-成都怡心湖片区及龙泉驿医院等项目</v>
      </c>
      <c r="R2301" s="30" t="str">
        <f>_xlfn._xlws.FILTER(辅助信息!D:D,辅助信息!E:E=B2301)</f>
        <v>五冶建设扩建艺体中学二期工程</v>
      </c>
    </row>
    <row r="2302" hidden="1" spans="2:18">
      <c r="B2302" s="41" t="s">
        <v>167</v>
      </c>
      <c r="C2302" s="71">
        <v>45856</v>
      </c>
      <c r="D2302" s="41" t="str">
        <f>VLOOKUP(B2302,辅助信息!E:K,7,FALSE)</f>
        <v>JWDDCD2025102100473</v>
      </c>
      <c r="E2302" s="41" t="str">
        <f>VLOOKUP(F2302,辅助信息!A:B,2,FALSE)</f>
        <v>螺纹钢</v>
      </c>
      <c r="F2302" s="41" t="s">
        <v>30</v>
      </c>
      <c r="G2302" s="37">
        <f>205-70</f>
        <v>135</v>
      </c>
      <c r="H2302" s="135">
        <f>_xlfn.XLOOKUP(C2302&amp;F2302&amp;I2302&amp;J2302,'[1]2025年已发货'!$F:$F&amp;'[1]2025年已发货'!$C:$C&amp;'[1]2025年已发货'!$G:$G&amp;'[1]2025年已发货'!$H:$H,'[1]2025年已发货'!$E:$E,"未发货")</f>
        <v>70</v>
      </c>
      <c r="I2302" s="41" t="str">
        <f>VLOOKUP(B2302,辅助信息!E:I,3,FALSE)</f>
        <v>(五冶建设扩建艺体中学二期工程)四川省成都市双流区光荣路成都艺体中学南200米</v>
      </c>
      <c r="J2302" s="41" t="str">
        <f>VLOOKUP(B2302,辅助信息!E:I,4,FALSE)</f>
        <v>谢序强</v>
      </c>
      <c r="K2302" s="41">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99</v>
      </c>
      <c r="Q2302" s="30" t="str">
        <f>VLOOKUP(B2302,辅助信息!E:M,9,FALSE)</f>
        <v>ZTWM-CDGS-XS-2025-0073-五冶天府-成都怡心湖片区及龙泉驿医院等项目</v>
      </c>
      <c r="R2302" s="30" t="str">
        <f>_xlfn._xlws.FILTER(辅助信息!D:D,辅助信息!E:E=B2302)</f>
        <v>五冶建设扩建艺体中学二期工程</v>
      </c>
    </row>
    <row r="2303" hidden="1" spans="2:18">
      <c r="B2303" s="41" t="s">
        <v>167</v>
      </c>
      <c r="C2303" s="71">
        <v>45856</v>
      </c>
      <c r="D2303" s="41" t="str">
        <f>VLOOKUP(B2303,辅助信息!E:K,7,FALSE)</f>
        <v>JWDDCD2025102100473</v>
      </c>
      <c r="E2303" s="41" t="str">
        <f>VLOOKUP(F2303,辅助信息!A:B,2,FALSE)</f>
        <v>螺纹钢</v>
      </c>
      <c r="F2303" s="41" t="s">
        <v>28</v>
      </c>
      <c r="G2303" s="37">
        <v>21</v>
      </c>
      <c r="H2303" s="135">
        <f>_xlfn.XLOOKUP(C2303&amp;F2303&amp;I2303&amp;J2303,'[1]2025年已发货'!$F:$F&amp;'[1]2025年已发货'!$C:$C&amp;'[1]2025年已发货'!$G:$G&amp;'[1]2025年已发货'!$H:$H,'[1]2025年已发货'!$E:$E,"未发货")</f>
        <v>21</v>
      </c>
      <c r="I2303" s="41" t="str">
        <f>VLOOKUP(B2303,辅助信息!E:I,3,FALSE)</f>
        <v>(五冶建设扩建艺体中学二期工程)四川省成都市双流区光荣路成都艺体中学南200米</v>
      </c>
      <c r="J2303" s="41" t="str">
        <f>VLOOKUP(B2303,辅助信息!E:I,4,FALSE)</f>
        <v>谢序强</v>
      </c>
      <c r="K2303" s="41">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99</v>
      </c>
      <c r="Q2303" s="30" t="str">
        <f>VLOOKUP(B2303,辅助信息!E:M,9,FALSE)</f>
        <v>ZTWM-CDGS-XS-2025-0073-五冶天府-成都怡心湖片区及龙泉驿医院等项目</v>
      </c>
      <c r="R2303" s="30" t="str">
        <f>_xlfn._xlws.FILTER(辅助信息!D:D,辅助信息!E:E=B2303)</f>
        <v>五冶建设扩建艺体中学二期工程</v>
      </c>
    </row>
    <row r="2304" hidden="1" spans="2:18">
      <c r="B2304" s="41" t="s">
        <v>31</v>
      </c>
      <c r="C2304" s="71">
        <v>45856</v>
      </c>
      <c r="D2304" s="41" t="str">
        <f>VLOOKUP(B2304,辅助信息!E:K,7,FALSE)</f>
        <v>JWDDCD2024121000136</v>
      </c>
      <c r="E2304" s="41" t="str">
        <f>VLOOKUP(F2304,辅助信息!A:B,2,FALSE)</f>
        <v>盘螺</v>
      </c>
      <c r="F2304" s="41" t="s">
        <v>49</v>
      </c>
      <c r="G2304" s="37">
        <v>26</v>
      </c>
      <c r="H2304" s="135">
        <f>_xlfn.XLOOKUP(C2304&amp;F2304&amp;I2304&amp;J2304,'[1]2025年已发货'!$F:$F&amp;'[1]2025年已发货'!$C:$C&amp;'[1]2025年已发货'!$G:$G&amp;'[1]2025年已发货'!$H:$H,'[1]2025年已发货'!$E:$E,"未发货")</f>
        <v>26</v>
      </c>
      <c r="I2304" s="41" t="str">
        <f>VLOOKUP(B2304,辅助信息!E:I,3,FALSE)</f>
        <v>（四川商建-射洪城乡一体化项目）遂宁市射洪市忠新幼儿园北侧约220米新溪小区</v>
      </c>
      <c r="J2304" s="41" t="str">
        <f>VLOOKUP(B2304,辅助信息!E:I,4,FALSE)</f>
        <v>柏子刚</v>
      </c>
      <c r="K2304" s="41">
        <f>VLOOKUP(J2304,辅助信息!H:I,2,FALSE)</f>
        <v>15692885305</v>
      </c>
      <c r="L2304" s="110" t="str">
        <f>VLOOKUP(B2304,辅助信息!E:J,6,FALSE)</f>
        <v>提前联系到场规格及数量</v>
      </c>
      <c r="M2304" s="92">
        <v>45860</v>
      </c>
      <c r="O2304" s="63">
        <f ca="1" t="shared" si="151"/>
        <v>0</v>
      </c>
      <c r="P2304" s="63">
        <f ca="1" t="shared" si="152"/>
        <v>99</v>
      </c>
      <c r="Q2304" s="30" t="str">
        <f>VLOOKUP(B2304,辅助信息!E:M,9,FALSE)</f>
        <v>ZTWM-CDGS-XS-2024-0179-四川商投-射洪城乡一体化建设项目</v>
      </c>
      <c r="R2304" s="30" t="str">
        <f>_xlfn._xlws.FILTER(辅助信息!D:D,辅助信息!E:E=B2304)</f>
        <v>四川商建
射洪城乡一体化项目</v>
      </c>
    </row>
    <row r="2305" hidden="1" spans="2:18">
      <c r="B2305" s="41" t="s">
        <v>31</v>
      </c>
      <c r="C2305" s="71">
        <v>45856</v>
      </c>
      <c r="D2305" s="41" t="str">
        <f>VLOOKUP(B2305,辅助信息!E:K,7,FALSE)</f>
        <v>JWDDCD2024121000136</v>
      </c>
      <c r="E2305" s="41" t="str">
        <f>VLOOKUP(F2305,辅助信息!A:B,2,FALSE)</f>
        <v>螺纹钢</v>
      </c>
      <c r="F2305" s="41" t="s">
        <v>18</v>
      </c>
      <c r="G2305" s="37">
        <v>9</v>
      </c>
      <c r="H2305" s="135">
        <f>_xlfn.XLOOKUP(C2305&amp;F2305&amp;I2305&amp;J2305,'[1]2025年已发货'!$F:$F&amp;'[1]2025年已发货'!$C:$C&amp;'[1]2025年已发货'!$G:$G&amp;'[1]2025年已发货'!$H:$H,'[1]2025年已发货'!$E:$E,"未发货")</f>
        <v>9</v>
      </c>
      <c r="I2305" s="41" t="str">
        <f>VLOOKUP(B2305,辅助信息!E:I,3,FALSE)</f>
        <v>（四川商建-射洪城乡一体化项目）遂宁市射洪市忠新幼儿园北侧约220米新溪小区</v>
      </c>
      <c r="J2305" s="41" t="str">
        <f>VLOOKUP(B2305,辅助信息!E:I,4,FALSE)</f>
        <v>柏子刚</v>
      </c>
      <c r="K2305" s="41">
        <f>VLOOKUP(J2305,辅助信息!H:I,2,FALSE)</f>
        <v>15692885305</v>
      </c>
      <c r="L2305" s="110" t="str">
        <f>VLOOKUP(B2305,辅助信息!E:J,6,FALSE)</f>
        <v>提前联系到场规格及数量</v>
      </c>
      <c r="M2305" s="92">
        <v>45860</v>
      </c>
      <c r="O2305" s="63">
        <f ca="1" t="shared" si="151"/>
        <v>0</v>
      </c>
      <c r="P2305" s="63">
        <f ca="1" t="shared" si="152"/>
        <v>99</v>
      </c>
      <c r="Q2305" s="30" t="str">
        <f>VLOOKUP(B2305,辅助信息!E:M,9,FALSE)</f>
        <v>ZTWM-CDGS-XS-2024-0179-四川商投-射洪城乡一体化建设项目</v>
      </c>
      <c r="R2305" s="30" t="str">
        <f>_xlfn._xlws.FILTER(辅助信息!D:D,辅助信息!E:E=B2305)</f>
        <v>四川商建
射洪城乡一体化项目</v>
      </c>
    </row>
    <row r="2306" hidden="1" spans="2:18">
      <c r="B2306" s="41" t="s">
        <v>196</v>
      </c>
      <c r="C2306" s="71">
        <v>45857</v>
      </c>
      <c r="D2306" s="41" t="str">
        <f>VLOOKUP(B2306,辅助信息!E:K,7,FALSE)</f>
        <v>JWDDCD2025102100476</v>
      </c>
      <c r="E2306" s="41" t="str">
        <f>VLOOKUP(F2306,辅助信息!A:B,2,FALSE)</f>
        <v>盘螺</v>
      </c>
      <c r="F2306" s="41" t="s">
        <v>49</v>
      </c>
      <c r="G2306" s="37">
        <v>2.5</v>
      </c>
      <c r="H2306" s="135">
        <v>2.5</v>
      </c>
      <c r="I2306" s="41" t="str">
        <f>VLOOKUP(B2306,辅助信息!E:I,3,FALSE)</f>
        <v>(五冶建设师大附中外语校新建教学楼工程)四川省成都市成华区大观堰2号(四川师范大学附属中学外国语学校)</v>
      </c>
      <c r="J2306" s="41" t="str">
        <f>VLOOKUP(B2306,辅助信息!E:I,4,FALSE)</f>
        <v>蔡浩</v>
      </c>
      <c r="K2306" s="41">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99</v>
      </c>
      <c r="Q2306" s="30" t="str">
        <f>VLOOKUP(B2306,辅助信息!E:M,9,FALSE)</f>
        <v>ZTWM-CDGS-XS-2025-0073-五冶天府-成都怡心湖片区及龙泉驿医院等项目</v>
      </c>
      <c r="R2306" s="30" t="str">
        <f>_xlfn._xlws.FILTER(辅助信息!D:D,辅助信息!E:E=B2306)</f>
        <v>五冶建设师大附中外语校新建教学楼工程</v>
      </c>
    </row>
    <row r="2307" hidden="1" spans="2:18">
      <c r="B2307" s="41" t="s">
        <v>196</v>
      </c>
      <c r="C2307" s="71">
        <v>45857</v>
      </c>
      <c r="D2307" s="41" t="str">
        <f>VLOOKUP(B2307,辅助信息!E:K,7,FALSE)</f>
        <v>JWDDCD2025102100476</v>
      </c>
      <c r="E2307" s="41" t="str">
        <f>VLOOKUP(F2307,辅助信息!A:B,2,FALSE)</f>
        <v>盘螺</v>
      </c>
      <c r="F2307" s="41" t="s">
        <v>40</v>
      </c>
      <c r="G2307" s="37">
        <v>5</v>
      </c>
      <c r="H2307" s="135">
        <v>5</v>
      </c>
      <c r="I2307" s="41" t="str">
        <f>VLOOKUP(B2307,辅助信息!E:I,3,FALSE)</f>
        <v>(五冶建设师大附中外语校新建教学楼工程)四川省成都市成华区大观堰2号(四川师范大学附属中学外国语学校)</v>
      </c>
      <c r="J2307" s="41" t="str">
        <f>VLOOKUP(B2307,辅助信息!E:I,4,FALSE)</f>
        <v>蔡浩</v>
      </c>
      <c r="K2307" s="41">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99</v>
      </c>
      <c r="Q2307" s="30" t="str">
        <f>VLOOKUP(B2307,辅助信息!E:M,9,FALSE)</f>
        <v>ZTWM-CDGS-XS-2025-0073-五冶天府-成都怡心湖片区及龙泉驿医院等项目</v>
      </c>
      <c r="R2307" s="30" t="str">
        <f>_xlfn._xlws.FILTER(辅助信息!D:D,辅助信息!E:E=B2307)</f>
        <v>五冶建设师大附中外语校新建教学楼工程</v>
      </c>
    </row>
    <row r="2308" hidden="1" spans="2:18">
      <c r="B2308" s="41" t="s">
        <v>196</v>
      </c>
      <c r="C2308" s="71">
        <v>45857</v>
      </c>
      <c r="D2308" s="41" t="str">
        <f>VLOOKUP(B2308,辅助信息!E:K,7,FALSE)</f>
        <v>JWDDCD2025102100476</v>
      </c>
      <c r="E2308" s="41" t="str">
        <f>VLOOKUP(F2308,辅助信息!A:B,2,FALSE)</f>
        <v>盘螺</v>
      </c>
      <c r="F2308" s="41" t="s">
        <v>41</v>
      </c>
      <c r="G2308" s="37">
        <v>2.5</v>
      </c>
      <c r="H2308" s="135">
        <v>2.5</v>
      </c>
      <c r="I2308" s="41" t="str">
        <f>VLOOKUP(B2308,辅助信息!E:I,3,FALSE)</f>
        <v>(五冶建设师大附中外语校新建教学楼工程)四川省成都市成华区大观堰2号(四川师范大学附属中学外国语学校)</v>
      </c>
      <c r="J2308" s="41" t="str">
        <f>VLOOKUP(B2308,辅助信息!E:I,4,FALSE)</f>
        <v>蔡浩</v>
      </c>
      <c r="K2308" s="41">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99</v>
      </c>
      <c r="Q2308" s="30" t="str">
        <f>VLOOKUP(B2308,辅助信息!E:M,9,FALSE)</f>
        <v>ZTWM-CDGS-XS-2025-0073-五冶天府-成都怡心湖片区及龙泉驿医院等项目</v>
      </c>
      <c r="R2308" s="30" t="str">
        <f>_xlfn._xlws.FILTER(辅助信息!D:D,辅助信息!E:E=B2308)</f>
        <v>五冶建设师大附中外语校新建教学楼工程</v>
      </c>
    </row>
    <row r="2309" hidden="1" spans="2:18">
      <c r="B2309" s="41" t="s">
        <v>196</v>
      </c>
      <c r="C2309" s="71">
        <v>45857</v>
      </c>
      <c r="D2309" s="41" t="str">
        <f>VLOOKUP(B2309,辅助信息!E:K,7,FALSE)</f>
        <v>JWDDCD2025102100476</v>
      </c>
      <c r="E2309" s="41" t="str">
        <f>VLOOKUP(F2309,辅助信息!A:B,2,FALSE)</f>
        <v>螺纹钢</v>
      </c>
      <c r="F2309" s="41" t="s">
        <v>27</v>
      </c>
      <c r="G2309" s="37">
        <v>40</v>
      </c>
      <c r="H2309" s="135">
        <v>40</v>
      </c>
      <c r="I2309" s="41" t="str">
        <f>VLOOKUP(B2309,辅助信息!E:I,3,FALSE)</f>
        <v>(五冶建设师大附中外语校新建教学楼工程)四川省成都市成华区大观堰2号(四川师范大学附属中学外国语学校)</v>
      </c>
      <c r="J2309" s="41" t="str">
        <f>VLOOKUP(B2309,辅助信息!E:I,4,FALSE)</f>
        <v>蔡浩</v>
      </c>
      <c r="K2309" s="41">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99</v>
      </c>
      <c r="Q2309" s="30" t="str">
        <f>VLOOKUP(B2309,辅助信息!E:M,9,FALSE)</f>
        <v>ZTWM-CDGS-XS-2025-0073-五冶天府-成都怡心湖片区及龙泉驿医院等项目</v>
      </c>
      <c r="R2309" s="30" t="str">
        <f>_xlfn._xlws.FILTER(辅助信息!D:D,辅助信息!E:E=B2309)</f>
        <v>五冶建设师大附中外语校新建教学楼工程</v>
      </c>
    </row>
    <row r="2310" hidden="1" spans="2:18">
      <c r="B2310" s="41" t="s">
        <v>196</v>
      </c>
      <c r="C2310" s="71">
        <v>45857</v>
      </c>
      <c r="D2310" s="41" t="str">
        <f>VLOOKUP(B2310,辅助信息!E:K,7,FALSE)</f>
        <v>JWDDCD2025102100476</v>
      </c>
      <c r="E2310" s="41" t="str">
        <f>VLOOKUP(F2310,辅助信息!A:B,2,FALSE)</f>
        <v>螺纹钢</v>
      </c>
      <c r="F2310" s="41" t="s">
        <v>19</v>
      </c>
      <c r="G2310" s="37">
        <v>70</v>
      </c>
      <c r="H2310" s="135">
        <v>70</v>
      </c>
      <c r="I2310" s="41" t="str">
        <f>VLOOKUP(B2310,辅助信息!E:I,3,FALSE)</f>
        <v>(五冶建设师大附中外语校新建教学楼工程)四川省成都市成华区大观堰2号(四川师范大学附属中学外国语学校)</v>
      </c>
      <c r="J2310" s="41" t="str">
        <f>VLOOKUP(B2310,辅助信息!E:I,4,FALSE)</f>
        <v>蔡浩</v>
      </c>
      <c r="K2310" s="41">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99</v>
      </c>
      <c r="Q2310" s="30" t="str">
        <f>VLOOKUP(B2310,辅助信息!E:M,9,FALSE)</f>
        <v>ZTWM-CDGS-XS-2025-0073-五冶天府-成都怡心湖片区及龙泉驿医院等项目</v>
      </c>
      <c r="R2310" s="30" t="str">
        <f>_xlfn._xlws.FILTER(辅助信息!D:D,辅助信息!E:E=B2310)</f>
        <v>五冶建设师大附中外语校新建教学楼工程</v>
      </c>
    </row>
    <row r="2311" hidden="1" spans="2:18">
      <c r="B2311" s="41" t="s">
        <v>196</v>
      </c>
      <c r="C2311" s="71">
        <v>45857</v>
      </c>
      <c r="D2311" s="41" t="str">
        <f>VLOOKUP(B2311,辅助信息!E:K,7,FALSE)</f>
        <v>JWDDCD2025102100476</v>
      </c>
      <c r="E2311" s="41" t="str">
        <f>VLOOKUP(F2311,辅助信息!A:B,2,FALSE)</f>
        <v>螺纹钢</v>
      </c>
      <c r="F2311" s="41" t="s">
        <v>32</v>
      </c>
      <c r="G2311" s="37">
        <v>15</v>
      </c>
      <c r="H2311" s="135">
        <v>15</v>
      </c>
      <c r="I2311" s="41" t="str">
        <f>VLOOKUP(B2311,辅助信息!E:I,3,FALSE)</f>
        <v>(五冶建设师大附中外语校新建教学楼工程)四川省成都市成华区大观堰2号(四川师范大学附属中学外国语学校)</v>
      </c>
      <c r="J2311" s="41" t="str">
        <f>VLOOKUP(B2311,辅助信息!E:I,4,FALSE)</f>
        <v>蔡浩</v>
      </c>
      <c r="K2311" s="41">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99</v>
      </c>
      <c r="Q2311" s="30" t="str">
        <f>VLOOKUP(B2311,辅助信息!E:M,9,FALSE)</f>
        <v>ZTWM-CDGS-XS-2025-0073-五冶天府-成都怡心湖片区及龙泉驿医院等项目</v>
      </c>
      <c r="R2311" s="30" t="str">
        <f>_xlfn._xlws.FILTER(辅助信息!D:D,辅助信息!E:E=B2311)</f>
        <v>五冶建设师大附中外语校新建教学楼工程</v>
      </c>
    </row>
    <row r="2312" hidden="1" spans="2:18">
      <c r="B2312" s="41" t="s">
        <v>196</v>
      </c>
      <c r="C2312" s="71">
        <v>45857</v>
      </c>
      <c r="D2312" s="41" t="str">
        <f>VLOOKUP(B2312,辅助信息!E:K,7,FALSE)</f>
        <v>JWDDCD2025102100476</v>
      </c>
      <c r="E2312" s="41" t="str">
        <f>VLOOKUP(F2312,辅助信息!A:B,2,FALSE)</f>
        <v>螺纹钢</v>
      </c>
      <c r="F2312" s="41" t="s">
        <v>30</v>
      </c>
      <c r="G2312" s="37">
        <v>30</v>
      </c>
      <c r="H2312" s="135">
        <v>30</v>
      </c>
      <c r="I2312" s="41" t="str">
        <f>VLOOKUP(B2312,辅助信息!E:I,3,FALSE)</f>
        <v>(五冶建设师大附中外语校新建教学楼工程)四川省成都市成华区大观堰2号(四川师范大学附属中学外国语学校)</v>
      </c>
      <c r="J2312" s="41" t="str">
        <f>VLOOKUP(B2312,辅助信息!E:I,4,FALSE)</f>
        <v>蔡浩</v>
      </c>
      <c r="K2312" s="41">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99</v>
      </c>
      <c r="Q2312" s="30" t="str">
        <f>VLOOKUP(B2312,辅助信息!E:M,9,FALSE)</f>
        <v>ZTWM-CDGS-XS-2025-0073-五冶天府-成都怡心湖片区及龙泉驿医院等项目</v>
      </c>
      <c r="R2312" s="30" t="str">
        <f>_xlfn._xlws.FILTER(辅助信息!D:D,辅助信息!E:E=B2312)</f>
        <v>五冶建设师大附中外语校新建教学楼工程</v>
      </c>
    </row>
    <row r="2313" hidden="1" spans="2:18">
      <c r="B2313" s="41" t="s">
        <v>196</v>
      </c>
      <c r="C2313" s="71">
        <v>45857</v>
      </c>
      <c r="D2313" s="41" t="str">
        <f>VLOOKUP(B2313,辅助信息!E:K,7,FALSE)</f>
        <v>JWDDCD2025102100476</v>
      </c>
      <c r="E2313" s="41" t="str">
        <f>VLOOKUP(F2313,辅助信息!A:B,2,FALSE)</f>
        <v>螺纹钢</v>
      </c>
      <c r="F2313" s="41" t="s">
        <v>33</v>
      </c>
      <c r="G2313" s="37">
        <v>10</v>
      </c>
      <c r="H2313" s="135">
        <v>10</v>
      </c>
      <c r="I2313" s="41" t="str">
        <f>VLOOKUP(B2313,辅助信息!E:I,3,FALSE)</f>
        <v>(五冶建设师大附中外语校新建教学楼工程)四川省成都市成华区大观堰2号(四川师范大学附属中学外国语学校)</v>
      </c>
      <c r="J2313" s="41" t="str">
        <f>VLOOKUP(B2313,辅助信息!E:I,4,FALSE)</f>
        <v>蔡浩</v>
      </c>
      <c r="K2313" s="41">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99</v>
      </c>
      <c r="Q2313" s="30" t="str">
        <f>VLOOKUP(B2313,辅助信息!E:M,9,FALSE)</f>
        <v>ZTWM-CDGS-XS-2025-0073-五冶天府-成都怡心湖片区及龙泉驿医院等项目</v>
      </c>
      <c r="R2313" s="30" t="str">
        <f>_xlfn._xlws.FILTER(辅助信息!D:D,辅助信息!E:E=B2313)</f>
        <v>五冶建设师大附中外语校新建教学楼工程</v>
      </c>
    </row>
    <row r="2314" hidden="1" spans="2:18">
      <c r="B2314" s="41" t="s">
        <v>196</v>
      </c>
      <c r="C2314" s="71">
        <v>45857</v>
      </c>
      <c r="D2314" s="41" t="str">
        <f>VLOOKUP(B2314,辅助信息!E:K,7,FALSE)</f>
        <v>JWDDCD2025102100476</v>
      </c>
      <c r="E2314" s="41" t="str">
        <f>VLOOKUP(F2314,辅助信息!A:B,2,FALSE)</f>
        <v>螺纹钢</v>
      </c>
      <c r="F2314" s="41" t="s">
        <v>28</v>
      </c>
      <c r="G2314" s="37">
        <v>10</v>
      </c>
      <c r="H2314" s="135">
        <v>10</v>
      </c>
      <c r="I2314" s="41" t="str">
        <f>VLOOKUP(B2314,辅助信息!E:I,3,FALSE)</f>
        <v>(五冶建设师大附中外语校新建教学楼工程)四川省成都市成华区大观堰2号(四川师范大学附属中学外国语学校)</v>
      </c>
      <c r="J2314" s="41" t="str">
        <f>VLOOKUP(B2314,辅助信息!E:I,4,FALSE)</f>
        <v>蔡浩</v>
      </c>
      <c r="K2314" s="41">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99</v>
      </c>
      <c r="Q2314" s="30" t="str">
        <f>VLOOKUP(B2314,辅助信息!E:M,9,FALSE)</f>
        <v>ZTWM-CDGS-XS-2025-0073-五冶天府-成都怡心湖片区及龙泉驿医院等项目</v>
      </c>
      <c r="R2314" s="30" t="str">
        <f>_xlfn._xlws.FILTER(辅助信息!D:D,辅助信息!E:E=B2314)</f>
        <v>五冶建设师大附中外语校新建教学楼工程</v>
      </c>
    </row>
    <row r="2315" hidden="1" spans="2:18">
      <c r="B2315" s="41" t="s">
        <v>196</v>
      </c>
      <c r="C2315" s="71">
        <v>45857</v>
      </c>
      <c r="D2315" s="41" t="str">
        <f>VLOOKUP(B2315,辅助信息!E:K,7,FALSE)</f>
        <v>JWDDCD2025102100476</v>
      </c>
      <c r="E2315" s="41" t="str">
        <f>VLOOKUP(F2315,辅助信息!A:B,2,FALSE)</f>
        <v>螺纹钢</v>
      </c>
      <c r="F2315" s="41" t="s">
        <v>18</v>
      </c>
      <c r="G2315" s="37">
        <v>20</v>
      </c>
      <c r="H2315" s="135">
        <v>20</v>
      </c>
      <c r="I2315" s="41" t="str">
        <f>VLOOKUP(B2315,辅助信息!E:I,3,FALSE)</f>
        <v>(五冶建设师大附中外语校新建教学楼工程)四川省成都市成华区大观堰2号(四川师范大学附属中学外国语学校)</v>
      </c>
      <c r="J2315" s="41" t="str">
        <f>VLOOKUP(B2315,辅助信息!E:I,4,FALSE)</f>
        <v>蔡浩</v>
      </c>
      <c r="K2315" s="41">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99</v>
      </c>
      <c r="Q2315" s="30" t="str">
        <f>VLOOKUP(B2315,辅助信息!E:M,9,FALSE)</f>
        <v>ZTWM-CDGS-XS-2025-0073-五冶天府-成都怡心湖片区及龙泉驿医院等项目</v>
      </c>
      <c r="R2315" s="30" t="str">
        <f>_xlfn._xlws.FILTER(辅助信息!D:D,辅助信息!E:E=B2315)</f>
        <v>五冶建设师大附中外语校新建教学楼工程</v>
      </c>
    </row>
    <row r="2316" hidden="1" spans="2:18">
      <c r="B2316" s="41" t="s">
        <v>196</v>
      </c>
      <c r="C2316" s="71">
        <v>45857</v>
      </c>
      <c r="D2316" s="41" t="str">
        <f>VLOOKUP(B2316,辅助信息!E:K,7,FALSE)</f>
        <v>JWDDCD2025102100476</v>
      </c>
      <c r="E2316" s="41" t="str">
        <f>VLOOKUP(F2316,辅助信息!A:B,2,FALSE)</f>
        <v>螺纹钢</v>
      </c>
      <c r="F2316" s="41" t="s">
        <v>65</v>
      </c>
      <c r="G2316" s="37">
        <v>12.5</v>
      </c>
      <c r="H2316" s="135">
        <v>12.5</v>
      </c>
      <c r="I2316" s="41" t="str">
        <f>VLOOKUP(B2316,辅助信息!E:I,3,FALSE)</f>
        <v>(五冶建设师大附中外语校新建教学楼工程)四川省成都市成华区大观堰2号(四川师范大学附属中学外国语学校)</v>
      </c>
      <c r="J2316" s="41" t="str">
        <f>VLOOKUP(B2316,辅助信息!E:I,4,FALSE)</f>
        <v>蔡浩</v>
      </c>
      <c r="K2316" s="41">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99</v>
      </c>
      <c r="Q2316" s="30" t="str">
        <f>VLOOKUP(B2316,辅助信息!E:M,9,FALSE)</f>
        <v>ZTWM-CDGS-XS-2025-0073-五冶天府-成都怡心湖片区及龙泉驿医院等项目</v>
      </c>
      <c r="R2316" s="30" t="str">
        <f>_xlfn._xlws.FILTER(辅助信息!D:D,辅助信息!E:E=B2316)</f>
        <v>五冶建设师大附中外语校新建教学楼工程</v>
      </c>
    </row>
    <row r="2317" hidden="1" spans="2:18">
      <c r="B2317" s="41" t="s">
        <v>196</v>
      </c>
      <c r="C2317" s="71">
        <v>45857</v>
      </c>
      <c r="D2317" s="41" t="str">
        <f>VLOOKUP(B2317,辅助信息!E:K,7,FALSE)</f>
        <v>JWDDCD2025102100476</v>
      </c>
      <c r="E2317" s="41" t="str">
        <f>VLOOKUP(F2317,辅助信息!A:B,2,FALSE)</f>
        <v>螺纹钢</v>
      </c>
      <c r="F2317" s="41" t="s">
        <v>45</v>
      </c>
      <c r="G2317" s="37">
        <v>2.5</v>
      </c>
      <c r="H2317" s="135">
        <v>2.5</v>
      </c>
      <c r="I2317" s="41" t="str">
        <f>VLOOKUP(B2317,辅助信息!E:I,3,FALSE)</f>
        <v>(五冶建设师大附中外语校新建教学楼工程)四川省成都市成华区大观堰2号(四川师范大学附属中学外国语学校)</v>
      </c>
      <c r="J2317" s="41" t="str">
        <f>VLOOKUP(B2317,辅助信息!E:I,4,FALSE)</f>
        <v>蔡浩</v>
      </c>
      <c r="K2317" s="41">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99</v>
      </c>
      <c r="Q2317" s="30" t="str">
        <f>VLOOKUP(B2317,辅助信息!E:M,9,FALSE)</f>
        <v>ZTWM-CDGS-XS-2025-0073-五冶天府-成都怡心湖片区及龙泉驿医院等项目</v>
      </c>
      <c r="R2317" s="30" t="str">
        <f>_xlfn._xlws.FILTER(辅助信息!D:D,辅助信息!E:E=B2317)</f>
        <v>五冶建设师大附中外语校新建教学楼工程</v>
      </c>
    </row>
    <row r="2318" hidden="1" spans="2:18">
      <c r="B2318" s="41" t="s">
        <v>196</v>
      </c>
      <c r="C2318" s="71">
        <v>45857</v>
      </c>
      <c r="D2318" s="41" t="str">
        <f>VLOOKUP(B2318,辅助信息!E:K,7,FALSE)</f>
        <v>JWDDCD2025102100476</v>
      </c>
      <c r="E2318" s="41" t="str">
        <f>VLOOKUP(F2318,辅助信息!A:B,2,FALSE)</f>
        <v>螺纹钢</v>
      </c>
      <c r="F2318" s="41" t="s">
        <v>21</v>
      </c>
      <c r="G2318" s="37">
        <v>2.5</v>
      </c>
      <c r="H2318" s="135">
        <v>2.5</v>
      </c>
      <c r="I2318" s="41" t="str">
        <f>VLOOKUP(B2318,辅助信息!E:I,3,FALSE)</f>
        <v>(五冶建设师大附中外语校新建教学楼工程)四川省成都市成华区大观堰2号(四川师范大学附属中学外国语学校)</v>
      </c>
      <c r="J2318" s="41" t="str">
        <f>VLOOKUP(B2318,辅助信息!E:I,4,FALSE)</f>
        <v>蔡浩</v>
      </c>
      <c r="K2318" s="41">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99</v>
      </c>
      <c r="Q2318" s="30" t="str">
        <f>VLOOKUP(B2318,辅助信息!E:M,9,FALSE)</f>
        <v>ZTWM-CDGS-XS-2025-0073-五冶天府-成都怡心湖片区及龙泉驿医院等项目</v>
      </c>
      <c r="R2318" s="30" t="str">
        <f>_xlfn._xlws.FILTER(辅助信息!D:D,辅助信息!E:E=B2318)</f>
        <v>五冶建设师大附中外语校新建教学楼工程</v>
      </c>
    </row>
    <row r="2319" hidden="1" spans="2:18">
      <c r="B2319" s="41" t="s">
        <v>196</v>
      </c>
      <c r="C2319" s="71">
        <v>45857</v>
      </c>
      <c r="D2319" s="41" t="str">
        <f>VLOOKUP(B2319,辅助信息!E:K,7,FALSE)</f>
        <v>JWDDCD2025102100476</v>
      </c>
      <c r="E2319" s="41" t="str">
        <f>VLOOKUP(F2319,辅助信息!A:B,2,FALSE)</f>
        <v>螺纹钢</v>
      </c>
      <c r="F2319" s="41" t="s">
        <v>58</v>
      </c>
      <c r="G2319" s="37">
        <v>2.5</v>
      </c>
      <c r="H2319" s="135">
        <v>2.5</v>
      </c>
      <c r="I2319" s="41" t="str">
        <f>VLOOKUP(B2319,辅助信息!E:I,3,FALSE)</f>
        <v>(五冶建设师大附中外语校新建教学楼工程)四川省成都市成华区大观堰2号(四川师范大学附属中学外国语学校)</v>
      </c>
      <c r="J2319" s="41" t="str">
        <f>VLOOKUP(B2319,辅助信息!E:I,4,FALSE)</f>
        <v>蔡浩</v>
      </c>
      <c r="K2319" s="41">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99</v>
      </c>
      <c r="Q2319" s="30" t="str">
        <f>VLOOKUP(B2319,辅助信息!E:M,9,FALSE)</f>
        <v>ZTWM-CDGS-XS-2025-0073-五冶天府-成都怡心湖片区及龙泉驿医院等项目</v>
      </c>
      <c r="R2319" s="30" t="str">
        <f>_xlfn._xlws.FILTER(辅助信息!D:D,辅助信息!E:E=B2319)</f>
        <v>五冶建设师大附中外语校新建教学楼工程</v>
      </c>
    </row>
    <row r="2320" hidden="1" spans="2:18">
      <c r="B2320" s="41" t="s">
        <v>196</v>
      </c>
      <c r="C2320" s="71">
        <v>45857</v>
      </c>
      <c r="D2320" s="41" t="str">
        <f>VLOOKUP(B2320,辅助信息!E:K,7,FALSE)</f>
        <v>JWDDCD2025102100476</v>
      </c>
      <c r="E2320" s="41" t="str">
        <f>VLOOKUP(F2320,辅助信息!A:B,2,FALSE)</f>
        <v>螺纹钢</v>
      </c>
      <c r="F2320" s="41" t="s">
        <v>46</v>
      </c>
      <c r="G2320" s="37">
        <v>2.5</v>
      </c>
      <c r="H2320" s="135">
        <v>2.5</v>
      </c>
      <c r="I2320" s="41" t="str">
        <f>VLOOKUP(B2320,辅助信息!E:I,3,FALSE)</f>
        <v>(五冶建设师大附中外语校新建教学楼工程)四川省成都市成华区大观堰2号(四川师范大学附属中学外国语学校)</v>
      </c>
      <c r="J2320" s="41" t="str">
        <f>VLOOKUP(B2320,辅助信息!E:I,4,FALSE)</f>
        <v>蔡浩</v>
      </c>
      <c r="K2320" s="41">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99</v>
      </c>
      <c r="Q2320" s="30" t="str">
        <f>VLOOKUP(B2320,辅助信息!E:M,9,FALSE)</f>
        <v>ZTWM-CDGS-XS-2025-0073-五冶天府-成都怡心湖片区及龙泉驿医院等项目</v>
      </c>
      <c r="R2320" s="30" t="str">
        <f>_xlfn._xlws.FILTER(辅助信息!D:D,辅助信息!E:E=B2320)</f>
        <v>五冶建设师大附中外语校新建教学楼工程</v>
      </c>
    </row>
    <row r="2321" hidden="1" spans="2:18">
      <c r="B2321" s="41" t="s">
        <v>196</v>
      </c>
      <c r="C2321" s="71">
        <v>45857</v>
      </c>
      <c r="D2321" s="41" t="str">
        <f>VLOOKUP(B2321,辅助信息!E:K,7,FALSE)</f>
        <v>JWDDCD2025102100476</v>
      </c>
      <c r="E2321" s="41" t="str">
        <f>VLOOKUP(F2321,辅助信息!A:B,2,FALSE)</f>
        <v>螺纹钢</v>
      </c>
      <c r="F2321" s="41" t="s">
        <v>22</v>
      </c>
      <c r="G2321" s="37">
        <v>10</v>
      </c>
      <c r="H2321" s="135">
        <v>10</v>
      </c>
      <c r="I2321" s="41" t="str">
        <f>VLOOKUP(B2321,辅助信息!E:I,3,FALSE)</f>
        <v>(五冶建设师大附中外语校新建教学楼工程)四川省成都市成华区大观堰2号(四川师范大学附属中学外国语学校)</v>
      </c>
      <c r="J2321" s="41" t="str">
        <f>VLOOKUP(B2321,辅助信息!E:I,4,FALSE)</f>
        <v>蔡浩</v>
      </c>
      <c r="K2321" s="41">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99</v>
      </c>
      <c r="Q2321" s="30" t="str">
        <f>VLOOKUP(B2321,辅助信息!E:M,9,FALSE)</f>
        <v>ZTWM-CDGS-XS-2025-0073-五冶天府-成都怡心湖片区及龙泉驿医院等项目</v>
      </c>
      <c r="R2321" s="30" t="str">
        <f>_xlfn._xlws.FILTER(辅助信息!D:D,辅助信息!E:E=B2321)</f>
        <v>五冶建设师大附中外语校新建教学楼工程</v>
      </c>
    </row>
    <row r="2322" hidden="1" spans="2:18">
      <c r="B2322" s="41" t="s">
        <v>196</v>
      </c>
      <c r="C2322" s="71">
        <v>45857</v>
      </c>
      <c r="D2322" s="41" t="str">
        <f>VLOOKUP(B2322,辅助信息!E:K,7,FALSE)</f>
        <v>JWDDCD2025102100476</v>
      </c>
      <c r="E2322" s="41" t="str">
        <f>VLOOKUP(F2322,辅助信息!A:B,2,FALSE)</f>
        <v>螺纹钢</v>
      </c>
      <c r="F2322" s="41" t="s">
        <v>181</v>
      </c>
      <c r="G2322" s="37">
        <v>12.5</v>
      </c>
      <c r="H2322" s="135">
        <v>12.5</v>
      </c>
      <c r="I2322" s="41" t="str">
        <f>VLOOKUP(B2322,辅助信息!E:I,3,FALSE)</f>
        <v>(五冶建设师大附中外语校新建教学楼工程)四川省成都市成华区大观堰2号(四川师范大学附属中学外国语学校)</v>
      </c>
      <c r="J2322" s="41" t="str">
        <f>VLOOKUP(B2322,辅助信息!E:I,4,FALSE)</f>
        <v>蔡浩</v>
      </c>
      <c r="K2322" s="41">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99</v>
      </c>
      <c r="Q2322" s="30" t="str">
        <f>VLOOKUP(B2322,辅助信息!E:M,9,FALSE)</f>
        <v>ZTWM-CDGS-XS-2025-0073-五冶天府-成都怡心湖片区及龙泉驿医院等项目</v>
      </c>
      <c r="R2322" s="30" t="str">
        <f>_xlfn._xlws.FILTER(辅助信息!D:D,辅助信息!E:E=B2322)</f>
        <v>五冶建设师大附中外语校新建教学楼工程</v>
      </c>
    </row>
    <row r="2323" hidden="1" spans="2:18">
      <c r="B2323" s="41" t="s">
        <v>196</v>
      </c>
      <c r="C2323" s="71">
        <v>45857</v>
      </c>
      <c r="D2323" s="41" t="str">
        <f>VLOOKUP(B2323,辅助信息!E:K,7,FALSE)</f>
        <v>JWDDCD2025102100476</v>
      </c>
      <c r="E2323" s="41" t="str">
        <f>VLOOKUP(F2323,辅助信息!A:B,2,FALSE)</f>
        <v>螺纹钢</v>
      </c>
      <c r="F2323" s="41" t="s">
        <v>182</v>
      </c>
      <c r="G2323" s="37">
        <v>15</v>
      </c>
      <c r="H2323" s="135">
        <v>15</v>
      </c>
      <c r="I2323" s="41" t="str">
        <f>VLOOKUP(B2323,辅助信息!E:I,3,FALSE)</f>
        <v>(五冶建设师大附中外语校新建教学楼工程)四川省成都市成华区大观堰2号(四川师范大学附属中学外国语学校)</v>
      </c>
      <c r="J2323" s="41" t="str">
        <f>VLOOKUP(B2323,辅助信息!E:I,4,FALSE)</f>
        <v>蔡浩</v>
      </c>
      <c r="K2323" s="41">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99</v>
      </c>
      <c r="Q2323" s="30" t="str">
        <f>VLOOKUP(B2323,辅助信息!E:M,9,FALSE)</f>
        <v>ZTWM-CDGS-XS-2025-0073-五冶天府-成都怡心湖片区及龙泉驿医院等项目</v>
      </c>
      <c r="R2323" s="30" t="str">
        <f>_xlfn._xlws.FILTER(辅助信息!D:D,辅助信息!E:E=B2323)</f>
        <v>五冶建设师大附中外语校新建教学楼工程</v>
      </c>
    </row>
    <row r="2324" hidden="1" spans="2:18">
      <c r="B2324" s="98" t="s">
        <v>186</v>
      </c>
      <c r="C2324" s="71">
        <v>45857</v>
      </c>
      <c r="D2324" s="41" t="str">
        <f>VLOOKUP(B2324,辅助信息!E:K,7,FALSE)</f>
        <v>JWDDCD2025072900123</v>
      </c>
      <c r="E2324" s="41" t="str">
        <f>VLOOKUP(F2324,辅助信息!A:B,2,FALSE)</f>
        <v>螺纹钢</v>
      </c>
      <c r="F2324" s="41" t="s">
        <v>197</v>
      </c>
      <c r="G2324" s="37">
        <v>5</v>
      </c>
      <c r="H2324" s="135">
        <f>_xlfn.XLOOKUP(C2324&amp;F2324&amp;I2324&amp;J2324,'[1]2025年已发货'!$F:$F&amp;'[1]2025年已发货'!$C:$C&amp;'[1]2025年已发货'!$G:$G&amp;'[1]2025年已发货'!$H:$H,'[1]2025年已发货'!$E:$E,"未发货")</f>
        <v>5</v>
      </c>
      <c r="I2324" s="41" t="str">
        <f>VLOOKUP(B2324,辅助信息!E:I,3,FALSE)</f>
        <v>(乐山市校地共建产教融合基地建设项目二标段)四川省乐山市市中区苏稽镇</v>
      </c>
      <c r="J2324" s="41" t="str">
        <f>VLOOKUP(B2324,辅助信息!E:I,4,FALSE)</f>
        <v>彭江涛</v>
      </c>
      <c r="K2324" s="41">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99</v>
      </c>
      <c r="Q2324" s="30" t="str">
        <f>VLOOKUP(B2324,辅助信息!E:M,9,FALSE)</f>
        <v>ZTWM-CDGS-XS-2025-0126-四川机司-乐山市校地共建产教融合基地配套设施项目施工二标段钢筋采购合同</v>
      </c>
      <c r="R2324" s="30" t="str">
        <f>_xlfn._xlws.FILTER(辅助信息!D:D,辅助信息!E:E=B2324)</f>
        <v>乐山市校地共建产教融合基地建设项目</v>
      </c>
    </row>
    <row r="2325" hidden="1" spans="2:18">
      <c r="B2325" s="98" t="s">
        <v>186</v>
      </c>
      <c r="C2325" s="71">
        <v>45857</v>
      </c>
      <c r="D2325" s="41" t="str">
        <f>VLOOKUP(B2325,辅助信息!E:K,7,FALSE)</f>
        <v>JWDDCD2025072900123</v>
      </c>
      <c r="E2325" s="41" t="str">
        <f>VLOOKUP(F2325,辅助信息!A:B,2,FALSE)</f>
        <v>螺纹钢</v>
      </c>
      <c r="F2325" s="41" t="s">
        <v>198</v>
      </c>
      <c r="G2325" s="37">
        <v>12</v>
      </c>
      <c r="H2325" s="135">
        <f>_xlfn.XLOOKUP(C2325&amp;F2325&amp;I2325&amp;J2325,'[1]2025年已发货'!$F:$F&amp;'[1]2025年已发货'!$C:$C&amp;'[1]2025年已发货'!$G:$G&amp;'[1]2025年已发货'!$H:$H,'[1]2025年已发货'!$E:$E,"未发货")</f>
        <v>12.5</v>
      </c>
      <c r="I2325" s="41" t="str">
        <f>VLOOKUP(B2325,辅助信息!E:I,3,FALSE)</f>
        <v>(乐山市校地共建产教融合基地建设项目二标段)四川省乐山市市中区苏稽镇</v>
      </c>
      <c r="J2325" s="41" t="str">
        <f>VLOOKUP(B2325,辅助信息!E:I,4,FALSE)</f>
        <v>彭江涛</v>
      </c>
      <c r="K2325" s="41">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99</v>
      </c>
      <c r="Q2325" s="30" t="str">
        <f>VLOOKUP(B2325,辅助信息!E:M,9,FALSE)</f>
        <v>ZTWM-CDGS-XS-2025-0126-四川机司-乐山市校地共建产教融合基地配套设施项目施工二标段钢筋采购合同</v>
      </c>
      <c r="R2325" s="30" t="str">
        <f>_xlfn._xlws.FILTER(辅助信息!D:D,辅助信息!E:E=B2325)</f>
        <v>乐山市校地共建产教融合基地建设项目</v>
      </c>
    </row>
    <row r="2326" hidden="1" spans="2:18">
      <c r="B2326" s="98" t="s">
        <v>186</v>
      </c>
      <c r="C2326" s="71">
        <v>45857</v>
      </c>
      <c r="D2326" s="41" t="str">
        <f>VLOOKUP(B2326,辅助信息!E:K,7,FALSE)</f>
        <v>JWDDCD2025072900123</v>
      </c>
      <c r="E2326" s="41" t="str">
        <f>VLOOKUP(F2326,辅助信息!A:B,2,FALSE)</f>
        <v>螺纹钢</v>
      </c>
      <c r="F2326" s="41" t="s">
        <v>199</v>
      </c>
      <c r="G2326" s="37">
        <v>10</v>
      </c>
      <c r="H2326" s="135">
        <f>_xlfn.XLOOKUP(C2326&amp;F2326&amp;I2326&amp;J2326,'[1]2025年已发货'!$F:$F&amp;'[1]2025年已发货'!$C:$C&amp;'[1]2025年已发货'!$G:$G&amp;'[1]2025年已发货'!$H:$H,'[1]2025年已发货'!$E:$E,"未发货")</f>
        <v>10</v>
      </c>
      <c r="I2326" s="41" t="str">
        <f>VLOOKUP(B2326,辅助信息!E:I,3,FALSE)</f>
        <v>(乐山市校地共建产教融合基地建设项目二标段)四川省乐山市市中区苏稽镇</v>
      </c>
      <c r="J2326" s="41" t="str">
        <f>VLOOKUP(B2326,辅助信息!E:I,4,FALSE)</f>
        <v>彭江涛</v>
      </c>
      <c r="K2326" s="41">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99</v>
      </c>
      <c r="Q2326" s="30" t="str">
        <f>VLOOKUP(B2326,辅助信息!E:M,9,FALSE)</f>
        <v>ZTWM-CDGS-XS-2025-0126-四川机司-乐山市校地共建产教融合基地配套设施项目施工二标段钢筋采购合同</v>
      </c>
      <c r="R2326" s="30" t="str">
        <f>_xlfn._xlws.FILTER(辅助信息!D:D,辅助信息!E:E=B2326)</f>
        <v>乐山市校地共建产教融合基地建设项目</v>
      </c>
    </row>
    <row r="2327" hidden="1" spans="2:18">
      <c r="B2327" s="98" t="s">
        <v>186</v>
      </c>
      <c r="C2327" s="71">
        <v>45857</v>
      </c>
      <c r="D2327" s="41" t="str">
        <f>VLOOKUP(B2327,辅助信息!E:K,7,FALSE)</f>
        <v>JWDDCD2025072900123</v>
      </c>
      <c r="E2327" s="41" t="str">
        <f>VLOOKUP(F2327,辅助信息!A:B,2,FALSE)</f>
        <v>螺纹钢</v>
      </c>
      <c r="F2327" s="41" t="s">
        <v>141</v>
      </c>
      <c r="G2327" s="37">
        <v>17</v>
      </c>
      <c r="H2327" s="135">
        <f>_xlfn.XLOOKUP(C2327&amp;F2327&amp;I2327&amp;J2327,'[1]2025年已发货'!$F:$F&amp;'[1]2025年已发货'!$C:$C&amp;'[1]2025年已发货'!$G:$G&amp;'[1]2025年已发货'!$H:$H,'[1]2025年已发货'!$E:$E,"未发货")</f>
        <v>17</v>
      </c>
      <c r="I2327" s="41" t="str">
        <f>VLOOKUP(B2327,辅助信息!E:I,3,FALSE)</f>
        <v>(乐山市校地共建产教融合基地建设项目二标段)四川省乐山市市中区苏稽镇</v>
      </c>
      <c r="J2327" s="41" t="str">
        <f>VLOOKUP(B2327,辅助信息!E:I,4,FALSE)</f>
        <v>彭江涛</v>
      </c>
      <c r="K2327" s="41">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99</v>
      </c>
      <c r="Q2327" s="30" t="str">
        <f>VLOOKUP(B2327,辅助信息!E:M,9,FALSE)</f>
        <v>ZTWM-CDGS-XS-2025-0126-四川机司-乐山市校地共建产教融合基地配套设施项目施工二标段钢筋采购合同</v>
      </c>
      <c r="R2327" s="30" t="str">
        <f>_xlfn._xlws.FILTER(辅助信息!D:D,辅助信息!E:E=B2327)</f>
        <v>乐山市校地共建产教融合基地建设项目</v>
      </c>
    </row>
    <row r="2328" hidden="1" spans="2:18">
      <c r="B2328" s="98" t="s">
        <v>186</v>
      </c>
      <c r="C2328" s="71">
        <v>45857</v>
      </c>
      <c r="D2328" s="41" t="str">
        <f>VLOOKUP(B2328,辅助信息!E:K,7,FALSE)</f>
        <v>JWDDCD2025072900123</v>
      </c>
      <c r="E2328" s="41" t="str">
        <f>VLOOKUP(F2328,辅助信息!A:B,2,FALSE)</f>
        <v>螺纹钢</v>
      </c>
      <c r="F2328" s="41" t="s">
        <v>142</v>
      </c>
      <c r="G2328" s="37">
        <v>12</v>
      </c>
      <c r="H2328" s="135">
        <f>_xlfn.XLOOKUP(C2328&amp;F2328&amp;I2328&amp;J2328,'[1]2025年已发货'!$F:$F&amp;'[1]2025年已发货'!$C:$C&amp;'[1]2025年已发货'!$G:$G&amp;'[1]2025年已发货'!$H:$H,'[1]2025年已发货'!$E:$E,"未发货")</f>
        <v>12</v>
      </c>
      <c r="I2328" s="41" t="str">
        <f>VLOOKUP(B2328,辅助信息!E:I,3,FALSE)</f>
        <v>(乐山市校地共建产教融合基地建设项目二标段)四川省乐山市市中区苏稽镇</v>
      </c>
      <c r="J2328" s="41" t="str">
        <f>VLOOKUP(B2328,辅助信息!E:I,4,FALSE)</f>
        <v>彭江涛</v>
      </c>
      <c r="K2328" s="41">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99</v>
      </c>
      <c r="Q2328" s="30" t="str">
        <f>VLOOKUP(B2328,辅助信息!E:M,9,FALSE)</f>
        <v>ZTWM-CDGS-XS-2025-0126-四川机司-乐山市校地共建产教融合基地配套设施项目施工二标段钢筋采购合同</v>
      </c>
      <c r="R2328" s="30" t="str">
        <f>_xlfn._xlws.FILTER(辅助信息!D:D,辅助信息!E:E=B2328)</f>
        <v>乐山市校地共建产教融合基地建设项目</v>
      </c>
    </row>
    <row r="2329" hidden="1" spans="2:18">
      <c r="B2329" s="98" t="s">
        <v>186</v>
      </c>
      <c r="C2329" s="71">
        <v>45857</v>
      </c>
      <c r="D2329" s="41" t="str">
        <f>VLOOKUP(B2329,辅助信息!E:K,7,FALSE)</f>
        <v>JWDDCD2025072900123</v>
      </c>
      <c r="E2329" s="41" t="str">
        <f>VLOOKUP(F2329,辅助信息!A:B,2,FALSE)</f>
        <v>螺纹钢</v>
      </c>
      <c r="F2329" s="41" t="s">
        <v>200</v>
      </c>
      <c r="G2329" s="37">
        <v>6</v>
      </c>
      <c r="H2329" s="135">
        <f>_xlfn.XLOOKUP(C2329&amp;F2329&amp;I2329&amp;J2329,'[1]2025年已发货'!$F:$F&amp;'[1]2025年已发货'!$C:$C&amp;'[1]2025年已发货'!$G:$G&amp;'[1]2025年已发货'!$H:$H,'[1]2025年已发货'!$E:$E,"未发货")</f>
        <v>6</v>
      </c>
      <c r="I2329" s="41" t="str">
        <f>VLOOKUP(B2329,辅助信息!E:I,3,FALSE)</f>
        <v>(乐山市校地共建产教融合基地建设项目二标段)四川省乐山市市中区苏稽镇</v>
      </c>
      <c r="J2329" s="41" t="str">
        <f>VLOOKUP(B2329,辅助信息!E:I,4,FALSE)</f>
        <v>彭江涛</v>
      </c>
      <c r="K2329" s="41">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99</v>
      </c>
      <c r="Q2329" s="30" t="str">
        <f>VLOOKUP(B2329,辅助信息!E:M,9,FALSE)</f>
        <v>ZTWM-CDGS-XS-2025-0126-四川机司-乐山市校地共建产教融合基地配套设施项目施工二标段钢筋采购合同</v>
      </c>
      <c r="R2329" s="30" t="str">
        <f>_xlfn._xlws.FILTER(辅助信息!D:D,辅助信息!E:E=B2329)</f>
        <v>乐山市校地共建产教融合基地建设项目</v>
      </c>
    </row>
    <row r="2330" hidden="1" spans="2:18">
      <c r="B2330" s="98" t="s">
        <v>186</v>
      </c>
      <c r="C2330" s="71">
        <v>45857</v>
      </c>
      <c r="D2330" s="41" t="str">
        <f>VLOOKUP(B2330,辅助信息!E:K,7,FALSE)</f>
        <v>JWDDCD2025072900123</v>
      </c>
      <c r="E2330" s="41" t="str">
        <f>VLOOKUP(F2330,辅助信息!A:B,2,FALSE)</f>
        <v>螺纹钢</v>
      </c>
      <c r="F2330" s="41" t="s">
        <v>201</v>
      </c>
      <c r="G2330" s="37">
        <v>7</v>
      </c>
      <c r="H2330" s="135">
        <f>_xlfn.XLOOKUP(C2330&amp;F2330&amp;I2330&amp;J2330,'[1]2025年已发货'!$F:$F&amp;'[1]2025年已发货'!$C:$C&amp;'[1]2025年已发货'!$G:$G&amp;'[1]2025年已发货'!$H:$H,'[1]2025年已发货'!$E:$E,"未发货")</f>
        <v>7.5</v>
      </c>
      <c r="I2330" s="41" t="str">
        <f>VLOOKUP(B2330,辅助信息!E:I,3,FALSE)</f>
        <v>(乐山市校地共建产教融合基地建设项目二标段)四川省乐山市市中区苏稽镇</v>
      </c>
      <c r="J2330" s="41" t="str">
        <f>VLOOKUP(B2330,辅助信息!E:I,4,FALSE)</f>
        <v>彭江涛</v>
      </c>
      <c r="K2330" s="41">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99</v>
      </c>
      <c r="Q2330" s="30" t="str">
        <f>VLOOKUP(B2330,辅助信息!E:M,9,FALSE)</f>
        <v>ZTWM-CDGS-XS-2025-0126-四川机司-乐山市校地共建产教融合基地配套设施项目施工二标段钢筋采购合同</v>
      </c>
      <c r="R2330" s="30" t="str">
        <f>_xlfn._xlws.FILTER(辅助信息!D:D,辅助信息!E:E=B2330)</f>
        <v>乐山市校地共建产教融合基地建设项目</v>
      </c>
    </row>
    <row r="2331" hidden="1" spans="1:18">
      <c r="A2331" s="72" t="s">
        <v>100</v>
      </c>
      <c r="B2331" s="98" t="s">
        <v>147</v>
      </c>
      <c r="C2331" s="71">
        <v>45857</v>
      </c>
      <c r="D2331" s="41" t="str">
        <f>VLOOKUP(B2331,辅助信息!E:K,7,FALSE)</f>
        <v>JWDDCD2025052800131</v>
      </c>
      <c r="E2331" s="41" t="str">
        <f>VLOOKUP(F2331,辅助信息!A:B,2,FALSE)</f>
        <v>盘螺</v>
      </c>
      <c r="F2331" s="41" t="s">
        <v>40</v>
      </c>
      <c r="G2331" s="37">
        <v>15</v>
      </c>
      <c r="H2331" s="135">
        <f>_xlfn.XLOOKUP(C2331&amp;F2331&amp;I2331&amp;J2331,'[1]2025年已发货'!$F:$F&amp;'[1]2025年已发货'!$C:$C&amp;'[1]2025年已发货'!$G:$G&amp;'[1]2025年已发货'!$H:$H,'[1]2025年已发货'!$E:$E,"未发货")</f>
        <v>15</v>
      </c>
      <c r="I2331" s="41" t="str">
        <f>VLOOKUP(B2331,辅助信息!E:I,3,FALSE)</f>
        <v>（商投建工达州中医药科技园-4工区-11号楼）达州市通川区达州中医药职业学院犀牛大道北段</v>
      </c>
      <c r="J2331" s="41" t="str">
        <f>VLOOKUP(B2331,辅助信息!E:I,4,FALSE)</f>
        <v>张扬</v>
      </c>
      <c r="K2331" s="41">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99</v>
      </c>
      <c r="Q2331" s="30" t="str">
        <f>VLOOKUP(B2331,辅助信息!E:M,9,FALSE)</f>
        <v>ZTWM-CDGS-XS-2024-0134-商投建工达州中医药科技成果示范园项目</v>
      </c>
      <c r="R2331" s="30" t="str">
        <f>_xlfn._xlws.FILTER(辅助信息!D:D,辅助信息!E:E=B2331)</f>
        <v>商投建工达州中医药科技园</v>
      </c>
    </row>
    <row r="2332" hidden="1" spans="1:18">
      <c r="A2332" s="72"/>
      <c r="B2332" s="98" t="s">
        <v>147</v>
      </c>
      <c r="C2332" s="71">
        <v>45857</v>
      </c>
      <c r="D2332" s="41" t="str">
        <f>VLOOKUP(B2332,辅助信息!E:K,7,FALSE)</f>
        <v>JWDDCD2025052800131</v>
      </c>
      <c r="E2332" s="41" t="str">
        <f>VLOOKUP(F2332,辅助信息!A:B,2,FALSE)</f>
        <v>螺纹钢</v>
      </c>
      <c r="F2332" s="41" t="s">
        <v>30</v>
      </c>
      <c r="G2332" s="37">
        <v>30</v>
      </c>
      <c r="H2332" s="135">
        <f>_xlfn.XLOOKUP(C2332&amp;F2332&amp;I2332&amp;J2332,'[1]2025年已发货'!$F:$F&amp;'[1]2025年已发货'!$C:$C&amp;'[1]2025年已发货'!$G:$G&amp;'[1]2025年已发货'!$H:$H,'[1]2025年已发货'!$E:$E,"未发货")</f>
        <v>30</v>
      </c>
      <c r="I2332" s="41" t="str">
        <f>VLOOKUP(B2332,辅助信息!E:I,3,FALSE)</f>
        <v>（商投建工达州中医药科技园-4工区-11号楼）达州市通川区达州中医药职业学院犀牛大道北段</v>
      </c>
      <c r="J2332" s="41" t="str">
        <f>VLOOKUP(B2332,辅助信息!E:I,4,FALSE)</f>
        <v>张扬</v>
      </c>
      <c r="K2332" s="41">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99</v>
      </c>
      <c r="Q2332" s="30" t="str">
        <f>VLOOKUP(B2332,辅助信息!E:M,9,FALSE)</f>
        <v>ZTWM-CDGS-XS-2024-0134-商投建工达州中医药科技成果示范园项目</v>
      </c>
      <c r="R2332" s="30" t="str">
        <f>_xlfn._xlws.FILTER(辅助信息!D:D,辅助信息!E:E=B2332)</f>
        <v>商投建工达州中医药科技园</v>
      </c>
    </row>
    <row r="2333" hidden="1" spans="2:18">
      <c r="B2333" s="98" t="s">
        <v>147</v>
      </c>
      <c r="C2333" s="71">
        <v>45857</v>
      </c>
      <c r="D2333" s="41" t="str">
        <f>VLOOKUP(B2333,辅助信息!E:K,7,FALSE)</f>
        <v>JWDDCD2025052800131</v>
      </c>
      <c r="E2333" s="41" t="str">
        <f>VLOOKUP(F2333,辅助信息!A:B,2,FALSE)</f>
        <v>螺纹钢</v>
      </c>
      <c r="F2333" s="41" t="s">
        <v>21</v>
      </c>
      <c r="G2333" s="37">
        <v>12</v>
      </c>
      <c r="H2333" s="135">
        <f>_xlfn.XLOOKUP(C2333&amp;F2333&amp;I2333&amp;J2333,'[1]2025年已发货'!$F:$F&amp;'[1]2025年已发货'!$C:$C&amp;'[1]2025年已发货'!$G:$G&amp;'[1]2025年已发货'!$H:$H,'[1]2025年已发货'!$E:$E,"未发货")</f>
        <v>10</v>
      </c>
      <c r="I2333" s="41" t="str">
        <f>VLOOKUP(B2333,辅助信息!E:I,3,FALSE)</f>
        <v>（商投建工达州中医药科技园-4工区-11号楼）达州市通川区达州中医药职业学院犀牛大道北段</v>
      </c>
      <c r="J2333" s="41" t="str">
        <f>VLOOKUP(B2333,辅助信息!E:I,4,FALSE)</f>
        <v>张扬</v>
      </c>
      <c r="K2333" s="41">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99</v>
      </c>
      <c r="Q2333" s="30" t="str">
        <f>VLOOKUP(B2333,辅助信息!E:M,9,FALSE)</f>
        <v>ZTWM-CDGS-XS-2024-0134-商投建工达州中医药科技成果示范园项目</v>
      </c>
      <c r="R2333" s="30" t="str">
        <f>_xlfn._xlws.FILTER(辅助信息!D:D,辅助信息!E:E=B2333)</f>
        <v>商投建工达州中医药科技园</v>
      </c>
    </row>
    <row r="2334" hidden="1" spans="2:18">
      <c r="B2334" s="98" t="s">
        <v>147</v>
      </c>
      <c r="C2334" s="71">
        <v>45857</v>
      </c>
      <c r="D2334" s="41" t="str">
        <f>VLOOKUP(B2334,辅助信息!E:K,7,FALSE)</f>
        <v>JWDDCD2025052800131</v>
      </c>
      <c r="E2334" s="41" t="str">
        <f>VLOOKUP(F2334,辅助信息!A:B,2,FALSE)</f>
        <v>螺纹钢</v>
      </c>
      <c r="F2334" s="41" t="s">
        <v>58</v>
      </c>
      <c r="G2334" s="37">
        <v>9</v>
      </c>
      <c r="H2334" s="135">
        <f>_xlfn.XLOOKUP(C2334&amp;F2334&amp;I2334&amp;J2334,'[1]2025年已发货'!$F:$F&amp;'[1]2025年已发货'!$C:$C&amp;'[1]2025年已发货'!$G:$G&amp;'[1]2025年已发货'!$H:$H,'[1]2025年已发货'!$E:$E,"未发货")</f>
        <v>7.5</v>
      </c>
      <c r="I2334" s="41" t="str">
        <f>VLOOKUP(B2334,辅助信息!E:I,3,FALSE)</f>
        <v>（商投建工达州中医药科技园-4工区-11号楼）达州市通川区达州中医药职业学院犀牛大道北段</v>
      </c>
      <c r="J2334" s="41" t="str">
        <f>VLOOKUP(B2334,辅助信息!E:I,4,FALSE)</f>
        <v>张扬</v>
      </c>
      <c r="K2334" s="41">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99</v>
      </c>
      <c r="Q2334" s="30" t="str">
        <f>VLOOKUP(B2334,辅助信息!E:M,9,FALSE)</f>
        <v>ZTWM-CDGS-XS-2024-0134-商投建工达州中医药科技成果示范园项目</v>
      </c>
      <c r="R2334" s="30" t="str">
        <f>_xlfn._xlws.FILTER(辅助信息!D:D,辅助信息!E:E=B2334)</f>
        <v>商投建工达州中医药科技园</v>
      </c>
    </row>
    <row r="2335" hidden="1" spans="2:18">
      <c r="B2335" s="98" t="s">
        <v>147</v>
      </c>
      <c r="C2335" s="71">
        <v>45857</v>
      </c>
      <c r="D2335" s="41" t="str">
        <f>VLOOKUP(B2335,辅助信息!E:K,7,FALSE)</f>
        <v>JWDDCD2025052800131</v>
      </c>
      <c r="E2335" s="41" t="str">
        <f>VLOOKUP(F2335,辅助信息!A:B,2,FALSE)</f>
        <v>螺纹钢</v>
      </c>
      <c r="F2335" s="41" t="s">
        <v>46</v>
      </c>
      <c r="G2335" s="37">
        <v>9</v>
      </c>
      <c r="H2335" s="135">
        <f>_xlfn.XLOOKUP(C2335&amp;F2335&amp;I2335&amp;J2335,'[1]2025年已发货'!$F:$F&amp;'[1]2025年已发货'!$C:$C&amp;'[1]2025年已发货'!$G:$G&amp;'[1]2025年已发货'!$H:$H,'[1]2025年已发货'!$E:$E,"未发货")</f>
        <v>7.5</v>
      </c>
      <c r="I2335" s="41" t="str">
        <f>VLOOKUP(B2335,辅助信息!E:I,3,FALSE)</f>
        <v>（商投建工达州中医药科技园-4工区-11号楼）达州市通川区达州中医药职业学院犀牛大道北段</v>
      </c>
      <c r="J2335" s="41" t="str">
        <f>VLOOKUP(B2335,辅助信息!E:I,4,FALSE)</f>
        <v>张扬</v>
      </c>
      <c r="K2335" s="41">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99</v>
      </c>
      <c r="Q2335" s="30" t="str">
        <f>VLOOKUP(B2335,辅助信息!E:M,9,FALSE)</f>
        <v>ZTWM-CDGS-XS-2024-0134-商投建工达州中医药科技成果示范园项目</v>
      </c>
      <c r="R2335" s="30" t="str">
        <f>_xlfn._xlws.FILTER(辅助信息!D:D,辅助信息!E:E=B2335)</f>
        <v>商投建工达州中医药科技园</v>
      </c>
    </row>
    <row r="2336" hidden="1" spans="2:18">
      <c r="B2336" s="98" t="s">
        <v>147</v>
      </c>
      <c r="C2336" s="71">
        <v>45857</v>
      </c>
      <c r="D2336" s="41" t="str">
        <f>VLOOKUP(B2336,辅助信息!E:K,7,FALSE)</f>
        <v>JWDDCD2025052800131</v>
      </c>
      <c r="E2336" s="41" t="str">
        <f>VLOOKUP(F2336,辅助信息!A:B,2,FALSE)</f>
        <v>螺纹钢</v>
      </c>
      <c r="F2336" s="41" t="s">
        <v>22</v>
      </c>
      <c r="G2336" s="37">
        <v>12</v>
      </c>
      <c r="H2336" s="135">
        <f>_xlfn.XLOOKUP(C2336&amp;F2336&amp;I2336&amp;J2336,'[1]2025年已发货'!$F:$F&amp;'[1]2025年已发货'!$C:$C&amp;'[1]2025年已发货'!$G:$G&amp;'[1]2025年已发货'!$H:$H,'[1]2025年已发货'!$E:$E,"未发货")</f>
        <v>10</v>
      </c>
      <c r="I2336" s="41" t="str">
        <f>VLOOKUP(B2336,辅助信息!E:I,3,FALSE)</f>
        <v>（商投建工达州中医药科技园-4工区-11号楼）达州市通川区达州中医药职业学院犀牛大道北段</v>
      </c>
      <c r="J2336" s="41" t="str">
        <f>VLOOKUP(B2336,辅助信息!E:I,4,FALSE)</f>
        <v>张扬</v>
      </c>
      <c r="K2336" s="41">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99</v>
      </c>
      <c r="Q2336" s="30" t="str">
        <f>VLOOKUP(B2336,辅助信息!E:M,9,FALSE)</f>
        <v>ZTWM-CDGS-XS-2024-0134-商投建工达州中医药科技成果示范园项目</v>
      </c>
      <c r="R2336" s="30" t="str">
        <f>_xlfn._xlws.FILTER(辅助信息!D:D,辅助信息!E:E=B2336)</f>
        <v>商投建工达州中医药科技园</v>
      </c>
    </row>
    <row r="2337" hidden="1" spans="2:18">
      <c r="B2337" s="98" t="s">
        <v>167</v>
      </c>
      <c r="C2337" s="71">
        <v>45857</v>
      </c>
      <c r="D2337" s="41" t="str">
        <f>VLOOKUP(B2337,辅助信息!E:K,7,FALSE)</f>
        <v>JWDDCD2025102100473</v>
      </c>
      <c r="E2337" s="41" t="str">
        <f>VLOOKUP(F2337,辅助信息!A:B,2,FALSE)</f>
        <v>螺纹钢</v>
      </c>
      <c r="F2337" s="41" t="s">
        <v>30</v>
      </c>
      <c r="G2337" s="37">
        <f>205-70</f>
        <v>135</v>
      </c>
      <c r="H2337" s="135" t="str">
        <f>_xlfn.XLOOKUP(C2337&amp;F2337&amp;I2337&amp;J2337,'[1]2025年已发货'!$F:$F&amp;'[1]2025年已发货'!$C:$C&amp;'[1]2025年已发货'!$G:$G&amp;'[1]2025年已发货'!$H:$H,'[1]2025年已发货'!$E:$E,"未发货")</f>
        <v>未发货</v>
      </c>
      <c r="I2337" s="41" t="str">
        <f>VLOOKUP(B2337,辅助信息!E:I,3,FALSE)</f>
        <v>(五冶建设扩建艺体中学二期工程)四川省成都市双流区光荣路成都艺体中学南200米</v>
      </c>
      <c r="J2337" s="41" t="str">
        <f>VLOOKUP(B2337,辅助信息!E:I,4,FALSE)</f>
        <v>谢序强</v>
      </c>
      <c r="K2337" s="41">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99</v>
      </c>
      <c r="Q2337" s="30" t="str">
        <f>VLOOKUP(B2337,辅助信息!E:M,9,FALSE)</f>
        <v>ZTWM-CDGS-XS-2025-0073-五冶天府-成都怡心湖片区及龙泉驿医院等项目</v>
      </c>
      <c r="R2337" s="30" t="str">
        <f>_xlfn._xlws.FILTER(辅助信息!D:D,辅助信息!E:E=B2337)</f>
        <v>五冶建设扩建艺体中学二期工程</v>
      </c>
    </row>
    <row r="2338" hidden="1" spans="2:18">
      <c r="B2338" s="98" t="s">
        <v>167</v>
      </c>
      <c r="C2338" s="71">
        <v>45859</v>
      </c>
      <c r="D2338" s="41" t="str">
        <f>VLOOKUP(B2338,辅助信息!E:K,7,FALSE)</f>
        <v>JWDDCD2025102100473</v>
      </c>
      <c r="E2338" s="41" t="str">
        <f>VLOOKUP(F2338,辅助信息!A:B,2,FALSE)</f>
        <v>螺纹钢</v>
      </c>
      <c r="F2338" s="41" t="s">
        <v>30</v>
      </c>
      <c r="G2338" s="37">
        <f>205-70</f>
        <v>135</v>
      </c>
      <c r="H2338" s="135">
        <f>_xlfn.XLOOKUP(C2338&amp;F2338&amp;I2338&amp;J2338,'[1]2025年已发货'!$F:$F&amp;'[1]2025年已发货'!$C:$C&amp;'[1]2025年已发货'!$G:$G&amp;'[1]2025年已发货'!$H:$H,'[1]2025年已发货'!$E:$E,"未发货")</f>
        <v>70</v>
      </c>
      <c r="I2338" s="41" t="str">
        <f>VLOOKUP(B2338,辅助信息!E:I,3,FALSE)</f>
        <v>(五冶建设扩建艺体中学二期工程)四川省成都市双流区光荣路成都艺体中学南200米</v>
      </c>
      <c r="J2338" s="41" t="str">
        <f>VLOOKUP(B2338,辅助信息!E:I,4,FALSE)</f>
        <v>谢序强</v>
      </c>
      <c r="K2338" s="41">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99</v>
      </c>
      <c r="Q2338" s="30" t="str">
        <f>VLOOKUP(B2338,辅助信息!E:M,9,FALSE)</f>
        <v>ZTWM-CDGS-XS-2025-0073-五冶天府-成都怡心湖片区及龙泉驿医院等项目</v>
      </c>
      <c r="R2338" s="30" t="str">
        <f>_xlfn._xlws.FILTER(辅助信息!D:D,辅助信息!E:E=B2338)</f>
        <v>五冶建设扩建艺体中学二期工程</v>
      </c>
    </row>
    <row r="2339" hidden="1" spans="2:18">
      <c r="B2339" s="41" t="s">
        <v>92</v>
      </c>
      <c r="C2339" s="71">
        <v>45859</v>
      </c>
      <c r="D2339" s="41" t="str">
        <f>VLOOKUP(B2339,辅助信息!E:K,7,FALSE)</f>
        <v>JWDDCD2025051800046</v>
      </c>
      <c r="E2339" s="41" t="str">
        <f>VLOOKUP(F2339,辅助信息!A:B,2,FALSE)</f>
        <v>盘螺</v>
      </c>
      <c r="F2339" s="41" t="s">
        <v>40</v>
      </c>
      <c r="G2339" s="37">
        <v>5</v>
      </c>
      <c r="H2339" s="135">
        <f>_xlfn.XLOOKUP(C2339&amp;F2339&amp;I2339&amp;J2339,'[1]2025年已发货'!$F:$F&amp;'[1]2025年已发货'!$C:$C&amp;'[1]2025年已发货'!$G:$G&amp;'[1]2025年已发货'!$H:$H,'[1]2025年已发货'!$E:$E,"未发货")</f>
        <v>5</v>
      </c>
      <c r="I2339" s="41" t="str">
        <f>VLOOKUP(B2339,辅助信息!E:I,3,FALSE)</f>
        <v>（华西萌海科创农业生态谷）成都市简阳市白金山水库</v>
      </c>
      <c r="J2339" s="41" t="str">
        <f>VLOOKUP(B2339,辅助信息!E:I,4,FALSE)</f>
        <v>石清国</v>
      </c>
      <c r="K2339" s="41">
        <f>VLOOKUP(J2339,辅助信息!H:I,2,FALSE)</f>
        <v>13458642015</v>
      </c>
      <c r="L2339" s="110" t="str">
        <f>VLOOKUP(B2339,辅助信息!E:J,6,FALSE)</f>
        <v>优先威钢,我方卸车,新老国标钢厂不加价可直发</v>
      </c>
      <c r="M2339" s="92">
        <v>45860</v>
      </c>
      <c r="O2339" s="63">
        <f ca="1" t="shared" si="153"/>
        <v>0</v>
      </c>
      <c r="P2339" s="63">
        <f ca="1" t="shared" si="154"/>
        <v>99</v>
      </c>
      <c r="Q2339" s="30" t="str">
        <f>VLOOKUP(B2339,辅助信息!E:M,9,FALSE)</f>
        <v>ZTWM-CDGS-XS-2024-0092-华西-萌海科创农业生态谷</v>
      </c>
      <c r="R2339" s="30" t="str">
        <f>_xlfn._xlws.FILTER(辅助信息!D:D,辅助信息!E:E=B2339)</f>
        <v>华西萌海-科创农业生态谷</v>
      </c>
    </row>
    <row r="2340" hidden="1" spans="2:18">
      <c r="B2340" s="41" t="s">
        <v>92</v>
      </c>
      <c r="C2340" s="71">
        <v>45859</v>
      </c>
      <c r="D2340" s="41" t="str">
        <f>VLOOKUP(B2340,辅助信息!E:K,7,FALSE)</f>
        <v>JWDDCD2025051800046</v>
      </c>
      <c r="E2340" s="41" t="str">
        <f>VLOOKUP(F2340,辅助信息!A:B,2,FALSE)</f>
        <v>螺纹钢</v>
      </c>
      <c r="F2340" s="41" t="s">
        <v>27</v>
      </c>
      <c r="G2340" s="37">
        <v>5</v>
      </c>
      <c r="H2340" s="135">
        <f>_xlfn.XLOOKUP(C2340&amp;F2340&amp;I2340&amp;J2340,'[1]2025年已发货'!$F:$F&amp;'[1]2025年已发货'!$C:$C&amp;'[1]2025年已发货'!$G:$G&amp;'[1]2025年已发货'!$H:$H,'[1]2025年已发货'!$E:$E,"未发货")</f>
        <v>5</v>
      </c>
      <c r="I2340" s="41" t="str">
        <f>VLOOKUP(B2340,辅助信息!E:I,3,FALSE)</f>
        <v>（华西萌海科创农业生态谷）成都市简阳市白金山水库</v>
      </c>
      <c r="J2340" s="41" t="str">
        <f>VLOOKUP(B2340,辅助信息!E:I,4,FALSE)</f>
        <v>石清国</v>
      </c>
      <c r="K2340" s="41">
        <f>VLOOKUP(J2340,辅助信息!H:I,2,FALSE)</f>
        <v>13458642015</v>
      </c>
      <c r="L2340" s="110" t="str">
        <f>VLOOKUP(B2340,辅助信息!E:J,6,FALSE)</f>
        <v>优先威钢,我方卸车,新老国标钢厂不加价可直发</v>
      </c>
      <c r="M2340" s="92">
        <v>45860</v>
      </c>
      <c r="O2340" s="63">
        <f ca="1" t="shared" si="153"/>
        <v>0</v>
      </c>
      <c r="P2340" s="63">
        <f ca="1" t="shared" si="154"/>
        <v>99</v>
      </c>
      <c r="Q2340" s="30" t="str">
        <f>VLOOKUP(B2340,辅助信息!E:M,9,FALSE)</f>
        <v>ZTWM-CDGS-XS-2024-0092-华西-萌海科创农业生态谷</v>
      </c>
      <c r="R2340" s="30" t="str">
        <f>_xlfn._xlws.FILTER(辅助信息!D:D,辅助信息!E:E=B2340)</f>
        <v>华西萌海-科创农业生态谷</v>
      </c>
    </row>
    <row r="2341" hidden="1" spans="2:18">
      <c r="B2341" s="41" t="s">
        <v>92</v>
      </c>
      <c r="C2341" s="71">
        <v>45859</v>
      </c>
      <c r="D2341" s="41" t="str">
        <f>VLOOKUP(B2341,辅助信息!E:K,7,FALSE)</f>
        <v>JWDDCD2025051800046</v>
      </c>
      <c r="E2341" s="41" t="str">
        <f>VLOOKUP(F2341,辅助信息!A:B,2,FALSE)</f>
        <v>螺纹钢</v>
      </c>
      <c r="F2341" s="41" t="s">
        <v>33</v>
      </c>
      <c r="G2341" s="37">
        <v>5</v>
      </c>
      <c r="H2341" s="135">
        <f>_xlfn.XLOOKUP(C2341&amp;F2341&amp;I2341&amp;J2341,'[1]2025年已发货'!$F:$F&amp;'[1]2025年已发货'!$C:$C&amp;'[1]2025年已发货'!$G:$G&amp;'[1]2025年已发货'!$H:$H,'[1]2025年已发货'!$E:$E,"未发货")</f>
        <v>5</v>
      </c>
      <c r="I2341" s="41" t="str">
        <f>VLOOKUP(B2341,辅助信息!E:I,3,FALSE)</f>
        <v>（华西萌海科创农业生态谷）成都市简阳市白金山水库</v>
      </c>
      <c r="J2341" s="41" t="str">
        <f>VLOOKUP(B2341,辅助信息!E:I,4,FALSE)</f>
        <v>石清国</v>
      </c>
      <c r="K2341" s="41">
        <f>VLOOKUP(J2341,辅助信息!H:I,2,FALSE)</f>
        <v>13458642015</v>
      </c>
      <c r="L2341" s="110" t="str">
        <f>VLOOKUP(B2341,辅助信息!E:J,6,FALSE)</f>
        <v>优先威钢,我方卸车,新老国标钢厂不加价可直发</v>
      </c>
      <c r="M2341" s="92">
        <v>45860</v>
      </c>
      <c r="O2341" s="63">
        <f ca="1" t="shared" si="153"/>
        <v>0</v>
      </c>
      <c r="P2341" s="63">
        <f ca="1" t="shared" si="154"/>
        <v>99</v>
      </c>
      <c r="Q2341" s="30" t="str">
        <f>VLOOKUP(B2341,辅助信息!E:M,9,FALSE)</f>
        <v>ZTWM-CDGS-XS-2024-0092-华西-萌海科创农业生态谷</v>
      </c>
      <c r="R2341" s="30" t="str">
        <f>_xlfn._xlws.FILTER(辅助信息!D:D,辅助信息!E:E=B2341)</f>
        <v>华西萌海-科创农业生态谷</v>
      </c>
    </row>
    <row r="2342" hidden="1" spans="2:18">
      <c r="B2342" s="41" t="s">
        <v>92</v>
      </c>
      <c r="C2342" s="71">
        <v>45859</v>
      </c>
      <c r="D2342" s="41" t="str">
        <f>VLOOKUP(B2342,辅助信息!E:K,7,FALSE)</f>
        <v>JWDDCD2025051800046</v>
      </c>
      <c r="E2342" s="41" t="str">
        <f>VLOOKUP(F2342,辅助信息!A:B,2,FALSE)</f>
        <v>螺纹钢</v>
      </c>
      <c r="F2342" s="41" t="s">
        <v>22</v>
      </c>
      <c r="G2342" s="37">
        <v>20</v>
      </c>
      <c r="H2342" s="135">
        <f>_xlfn.XLOOKUP(C2342&amp;F2342&amp;I2342&amp;J2342,'[1]2025年已发货'!$F:$F&amp;'[1]2025年已发货'!$C:$C&amp;'[1]2025年已发货'!$G:$G&amp;'[1]2025年已发货'!$H:$H,'[1]2025年已发货'!$E:$E,"未发货")</f>
        <v>20</v>
      </c>
      <c r="I2342" s="41" t="str">
        <f>VLOOKUP(B2342,辅助信息!E:I,3,FALSE)</f>
        <v>（华西萌海科创农业生态谷）成都市简阳市白金山水库</v>
      </c>
      <c r="J2342" s="41" t="str">
        <f>VLOOKUP(B2342,辅助信息!E:I,4,FALSE)</f>
        <v>石清国</v>
      </c>
      <c r="K2342" s="41">
        <f>VLOOKUP(J2342,辅助信息!H:I,2,FALSE)</f>
        <v>13458642015</v>
      </c>
      <c r="L2342" s="110" t="str">
        <f>VLOOKUP(B2342,辅助信息!E:J,6,FALSE)</f>
        <v>优先威钢,我方卸车,新老国标钢厂不加价可直发</v>
      </c>
      <c r="M2342" s="92">
        <v>45860</v>
      </c>
      <c r="O2342" s="63">
        <f ca="1" t="shared" si="153"/>
        <v>0</v>
      </c>
      <c r="P2342" s="63">
        <f ca="1" t="shared" si="154"/>
        <v>99</v>
      </c>
      <c r="Q2342" s="30" t="str">
        <f>VLOOKUP(B2342,辅助信息!E:M,9,FALSE)</f>
        <v>ZTWM-CDGS-XS-2024-0092-华西-萌海科创农业生态谷</v>
      </c>
      <c r="R2342" s="30" t="str">
        <f>_xlfn._xlws.FILTER(辅助信息!D:D,辅助信息!E:E=B2342)</f>
        <v>华西萌海-科创农业生态谷</v>
      </c>
    </row>
    <row r="2343" hidden="1" spans="2:18">
      <c r="B2343" s="41" t="s">
        <v>106</v>
      </c>
      <c r="C2343" s="71">
        <v>45859</v>
      </c>
      <c r="D2343" s="41" t="str">
        <f>VLOOKUP(B2343,辅助信息!E:K,7,FALSE)</f>
        <v>JWDDCD2024101600133</v>
      </c>
      <c r="E2343" s="41" t="str">
        <f>VLOOKUP(F2343,辅助信息!A:B,2,FALSE)</f>
        <v>盘螺</v>
      </c>
      <c r="F2343" s="41" t="s">
        <v>40</v>
      </c>
      <c r="G2343" s="37">
        <v>10</v>
      </c>
      <c r="H2343" s="135">
        <f>_xlfn.XLOOKUP(C2343&amp;F2343&amp;I2343&amp;J2343,'[1]2025年已发货'!$F:$F&amp;'[1]2025年已发货'!$C:$C&amp;'[1]2025年已发货'!$G:$G&amp;'[1]2025年已发货'!$H:$H,'[1]2025年已发货'!$E:$E,"未发货")</f>
        <v>10</v>
      </c>
      <c r="I2343" s="41" t="str">
        <f>VLOOKUP(B2343,辅助信息!E:I,3,FALSE)</f>
        <v>（五冶钢构宜宾高县月江镇建设项目）  四川省宜宾市高县月江镇刚记超市斜对面(还阳组团沪碳二期项目)</v>
      </c>
      <c r="J2343" s="41" t="str">
        <f>VLOOKUP(B2343,辅助信息!E:I,4,FALSE)</f>
        <v>张朝亮</v>
      </c>
      <c r="K2343" s="41">
        <f>VLOOKUP(J2343,辅助信息!H:I,2,FALSE)</f>
        <v>15228205853</v>
      </c>
      <c r="L2343" s="110" t="str">
        <f>VLOOKUP(B2343,辅助信息!E:J,6,FALSE)</f>
        <v>提前联系到场规格</v>
      </c>
      <c r="M2343" s="92">
        <v>45860</v>
      </c>
      <c r="O2343" s="63">
        <f ca="1" t="shared" si="153"/>
        <v>0</v>
      </c>
      <c r="P2343" s="63">
        <f ca="1" t="shared" si="154"/>
        <v>99</v>
      </c>
      <c r="Q2343" s="30" t="str">
        <f>VLOOKUP(B2343,辅助信息!E:M,9,FALSE)</f>
        <v>ZTWM-CDGS-XS-2024-0169-中冶西部钢构-宜宾市南溪区幸福路东路,高县月江镇建设项目</v>
      </c>
      <c r="R2343" s="30" t="str">
        <f>_xlfn._xlws.FILTER(辅助信息!D:D,辅助信息!E:E=B2343)</f>
        <v>五冶钢构-宜宾市南溪区高县月江镇建设项目</v>
      </c>
    </row>
    <row r="2344" hidden="1" spans="2:18">
      <c r="B2344" s="41" t="s">
        <v>106</v>
      </c>
      <c r="C2344" s="71">
        <v>45859</v>
      </c>
      <c r="D2344" s="41" t="str">
        <f>VLOOKUP(B2344,辅助信息!E:K,7,FALSE)</f>
        <v>JWDDCD2024101600133</v>
      </c>
      <c r="E2344" s="41" t="str">
        <f>VLOOKUP(F2344,辅助信息!A:B,2,FALSE)</f>
        <v>盘螺</v>
      </c>
      <c r="F2344" s="41" t="s">
        <v>41</v>
      </c>
      <c r="G2344" s="37">
        <v>25</v>
      </c>
      <c r="H2344" s="135">
        <f>_xlfn.XLOOKUP(C2344&amp;F2344&amp;I2344&amp;J2344,'[1]2025年已发货'!$F:$F&amp;'[1]2025年已发货'!$C:$C&amp;'[1]2025年已发货'!$G:$G&amp;'[1]2025年已发货'!$H:$H,'[1]2025年已发货'!$E:$E,"未发货")</f>
        <v>25</v>
      </c>
      <c r="I2344" s="41" t="str">
        <f>VLOOKUP(B2344,辅助信息!E:I,3,FALSE)</f>
        <v>（五冶钢构宜宾高县月江镇建设项目）  四川省宜宾市高县月江镇刚记超市斜对面(还阳组团沪碳二期项目)</v>
      </c>
      <c r="J2344" s="41" t="str">
        <f>VLOOKUP(B2344,辅助信息!E:I,4,FALSE)</f>
        <v>张朝亮</v>
      </c>
      <c r="K2344" s="41">
        <f>VLOOKUP(J2344,辅助信息!H:I,2,FALSE)</f>
        <v>15228205853</v>
      </c>
      <c r="L2344" s="110" t="str">
        <f>VLOOKUP(B2344,辅助信息!E:J,6,FALSE)</f>
        <v>提前联系到场规格</v>
      </c>
      <c r="M2344" s="92">
        <v>45860</v>
      </c>
      <c r="O2344" s="63">
        <f ca="1" t="shared" si="153"/>
        <v>0</v>
      </c>
      <c r="P2344" s="63">
        <f ca="1" t="shared" si="154"/>
        <v>99</v>
      </c>
      <c r="Q2344" s="30" t="str">
        <f>VLOOKUP(B2344,辅助信息!E:M,9,FALSE)</f>
        <v>ZTWM-CDGS-XS-2024-0169-中冶西部钢构-宜宾市南溪区幸福路东路,高县月江镇建设项目</v>
      </c>
      <c r="R2344" s="30" t="str">
        <f>_xlfn._xlws.FILTER(辅助信息!D:D,辅助信息!E:E=B2344)</f>
        <v>五冶钢构-宜宾市南溪区高县月江镇建设项目</v>
      </c>
    </row>
    <row r="2345" hidden="1" spans="2:18">
      <c r="B2345" s="41" t="s">
        <v>106</v>
      </c>
      <c r="C2345" s="71">
        <v>45859</v>
      </c>
      <c r="D2345" s="41" t="str">
        <f>VLOOKUP(B2345,辅助信息!E:K,7,FALSE)</f>
        <v>JWDDCD2024101600133</v>
      </c>
      <c r="E2345" s="41" t="str">
        <f>VLOOKUP(F2345,辅助信息!A:B,2,FALSE)</f>
        <v>螺纹钢</v>
      </c>
      <c r="F2345" s="41" t="s">
        <v>27</v>
      </c>
      <c r="G2345" s="37">
        <v>9</v>
      </c>
      <c r="H2345" s="135">
        <f>_xlfn.XLOOKUP(C2345&amp;F2345&amp;I2345&amp;J2345,'[1]2025年已发货'!$F:$F&amp;'[1]2025年已发货'!$C:$C&amp;'[1]2025年已发货'!$G:$G&amp;'[1]2025年已发货'!$H:$H,'[1]2025年已发货'!$E:$E,"未发货")</f>
        <v>9</v>
      </c>
      <c r="I2345" s="41" t="str">
        <f>VLOOKUP(B2345,辅助信息!E:I,3,FALSE)</f>
        <v>（五冶钢构宜宾高县月江镇建设项目）  四川省宜宾市高县月江镇刚记超市斜对面(还阳组团沪碳二期项目)</v>
      </c>
      <c r="J2345" s="41" t="str">
        <f>VLOOKUP(B2345,辅助信息!E:I,4,FALSE)</f>
        <v>张朝亮</v>
      </c>
      <c r="K2345" s="41">
        <f>VLOOKUP(J2345,辅助信息!H:I,2,FALSE)</f>
        <v>15228205853</v>
      </c>
      <c r="L2345" s="110" t="str">
        <f>VLOOKUP(B2345,辅助信息!E:J,6,FALSE)</f>
        <v>提前联系到场规格</v>
      </c>
      <c r="M2345" s="92">
        <v>45860</v>
      </c>
      <c r="O2345" s="63">
        <f ca="1" t="shared" si="153"/>
        <v>0</v>
      </c>
      <c r="P2345" s="63">
        <f ca="1" t="shared" si="154"/>
        <v>99</v>
      </c>
      <c r="Q2345" s="30" t="str">
        <f>VLOOKUP(B2345,辅助信息!E:M,9,FALSE)</f>
        <v>ZTWM-CDGS-XS-2024-0169-中冶西部钢构-宜宾市南溪区幸福路东路,高县月江镇建设项目</v>
      </c>
      <c r="R2345" s="30" t="str">
        <f>_xlfn._xlws.FILTER(辅助信息!D:D,辅助信息!E:E=B2345)</f>
        <v>五冶钢构-宜宾市南溪区高县月江镇建设项目</v>
      </c>
    </row>
    <row r="2346" hidden="1" spans="2:18">
      <c r="B2346" s="41" t="s">
        <v>106</v>
      </c>
      <c r="C2346" s="71">
        <v>45859</v>
      </c>
      <c r="D2346" s="41" t="str">
        <f>VLOOKUP(B2346,辅助信息!E:K,7,FALSE)</f>
        <v>JWDDCD2024101600133</v>
      </c>
      <c r="E2346" s="41" t="str">
        <f>VLOOKUP(F2346,辅助信息!A:B,2,FALSE)</f>
        <v>螺纹钢</v>
      </c>
      <c r="F2346" s="41" t="s">
        <v>19</v>
      </c>
      <c r="G2346" s="37">
        <v>9</v>
      </c>
      <c r="H2346" s="135">
        <f>_xlfn.XLOOKUP(C2346&amp;F2346&amp;I2346&amp;J2346,'[1]2025年已发货'!$F:$F&amp;'[1]2025年已发货'!$C:$C&amp;'[1]2025年已发货'!$G:$G&amp;'[1]2025年已发货'!$H:$H,'[1]2025年已发货'!$E:$E,"未发货")</f>
        <v>9</v>
      </c>
      <c r="I2346" s="41" t="str">
        <f>VLOOKUP(B2346,辅助信息!E:I,3,FALSE)</f>
        <v>（五冶钢构宜宾高县月江镇建设项目）  四川省宜宾市高县月江镇刚记超市斜对面(还阳组团沪碳二期项目)</v>
      </c>
      <c r="J2346" s="41" t="str">
        <f>VLOOKUP(B2346,辅助信息!E:I,4,FALSE)</f>
        <v>张朝亮</v>
      </c>
      <c r="K2346" s="41">
        <f>VLOOKUP(J2346,辅助信息!H:I,2,FALSE)</f>
        <v>15228205853</v>
      </c>
      <c r="L2346" s="110" t="str">
        <f>VLOOKUP(B2346,辅助信息!E:J,6,FALSE)</f>
        <v>提前联系到场规格</v>
      </c>
      <c r="M2346" s="92">
        <v>45860</v>
      </c>
      <c r="O2346" s="63">
        <f ca="1" t="shared" si="153"/>
        <v>0</v>
      </c>
      <c r="P2346" s="63">
        <f ca="1" t="shared" si="154"/>
        <v>99</v>
      </c>
      <c r="Q2346" s="30" t="str">
        <f>VLOOKUP(B2346,辅助信息!E:M,9,FALSE)</f>
        <v>ZTWM-CDGS-XS-2024-0169-中冶西部钢构-宜宾市南溪区幸福路东路,高县月江镇建设项目</v>
      </c>
      <c r="R2346" s="30" t="str">
        <f>_xlfn._xlws.FILTER(辅助信息!D:D,辅助信息!E:E=B2346)</f>
        <v>五冶钢构-宜宾市南溪区高县月江镇建设项目</v>
      </c>
    </row>
    <row r="2347" hidden="1" spans="2:18">
      <c r="B2347" s="41" t="s">
        <v>106</v>
      </c>
      <c r="C2347" s="71">
        <v>45859</v>
      </c>
      <c r="D2347" s="41" t="str">
        <f>VLOOKUP(B2347,辅助信息!E:K,7,FALSE)</f>
        <v>JWDDCD2024101600133</v>
      </c>
      <c r="E2347" s="41" t="str">
        <f>VLOOKUP(F2347,辅助信息!A:B,2,FALSE)</f>
        <v>螺纹钢</v>
      </c>
      <c r="F2347" s="41" t="s">
        <v>32</v>
      </c>
      <c r="G2347" s="37">
        <v>9</v>
      </c>
      <c r="H2347" s="135">
        <f>_xlfn.XLOOKUP(C2347&amp;F2347&amp;I2347&amp;J2347,'[1]2025年已发货'!$F:$F&amp;'[1]2025年已发货'!$C:$C&amp;'[1]2025年已发货'!$G:$G&amp;'[1]2025年已发货'!$H:$H,'[1]2025年已发货'!$E:$E,"未发货")</f>
        <v>9</v>
      </c>
      <c r="I2347" s="41" t="str">
        <f>VLOOKUP(B2347,辅助信息!E:I,3,FALSE)</f>
        <v>（五冶钢构宜宾高县月江镇建设项目）  四川省宜宾市高县月江镇刚记超市斜对面(还阳组团沪碳二期项目)</v>
      </c>
      <c r="J2347" s="41" t="str">
        <f>VLOOKUP(B2347,辅助信息!E:I,4,FALSE)</f>
        <v>张朝亮</v>
      </c>
      <c r="K2347" s="41">
        <f>VLOOKUP(J2347,辅助信息!H:I,2,FALSE)</f>
        <v>15228205853</v>
      </c>
      <c r="L2347" s="110" t="str">
        <f>VLOOKUP(B2347,辅助信息!E:J,6,FALSE)</f>
        <v>提前联系到场规格</v>
      </c>
      <c r="M2347" s="92">
        <v>45860</v>
      </c>
      <c r="O2347" s="63">
        <f ca="1" t="shared" si="153"/>
        <v>0</v>
      </c>
      <c r="P2347" s="63">
        <f ca="1" t="shared" si="154"/>
        <v>99</v>
      </c>
      <c r="Q2347" s="30" t="str">
        <f>VLOOKUP(B2347,辅助信息!E:M,9,FALSE)</f>
        <v>ZTWM-CDGS-XS-2024-0169-中冶西部钢构-宜宾市南溪区幸福路东路,高县月江镇建设项目</v>
      </c>
      <c r="R2347" s="30" t="str">
        <f>_xlfn._xlws.FILTER(辅助信息!D:D,辅助信息!E:E=B2347)</f>
        <v>五冶钢构-宜宾市南溪区高县月江镇建设项目</v>
      </c>
    </row>
    <row r="2348" hidden="1" spans="2:18">
      <c r="B2348" s="41" t="s">
        <v>106</v>
      </c>
      <c r="C2348" s="71">
        <v>45859</v>
      </c>
      <c r="D2348" s="41" t="str">
        <f>VLOOKUP(B2348,辅助信息!E:K,7,FALSE)</f>
        <v>JWDDCD2024101600133</v>
      </c>
      <c r="E2348" s="41" t="str">
        <f>VLOOKUP(F2348,辅助信息!A:B,2,FALSE)</f>
        <v>螺纹钢</v>
      </c>
      <c r="F2348" s="41" t="s">
        <v>33</v>
      </c>
      <c r="G2348" s="37">
        <v>9</v>
      </c>
      <c r="H2348" s="135">
        <f>_xlfn.XLOOKUP(C2348&amp;F2348&amp;I2348&amp;J2348,'[1]2025年已发货'!$F:$F&amp;'[1]2025年已发货'!$C:$C&amp;'[1]2025年已发货'!$G:$G&amp;'[1]2025年已发货'!$H:$H,'[1]2025年已发货'!$E:$E,"未发货")</f>
        <v>9</v>
      </c>
      <c r="I2348" s="41" t="str">
        <f>VLOOKUP(B2348,辅助信息!E:I,3,FALSE)</f>
        <v>（五冶钢构宜宾高县月江镇建设项目）  四川省宜宾市高县月江镇刚记超市斜对面(还阳组团沪碳二期项目)</v>
      </c>
      <c r="J2348" s="41" t="str">
        <f>VLOOKUP(B2348,辅助信息!E:I,4,FALSE)</f>
        <v>张朝亮</v>
      </c>
      <c r="K2348" s="41">
        <f>VLOOKUP(J2348,辅助信息!H:I,2,FALSE)</f>
        <v>15228205853</v>
      </c>
      <c r="L2348" s="110" t="str">
        <f>VLOOKUP(B2348,辅助信息!E:J,6,FALSE)</f>
        <v>提前联系到场规格</v>
      </c>
      <c r="M2348" s="92">
        <v>45860</v>
      </c>
      <c r="O2348" s="63">
        <f ca="1" t="shared" si="153"/>
        <v>0</v>
      </c>
      <c r="P2348" s="63">
        <f ca="1" t="shared" si="154"/>
        <v>99</v>
      </c>
      <c r="Q2348" s="30" t="str">
        <f>VLOOKUP(B2348,辅助信息!E:M,9,FALSE)</f>
        <v>ZTWM-CDGS-XS-2024-0169-中冶西部钢构-宜宾市南溪区幸福路东路,高县月江镇建设项目</v>
      </c>
      <c r="R2348" s="30" t="str">
        <f>_xlfn._xlws.FILTER(辅助信息!D:D,辅助信息!E:E=B2348)</f>
        <v>五冶钢构-宜宾市南溪区高县月江镇建设项目</v>
      </c>
    </row>
    <row r="2349" hidden="1" spans="2:18">
      <c r="B2349" s="41" t="s">
        <v>167</v>
      </c>
      <c r="C2349" s="71">
        <v>45860</v>
      </c>
      <c r="D2349" s="41" t="str">
        <f>VLOOKUP(B2349,辅助信息!E:K,7,FALSE)</f>
        <v>JWDDCD2025102100473</v>
      </c>
      <c r="E2349" s="41" t="str">
        <f>VLOOKUP(F2349,辅助信息!A:B,2,FALSE)</f>
        <v>螺纹钢</v>
      </c>
      <c r="F2349" s="41" t="s">
        <v>30</v>
      </c>
      <c r="G2349" s="37">
        <v>70</v>
      </c>
      <c r="H2349" s="135">
        <f>_xlfn.XLOOKUP(C2349&amp;F2349&amp;I2349&amp;J2349,'[1]2025年已发货'!$F:$F&amp;'[1]2025年已发货'!$C:$C&amp;'[1]2025年已发货'!$G:$G&amp;'[1]2025年已发货'!$H:$H,'[1]2025年已发货'!$E:$E,"未发货")</f>
        <v>70</v>
      </c>
      <c r="I2349" s="41" t="str">
        <f>VLOOKUP(B2349,辅助信息!E:I,3,FALSE)</f>
        <v>(五冶建设扩建艺体中学二期工程)四川省成都市双流区光荣路成都艺体中学南200米</v>
      </c>
      <c r="J2349" s="41" t="str">
        <f>VLOOKUP(B2349,辅助信息!E:I,4,FALSE)</f>
        <v>谢序强</v>
      </c>
      <c r="K2349" s="41">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99</v>
      </c>
      <c r="Q2349" s="30" t="str">
        <f>VLOOKUP(B2349,辅助信息!E:M,9,FALSE)</f>
        <v>ZTWM-CDGS-XS-2025-0073-五冶天府-成都怡心湖片区及龙泉驿医院等项目</v>
      </c>
      <c r="R2349" s="30" t="str">
        <f>_xlfn._xlws.FILTER(辅助信息!D:D,辅助信息!E:E=B2349)</f>
        <v>五冶建设扩建艺体中学二期工程</v>
      </c>
    </row>
    <row r="2350" hidden="1" spans="2:18">
      <c r="B2350" s="41" t="s">
        <v>167</v>
      </c>
      <c r="C2350" s="71">
        <v>45860</v>
      </c>
      <c r="D2350" s="41" t="str">
        <f>VLOOKUP(B2350,辅助信息!E:K,7,FALSE)</f>
        <v>JWDDCD2025102100473</v>
      </c>
      <c r="E2350" s="41" t="str">
        <f>VLOOKUP(F2350,辅助信息!A:B,2,FALSE)</f>
        <v>盘螺</v>
      </c>
      <c r="F2350" s="41" t="s">
        <v>40</v>
      </c>
      <c r="G2350" s="37">
        <v>14</v>
      </c>
      <c r="H2350" s="135">
        <f>_xlfn.XLOOKUP(C2350&amp;F2350&amp;I2350&amp;J2350,'[1]2025年已发货'!$F:$F&amp;'[1]2025年已发货'!$C:$C&amp;'[1]2025年已发货'!$G:$G&amp;'[1]2025年已发货'!$H:$H,'[1]2025年已发货'!$E:$E,"未发货")</f>
        <v>14</v>
      </c>
      <c r="I2350" s="41" t="str">
        <f>VLOOKUP(B2350,辅助信息!E:I,3,FALSE)</f>
        <v>(五冶建设扩建艺体中学二期工程)四川省成都市双流区光荣路成都艺体中学南200米</v>
      </c>
      <c r="J2350" s="41" t="str">
        <f>VLOOKUP(B2350,辅助信息!E:I,4,FALSE)</f>
        <v>谢序强</v>
      </c>
      <c r="K2350" s="41">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98</v>
      </c>
      <c r="Q2350" s="30" t="str">
        <f>VLOOKUP(B2350,辅助信息!E:M,9,FALSE)</f>
        <v>ZTWM-CDGS-XS-2025-0073-五冶天府-成都怡心湖片区及龙泉驿医院等项目</v>
      </c>
      <c r="R2350" s="30" t="str">
        <f>_xlfn._xlws.FILTER(辅助信息!D:D,辅助信息!E:E=B2350)</f>
        <v>五冶建设扩建艺体中学二期工程</v>
      </c>
    </row>
    <row r="2351" hidden="1" spans="2:18">
      <c r="B2351" s="41" t="s">
        <v>167</v>
      </c>
      <c r="C2351" s="71">
        <v>45860</v>
      </c>
      <c r="D2351" s="41" t="str">
        <f>VLOOKUP(B2351,辅助信息!E:K,7,FALSE)</f>
        <v>JWDDCD2025102100473</v>
      </c>
      <c r="E2351" s="41" t="str">
        <f>VLOOKUP(F2351,辅助信息!A:B,2,FALSE)</f>
        <v>盘螺</v>
      </c>
      <c r="F2351" s="41" t="s">
        <v>41</v>
      </c>
      <c r="G2351" s="37">
        <v>21</v>
      </c>
      <c r="H2351" s="135">
        <f>_xlfn.XLOOKUP(C2351&amp;F2351&amp;I2351&amp;J2351,'[1]2025年已发货'!$F:$F&amp;'[1]2025年已发货'!$C:$C&amp;'[1]2025年已发货'!$G:$G&amp;'[1]2025年已发货'!$H:$H,'[1]2025年已发货'!$E:$E,"未发货")</f>
        <v>21</v>
      </c>
      <c r="I2351" s="41" t="str">
        <f>VLOOKUP(B2351,辅助信息!E:I,3,FALSE)</f>
        <v>(五冶建设扩建艺体中学二期工程)四川省成都市双流区光荣路成都艺体中学南200米</v>
      </c>
      <c r="J2351" s="41" t="str">
        <f>VLOOKUP(B2351,辅助信息!E:I,4,FALSE)</f>
        <v>谢序强</v>
      </c>
      <c r="K2351" s="41">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98</v>
      </c>
      <c r="Q2351" s="30" t="str">
        <f>VLOOKUP(B2351,辅助信息!E:M,9,FALSE)</f>
        <v>ZTWM-CDGS-XS-2025-0073-五冶天府-成都怡心湖片区及龙泉驿医院等项目</v>
      </c>
      <c r="R2351" s="30" t="str">
        <f>_xlfn._xlws.FILTER(辅助信息!D:D,辅助信息!E:E=B2351)</f>
        <v>五冶建设扩建艺体中学二期工程</v>
      </c>
    </row>
    <row r="2352" hidden="1" spans="2:18">
      <c r="B2352" s="41" t="s">
        <v>180</v>
      </c>
      <c r="C2352" s="71">
        <v>45860</v>
      </c>
      <c r="D2352" s="41" t="str">
        <f>VLOOKUP(B2352,辅助信息!E:K,7,FALSE)</f>
        <v>JWDDCD2025052800131</v>
      </c>
      <c r="E2352" s="41" t="str">
        <f>VLOOKUP(F2352,辅助信息!A:B,2,FALSE)</f>
        <v>螺纹钢</v>
      </c>
      <c r="F2352" s="41" t="s">
        <v>45</v>
      </c>
      <c r="G2352" s="37">
        <v>6</v>
      </c>
      <c r="H2352" s="135">
        <f>_xlfn.XLOOKUP(C2352&amp;F2352&amp;I2352&amp;J2352,'[1]2025年已发货'!$F:$F&amp;'[1]2025年已发货'!$C:$C&amp;'[1]2025年已发货'!$G:$G&amp;'[1]2025年已发货'!$H:$H,'[1]2025年已发货'!$E:$E,"未发货")</f>
        <v>6</v>
      </c>
      <c r="I2352" s="41" t="str">
        <f>VLOOKUP(B2352,辅助信息!E:I,3,FALSE)</f>
        <v>（商投建工达州中医药科技园-4工区-8号楼）达州市通川区达州中医药职业学院犀牛大道北段</v>
      </c>
      <c r="J2352" s="41" t="str">
        <f>VLOOKUP(B2352,辅助信息!E:I,4,FALSE)</f>
        <v>张扬</v>
      </c>
      <c r="K2352" s="41">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98</v>
      </c>
      <c r="Q2352" s="30" t="str">
        <f>VLOOKUP(B2352,辅助信息!E:M,9,FALSE)</f>
        <v>ZTWM-CDGS-XS-2024-0134-商投建工达州中医药科技成果示范园项目</v>
      </c>
      <c r="R2352" s="30" t="str">
        <f>_xlfn._xlws.FILTER(辅助信息!D:D,辅助信息!E:E=B2352)</f>
        <v>商投建工达州中医药科技园</v>
      </c>
    </row>
    <row r="2353" hidden="1" spans="2:18">
      <c r="B2353" s="41" t="s">
        <v>180</v>
      </c>
      <c r="C2353" s="71">
        <v>45860</v>
      </c>
      <c r="D2353" s="41" t="str">
        <f>VLOOKUP(B2353,辅助信息!E:K,7,FALSE)</f>
        <v>JWDDCD2025052800131</v>
      </c>
      <c r="E2353" s="41" t="str">
        <f>VLOOKUP(F2353,辅助信息!A:B,2,FALSE)</f>
        <v>螺纹钢</v>
      </c>
      <c r="F2353" s="41" t="s">
        <v>21</v>
      </c>
      <c r="G2353" s="37">
        <v>20</v>
      </c>
      <c r="H2353" s="135">
        <f>_xlfn.XLOOKUP(C2353&amp;F2353&amp;I2353&amp;J2353,'[1]2025年已发货'!$F:$F&amp;'[1]2025年已发货'!$C:$C&amp;'[1]2025年已发货'!$G:$G&amp;'[1]2025年已发货'!$H:$H,'[1]2025年已发货'!$E:$E,"未发货")</f>
        <v>20</v>
      </c>
      <c r="I2353" s="41" t="str">
        <f>VLOOKUP(B2353,辅助信息!E:I,3,FALSE)</f>
        <v>（商投建工达州中医药科技园-4工区-8号楼）达州市通川区达州中医药职业学院犀牛大道北段</v>
      </c>
      <c r="J2353" s="41" t="str">
        <f>VLOOKUP(B2353,辅助信息!E:I,4,FALSE)</f>
        <v>张扬</v>
      </c>
      <c r="K2353" s="41">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98</v>
      </c>
      <c r="Q2353" s="30" t="str">
        <f>VLOOKUP(B2353,辅助信息!E:M,9,FALSE)</f>
        <v>ZTWM-CDGS-XS-2024-0134-商投建工达州中医药科技成果示范园项目</v>
      </c>
      <c r="R2353" s="30" t="str">
        <f>_xlfn._xlws.FILTER(辅助信息!D:D,辅助信息!E:E=B2353)</f>
        <v>商投建工达州中医药科技园</v>
      </c>
    </row>
    <row r="2354" hidden="1" spans="2:18">
      <c r="B2354" s="41" t="s">
        <v>180</v>
      </c>
      <c r="C2354" s="71">
        <v>45860</v>
      </c>
      <c r="D2354" s="41" t="str">
        <f>VLOOKUP(B2354,辅助信息!E:K,7,FALSE)</f>
        <v>JWDDCD2025052800131</v>
      </c>
      <c r="E2354" s="41" t="str">
        <f>VLOOKUP(F2354,辅助信息!A:B,2,FALSE)</f>
        <v>螺纹钢</v>
      </c>
      <c r="F2354" s="41" t="s">
        <v>58</v>
      </c>
      <c r="G2354" s="37">
        <v>10</v>
      </c>
      <c r="H2354" s="135">
        <f>_xlfn.XLOOKUP(C2354&amp;F2354&amp;I2354&amp;J2354,'[1]2025年已发货'!$F:$F&amp;'[1]2025年已发货'!$C:$C&amp;'[1]2025年已发货'!$G:$G&amp;'[1]2025年已发货'!$H:$H,'[1]2025年已发货'!$E:$E,"未发货")</f>
        <v>10</v>
      </c>
      <c r="I2354" s="41" t="str">
        <f>VLOOKUP(B2354,辅助信息!E:I,3,FALSE)</f>
        <v>（商投建工达州中医药科技园-4工区-8号楼）达州市通川区达州中医药职业学院犀牛大道北段</v>
      </c>
      <c r="J2354" s="41" t="str">
        <f>VLOOKUP(B2354,辅助信息!E:I,4,FALSE)</f>
        <v>张扬</v>
      </c>
      <c r="K2354" s="41">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98</v>
      </c>
      <c r="Q2354" s="30" t="str">
        <f>VLOOKUP(B2354,辅助信息!E:M,9,FALSE)</f>
        <v>ZTWM-CDGS-XS-2024-0134-商投建工达州中医药科技成果示范园项目</v>
      </c>
      <c r="R2354" s="30" t="str">
        <f>_xlfn._xlws.FILTER(辅助信息!D:D,辅助信息!E:E=B2354)</f>
        <v>商投建工达州中医药科技园</v>
      </c>
    </row>
    <row r="2355" hidden="1" spans="2:18">
      <c r="B2355" s="41" t="s">
        <v>161</v>
      </c>
      <c r="C2355" s="71">
        <v>45860</v>
      </c>
      <c r="D2355" s="41" t="str">
        <f>VLOOKUP(B2355,辅助信息!E:K,7,FALSE)</f>
        <v>JWDD2025071500089</v>
      </c>
      <c r="E2355" s="41" t="str">
        <f>VLOOKUP(F2355,辅助信息!A:B,2,FALSE)</f>
        <v>螺纹钢</v>
      </c>
      <c r="F2355" s="41" t="s">
        <v>32</v>
      </c>
      <c r="G2355" s="37">
        <v>10</v>
      </c>
      <c r="H2355" s="135" t="str">
        <f>_xlfn.XLOOKUP(C2355&amp;F2355&amp;I2355&amp;J2355,'[1]2025年已发货'!$F:$F&amp;'[1]2025年已发货'!$C:$C&amp;'[1]2025年已发货'!$G:$G&amp;'[1]2025年已发货'!$H:$H,'[1]2025年已发货'!$E:$E,"未发货")</f>
        <v>未发货</v>
      </c>
      <c r="I2355" s="41" t="str">
        <f>VLOOKUP(B2355,辅助信息!E:I,3,FALSE)</f>
        <v>(宜宾兴港三江新区长江工业园保障性租赁住房建设项目-1标)四川省宜宾市翠屏区永善路南段宜宾市三江新区长江工业园区</v>
      </c>
      <c r="J2355" s="41" t="str">
        <f>VLOOKUP(B2355,辅助信息!E:I,4,FALSE)</f>
        <v>赵元虎</v>
      </c>
      <c r="K2355" s="41">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98</v>
      </c>
      <c r="Q2355" s="30" t="str">
        <f>VLOOKUP(B2355,辅助信息!E:M,9,FALSE)</f>
        <v>ZTWM-CDYXGS-XS-2025-0014-宜宾兴港建材-三江新区长江工业园片区保障性租赁住房建设项目</v>
      </c>
      <c r="R2355" s="30" t="str">
        <f>_xlfn._xlws.FILTER(辅助信息!D:D,辅助信息!E:E=B2355)</f>
        <v>宜宾兴港三江新区长江工业园建设项目</v>
      </c>
    </row>
    <row r="2356" hidden="1" spans="2:18">
      <c r="B2356" s="41" t="s">
        <v>161</v>
      </c>
      <c r="C2356" s="71">
        <v>45860</v>
      </c>
      <c r="D2356" s="41" t="str">
        <f>VLOOKUP(B2356,辅助信息!E:K,7,FALSE)</f>
        <v>JWDD2025071500089</v>
      </c>
      <c r="E2356" s="41" t="str">
        <f>VLOOKUP(F2356,辅助信息!A:B,2,FALSE)</f>
        <v>螺纹钢</v>
      </c>
      <c r="F2356" s="41" t="s">
        <v>30</v>
      </c>
      <c r="G2356" s="37">
        <v>25</v>
      </c>
      <c r="H2356" s="135" t="str">
        <f>_xlfn.XLOOKUP(C2356&amp;F2356&amp;I2356&amp;J2356,'[1]2025年已发货'!$F:$F&amp;'[1]2025年已发货'!$C:$C&amp;'[1]2025年已发货'!$G:$G&amp;'[1]2025年已发货'!$H:$H,'[1]2025年已发货'!$E:$E,"未发货")</f>
        <v>未发货</v>
      </c>
      <c r="I2356" s="41" t="str">
        <f>VLOOKUP(B2356,辅助信息!E:I,3,FALSE)</f>
        <v>(宜宾兴港三江新区长江工业园保障性租赁住房建设项目-1标)四川省宜宾市翠屏区永善路南段宜宾市三江新区长江工业园区</v>
      </c>
      <c r="J2356" s="41" t="str">
        <f>VLOOKUP(B2356,辅助信息!E:I,4,FALSE)</f>
        <v>赵元虎</v>
      </c>
      <c r="K2356" s="41">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98</v>
      </c>
      <c r="Q2356" s="30" t="str">
        <f>VLOOKUP(B2356,辅助信息!E:M,9,FALSE)</f>
        <v>ZTWM-CDYXGS-XS-2025-0014-宜宾兴港建材-三江新区长江工业园片区保障性租赁住房建设项目</v>
      </c>
      <c r="R2356" s="30" t="str">
        <f>_xlfn._xlws.FILTER(辅助信息!D:D,辅助信息!E:E=B2356)</f>
        <v>宜宾兴港三江新区长江工业园建设项目</v>
      </c>
    </row>
    <row r="2357" hidden="1" spans="2:18">
      <c r="B2357" s="41" t="s">
        <v>161</v>
      </c>
      <c r="C2357" s="71">
        <v>45860</v>
      </c>
      <c r="D2357" s="41" t="str">
        <f>VLOOKUP(B2357,辅助信息!E:K,7,FALSE)</f>
        <v>JWDD2025071500089</v>
      </c>
      <c r="E2357" s="41" t="str">
        <f>VLOOKUP(F2357,辅助信息!A:B,2,FALSE)</f>
        <v>螺纹钢</v>
      </c>
      <c r="F2357" s="41" t="s">
        <v>18</v>
      </c>
      <c r="G2357" s="37">
        <v>15</v>
      </c>
      <c r="H2357" s="135" t="str">
        <f>_xlfn.XLOOKUP(C2357&amp;F2357&amp;I2357&amp;J2357,'[1]2025年已发货'!$F:$F&amp;'[1]2025年已发货'!$C:$C&amp;'[1]2025年已发货'!$G:$G&amp;'[1]2025年已发货'!$H:$H,'[1]2025年已发货'!$E:$E,"未发货")</f>
        <v>未发货</v>
      </c>
      <c r="I2357" s="41" t="str">
        <f>VLOOKUP(B2357,辅助信息!E:I,3,FALSE)</f>
        <v>(宜宾兴港三江新区长江工业园保障性租赁住房建设项目-1标)四川省宜宾市翠屏区永善路南段宜宾市三江新区长江工业园区</v>
      </c>
      <c r="J2357" s="41" t="str">
        <f>VLOOKUP(B2357,辅助信息!E:I,4,FALSE)</f>
        <v>赵元虎</v>
      </c>
      <c r="K2357" s="41">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98</v>
      </c>
      <c r="Q2357" s="30" t="str">
        <f>VLOOKUP(B2357,辅助信息!E:M,9,FALSE)</f>
        <v>ZTWM-CDYXGS-XS-2025-0014-宜宾兴港建材-三江新区长江工业园片区保障性租赁住房建设项目</v>
      </c>
      <c r="R2357" s="30" t="str">
        <f>_xlfn._xlws.FILTER(辅助信息!D:D,辅助信息!E:E=B2357)</f>
        <v>宜宾兴港三江新区长江工业园建设项目</v>
      </c>
    </row>
    <row r="2358" hidden="1" spans="2:18">
      <c r="B2358" s="41" t="s">
        <v>161</v>
      </c>
      <c r="C2358" s="71">
        <v>45860</v>
      </c>
      <c r="D2358" s="41" t="str">
        <f>VLOOKUP(B2358,辅助信息!E:K,7,FALSE)</f>
        <v>JWDD2025071500089</v>
      </c>
      <c r="E2358" s="41" t="str">
        <f>VLOOKUP(F2358,辅助信息!A:B,2,FALSE)</f>
        <v>盘螺</v>
      </c>
      <c r="F2358" s="41" t="s">
        <v>26</v>
      </c>
      <c r="G2358" s="37">
        <v>20</v>
      </c>
      <c r="H2358" s="135" t="str">
        <f>_xlfn.XLOOKUP(C2358&amp;F2358&amp;I2358&amp;J2358,'[1]2025年已发货'!$F:$F&amp;'[1]2025年已发货'!$C:$C&amp;'[1]2025年已发货'!$G:$G&amp;'[1]2025年已发货'!$H:$H,'[1]2025年已发货'!$E:$E,"未发货")</f>
        <v>未发货</v>
      </c>
      <c r="I2358" s="41" t="str">
        <f>VLOOKUP(B2358,辅助信息!E:I,3,FALSE)</f>
        <v>(宜宾兴港三江新区长江工业园保障性租赁住房建设项目-1标)四川省宜宾市翠屏区永善路南段宜宾市三江新区长江工业园区</v>
      </c>
      <c r="J2358" s="41" t="str">
        <f>VLOOKUP(B2358,辅助信息!E:I,4,FALSE)</f>
        <v>赵元虎</v>
      </c>
      <c r="K2358" s="41">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98</v>
      </c>
      <c r="Q2358" s="30" t="str">
        <f>VLOOKUP(B2358,辅助信息!E:M,9,FALSE)</f>
        <v>ZTWM-CDYXGS-XS-2025-0014-宜宾兴港建材-三江新区长江工业园片区保障性租赁住房建设项目</v>
      </c>
      <c r="R2358" s="30" t="str">
        <f>_xlfn._xlws.FILTER(辅助信息!D:D,辅助信息!E:E=B2358)</f>
        <v>宜宾兴港三江新区长江工业园建设项目</v>
      </c>
    </row>
    <row r="2359" hidden="1" spans="2:18">
      <c r="B2359" s="41" t="s">
        <v>194</v>
      </c>
      <c r="C2359" s="71">
        <v>45861</v>
      </c>
      <c r="D2359" s="41" t="str">
        <f>VLOOKUP(B2359,辅助信息!E:K,7,FALSE)</f>
        <v>JWDD2025071500089</v>
      </c>
      <c r="E2359" s="41" t="str">
        <f>VLOOKUP(F2359,辅助信息!A:B,2,FALSE)</f>
        <v>盘螺</v>
      </c>
      <c r="F2359" s="41" t="s">
        <v>49</v>
      </c>
      <c r="G2359" s="37">
        <v>5</v>
      </c>
      <c r="H2359" s="135" t="str">
        <f>_xlfn.XLOOKUP(C2359&amp;F2359&amp;I2359&amp;J2359,'[1]2025年已发货'!$F:$F&amp;'[1]2025年已发货'!$C:$C&amp;'[1]2025年已发货'!$G:$G&amp;'[1]2025年已发货'!$H:$H,'[1]2025年已发货'!$E:$E,"未发货")</f>
        <v>未发货</v>
      </c>
      <c r="I2359" s="41" t="str">
        <f>VLOOKUP(B2359,辅助信息!E:I,3,FALSE)</f>
        <v>(宜宾兴港三江新区长江工业园保障性租赁住房建设项目-土建)四川省宜宾市翠屏区永善路南段宜宾市三江新区长江工业园区</v>
      </c>
      <c r="J2359" s="41" t="str">
        <f>VLOOKUP(B2359,辅助信息!E:I,4,FALSE)</f>
        <v>赵元虎</v>
      </c>
      <c r="K2359" s="41">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96</v>
      </c>
      <c r="Q2359" s="30" t="str">
        <f>VLOOKUP(B2359,辅助信息!E:M,9,FALSE)</f>
        <v>ZTWM-CDYXGS-XS-2025-0014-宜宾兴港建材-三江新区长江工业园片区保障性租赁住房建设项目</v>
      </c>
      <c r="R2359" s="30" t="str">
        <f>_xlfn._xlws.FILTER(辅助信息!D:D,辅助信息!E:E=B2359)</f>
        <v>宜宾兴港三江新区长江工业园建设项目</v>
      </c>
    </row>
    <row r="2360" hidden="1" spans="2:18">
      <c r="B2360" s="41" t="s">
        <v>194</v>
      </c>
      <c r="C2360" s="71">
        <v>45861</v>
      </c>
      <c r="D2360" s="41" t="str">
        <f>VLOOKUP(B2360,辅助信息!E:K,7,FALSE)</f>
        <v>JWDD2025071500089</v>
      </c>
      <c r="E2360" s="41" t="str">
        <f>VLOOKUP(F2360,辅助信息!A:B,2,FALSE)</f>
        <v>盘螺</v>
      </c>
      <c r="F2360" s="41" t="s">
        <v>40</v>
      </c>
      <c r="G2360" s="37">
        <v>10</v>
      </c>
      <c r="H2360" s="135" t="str">
        <f>_xlfn.XLOOKUP(C2360&amp;F2360&amp;I2360&amp;J2360,'[1]2025年已发货'!$F:$F&amp;'[1]2025年已发货'!$C:$C&amp;'[1]2025年已发货'!$G:$G&amp;'[1]2025年已发货'!$H:$H,'[1]2025年已发货'!$E:$E,"未发货")</f>
        <v>未发货</v>
      </c>
      <c r="I2360" s="41" t="str">
        <f>VLOOKUP(B2360,辅助信息!E:I,3,FALSE)</f>
        <v>(宜宾兴港三江新区长江工业园保障性租赁住房建设项目-土建)四川省宜宾市翠屏区永善路南段宜宾市三江新区长江工业园区</v>
      </c>
      <c r="J2360" s="41" t="str">
        <f>VLOOKUP(B2360,辅助信息!E:I,4,FALSE)</f>
        <v>赵元虎</v>
      </c>
      <c r="K2360" s="41">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96</v>
      </c>
      <c r="Q2360" s="30" t="str">
        <f>VLOOKUP(B2360,辅助信息!E:M,9,FALSE)</f>
        <v>ZTWM-CDYXGS-XS-2025-0014-宜宾兴港建材-三江新区长江工业园片区保障性租赁住房建设项目</v>
      </c>
      <c r="R2360" s="30" t="str">
        <f>_xlfn._xlws.FILTER(辅助信息!D:D,辅助信息!E:E=B2360)</f>
        <v>宜宾兴港三江新区长江工业园建设项目</v>
      </c>
    </row>
    <row r="2361" hidden="1" spans="2:18">
      <c r="B2361" s="41" t="s">
        <v>194</v>
      </c>
      <c r="C2361" s="71">
        <v>45861</v>
      </c>
      <c r="D2361" s="41" t="str">
        <f>VLOOKUP(B2361,辅助信息!E:K,7,FALSE)</f>
        <v>JWDD2025071500089</v>
      </c>
      <c r="E2361" s="41" t="str">
        <f>VLOOKUP(F2361,辅助信息!A:B,2,FALSE)</f>
        <v>盘螺</v>
      </c>
      <c r="F2361" s="41" t="s">
        <v>41</v>
      </c>
      <c r="G2361" s="37">
        <v>20</v>
      </c>
      <c r="H2361" s="135" t="str">
        <f>_xlfn.XLOOKUP(C2361&amp;F2361&amp;I2361&amp;J2361,'[1]2025年已发货'!$F:$F&amp;'[1]2025年已发货'!$C:$C&amp;'[1]2025年已发货'!$G:$G&amp;'[1]2025年已发货'!$H:$H,'[1]2025年已发货'!$E:$E,"未发货")</f>
        <v>未发货</v>
      </c>
      <c r="I2361" s="41" t="str">
        <f>VLOOKUP(B2361,辅助信息!E:I,3,FALSE)</f>
        <v>(宜宾兴港三江新区长江工业园保障性租赁住房建设项目-土建)四川省宜宾市翠屏区永善路南段宜宾市三江新区长江工业园区</v>
      </c>
      <c r="J2361" s="41" t="str">
        <f>VLOOKUP(B2361,辅助信息!E:I,4,FALSE)</f>
        <v>赵元虎</v>
      </c>
      <c r="K2361" s="41">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96</v>
      </c>
      <c r="Q2361" s="30" t="str">
        <f>VLOOKUP(B2361,辅助信息!E:M,9,FALSE)</f>
        <v>ZTWM-CDYXGS-XS-2025-0014-宜宾兴港建材-三江新区长江工业园片区保障性租赁住房建设项目</v>
      </c>
      <c r="R2361" s="30" t="str">
        <f>_xlfn._xlws.FILTER(辅助信息!D:D,辅助信息!E:E=B2361)</f>
        <v>宜宾兴港三江新区长江工业园建设项目</v>
      </c>
    </row>
    <row r="2362" hidden="1" spans="2:18">
      <c r="B2362" s="41" t="s">
        <v>194</v>
      </c>
      <c r="C2362" s="71">
        <v>45861</v>
      </c>
      <c r="D2362" s="41" t="str">
        <f>VLOOKUP(B2362,辅助信息!E:K,7,FALSE)</f>
        <v>JWDD2025071500089</v>
      </c>
      <c r="E2362" s="41" t="str">
        <f>VLOOKUP(F2362,辅助信息!A:B,2,FALSE)</f>
        <v>螺纹钢</v>
      </c>
      <c r="F2362" s="41" t="s">
        <v>27</v>
      </c>
      <c r="G2362" s="37">
        <v>20</v>
      </c>
      <c r="H2362" s="135" t="str">
        <f>_xlfn.XLOOKUP(C2362&amp;F2362&amp;I2362&amp;J2362,'[1]2025年已发货'!$F:$F&amp;'[1]2025年已发货'!$C:$C&amp;'[1]2025年已发货'!$G:$G&amp;'[1]2025年已发货'!$H:$H,'[1]2025年已发货'!$E:$E,"未发货")</f>
        <v>未发货</v>
      </c>
      <c r="I2362" s="41" t="str">
        <f>VLOOKUP(B2362,辅助信息!E:I,3,FALSE)</f>
        <v>(宜宾兴港三江新区长江工业园保障性租赁住房建设项目-土建)四川省宜宾市翠屏区永善路南段宜宾市三江新区长江工业园区</v>
      </c>
      <c r="J2362" s="41" t="str">
        <f>VLOOKUP(B2362,辅助信息!E:I,4,FALSE)</f>
        <v>赵元虎</v>
      </c>
      <c r="K2362" s="41">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96</v>
      </c>
      <c r="Q2362" s="30" t="str">
        <f>VLOOKUP(B2362,辅助信息!E:M,9,FALSE)</f>
        <v>ZTWM-CDYXGS-XS-2025-0014-宜宾兴港建材-三江新区长江工业园片区保障性租赁住房建设项目</v>
      </c>
      <c r="R2362" s="30" t="str">
        <f>_xlfn._xlws.FILTER(辅助信息!D:D,辅助信息!E:E=B2362)</f>
        <v>宜宾兴港三江新区长江工业园建设项目</v>
      </c>
    </row>
    <row r="2363" hidden="1" spans="2:18">
      <c r="B2363" s="41" t="s">
        <v>194</v>
      </c>
      <c r="C2363" s="71">
        <v>45861</v>
      </c>
      <c r="D2363" s="41" t="str">
        <f>VLOOKUP(B2363,辅助信息!E:K,7,FALSE)</f>
        <v>JWDD2025071500089</v>
      </c>
      <c r="E2363" s="41" t="str">
        <f>VLOOKUP(F2363,辅助信息!A:B,2,FALSE)</f>
        <v>螺纹钢</v>
      </c>
      <c r="F2363" s="41" t="s">
        <v>19</v>
      </c>
      <c r="G2363" s="37">
        <v>35</v>
      </c>
      <c r="H2363" s="135" t="str">
        <f>_xlfn.XLOOKUP(C2363&amp;F2363&amp;I2363&amp;J2363,'[1]2025年已发货'!$F:$F&amp;'[1]2025年已发货'!$C:$C&amp;'[1]2025年已发货'!$G:$G&amp;'[1]2025年已发货'!$H:$H,'[1]2025年已发货'!$E:$E,"未发货")</f>
        <v>未发货</v>
      </c>
      <c r="I2363" s="41" t="str">
        <f>VLOOKUP(B2363,辅助信息!E:I,3,FALSE)</f>
        <v>(宜宾兴港三江新区长江工业园保障性租赁住房建设项目-土建)四川省宜宾市翠屏区永善路南段宜宾市三江新区长江工业园区</v>
      </c>
      <c r="J2363" s="41" t="str">
        <f>VLOOKUP(B2363,辅助信息!E:I,4,FALSE)</f>
        <v>赵元虎</v>
      </c>
      <c r="K2363" s="41">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96</v>
      </c>
      <c r="Q2363" s="30" t="str">
        <f>VLOOKUP(B2363,辅助信息!E:M,9,FALSE)</f>
        <v>ZTWM-CDYXGS-XS-2025-0014-宜宾兴港建材-三江新区长江工业园片区保障性租赁住房建设项目</v>
      </c>
      <c r="R2363" s="30" t="str">
        <f>_xlfn._xlws.FILTER(辅助信息!D:D,辅助信息!E:E=B2363)</f>
        <v>宜宾兴港三江新区长江工业园建设项目</v>
      </c>
    </row>
    <row r="2364" hidden="1" spans="2:18">
      <c r="B2364" s="41" t="s">
        <v>194</v>
      </c>
      <c r="C2364" s="71">
        <v>45861</v>
      </c>
      <c r="D2364" s="41" t="str">
        <f>VLOOKUP(B2364,辅助信息!E:K,7,FALSE)</f>
        <v>JWDD2025071500089</v>
      </c>
      <c r="E2364" s="41" t="str">
        <f>VLOOKUP(F2364,辅助信息!A:B,2,FALSE)</f>
        <v>螺纹钢</v>
      </c>
      <c r="F2364" s="41" t="s">
        <v>32</v>
      </c>
      <c r="G2364" s="37">
        <v>25</v>
      </c>
      <c r="H2364" s="135" t="str">
        <f>_xlfn.XLOOKUP(C2364&amp;F2364&amp;I2364&amp;J2364,'[1]2025年已发货'!$F:$F&amp;'[1]2025年已发货'!$C:$C&amp;'[1]2025年已发货'!$G:$G&amp;'[1]2025年已发货'!$H:$H,'[1]2025年已发货'!$E:$E,"未发货")</f>
        <v>未发货</v>
      </c>
      <c r="I2364" s="41" t="str">
        <f>VLOOKUP(B2364,辅助信息!E:I,3,FALSE)</f>
        <v>(宜宾兴港三江新区长江工业园保障性租赁住房建设项目-土建)四川省宜宾市翠屏区永善路南段宜宾市三江新区长江工业园区</v>
      </c>
      <c r="J2364" s="41" t="str">
        <f>VLOOKUP(B2364,辅助信息!E:I,4,FALSE)</f>
        <v>赵元虎</v>
      </c>
      <c r="K2364" s="41">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96</v>
      </c>
      <c r="Q2364" s="30" t="str">
        <f>VLOOKUP(B2364,辅助信息!E:M,9,FALSE)</f>
        <v>ZTWM-CDYXGS-XS-2025-0014-宜宾兴港建材-三江新区长江工业园片区保障性租赁住房建设项目</v>
      </c>
      <c r="R2364" s="30" t="str">
        <f>_xlfn._xlws.FILTER(辅助信息!D:D,辅助信息!E:E=B2364)</f>
        <v>宜宾兴港三江新区长江工业园建设项目</v>
      </c>
    </row>
    <row r="2365" hidden="1" spans="2:18">
      <c r="B2365" s="41" t="s">
        <v>194</v>
      </c>
      <c r="C2365" s="71">
        <v>45861</v>
      </c>
      <c r="D2365" s="41" t="str">
        <f>VLOOKUP(B2365,辅助信息!E:K,7,FALSE)</f>
        <v>JWDD2025071500089</v>
      </c>
      <c r="E2365" s="41" t="str">
        <f>VLOOKUP(F2365,辅助信息!A:B,2,FALSE)</f>
        <v>螺纹钢</v>
      </c>
      <c r="F2365" s="41" t="s">
        <v>30</v>
      </c>
      <c r="G2365" s="37">
        <v>35</v>
      </c>
      <c r="H2365" s="135" t="str">
        <f>_xlfn.XLOOKUP(C2365&amp;F2365&amp;I2365&amp;J2365,'[1]2025年已发货'!$F:$F&amp;'[1]2025年已发货'!$C:$C&amp;'[1]2025年已发货'!$G:$G&amp;'[1]2025年已发货'!$H:$H,'[1]2025年已发货'!$E:$E,"未发货")</f>
        <v>未发货</v>
      </c>
      <c r="I2365" s="41" t="str">
        <f>VLOOKUP(B2365,辅助信息!E:I,3,FALSE)</f>
        <v>(宜宾兴港三江新区长江工业园保障性租赁住房建设项目-土建)四川省宜宾市翠屏区永善路南段宜宾市三江新区长江工业园区</v>
      </c>
      <c r="J2365" s="41" t="str">
        <f>VLOOKUP(B2365,辅助信息!E:I,4,FALSE)</f>
        <v>赵元虎</v>
      </c>
      <c r="K2365" s="41">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96</v>
      </c>
      <c r="Q2365" s="30" t="str">
        <f>VLOOKUP(B2365,辅助信息!E:M,9,FALSE)</f>
        <v>ZTWM-CDYXGS-XS-2025-0014-宜宾兴港建材-三江新区长江工业园片区保障性租赁住房建设项目</v>
      </c>
      <c r="R2365" s="30" t="str">
        <f>_xlfn._xlws.FILTER(辅助信息!D:D,辅助信息!E:E=B2365)</f>
        <v>宜宾兴港三江新区长江工业园建设项目</v>
      </c>
    </row>
    <row r="2366" hidden="1" spans="2:18">
      <c r="B2366" s="41" t="s">
        <v>194</v>
      </c>
      <c r="C2366" s="71">
        <v>45861</v>
      </c>
      <c r="D2366" s="41" t="str">
        <f>VLOOKUP(B2366,辅助信息!E:K,7,FALSE)</f>
        <v>JWDD2025071500089</v>
      </c>
      <c r="E2366" s="41" t="str">
        <f>VLOOKUP(F2366,辅助信息!A:B,2,FALSE)</f>
        <v>螺纹钢</v>
      </c>
      <c r="F2366" s="41" t="s">
        <v>33</v>
      </c>
      <c r="G2366" s="37">
        <v>10</v>
      </c>
      <c r="H2366" s="135" t="str">
        <f>_xlfn.XLOOKUP(C2366&amp;F2366&amp;I2366&amp;J2366,'[1]2025年已发货'!$F:$F&amp;'[1]2025年已发货'!$C:$C&amp;'[1]2025年已发货'!$G:$G&amp;'[1]2025年已发货'!$H:$H,'[1]2025年已发货'!$E:$E,"未发货")</f>
        <v>未发货</v>
      </c>
      <c r="I2366" s="41" t="str">
        <f>VLOOKUP(B2366,辅助信息!E:I,3,FALSE)</f>
        <v>(宜宾兴港三江新区长江工业园保障性租赁住房建设项目-土建)四川省宜宾市翠屏区永善路南段宜宾市三江新区长江工业园区</v>
      </c>
      <c r="J2366" s="41" t="str">
        <f>VLOOKUP(B2366,辅助信息!E:I,4,FALSE)</f>
        <v>赵元虎</v>
      </c>
      <c r="K2366" s="41">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96</v>
      </c>
      <c r="Q2366" s="30" t="str">
        <f>VLOOKUP(B2366,辅助信息!E:M,9,FALSE)</f>
        <v>ZTWM-CDYXGS-XS-2025-0014-宜宾兴港建材-三江新区长江工业园片区保障性租赁住房建设项目</v>
      </c>
      <c r="R2366" s="30" t="str">
        <f>_xlfn._xlws.FILTER(辅助信息!D:D,辅助信息!E:E=B2366)</f>
        <v>宜宾兴港三江新区长江工业园建设项目</v>
      </c>
    </row>
    <row r="2367" hidden="1" spans="2:18">
      <c r="B2367" s="41" t="s">
        <v>194</v>
      </c>
      <c r="C2367" s="71">
        <v>45861</v>
      </c>
      <c r="D2367" s="41" t="str">
        <f>VLOOKUP(B2367,辅助信息!E:K,7,FALSE)</f>
        <v>JWDD2025071500089</v>
      </c>
      <c r="E2367" s="41" t="str">
        <f>VLOOKUP(F2367,辅助信息!A:B,2,FALSE)</f>
        <v>螺纹钢</v>
      </c>
      <c r="F2367" s="41" t="s">
        <v>28</v>
      </c>
      <c r="G2367" s="37">
        <v>15</v>
      </c>
      <c r="H2367" s="135" t="str">
        <f>_xlfn.XLOOKUP(C2367&amp;F2367&amp;I2367&amp;J2367,'[1]2025年已发货'!$F:$F&amp;'[1]2025年已发货'!$C:$C&amp;'[1]2025年已发货'!$G:$G&amp;'[1]2025年已发货'!$H:$H,'[1]2025年已发货'!$E:$E,"未发货")</f>
        <v>未发货</v>
      </c>
      <c r="I2367" s="41" t="str">
        <f>VLOOKUP(B2367,辅助信息!E:I,3,FALSE)</f>
        <v>(宜宾兴港三江新区长江工业园保障性租赁住房建设项目-土建)四川省宜宾市翠屏区永善路南段宜宾市三江新区长江工业园区</v>
      </c>
      <c r="J2367" s="41" t="str">
        <f>VLOOKUP(B2367,辅助信息!E:I,4,FALSE)</f>
        <v>赵元虎</v>
      </c>
      <c r="K2367" s="41">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96</v>
      </c>
      <c r="Q2367" s="30" t="str">
        <f>VLOOKUP(B2367,辅助信息!E:M,9,FALSE)</f>
        <v>ZTWM-CDYXGS-XS-2025-0014-宜宾兴港建材-三江新区长江工业园片区保障性租赁住房建设项目</v>
      </c>
      <c r="R2367" s="30" t="str">
        <f>_xlfn._xlws.FILTER(辅助信息!D:D,辅助信息!E:E=B2367)</f>
        <v>宜宾兴港三江新区长江工业园建设项目</v>
      </c>
    </row>
    <row r="2368" hidden="1" spans="2:18">
      <c r="B2368" s="41" t="s">
        <v>194</v>
      </c>
      <c r="C2368" s="71">
        <v>45861</v>
      </c>
      <c r="D2368" s="41" t="str">
        <f>VLOOKUP(B2368,辅助信息!E:K,7,FALSE)</f>
        <v>JWDD2025071500089</v>
      </c>
      <c r="E2368" s="41" t="str">
        <f>VLOOKUP(F2368,辅助信息!A:B,2,FALSE)</f>
        <v>螺纹钢</v>
      </c>
      <c r="F2368" s="41" t="s">
        <v>18</v>
      </c>
      <c r="G2368" s="37">
        <v>35</v>
      </c>
      <c r="H2368" s="135" t="str">
        <f>_xlfn.XLOOKUP(C2368&amp;F2368&amp;I2368&amp;J2368,'[1]2025年已发货'!$F:$F&amp;'[1]2025年已发货'!$C:$C&amp;'[1]2025年已发货'!$G:$G&amp;'[1]2025年已发货'!$H:$H,'[1]2025年已发货'!$E:$E,"未发货")</f>
        <v>未发货</v>
      </c>
      <c r="I2368" s="41" t="str">
        <f>VLOOKUP(B2368,辅助信息!E:I,3,FALSE)</f>
        <v>(宜宾兴港三江新区长江工业园保障性租赁住房建设项目-土建)四川省宜宾市翠屏区永善路南段宜宾市三江新区长江工业园区</v>
      </c>
      <c r="J2368" s="41" t="str">
        <f>VLOOKUP(B2368,辅助信息!E:I,4,FALSE)</f>
        <v>赵元虎</v>
      </c>
      <c r="K2368" s="41">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96</v>
      </c>
      <c r="Q2368" s="30" t="str">
        <f>VLOOKUP(B2368,辅助信息!E:M,9,FALSE)</f>
        <v>ZTWM-CDYXGS-XS-2025-0014-宜宾兴港建材-三江新区长江工业园片区保障性租赁住房建设项目</v>
      </c>
      <c r="R2368" s="30" t="str">
        <f>_xlfn._xlws.FILTER(辅助信息!D:D,辅助信息!E:E=B2368)</f>
        <v>宜宾兴港三江新区长江工业园建设项目</v>
      </c>
    </row>
    <row r="2369" hidden="1" spans="2:18">
      <c r="B2369" s="41" t="s">
        <v>31</v>
      </c>
      <c r="C2369" s="71">
        <v>45861</v>
      </c>
      <c r="D2369" s="41" t="str">
        <f>VLOOKUP(B2369,辅助信息!E:K,7,FALSE)</f>
        <v>JWDDCD2024121000136</v>
      </c>
      <c r="E2369" s="41" t="str">
        <f>VLOOKUP(F2369,辅助信息!A:B,2,FALSE)</f>
        <v>螺纹钢</v>
      </c>
      <c r="F2369" s="41" t="s">
        <v>46</v>
      </c>
      <c r="G2369" s="37">
        <v>3</v>
      </c>
      <c r="H2369" s="135">
        <f>_xlfn.XLOOKUP(C2369&amp;F2369&amp;I2369&amp;J2369,'[1]2025年已发货'!$F:$F&amp;'[1]2025年已发货'!$C:$C&amp;'[1]2025年已发货'!$G:$G&amp;'[1]2025年已发货'!$H:$H,'[1]2025年已发货'!$E:$E,"未发货")</f>
        <v>3</v>
      </c>
      <c r="I2369" s="41" t="str">
        <f>VLOOKUP(B2369,辅助信息!E:I,3,FALSE)</f>
        <v>（四川商建-射洪城乡一体化项目）遂宁市射洪市忠新幼儿园北侧约220米新溪小区</v>
      </c>
      <c r="J2369" s="41" t="str">
        <f>VLOOKUP(B2369,辅助信息!E:I,4,FALSE)</f>
        <v>柏子刚</v>
      </c>
      <c r="K2369" s="41">
        <f>VLOOKUP(J2369,辅助信息!H:I,2,FALSE)</f>
        <v>15692885305</v>
      </c>
      <c r="L2369" s="110" t="str">
        <f>VLOOKUP(B2369,辅助信息!E:J,6,FALSE)</f>
        <v>提前联系到场规格及数量</v>
      </c>
      <c r="M2369" s="92">
        <v>45863</v>
      </c>
      <c r="O2369" s="63">
        <f ca="1" t="shared" si="153"/>
        <v>0</v>
      </c>
      <c r="P2369" s="63">
        <f ca="1" t="shared" si="154"/>
        <v>96</v>
      </c>
      <c r="Q2369" s="30" t="str">
        <f>VLOOKUP(B2369,辅助信息!E:M,9,FALSE)</f>
        <v>ZTWM-CDGS-XS-2024-0179-四川商投-射洪城乡一体化建设项目</v>
      </c>
      <c r="R2369" s="30" t="str">
        <f>_xlfn._xlws.FILTER(辅助信息!D:D,辅助信息!E:E=B2369)</f>
        <v>四川商建
射洪城乡一体化项目</v>
      </c>
    </row>
    <row r="2370" hidden="1" spans="2:18">
      <c r="B2370" s="41" t="s">
        <v>31</v>
      </c>
      <c r="C2370" s="71">
        <v>45861</v>
      </c>
      <c r="D2370" s="41" t="str">
        <f>VLOOKUP(B2370,辅助信息!E:K,7,FALSE)</f>
        <v>JWDDCD2024121000136</v>
      </c>
      <c r="E2370" s="41" t="str">
        <f>VLOOKUP(F2370,辅助信息!A:B,2,FALSE)</f>
        <v>螺纹钢</v>
      </c>
      <c r="F2370" s="41" t="s">
        <v>22</v>
      </c>
      <c r="G2370" s="37">
        <v>32</v>
      </c>
      <c r="H2370" s="135">
        <f>_xlfn.XLOOKUP(C2370&amp;F2370&amp;I2370&amp;J2370,'[1]2025年已发货'!$F:$F&amp;'[1]2025年已发货'!$C:$C&amp;'[1]2025年已发货'!$G:$G&amp;'[1]2025年已发货'!$H:$H,'[1]2025年已发货'!$E:$E,"未发货")</f>
        <v>32</v>
      </c>
      <c r="I2370" s="41" t="str">
        <f>VLOOKUP(B2370,辅助信息!E:I,3,FALSE)</f>
        <v>（四川商建-射洪城乡一体化项目）遂宁市射洪市忠新幼儿园北侧约220米新溪小区</v>
      </c>
      <c r="J2370" s="41" t="str">
        <f>VLOOKUP(B2370,辅助信息!E:I,4,FALSE)</f>
        <v>柏子刚</v>
      </c>
      <c r="K2370" s="41">
        <f>VLOOKUP(J2370,辅助信息!H:I,2,FALSE)</f>
        <v>15692885305</v>
      </c>
      <c r="L2370" s="110" t="str">
        <f>VLOOKUP(B2370,辅助信息!E:J,6,FALSE)</f>
        <v>提前联系到场规格及数量</v>
      </c>
      <c r="M2370" s="92">
        <v>45863</v>
      </c>
      <c r="O2370" s="63">
        <f ca="1" t="shared" si="153"/>
        <v>0</v>
      </c>
      <c r="P2370" s="63">
        <f ca="1" t="shared" si="154"/>
        <v>96</v>
      </c>
      <c r="Q2370" s="30" t="str">
        <f>VLOOKUP(B2370,辅助信息!E:M,9,FALSE)</f>
        <v>ZTWM-CDGS-XS-2024-0179-四川商投-射洪城乡一体化建设项目</v>
      </c>
      <c r="R2370" s="30" t="str">
        <f>_xlfn._xlws.FILTER(辅助信息!D:D,辅助信息!E:E=B2370)</f>
        <v>四川商建
射洪城乡一体化项目</v>
      </c>
    </row>
    <row r="2371" hidden="1" spans="2:18">
      <c r="B2371" s="41" t="s">
        <v>186</v>
      </c>
      <c r="C2371" s="71">
        <v>45861</v>
      </c>
      <c r="D2371" s="41" t="str">
        <f>VLOOKUP(B2371,辅助信息!E:K,7,FALSE)</f>
        <v>JWDDCD2025072900123</v>
      </c>
      <c r="E2371" s="41" t="str">
        <f>VLOOKUP(F2371,辅助信息!A:B,2,FALSE)</f>
        <v>高线</v>
      </c>
      <c r="F2371" s="41" t="s">
        <v>53</v>
      </c>
      <c r="G2371" s="37">
        <v>5</v>
      </c>
      <c r="H2371" s="135" t="str">
        <f>_xlfn.XLOOKUP(C2371&amp;F2371&amp;I2371&amp;J2371,'[1]2025年已发货'!$F:$F&amp;'[1]2025年已发货'!$C:$C&amp;'[1]2025年已发货'!$G:$G&amp;'[1]2025年已发货'!$H:$H,'[1]2025年已发货'!$E:$E,"未发货")</f>
        <v>未发货</v>
      </c>
      <c r="I2371" s="41" t="str">
        <f>VLOOKUP(B2371,辅助信息!E:I,3,FALSE)</f>
        <v>(乐山市校地共建产教融合基地建设项目二标段)四川省乐山市市中区苏稽镇</v>
      </c>
      <c r="J2371" s="41" t="str">
        <f>VLOOKUP(B2371,辅助信息!E:I,4,FALSE)</f>
        <v>彭江涛</v>
      </c>
      <c r="K2371" s="41">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96</v>
      </c>
      <c r="Q2371" s="30" t="str">
        <f>VLOOKUP(B2371,辅助信息!E:M,9,FALSE)</f>
        <v>ZTWM-CDGS-XS-2025-0126-四川机司-乐山市校地共建产教融合基地配套设施项目施工二标段钢筋采购合同</v>
      </c>
      <c r="R2371" s="30" t="str">
        <f>_xlfn._xlws.FILTER(辅助信息!D:D,辅助信息!E:E=B2371)</f>
        <v>乐山市校地共建产教融合基地建设项目</v>
      </c>
    </row>
    <row r="2372" hidden="1" spans="2:18">
      <c r="B2372" s="41" t="s">
        <v>186</v>
      </c>
      <c r="C2372" s="71">
        <v>45861</v>
      </c>
      <c r="D2372" s="41" t="str">
        <f>VLOOKUP(B2372,辅助信息!E:K,7,FALSE)</f>
        <v>JWDDCD2025072900123</v>
      </c>
      <c r="E2372" s="41" t="str">
        <f>VLOOKUP(F2372,辅助信息!A:B,2,FALSE)</f>
        <v>螺纹钢</v>
      </c>
      <c r="F2372" s="41" t="s">
        <v>32</v>
      </c>
      <c r="G2372" s="37">
        <v>3</v>
      </c>
      <c r="H2372" s="135" t="str">
        <f>_xlfn.XLOOKUP(C2372&amp;F2372&amp;I2372&amp;J2372,'[1]2025年已发货'!$F:$F&amp;'[1]2025年已发货'!$C:$C&amp;'[1]2025年已发货'!$G:$G&amp;'[1]2025年已发货'!$H:$H,'[1]2025年已发货'!$E:$E,"未发货")</f>
        <v>未发货</v>
      </c>
      <c r="I2372" s="41" t="str">
        <f>VLOOKUP(B2372,辅助信息!E:I,3,FALSE)</f>
        <v>(乐山市校地共建产教融合基地建设项目二标段)四川省乐山市市中区苏稽镇</v>
      </c>
      <c r="J2372" s="41" t="str">
        <f>VLOOKUP(B2372,辅助信息!E:I,4,FALSE)</f>
        <v>彭江涛</v>
      </c>
      <c r="K2372" s="41">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96</v>
      </c>
      <c r="Q2372" s="30" t="str">
        <f>VLOOKUP(B2372,辅助信息!E:M,9,FALSE)</f>
        <v>ZTWM-CDGS-XS-2025-0126-四川机司-乐山市校地共建产教融合基地配套设施项目施工二标段钢筋采购合同</v>
      </c>
      <c r="R2372" s="30" t="str">
        <f>_xlfn._xlws.FILTER(辅助信息!D:D,辅助信息!E:E=B2372)</f>
        <v>乐山市校地共建产教融合基地建设项目</v>
      </c>
    </row>
    <row r="2373" hidden="1" spans="2:18">
      <c r="B2373" s="41" t="s">
        <v>186</v>
      </c>
      <c r="C2373" s="71">
        <v>45861</v>
      </c>
      <c r="D2373" s="41" t="str">
        <f>VLOOKUP(B2373,辅助信息!E:K,7,FALSE)</f>
        <v>JWDDCD2025072900123</v>
      </c>
      <c r="E2373" s="41" t="str">
        <f>VLOOKUP(F2373,辅助信息!A:B,2,FALSE)</f>
        <v>螺纹钢</v>
      </c>
      <c r="F2373" s="41" t="s">
        <v>30</v>
      </c>
      <c r="G2373" s="37">
        <v>27</v>
      </c>
      <c r="H2373" s="135" t="str">
        <f>_xlfn.XLOOKUP(C2373&amp;F2373&amp;I2373&amp;J2373,'[1]2025年已发货'!$F:$F&amp;'[1]2025年已发货'!$C:$C&amp;'[1]2025年已发货'!$G:$G&amp;'[1]2025年已发货'!$H:$H,'[1]2025年已发货'!$E:$E,"未发货")</f>
        <v>未发货</v>
      </c>
      <c r="I2373" s="41" t="str">
        <f>VLOOKUP(B2373,辅助信息!E:I,3,FALSE)</f>
        <v>(乐山市校地共建产教融合基地建设项目二标段)四川省乐山市市中区苏稽镇</v>
      </c>
      <c r="J2373" s="41" t="str">
        <f>VLOOKUP(B2373,辅助信息!E:I,4,FALSE)</f>
        <v>彭江涛</v>
      </c>
      <c r="K2373" s="41">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96</v>
      </c>
      <c r="Q2373" s="30" t="str">
        <f>VLOOKUP(B2373,辅助信息!E:M,9,FALSE)</f>
        <v>ZTWM-CDGS-XS-2025-0126-四川机司-乐山市校地共建产教融合基地配套设施项目施工二标段钢筋采购合同</v>
      </c>
      <c r="R2373" s="30" t="str">
        <f>_xlfn._xlws.FILTER(辅助信息!D:D,辅助信息!E:E=B2373)</f>
        <v>乐山市校地共建产教融合基地建设项目</v>
      </c>
    </row>
    <row r="2374" hidden="1" spans="2:18">
      <c r="B2374" s="41" t="s">
        <v>186</v>
      </c>
      <c r="C2374" s="71">
        <v>45861</v>
      </c>
      <c r="D2374" s="41" t="str">
        <f>VLOOKUP(B2374,辅助信息!E:K,7,FALSE)</f>
        <v>JWDDCD2025072900123</v>
      </c>
      <c r="E2374" s="41" t="str">
        <f>VLOOKUP(F2374,辅助信息!A:B,2,FALSE)</f>
        <v>高线</v>
      </c>
      <c r="F2374" s="41" t="s">
        <v>53</v>
      </c>
      <c r="G2374" s="37">
        <v>2.5</v>
      </c>
      <c r="H2374" s="135" t="str">
        <f>_xlfn.XLOOKUP(C2374&amp;F2374&amp;I2374&amp;J2374,'[1]2025年已发货'!$F:$F&amp;'[1]2025年已发货'!$C:$C&amp;'[1]2025年已发货'!$G:$G&amp;'[1]2025年已发货'!$H:$H,'[1]2025年已发货'!$E:$E,"未发货")</f>
        <v>未发货</v>
      </c>
      <c r="I2374" s="41" t="str">
        <f>VLOOKUP(B2374,辅助信息!E:I,3,FALSE)</f>
        <v>(乐山市校地共建产教融合基地建设项目二标段)四川省乐山市市中区苏稽镇</v>
      </c>
      <c r="J2374" s="41" t="str">
        <f>VLOOKUP(B2374,辅助信息!E:I,4,FALSE)</f>
        <v>彭江涛</v>
      </c>
      <c r="K2374" s="41">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96</v>
      </c>
      <c r="Q2374" s="30" t="str">
        <f>VLOOKUP(B2374,辅助信息!E:M,9,FALSE)</f>
        <v>ZTWM-CDGS-XS-2025-0126-四川机司-乐山市校地共建产教融合基地配套设施项目施工二标段钢筋采购合同</v>
      </c>
      <c r="R2374" s="30" t="str">
        <f>_xlfn._xlws.FILTER(辅助信息!D:D,辅助信息!E:E=B2374)</f>
        <v>乐山市校地共建产教融合基地建设项目</v>
      </c>
    </row>
    <row r="2375" hidden="1" spans="2:18">
      <c r="B2375" s="41" t="s">
        <v>186</v>
      </c>
      <c r="C2375" s="71">
        <v>45861</v>
      </c>
      <c r="D2375" s="41" t="str">
        <f>VLOOKUP(B2375,辅助信息!E:K,7,FALSE)</f>
        <v>JWDDCD2025072900123</v>
      </c>
      <c r="E2375" s="41" t="str">
        <f>VLOOKUP(F2375,辅助信息!A:B,2,FALSE)</f>
        <v>盘螺</v>
      </c>
      <c r="F2375" s="41" t="s">
        <v>41</v>
      </c>
      <c r="G2375" s="37">
        <v>2.5</v>
      </c>
      <c r="H2375" s="135" t="str">
        <f>_xlfn.XLOOKUP(C2375&amp;F2375&amp;I2375&amp;J2375,'[1]2025年已发货'!$F:$F&amp;'[1]2025年已发货'!$C:$C&amp;'[1]2025年已发货'!$G:$G&amp;'[1]2025年已发货'!$H:$H,'[1]2025年已发货'!$E:$E,"未发货")</f>
        <v>未发货</v>
      </c>
      <c r="I2375" s="41" t="str">
        <f>VLOOKUP(B2375,辅助信息!E:I,3,FALSE)</f>
        <v>(乐山市校地共建产教融合基地建设项目二标段)四川省乐山市市中区苏稽镇</v>
      </c>
      <c r="J2375" s="41" t="str">
        <f>VLOOKUP(B2375,辅助信息!E:I,4,FALSE)</f>
        <v>彭江涛</v>
      </c>
      <c r="K2375" s="41">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96</v>
      </c>
      <c r="Q2375" s="30" t="str">
        <f>VLOOKUP(B2375,辅助信息!E:M,9,FALSE)</f>
        <v>ZTWM-CDGS-XS-2025-0126-四川机司-乐山市校地共建产教融合基地配套设施项目施工二标段钢筋采购合同</v>
      </c>
      <c r="R2375" s="30" t="str">
        <f>_xlfn._xlws.FILTER(辅助信息!D:D,辅助信息!E:E=B2375)</f>
        <v>乐山市校地共建产教融合基地建设项目</v>
      </c>
    </row>
    <row r="2376" hidden="1" spans="2:18">
      <c r="B2376" s="41" t="s">
        <v>186</v>
      </c>
      <c r="C2376" s="71">
        <v>45861</v>
      </c>
      <c r="D2376" s="41" t="str">
        <f>VLOOKUP(B2376,辅助信息!E:K,7,FALSE)</f>
        <v>JWDDCD2025072900123</v>
      </c>
      <c r="E2376" s="41" t="str">
        <f>VLOOKUP(F2376,辅助信息!A:B,2,FALSE)</f>
        <v>盘螺</v>
      </c>
      <c r="F2376" s="41" t="s">
        <v>26</v>
      </c>
      <c r="G2376" s="37">
        <v>10</v>
      </c>
      <c r="H2376" s="135" t="str">
        <f>_xlfn.XLOOKUP(C2376&amp;F2376&amp;I2376&amp;J2376,'[1]2025年已发货'!$F:$F&amp;'[1]2025年已发货'!$C:$C&amp;'[1]2025年已发货'!$G:$G&amp;'[1]2025年已发货'!$H:$H,'[1]2025年已发货'!$E:$E,"未发货")</f>
        <v>未发货</v>
      </c>
      <c r="I2376" s="41" t="str">
        <f>VLOOKUP(B2376,辅助信息!E:I,3,FALSE)</f>
        <v>(乐山市校地共建产教融合基地建设项目二标段)四川省乐山市市中区苏稽镇</v>
      </c>
      <c r="J2376" s="41" t="str">
        <f>VLOOKUP(B2376,辅助信息!E:I,4,FALSE)</f>
        <v>彭江涛</v>
      </c>
      <c r="K2376" s="41">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96</v>
      </c>
      <c r="Q2376" s="30" t="str">
        <f>VLOOKUP(B2376,辅助信息!E:M,9,FALSE)</f>
        <v>ZTWM-CDGS-XS-2025-0126-四川机司-乐山市校地共建产教融合基地配套设施项目施工二标段钢筋采购合同</v>
      </c>
      <c r="R2376" s="30" t="str">
        <f>_xlfn._xlws.FILTER(辅助信息!D:D,辅助信息!E:E=B2376)</f>
        <v>乐山市校地共建产教融合基地建设项目</v>
      </c>
    </row>
    <row r="2377" hidden="1" spans="2:18">
      <c r="B2377" s="41" t="s">
        <v>186</v>
      </c>
      <c r="C2377" s="71">
        <v>45861</v>
      </c>
      <c r="D2377" s="41" t="str">
        <f>VLOOKUP(B2377,辅助信息!E:K,7,FALSE)</f>
        <v>JWDDCD2025072900123</v>
      </c>
      <c r="E2377" s="41" t="str">
        <f>VLOOKUP(F2377,辅助信息!A:B,2,FALSE)</f>
        <v>螺纹钢</v>
      </c>
      <c r="F2377" s="41" t="s">
        <v>76</v>
      </c>
      <c r="G2377" s="37">
        <v>3</v>
      </c>
      <c r="H2377" s="135" t="str">
        <f>_xlfn.XLOOKUP(C2377&amp;F2377&amp;I2377&amp;J2377,'[1]2025年已发货'!$F:$F&amp;'[1]2025年已发货'!$C:$C&amp;'[1]2025年已发货'!$G:$G&amp;'[1]2025年已发货'!$H:$H,'[1]2025年已发货'!$E:$E,"未发货")</f>
        <v>未发货</v>
      </c>
      <c r="I2377" s="41" t="str">
        <f>VLOOKUP(B2377,辅助信息!E:I,3,FALSE)</f>
        <v>(乐山市校地共建产教融合基地建设项目二标段)四川省乐山市市中区苏稽镇</v>
      </c>
      <c r="J2377" s="41" t="str">
        <f>VLOOKUP(B2377,辅助信息!E:I,4,FALSE)</f>
        <v>彭江涛</v>
      </c>
      <c r="K2377" s="41">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96</v>
      </c>
      <c r="Q2377" s="30" t="str">
        <f>VLOOKUP(B2377,辅助信息!E:M,9,FALSE)</f>
        <v>ZTWM-CDGS-XS-2025-0126-四川机司-乐山市校地共建产教融合基地配套设施项目施工二标段钢筋采购合同</v>
      </c>
      <c r="R2377" s="30" t="str">
        <f>_xlfn._xlws.FILTER(辅助信息!D:D,辅助信息!E:E=B2377)</f>
        <v>乐山市校地共建产教融合基地建设项目</v>
      </c>
    </row>
    <row r="2378" hidden="1" spans="2:18">
      <c r="B2378" s="41" t="s">
        <v>186</v>
      </c>
      <c r="C2378" s="71">
        <v>45861</v>
      </c>
      <c r="D2378" s="41" t="str">
        <f>VLOOKUP(B2378,辅助信息!E:K,7,FALSE)</f>
        <v>JWDDCD2025072900123</v>
      </c>
      <c r="E2378" s="41" t="str">
        <f>VLOOKUP(F2378,辅助信息!A:B,2,FALSE)</f>
        <v>螺纹钢</v>
      </c>
      <c r="F2378" s="41" t="s">
        <v>90</v>
      </c>
      <c r="G2378" s="37">
        <v>3</v>
      </c>
      <c r="H2378" s="135" t="str">
        <f>_xlfn.XLOOKUP(C2378&amp;F2378&amp;I2378&amp;J2378,'[1]2025年已发货'!$F:$F&amp;'[1]2025年已发货'!$C:$C&amp;'[1]2025年已发货'!$G:$G&amp;'[1]2025年已发货'!$H:$H,'[1]2025年已发货'!$E:$E,"未发货")</f>
        <v>未发货</v>
      </c>
      <c r="I2378" s="41" t="str">
        <f>VLOOKUP(B2378,辅助信息!E:I,3,FALSE)</f>
        <v>(乐山市校地共建产教融合基地建设项目二标段)四川省乐山市市中区苏稽镇</v>
      </c>
      <c r="J2378" s="41" t="str">
        <f>VLOOKUP(B2378,辅助信息!E:I,4,FALSE)</f>
        <v>彭江涛</v>
      </c>
      <c r="K2378" s="41">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96</v>
      </c>
      <c r="Q2378" s="30" t="str">
        <f>VLOOKUP(B2378,辅助信息!E:M,9,FALSE)</f>
        <v>ZTWM-CDGS-XS-2025-0126-四川机司-乐山市校地共建产教融合基地配套设施项目施工二标段钢筋采购合同</v>
      </c>
      <c r="R2378" s="30" t="str">
        <f>_xlfn._xlws.FILTER(辅助信息!D:D,辅助信息!E:E=B2378)</f>
        <v>乐山市校地共建产教融合基地建设项目</v>
      </c>
    </row>
    <row r="2379" hidden="1" spans="2:18">
      <c r="B2379" s="41" t="s">
        <v>186</v>
      </c>
      <c r="C2379" s="71">
        <v>45861</v>
      </c>
      <c r="D2379" s="41" t="str">
        <f>VLOOKUP(B2379,辅助信息!E:K,7,FALSE)</f>
        <v>JWDDCD2025072900123</v>
      </c>
      <c r="E2379" s="41" t="str">
        <f>VLOOKUP(F2379,辅助信息!A:B,2,FALSE)</f>
        <v>螺纹钢</v>
      </c>
      <c r="F2379" s="41" t="s">
        <v>130</v>
      </c>
      <c r="G2379" s="37">
        <v>11</v>
      </c>
      <c r="H2379" s="135" t="str">
        <f>_xlfn.XLOOKUP(C2379&amp;F2379&amp;I2379&amp;J2379,'[1]2025年已发货'!$F:$F&amp;'[1]2025年已发货'!$C:$C&amp;'[1]2025年已发货'!$G:$G&amp;'[1]2025年已发货'!$H:$H,'[1]2025年已发货'!$E:$E,"未发货")</f>
        <v>未发货</v>
      </c>
      <c r="I2379" s="41" t="str">
        <f>VLOOKUP(B2379,辅助信息!E:I,3,FALSE)</f>
        <v>(乐山市校地共建产教融合基地建设项目二标段)四川省乐山市市中区苏稽镇</v>
      </c>
      <c r="J2379" s="41" t="str">
        <f>VLOOKUP(B2379,辅助信息!E:I,4,FALSE)</f>
        <v>彭江涛</v>
      </c>
      <c r="K2379" s="41">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96</v>
      </c>
      <c r="Q2379" s="30" t="str">
        <f>VLOOKUP(B2379,辅助信息!E:M,9,FALSE)</f>
        <v>ZTWM-CDGS-XS-2025-0126-四川机司-乐山市校地共建产教融合基地配套设施项目施工二标段钢筋采购合同</v>
      </c>
      <c r="R2379" s="30" t="str">
        <f>_xlfn._xlws.FILTER(辅助信息!D:D,辅助信息!E:E=B2379)</f>
        <v>乐山市校地共建产教融合基地建设项目</v>
      </c>
    </row>
    <row r="2380" hidden="1" spans="2:18">
      <c r="B2380" s="41" t="s">
        <v>186</v>
      </c>
      <c r="C2380" s="71">
        <v>45861</v>
      </c>
      <c r="D2380" s="41" t="str">
        <f>VLOOKUP(B2380,辅助信息!E:K,7,FALSE)</f>
        <v>JWDDCD2025072900123</v>
      </c>
      <c r="E2380" s="41" t="str">
        <f>VLOOKUP(F2380,辅助信息!A:B,2,FALSE)</f>
        <v>螺纹钢</v>
      </c>
      <c r="F2380" s="41" t="s">
        <v>133</v>
      </c>
      <c r="G2380" s="37">
        <v>66</v>
      </c>
      <c r="H2380" s="135" t="str">
        <f>_xlfn.XLOOKUP(C2380&amp;F2380&amp;I2380&amp;J2380,'[1]2025年已发货'!$F:$F&amp;'[1]2025年已发货'!$C:$C&amp;'[1]2025年已发货'!$G:$G&amp;'[1]2025年已发货'!$H:$H,'[1]2025年已发货'!$E:$E,"未发货")</f>
        <v>未发货</v>
      </c>
      <c r="I2380" s="41" t="str">
        <f>VLOOKUP(B2380,辅助信息!E:I,3,FALSE)</f>
        <v>(乐山市校地共建产教融合基地建设项目二标段)四川省乐山市市中区苏稽镇</v>
      </c>
      <c r="J2380" s="41" t="str">
        <f>VLOOKUP(B2380,辅助信息!E:I,4,FALSE)</f>
        <v>彭江涛</v>
      </c>
      <c r="K2380" s="41">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96</v>
      </c>
      <c r="Q2380" s="30" t="str">
        <f>VLOOKUP(B2380,辅助信息!E:M,9,FALSE)</f>
        <v>ZTWM-CDGS-XS-2025-0126-四川机司-乐山市校地共建产教融合基地配套设施项目施工二标段钢筋采购合同</v>
      </c>
      <c r="R2380" s="30" t="str">
        <f>_xlfn._xlws.FILTER(辅助信息!D:D,辅助信息!E:E=B2380)</f>
        <v>乐山市校地共建产教融合基地建设项目</v>
      </c>
    </row>
    <row r="2381" hidden="1" spans="2:18">
      <c r="B2381" s="41" t="s">
        <v>186</v>
      </c>
      <c r="C2381" s="71">
        <v>45861</v>
      </c>
      <c r="D2381" s="41" t="str">
        <f>VLOOKUP(B2381,辅助信息!E:K,7,FALSE)</f>
        <v>JWDDCD2025072900123</v>
      </c>
      <c r="E2381" s="41" t="str">
        <f>VLOOKUP(F2381,辅助信息!A:B,2,FALSE)</f>
        <v>螺纹钢</v>
      </c>
      <c r="F2381" s="41" t="s">
        <v>91</v>
      </c>
      <c r="G2381" s="37">
        <v>78</v>
      </c>
      <c r="H2381" s="135" t="str">
        <f>_xlfn.XLOOKUP(C2381&amp;F2381&amp;I2381&amp;J2381,'[1]2025年已发货'!$F:$F&amp;'[1]2025年已发货'!$C:$C&amp;'[1]2025年已发货'!$G:$G&amp;'[1]2025年已发货'!$H:$H,'[1]2025年已发货'!$E:$E,"未发货")</f>
        <v>未发货</v>
      </c>
      <c r="I2381" s="41" t="str">
        <f>VLOOKUP(B2381,辅助信息!E:I,3,FALSE)</f>
        <v>(乐山市校地共建产教融合基地建设项目二标段)四川省乐山市市中区苏稽镇</v>
      </c>
      <c r="J2381" s="41" t="str">
        <f>VLOOKUP(B2381,辅助信息!E:I,4,FALSE)</f>
        <v>彭江涛</v>
      </c>
      <c r="K2381" s="41">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96</v>
      </c>
      <c r="Q2381" s="30" t="str">
        <f>VLOOKUP(B2381,辅助信息!E:M,9,FALSE)</f>
        <v>ZTWM-CDGS-XS-2025-0126-四川机司-乐山市校地共建产教融合基地配套设施项目施工二标段钢筋采购合同</v>
      </c>
      <c r="R2381" s="30" t="str">
        <f>_xlfn._xlws.FILTER(辅助信息!D:D,辅助信息!E:E=B2381)</f>
        <v>乐山市校地共建产教融合基地建设项目</v>
      </c>
    </row>
    <row r="2382" hidden="1" spans="2:18">
      <c r="B2382" s="41" t="s">
        <v>186</v>
      </c>
      <c r="C2382" s="71">
        <v>45861</v>
      </c>
      <c r="D2382" s="41" t="str">
        <f>VLOOKUP(B2382,辅助信息!E:K,7,FALSE)</f>
        <v>JWDDCD2025072900123</v>
      </c>
      <c r="E2382" s="41" t="str">
        <f>VLOOKUP(F2382,辅助信息!A:B,2,FALSE)</f>
        <v>螺纹钢</v>
      </c>
      <c r="F2382" s="41" t="s">
        <v>77</v>
      </c>
      <c r="G2382" s="37">
        <v>22</v>
      </c>
      <c r="H2382" s="135" t="str">
        <f>_xlfn.XLOOKUP(C2382&amp;F2382&amp;I2382&amp;J2382,'[1]2025年已发货'!$F:$F&amp;'[1]2025年已发货'!$C:$C&amp;'[1]2025年已发货'!$G:$G&amp;'[1]2025年已发货'!$H:$H,'[1]2025年已发货'!$E:$E,"未发货")</f>
        <v>未发货</v>
      </c>
      <c r="I2382" s="41" t="str">
        <f>VLOOKUP(B2382,辅助信息!E:I,3,FALSE)</f>
        <v>(乐山市校地共建产教融合基地建设项目二标段)四川省乐山市市中区苏稽镇</v>
      </c>
      <c r="J2382" s="41" t="str">
        <f>VLOOKUP(B2382,辅助信息!E:I,4,FALSE)</f>
        <v>彭江涛</v>
      </c>
      <c r="K2382" s="41">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96</v>
      </c>
      <c r="Q2382" s="30" t="str">
        <f>VLOOKUP(B2382,辅助信息!E:M,9,FALSE)</f>
        <v>ZTWM-CDGS-XS-2025-0126-四川机司-乐山市校地共建产教融合基地配套设施项目施工二标段钢筋采购合同</v>
      </c>
      <c r="R2382" s="30" t="str">
        <f>_xlfn._xlws.FILTER(辅助信息!D:D,辅助信息!E:E=B2382)</f>
        <v>乐山市校地共建产教融合基地建设项目</v>
      </c>
    </row>
    <row r="2383" hidden="1" spans="2:18">
      <c r="B2383" s="41" t="s">
        <v>186</v>
      </c>
      <c r="C2383" s="71">
        <v>45861</v>
      </c>
      <c r="D2383" s="41" t="str">
        <f>VLOOKUP(B2383,辅助信息!E:K,7,FALSE)</f>
        <v>JWDDCD2025072900123</v>
      </c>
      <c r="E2383" s="41" t="str">
        <f>VLOOKUP(F2383,辅助信息!A:B,2,FALSE)</f>
        <v>高线</v>
      </c>
      <c r="F2383" s="41" t="s">
        <v>57</v>
      </c>
      <c r="G2383" s="37">
        <v>2.5</v>
      </c>
      <c r="H2383" s="135" t="str">
        <f>_xlfn.XLOOKUP(C2383&amp;F2383&amp;I2383&amp;J2383,'[1]2025年已发货'!$F:$F&amp;'[1]2025年已发货'!$C:$C&amp;'[1]2025年已发货'!$G:$G&amp;'[1]2025年已发货'!$H:$H,'[1]2025年已发货'!$E:$E,"未发货")</f>
        <v>未发货</v>
      </c>
      <c r="I2383" s="41" t="str">
        <f>VLOOKUP(B2383,辅助信息!E:I,3,FALSE)</f>
        <v>(乐山市校地共建产教融合基地建设项目二标段)四川省乐山市市中区苏稽镇</v>
      </c>
      <c r="J2383" s="41" t="str">
        <f>VLOOKUP(B2383,辅助信息!E:I,4,FALSE)</f>
        <v>彭江涛</v>
      </c>
      <c r="K2383" s="41">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96</v>
      </c>
      <c r="Q2383" s="30" t="str">
        <f>VLOOKUP(B2383,辅助信息!E:M,9,FALSE)</f>
        <v>ZTWM-CDGS-XS-2025-0126-四川机司-乐山市校地共建产教融合基地配套设施项目施工二标段钢筋采购合同</v>
      </c>
      <c r="R2383" s="30" t="str">
        <f>_xlfn._xlws.FILTER(辅助信息!D:D,辅助信息!E:E=B2383)</f>
        <v>乐山市校地共建产教融合基地建设项目</v>
      </c>
    </row>
    <row r="2384" hidden="1" spans="2:18">
      <c r="B2384" s="41" t="s">
        <v>186</v>
      </c>
      <c r="C2384" s="71">
        <v>45861</v>
      </c>
      <c r="D2384" s="41" t="str">
        <f>VLOOKUP(B2384,辅助信息!E:K,7,FALSE)</f>
        <v>JWDDCD2025072900123</v>
      </c>
      <c r="E2384" s="41" t="str">
        <f>VLOOKUP(F2384,辅助信息!A:B,2,FALSE)</f>
        <v>高线</v>
      </c>
      <c r="F2384" s="41" t="s">
        <v>53</v>
      </c>
      <c r="G2384" s="37">
        <v>6</v>
      </c>
      <c r="H2384" s="135" t="str">
        <f>_xlfn.XLOOKUP(C2384&amp;F2384&amp;I2384&amp;J2384,'[1]2025年已发货'!$F:$F&amp;'[1]2025年已发货'!$C:$C&amp;'[1]2025年已发货'!$G:$G&amp;'[1]2025年已发货'!$H:$H,'[1]2025年已发货'!$E:$E,"未发货")</f>
        <v>未发货</v>
      </c>
      <c r="I2384" s="41" t="str">
        <f>VLOOKUP(B2384,辅助信息!E:I,3,FALSE)</f>
        <v>(乐山市校地共建产教融合基地建设项目二标段)四川省乐山市市中区苏稽镇</v>
      </c>
      <c r="J2384" s="41" t="str">
        <f>VLOOKUP(B2384,辅助信息!E:I,4,FALSE)</f>
        <v>彭江涛</v>
      </c>
      <c r="K2384" s="41">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96</v>
      </c>
      <c r="Q2384" s="30" t="str">
        <f>VLOOKUP(B2384,辅助信息!E:M,9,FALSE)</f>
        <v>ZTWM-CDGS-XS-2025-0126-四川机司-乐山市校地共建产教融合基地配套设施项目施工二标段钢筋采购合同</v>
      </c>
      <c r="R2384" s="30" t="str">
        <f>_xlfn._xlws.FILTER(辅助信息!D:D,辅助信息!E:E=B2384)</f>
        <v>乐山市校地共建产教融合基地建设项目</v>
      </c>
    </row>
    <row r="2385" hidden="1" spans="2:18">
      <c r="B2385" s="41" t="s">
        <v>186</v>
      </c>
      <c r="C2385" s="71">
        <v>45861</v>
      </c>
      <c r="D2385" s="41" t="str">
        <f>VLOOKUP(B2385,辅助信息!E:K,7,FALSE)</f>
        <v>JWDDCD2025072900123</v>
      </c>
      <c r="E2385" s="41" t="str">
        <f>VLOOKUP(F2385,辅助信息!A:B,2,FALSE)</f>
        <v>盘螺</v>
      </c>
      <c r="F2385" s="41" t="s">
        <v>40</v>
      </c>
      <c r="G2385" s="37">
        <v>5</v>
      </c>
      <c r="H2385" s="135" t="str">
        <f>_xlfn.XLOOKUP(C2385&amp;F2385&amp;I2385&amp;J2385,'[1]2025年已发货'!$F:$F&amp;'[1]2025年已发货'!$C:$C&amp;'[1]2025年已发货'!$G:$G&amp;'[1]2025年已发货'!$H:$H,'[1]2025年已发货'!$E:$E,"未发货")</f>
        <v>未发货</v>
      </c>
      <c r="I2385" s="41" t="str">
        <f>VLOOKUP(B2385,辅助信息!E:I,3,FALSE)</f>
        <v>(乐山市校地共建产教融合基地建设项目二标段)四川省乐山市市中区苏稽镇</v>
      </c>
      <c r="J2385" s="41" t="str">
        <f>VLOOKUP(B2385,辅助信息!E:I,4,FALSE)</f>
        <v>彭江涛</v>
      </c>
      <c r="K2385" s="41">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96</v>
      </c>
      <c r="Q2385" s="30" t="str">
        <f>VLOOKUP(B2385,辅助信息!E:M,9,FALSE)</f>
        <v>ZTWM-CDGS-XS-2025-0126-四川机司-乐山市校地共建产教融合基地配套设施项目施工二标段钢筋采购合同</v>
      </c>
      <c r="R2385" s="30" t="str">
        <f>_xlfn._xlws.FILTER(辅助信息!D:D,辅助信息!E:E=B2385)</f>
        <v>乐山市校地共建产教融合基地建设项目</v>
      </c>
    </row>
    <row r="2386" hidden="1" spans="2:18">
      <c r="B2386" s="41" t="s">
        <v>186</v>
      </c>
      <c r="C2386" s="71">
        <v>45861</v>
      </c>
      <c r="D2386" s="41" t="str">
        <f>VLOOKUP(B2386,辅助信息!E:K,7,FALSE)</f>
        <v>JWDDCD2025072900123</v>
      </c>
      <c r="E2386" s="41" t="str">
        <f>VLOOKUP(F2386,辅助信息!A:B,2,FALSE)</f>
        <v>盘螺</v>
      </c>
      <c r="F2386" s="41" t="s">
        <v>41</v>
      </c>
      <c r="G2386" s="37">
        <v>10</v>
      </c>
      <c r="H2386" s="135" t="str">
        <f>_xlfn.XLOOKUP(C2386&amp;F2386&amp;I2386&amp;J2386,'[1]2025年已发货'!$F:$F&amp;'[1]2025年已发货'!$C:$C&amp;'[1]2025年已发货'!$G:$G&amp;'[1]2025年已发货'!$H:$H,'[1]2025年已发货'!$E:$E,"未发货")</f>
        <v>未发货</v>
      </c>
      <c r="I2386" s="41" t="str">
        <f>VLOOKUP(B2386,辅助信息!E:I,3,FALSE)</f>
        <v>(乐山市校地共建产教融合基地建设项目二标段)四川省乐山市市中区苏稽镇</v>
      </c>
      <c r="J2386" s="41" t="str">
        <f>VLOOKUP(B2386,辅助信息!E:I,4,FALSE)</f>
        <v>彭江涛</v>
      </c>
      <c r="K2386" s="41">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96</v>
      </c>
      <c r="Q2386" s="30" t="str">
        <f>VLOOKUP(B2386,辅助信息!E:M,9,FALSE)</f>
        <v>ZTWM-CDGS-XS-2025-0126-四川机司-乐山市校地共建产教融合基地配套设施项目施工二标段钢筋采购合同</v>
      </c>
      <c r="R2386" s="30" t="str">
        <f>_xlfn._xlws.FILTER(辅助信息!D:D,辅助信息!E:E=B2386)</f>
        <v>乐山市校地共建产教融合基地建设项目</v>
      </c>
    </row>
    <row r="2387" hidden="1" spans="2:18">
      <c r="B2387" s="41" t="s">
        <v>186</v>
      </c>
      <c r="C2387" s="71">
        <v>45861</v>
      </c>
      <c r="D2387" s="41" t="str">
        <f>VLOOKUP(B2387,辅助信息!E:K,7,FALSE)</f>
        <v>JWDDCD2025072900123</v>
      </c>
      <c r="E2387" s="41" t="str">
        <f>VLOOKUP(F2387,辅助信息!A:B,2,FALSE)</f>
        <v>盘螺</v>
      </c>
      <c r="F2387" s="41" t="s">
        <v>26</v>
      </c>
      <c r="G2387" s="37">
        <v>10</v>
      </c>
      <c r="H2387" s="135" t="str">
        <f>_xlfn.XLOOKUP(C2387&amp;F2387&amp;I2387&amp;J2387,'[1]2025年已发货'!$F:$F&amp;'[1]2025年已发货'!$C:$C&amp;'[1]2025年已发货'!$G:$G&amp;'[1]2025年已发货'!$H:$H,'[1]2025年已发货'!$E:$E,"未发货")</f>
        <v>未发货</v>
      </c>
      <c r="I2387" s="41" t="str">
        <f>VLOOKUP(B2387,辅助信息!E:I,3,FALSE)</f>
        <v>(乐山市校地共建产教融合基地建设项目二标段)四川省乐山市市中区苏稽镇</v>
      </c>
      <c r="J2387" s="41" t="str">
        <f>VLOOKUP(B2387,辅助信息!E:I,4,FALSE)</f>
        <v>彭江涛</v>
      </c>
      <c r="K2387" s="41">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96</v>
      </c>
      <c r="Q2387" s="30" t="str">
        <f>VLOOKUP(B2387,辅助信息!E:M,9,FALSE)</f>
        <v>ZTWM-CDGS-XS-2025-0126-四川机司-乐山市校地共建产教融合基地配套设施项目施工二标段钢筋采购合同</v>
      </c>
      <c r="R2387" s="30" t="str">
        <f>_xlfn._xlws.FILTER(辅助信息!D:D,辅助信息!E:E=B2387)</f>
        <v>乐山市校地共建产教融合基地建设项目</v>
      </c>
    </row>
    <row r="2388" hidden="1" spans="2:18">
      <c r="B2388" s="41" t="s">
        <v>186</v>
      </c>
      <c r="C2388" s="71">
        <v>45861</v>
      </c>
      <c r="D2388" s="41" t="str">
        <f>VLOOKUP(B2388,辅助信息!E:K,7,FALSE)</f>
        <v>JWDDCD2025072900123</v>
      </c>
      <c r="E2388" s="41" t="str">
        <f>VLOOKUP(F2388,辅助信息!A:B,2,FALSE)</f>
        <v>螺纹钢</v>
      </c>
      <c r="F2388" s="41" t="s">
        <v>76</v>
      </c>
      <c r="G2388" s="37">
        <v>40</v>
      </c>
      <c r="H2388" s="135" t="str">
        <f>_xlfn.XLOOKUP(C2388&amp;F2388&amp;I2388&amp;J2388,'[1]2025年已发货'!$F:$F&amp;'[1]2025年已发货'!$C:$C&amp;'[1]2025年已发货'!$G:$G&amp;'[1]2025年已发货'!$H:$H,'[1]2025年已发货'!$E:$E,"未发货")</f>
        <v>未发货</v>
      </c>
      <c r="I2388" s="41" t="str">
        <f>VLOOKUP(B2388,辅助信息!E:I,3,FALSE)</f>
        <v>(乐山市校地共建产教融合基地建设项目二标段)四川省乐山市市中区苏稽镇</v>
      </c>
      <c r="J2388" s="41" t="str">
        <f>VLOOKUP(B2388,辅助信息!E:I,4,FALSE)</f>
        <v>彭江涛</v>
      </c>
      <c r="K2388" s="41">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96</v>
      </c>
      <c r="Q2388" s="30" t="str">
        <f>VLOOKUP(B2388,辅助信息!E:M,9,FALSE)</f>
        <v>ZTWM-CDGS-XS-2025-0126-四川机司-乐山市校地共建产教融合基地配套设施项目施工二标段钢筋采购合同</v>
      </c>
      <c r="R2388" s="30" t="str">
        <f>_xlfn._xlws.FILTER(辅助信息!D:D,辅助信息!E:E=B2388)</f>
        <v>乐山市校地共建产教融合基地建设项目</v>
      </c>
    </row>
    <row r="2389" hidden="1" spans="2:18">
      <c r="B2389" s="41" t="s">
        <v>186</v>
      </c>
      <c r="C2389" s="71">
        <v>45861</v>
      </c>
      <c r="D2389" s="41" t="str">
        <f>VLOOKUP(B2389,辅助信息!E:K,7,FALSE)</f>
        <v>JWDDCD2025072900123</v>
      </c>
      <c r="E2389" s="41" t="str">
        <f>VLOOKUP(F2389,辅助信息!A:B,2,FALSE)</f>
        <v>螺纹钢</v>
      </c>
      <c r="F2389" s="41" t="s">
        <v>90</v>
      </c>
      <c r="G2389" s="37">
        <v>80</v>
      </c>
      <c r="H2389" s="135" t="str">
        <f>_xlfn.XLOOKUP(C2389&amp;F2389&amp;I2389&amp;J2389,'[1]2025年已发货'!$F:$F&amp;'[1]2025年已发货'!$C:$C&amp;'[1]2025年已发货'!$G:$G&amp;'[1]2025年已发货'!$H:$H,'[1]2025年已发货'!$E:$E,"未发货")</f>
        <v>未发货</v>
      </c>
      <c r="I2389" s="41" t="str">
        <f>VLOOKUP(B2389,辅助信息!E:I,3,FALSE)</f>
        <v>(乐山市校地共建产教融合基地建设项目二标段)四川省乐山市市中区苏稽镇</v>
      </c>
      <c r="J2389" s="41" t="str">
        <f>VLOOKUP(B2389,辅助信息!E:I,4,FALSE)</f>
        <v>彭江涛</v>
      </c>
      <c r="K2389" s="41">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96</v>
      </c>
      <c r="Q2389" s="30" t="str">
        <f>VLOOKUP(B2389,辅助信息!E:M,9,FALSE)</f>
        <v>ZTWM-CDGS-XS-2025-0126-四川机司-乐山市校地共建产教融合基地配套设施项目施工二标段钢筋采购合同</v>
      </c>
      <c r="R2389" s="30" t="str">
        <f>_xlfn._xlws.FILTER(辅助信息!D:D,辅助信息!E:E=B2389)</f>
        <v>乐山市校地共建产教融合基地建设项目</v>
      </c>
    </row>
    <row r="2390" hidden="1" spans="2:18">
      <c r="B2390" s="41" t="s">
        <v>186</v>
      </c>
      <c r="C2390" s="71">
        <v>45861</v>
      </c>
      <c r="D2390" s="41" t="str">
        <f>VLOOKUP(B2390,辅助信息!E:K,7,FALSE)</f>
        <v>JWDDCD2025072900123</v>
      </c>
      <c r="E2390" s="41" t="str">
        <f>VLOOKUP(F2390,辅助信息!A:B,2,FALSE)</f>
        <v>螺纹钢</v>
      </c>
      <c r="F2390" s="41" t="s">
        <v>130</v>
      </c>
      <c r="G2390" s="37">
        <v>30</v>
      </c>
      <c r="H2390" s="135" t="str">
        <f>_xlfn.XLOOKUP(C2390&amp;F2390&amp;I2390&amp;J2390,'[1]2025年已发货'!$F:$F&amp;'[1]2025年已发货'!$C:$C&amp;'[1]2025年已发货'!$G:$G&amp;'[1]2025年已发货'!$H:$H,'[1]2025年已发货'!$E:$E,"未发货")</f>
        <v>未发货</v>
      </c>
      <c r="I2390" s="41" t="str">
        <f>VLOOKUP(B2390,辅助信息!E:I,3,FALSE)</f>
        <v>(乐山市校地共建产教融合基地建设项目二标段)四川省乐山市市中区苏稽镇</v>
      </c>
      <c r="J2390" s="41" t="str">
        <f>VLOOKUP(B2390,辅助信息!E:I,4,FALSE)</f>
        <v>彭江涛</v>
      </c>
      <c r="K2390" s="41">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96</v>
      </c>
      <c r="Q2390" s="30" t="str">
        <f>VLOOKUP(B2390,辅助信息!E:M,9,FALSE)</f>
        <v>ZTWM-CDGS-XS-2025-0126-四川机司-乐山市校地共建产教融合基地配套设施项目施工二标段钢筋采购合同</v>
      </c>
      <c r="R2390" s="30" t="str">
        <f>_xlfn._xlws.FILTER(辅助信息!D:D,辅助信息!E:E=B2390)</f>
        <v>乐山市校地共建产教融合基地建设项目</v>
      </c>
    </row>
    <row r="2391" hidden="1" spans="2:18">
      <c r="B2391" s="41" t="s">
        <v>186</v>
      </c>
      <c r="C2391" s="71">
        <v>45861</v>
      </c>
      <c r="D2391" s="41" t="str">
        <f>VLOOKUP(B2391,辅助信息!E:K,7,FALSE)</f>
        <v>JWDDCD2025072900123</v>
      </c>
      <c r="E2391" s="41" t="str">
        <f>VLOOKUP(F2391,辅助信息!A:B,2,FALSE)</f>
        <v>螺纹钢</v>
      </c>
      <c r="F2391" s="41" t="s">
        <v>138</v>
      </c>
      <c r="G2391" s="37">
        <v>30</v>
      </c>
      <c r="H2391" s="135" t="str">
        <f>_xlfn.XLOOKUP(C2391&amp;F2391&amp;I2391&amp;J2391,'[1]2025年已发货'!$F:$F&amp;'[1]2025年已发货'!$C:$C&amp;'[1]2025年已发货'!$G:$G&amp;'[1]2025年已发货'!$H:$H,'[1]2025年已发货'!$E:$E,"未发货")</f>
        <v>未发货</v>
      </c>
      <c r="I2391" s="41" t="str">
        <f>VLOOKUP(B2391,辅助信息!E:I,3,FALSE)</f>
        <v>(乐山市校地共建产教融合基地建设项目二标段)四川省乐山市市中区苏稽镇</v>
      </c>
      <c r="J2391" s="41" t="str">
        <f>VLOOKUP(B2391,辅助信息!E:I,4,FALSE)</f>
        <v>彭江涛</v>
      </c>
      <c r="K2391" s="41">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96</v>
      </c>
      <c r="Q2391" s="30" t="str">
        <f>VLOOKUP(B2391,辅助信息!E:M,9,FALSE)</f>
        <v>ZTWM-CDGS-XS-2025-0126-四川机司-乐山市校地共建产教融合基地配套设施项目施工二标段钢筋采购合同</v>
      </c>
      <c r="R2391" s="30" t="str">
        <f>_xlfn._xlws.FILTER(辅助信息!D:D,辅助信息!E:E=B2391)</f>
        <v>乐山市校地共建产教融合基地建设项目</v>
      </c>
    </row>
    <row r="2392" hidden="1" spans="2:18">
      <c r="B2392" s="41" t="s">
        <v>186</v>
      </c>
      <c r="C2392" s="71">
        <v>45861</v>
      </c>
      <c r="D2392" s="41" t="str">
        <f>VLOOKUP(B2392,辅助信息!E:K,7,FALSE)</f>
        <v>JWDDCD2025072900123</v>
      </c>
      <c r="E2392" s="41" t="str">
        <f>VLOOKUP(F2392,辅助信息!A:B,2,FALSE)</f>
        <v>螺纹钢</v>
      </c>
      <c r="F2392" s="41" t="s">
        <v>133</v>
      </c>
      <c r="G2392" s="37">
        <v>8</v>
      </c>
      <c r="H2392" s="135" t="str">
        <f>_xlfn.XLOOKUP(C2392&amp;F2392&amp;I2392&amp;J2392,'[1]2025年已发货'!$F:$F&amp;'[1]2025年已发货'!$C:$C&amp;'[1]2025年已发货'!$G:$G&amp;'[1]2025年已发货'!$H:$H,'[1]2025年已发货'!$E:$E,"未发货")</f>
        <v>未发货</v>
      </c>
      <c r="I2392" s="41" t="str">
        <f>VLOOKUP(B2392,辅助信息!E:I,3,FALSE)</f>
        <v>(乐山市校地共建产教融合基地建设项目二标段)四川省乐山市市中区苏稽镇</v>
      </c>
      <c r="J2392" s="41" t="str">
        <f>VLOOKUP(B2392,辅助信息!E:I,4,FALSE)</f>
        <v>彭江涛</v>
      </c>
      <c r="K2392" s="41">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96</v>
      </c>
      <c r="Q2392" s="30" t="str">
        <f>VLOOKUP(B2392,辅助信息!E:M,9,FALSE)</f>
        <v>ZTWM-CDGS-XS-2025-0126-四川机司-乐山市校地共建产教融合基地配套设施项目施工二标段钢筋采购合同</v>
      </c>
      <c r="R2392" s="30" t="str">
        <f>_xlfn._xlws.FILTER(辅助信息!D:D,辅助信息!E:E=B2392)</f>
        <v>乐山市校地共建产教融合基地建设项目</v>
      </c>
    </row>
    <row r="2393" hidden="1" spans="2:18">
      <c r="B2393" s="41" t="s">
        <v>186</v>
      </c>
      <c r="C2393" s="71">
        <v>45861</v>
      </c>
      <c r="D2393" s="41" t="str">
        <f>VLOOKUP(B2393,辅助信息!E:K,7,FALSE)</f>
        <v>JWDDCD2025072900123</v>
      </c>
      <c r="E2393" s="41" t="str">
        <f>VLOOKUP(F2393,辅助信息!A:B,2,FALSE)</f>
        <v>螺纹钢</v>
      </c>
      <c r="F2393" s="41" t="s">
        <v>91</v>
      </c>
      <c r="G2393" s="37">
        <v>15</v>
      </c>
      <c r="H2393" s="135" t="str">
        <f>_xlfn.XLOOKUP(C2393&amp;F2393&amp;I2393&amp;J2393,'[1]2025年已发货'!$F:$F&amp;'[1]2025年已发货'!$C:$C&amp;'[1]2025年已发货'!$G:$G&amp;'[1]2025年已发货'!$H:$H,'[1]2025年已发货'!$E:$E,"未发货")</f>
        <v>未发货</v>
      </c>
      <c r="I2393" s="41" t="str">
        <f>VLOOKUP(B2393,辅助信息!E:I,3,FALSE)</f>
        <v>(乐山市校地共建产教融合基地建设项目二标段)四川省乐山市市中区苏稽镇</v>
      </c>
      <c r="J2393" s="41" t="str">
        <f>VLOOKUP(B2393,辅助信息!E:I,4,FALSE)</f>
        <v>彭江涛</v>
      </c>
      <c r="K2393" s="41">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96</v>
      </c>
      <c r="Q2393" s="30" t="str">
        <f>VLOOKUP(B2393,辅助信息!E:M,9,FALSE)</f>
        <v>ZTWM-CDGS-XS-2025-0126-四川机司-乐山市校地共建产教融合基地配套设施项目施工二标段钢筋采购合同</v>
      </c>
      <c r="R2393" s="30" t="str">
        <f>_xlfn._xlws.FILTER(辅助信息!D:D,辅助信息!E:E=B2393)</f>
        <v>乐山市校地共建产教融合基地建设项目</v>
      </c>
    </row>
    <row r="2394" hidden="1" spans="2:18">
      <c r="B2394" s="41" t="s">
        <v>186</v>
      </c>
      <c r="C2394" s="71">
        <v>45861</v>
      </c>
      <c r="D2394" s="41" t="str">
        <f>VLOOKUP(B2394,辅助信息!E:K,7,FALSE)</f>
        <v>JWDDCD2025072900123</v>
      </c>
      <c r="E2394" s="41" t="str">
        <f>VLOOKUP(F2394,辅助信息!A:B,2,FALSE)</f>
        <v>螺纹钢</v>
      </c>
      <c r="F2394" s="41" t="s">
        <v>142</v>
      </c>
      <c r="G2394" s="37">
        <v>15</v>
      </c>
      <c r="H2394" s="135" t="str">
        <f>_xlfn.XLOOKUP(C2394&amp;F2394&amp;I2394&amp;J2394,'[1]2025年已发货'!$F:$F&amp;'[1]2025年已发货'!$C:$C&amp;'[1]2025年已发货'!$G:$G&amp;'[1]2025年已发货'!$H:$H,'[1]2025年已发货'!$E:$E,"未发货")</f>
        <v>未发货</v>
      </c>
      <c r="I2394" s="41" t="str">
        <f>VLOOKUP(B2394,辅助信息!E:I,3,FALSE)</f>
        <v>(乐山市校地共建产教融合基地建设项目二标段)四川省乐山市市中区苏稽镇</v>
      </c>
      <c r="J2394" s="41" t="str">
        <f>VLOOKUP(B2394,辅助信息!E:I,4,FALSE)</f>
        <v>彭江涛</v>
      </c>
      <c r="K2394" s="41">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96</v>
      </c>
      <c r="Q2394" s="30" t="str">
        <f>VLOOKUP(B2394,辅助信息!E:M,9,FALSE)</f>
        <v>ZTWM-CDGS-XS-2025-0126-四川机司-乐山市校地共建产教融合基地配套设施项目施工二标段钢筋采购合同</v>
      </c>
      <c r="R2394" s="30" t="str">
        <f>_xlfn._xlws.FILTER(辅助信息!D:D,辅助信息!E:E=B2394)</f>
        <v>乐山市校地共建产教融合基地建设项目</v>
      </c>
    </row>
    <row r="2395" hidden="1" spans="2:18">
      <c r="B2395" s="41" t="s">
        <v>186</v>
      </c>
      <c r="C2395" s="71">
        <v>45861</v>
      </c>
      <c r="D2395" s="41" t="str">
        <f>VLOOKUP(B2395,辅助信息!E:K,7,FALSE)</f>
        <v>JWDDCD2025072900123</v>
      </c>
      <c r="E2395" s="41" t="str">
        <f>VLOOKUP(F2395,辅助信息!A:B,2,FALSE)</f>
        <v>螺纹钢</v>
      </c>
      <c r="F2395" s="41" t="s">
        <v>200</v>
      </c>
      <c r="G2395" s="37">
        <v>10</v>
      </c>
      <c r="H2395" s="135" t="str">
        <f>_xlfn.XLOOKUP(C2395&amp;F2395&amp;I2395&amp;J2395,'[1]2025年已发货'!$F:$F&amp;'[1]2025年已发货'!$C:$C&amp;'[1]2025年已发货'!$G:$G&amp;'[1]2025年已发货'!$H:$H,'[1]2025年已发货'!$E:$E,"未发货")</f>
        <v>未发货</v>
      </c>
      <c r="I2395" s="41" t="str">
        <f>VLOOKUP(B2395,辅助信息!E:I,3,FALSE)</f>
        <v>(乐山市校地共建产教融合基地建设项目二标段)四川省乐山市市中区苏稽镇</v>
      </c>
      <c r="J2395" s="41" t="str">
        <f>VLOOKUP(B2395,辅助信息!E:I,4,FALSE)</f>
        <v>彭江涛</v>
      </c>
      <c r="K2395" s="41">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96</v>
      </c>
      <c r="Q2395" s="30" t="str">
        <f>VLOOKUP(B2395,辅助信息!E:M,9,FALSE)</f>
        <v>ZTWM-CDGS-XS-2025-0126-四川机司-乐山市校地共建产教融合基地配套设施项目施工二标段钢筋采购合同</v>
      </c>
      <c r="R2395" s="30" t="str">
        <f>_xlfn._xlws.FILTER(辅助信息!D:D,辅助信息!E:E=B2395)</f>
        <v>乐山市校地共建产教融合基地建设项目</v>
      </c>
    </row>
    <row r="2396" hidden="1" spans="2:18">
      <c r="B2396" s="41" t="s">
        <v>186</v>
      </c>
      <c r="C2396" s="71">
        <v>45861</v>
      </c>
      <c r="D2396" s="41" t="str">
        <f>VLOOKUP(B2396,辅助信息!E:K,7,FALSE)</f>
        <v>JWDDCD2025072900123</v>
      </c>
      <c r="E2396" s="41" t="str">
        <f>VLOOKUP(F2396,辅助信息!A:B,2,FALSE)</f>
        <v>螺纹钢</v>
      </c>
      <c r="F2396" s="41" t="s">
        <v>201</v>
      </c>
      <c r="G2396" s="37">
        <v>10</v>
      </c>
      <c r="H2396" s="135" t="str">
        <f>_xlfn.XLOOKUP(C2396&amp;F2396&amp;I2396&amp;J2396,'[1]2025年已发货'!$F:$F&amp;'[1]2025年已发货'!$C:$C&amp;'[1]2025年已发货'!$G:$G&amp;'[1]2025年已发货'!$H:$H,'[1]2025年已发货'!$E:$E,"未发货")</f>
        <v>未发货</v>
      </c>
      <c r="I2396" s="41" t="str">
        <f>VLOOKUP(B2396,辅助信息!E:I,3,FALSE)</f>
        <v>(乐山市校地共建产教融合基地建设项目二标段)四川省乐山市市中区苏稽镇</v>
      </c>
      <c r="J2396" s="41" t="str">
        <f>VLOOKUP(B2396,辅助信息!E:I,4,FALSE)</f>
        <v>彭江涛</v>
      </c>
      <c r="K2396" s="41">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96</v>
      </c>
      <c r="Q2396" s="30" t="str">
        <f>VLOOKUP(B2396,辅助信息!E:M,9,FALSE)</f>
        <v>ZTWM-CDGS-XS-2025-0126-四川机司-乐山市校地共建产教融合基地配套设施项目施工二标段钢筋采购合同</v>
      </c>
      <c r="R2396" s="30" t="str">
        <f>_xlfn._xlws.FILTER(辅助信息!D:D,辅助信息!E:E=B2396)</f>
        <v>乐山市校地共建产教融合基地建设项目</v>
      </c>
    </row>
    <row r="2397" hidden="1" spans="2:18">
      <c r="B2397" s="41" t="s">
        <v>186</v>
      </c>
      <c r="C2397" s="71">
        <v>45861</v>
      </c>
      <c r="D2397" s="41" t="str">
        <f>VLOOKUP(B2397,辅助信息!E:K,7,FALSE)</f>
        <v>JWDDCD2025072900123</v>
      </c>
      <c r="E2397" s="41" t="str">
        <f>VLOOKUP(F2397,辅助信息!A:B,2,FALSE)</f>
        <v>盘螺</v>
      </c>
      <c r="F2397" s="41" t="s">
        <v>40</v>
      </c>
      <c r="G2397" s="37">
        <v>10</v>
      </c>
      <c r="H2397" s="135" t="str">
        <f>_xlfn.XLOOKUP(C2397&amp;F2397&amp;I2397&amp;J2397,'[1]2025年已发货'!$F:$F&amp;'[1]2025年已发货'!$C:$C&amp;'[1]2025年已发货'!$G:$G&amp;'[1]2025年已发货'!$H:$H,'[1]2025年已发货'!$E:$E,"未发货")</f>
        <v>未发货</v>
      </c>
      <c r="I2397" s="41" t="str">
        <f>VLOOKUP(B2397,辅助信息!E:I,3,FALSE)</f>
        <v>(乐山市校地共建产教融合基地建设项目二标段)四川省乐山市市中区苏稽镇</v>
      </c>
      <c r="J2397" s="41" t="str">
        <f>VLOOKUP(B2397,辅助信息!E:I,4,FALSE)</f>
        <v>彭江涛</v>
      </c>
      <c r="K2397" s="41">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96</v>
      </c>
      <c r="Q2397" s="30" t="str">
        <f>VLOOKUP(B2397,辅助信息!E:M,9,FALSE)</f>
        <v>ZTWM-CDGS-XS-2025-0126-四川机司-乐山市校地共建产教融合基地配套设施项目施工二标段钢筋采购合同</v>
      </c>
      <c r="R2397" s="30" t="str">
        <f>_xlfn._xlws.FILTER(辅助信息!D:D,辅助信息!E:E=B2397)</f>
        <v>乐山市校地共建产教融合基地建设项目</v>
      </c>
    </row>
    <row r="2398" hidden="1" spans="2:18">
      <c r="B2398" s="41" t="s">
        <v>186</v>
      </c>
      <c r="C2398" s="71">
        <v>45861</v>
      </c>
      <c r="D2398" s="41" t="str">
        <f>VLOOKUP(B2398,辅助信息!E:K,7,FALSE)</f>
        <v>JWDDCD2025072900123</v>
      </c>
      <c r="E2398" s="41" t="str">
        <f>VLOOKUP(F2398,辅助信息!A:B,2,FALSE)</f>
        <v>盘螺</v>
      </c>
      <c r="F2398" s="41" t="s">
        <v>41</v>
      </c>
      <c r="G2398" s="37">
        <v>10</v>
      </c>
      <c r="H2398" s="135" t="str">
        <f>_xlfn.XLOOKUP(C2398&amp;F2398&amp;I2398&amp;J2398,'[1]2025年已发货'!$F:$F&amp;'[1]2025年已发货'!$C:$C&amp;'[1]2025年已发货'!$G:$G&amp;'[1]2025年已发货'!$H:$H,'[1]2025年已发货'!$E:$E,"未发货")</f>
        <v>未发货</v>
      </c>
      <c r="I2398" s="41" t="str">
        <f>VLOOKUP(B2398,辅助信息!E:I,3,FALSE)</f>
        <v>(乐山市校地共建产教融合基地建设项目二标段)四川省乐山市市中区苏稽镇</v>
      </c>
      <c r="J2398" s="41" t="str">
        <f>VLOOKUP(B2398,辅助信息!E:I,4,FALSE)</f>
        <v>彭江涛</v>
      </c>
      <c r="K2398" s="41">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96</v>
      </c>
      <c r="Q2398" s="30" t="str">
        <f>VLOOKUP(B2398,辅助信息!E:M,9,FALSE)</f>
        <v>ZTWM-CDGS-XS-2025-0126-四川机司-乐山市校地共建产教融合基地配套设施项目施工二标段钢筋采购合同</v>
      </c>
      <c r="R2398" s="30" t="str">
        <f>_xlfn._xlws.FILTER(辅助信息!D:D,辅助信息!E:E=B2398)</f>
        <v>乐山市校地共建产教融合基地建设项目</v>
      </c>
    </row>
    <row r="2399" hidden="1" spans="2:18">
      <c r="B2399" s="41" t="s">
        <v>186</v>
      </c>
      <c r="C2399" s="71">
        <v>45861</v>
      </c>
      <c r="D2399" s="41" t="str">
        <f>VLOOKUP(B2399,辅助信息!E:K,7,FALSE)</f>
        <v>JWDDCD2025072900123</v>
      </c>
      <c r="E2399" s="41" t="str">
        <f>VLOOKUP(F2399,辅助信息!A:B,2,FALSE)</f>
        <v>盘螺</v>
      </c>
      <c r="F2399" s="41" t="s">
        <v>26</v>
      </c>
      <c r="G2399" s="37">
        <v>10</v>
      </c>
      <c r="H2399" s="135" t="str">
        <f>_xlfn.XLOOKUP(C2399&amp;F2399&amp;I2399&amp;J2399,'[1]2025年已发货'!$F:$F&amp;'[1]2025年已发货'!$C:$C&amp;'[1]2025年已发货'!$G:$G&amp;'[1]2025年已发货'!$H:$H,'[1]2025年已发货'!$E:$E,"未发货")</f>
        <v>未发货</v>
      </c>
      <c r="I2399" s="41" t="str">
        <f>VLOOKUP(B2399,辅助信息!E:I,3,FALSE)</f>
        <v>(乐山市校地共建产教融合基地建设项目二标段)四川省乐山市市中区苏稽镇</v>
      </c>
      <c r="J2399" s="41" t="str">
        <f>VLOOKUP(B2399,辅助信息!E:I,4,FALSE)</f>
        <v>彭江涛</v>
      </c>
      <c r="K2399" s="41">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96</v>
      </c>
      <c r="Q2399" s="30" t="str">
        <f>VLOOKUP(B2399,辅助信息!E:M,9,FALSE)</f>
        <v>ZTWM-CDGS-XS-2025-0126-四川机司-乐山市校地共建产教融合基地配套设施项目施工二标段钢筋采购合同</v>
      </c>
      <c r="R2399" s="30" t="str">
        <f>_xlfn._xlws.FILTER(辅助信息!D:D,辅助信息!E:E=B2399)</f>
        <v>乐山市校地共建产教融合基地建设项目</v>
      </c>
    </row>
    <row r="2400" hidden="1" spans="2:18">
      <c r="B2400" s="41" t="s">
        <v>186</v>
      </c>
      <c r="C2400" s="71">
        <v>45861</v>
      </c>
      <c r="D2400" s="41" t="str">
        <f>VLOOKUP(B2400,辅助信息!E:K,7,FALSE)</f>
        <v>JWDDCD2025072900123</v>
      </c>
      <c r="E2400" s="41" t="str">
        <f>VLOOKUP(F2400,辅助信息!A:B,2,FALSE)</f>
        <v>螺纹钢</v>
      </c>
      <c r="F2400" s="41" t="s">
        <v>76</v>
      </c>
      <c r="G2400" s="37">
        <v>5</v>
      </c>
      <c r="H2400" s="135" t="str">
        <f>_xlfn.XLOOKUP(C2400&amp;F2400&amp;I2400&amp;J2400,'[1]2025年已发货'!$F:$F&amp;'[1]2025年已发货'!$C:$C&amp;'[1]2025年已发货'!$G:$G&amp;'[1]2025年已发货'!$H:$H,'[1]2025年已发货'!$E:$E,"未发货")</f>
        <v>未发货</v>
      </c>
      <c r="I2400" s="41" t="str">
        <f>VLOOKUP(B2400,辅助信息!E:I,3,FALSE)</f>
        <v>(乐山市校地共建产教融合基地建设项目二标段)四川省乐山市市中区苏稽镇</v>
      </c>
      <c r="J2400" s="41" t="str">
        <f>VLOOKUP(B2400,辅助信息!E:I,4,FALSE)</f>
        <v>彭江涛</v>
      </c>
      <c r="K2400" s="41">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96</v>
      </c>
      <c r="Q2400" s="30" t="str">
        <f>VLOOKUP(B2400,辅助信息!E:M,9,FALSE)</f>
        <v>ZTWM-CDGS-XS-2025-0126-四川机司-乐山市校地共建产教融合基地配套设施项目施工二标段钢筋采购合同</v>
      </c>
      <c r="R2400" s="30" t="str">
        <f>_xlfn._xlws.FILTER(辅助信息!D:D,辅助信息!E:E=B2400)</f>
        <v>乐山市校地共建产教融合基地建设项目</v>
      </c>
    </row>
    <row r="2401" hidden="1" spans="2:18">
      <c r="B2401" s="41" t="s">
        <v>186</v>
      </c>
      <c r="C2401" s="71">
        <v>45861</v>
      </c>
      <c r="D2401" s="41" t="str">
        <f>VLOOKUP(B2401,辅助信息!E:K,7,FALSE)</f>
        <v>JWDDCD2025072900123</v>
      </c>
      <c r="E2401" s="41" t="str">
        <f>VLOOKUP(F2401,辅助信息!A:B,2,FALSE)</f>
        <v>螺纹钢</v>
      </c>
      <c r="F2401" s="41" t="s">
        <v>90</v>
      </c>
      <c r="G2401" s="37">
        <v>5</v>
      </c>
      <c r="H2401" s="135" t="str">
        <f>_xlfn.XLOOKUP(C2401&amp;F2401&amp;I2401&amp;J2401,'[1]2025年已发货'!$F:$F&amp;'[1]2025年已发货'!$C:$C&amp;'[1]2025年已发货'!$G:$G&amp;'[1]2025年已发货'!$H:$H,'[1]2025年已发货'!$E:$E,"未发货")</f>
        <v>未发货</v>
      </c>
      <c r="I2401" s="41" t="str">
        <f>VLOOKUP(B2401,辅助信息!E:I,3,FALSE)</f>
        <v>(乐山市校地共建产教融合基地建设项目二标段)四川省乐山市市中区苏稽镇</v>
      </c>
      <c r="J2401" s="41" t="str">
        <f>VLOOKUP(B2401,辅助信息!E:I,4,FALSE)</f>
        <v>彭江涛</v>
      </c>
      <c r="K2401" s="41">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96</v>
      </c>
      <c r="Q2401" s="30" t="str">
        <f>VLOOKUP(B2401,辅助信息!E:M,9,FALSE)</f>
        <v>ZTWM-CDGS-XS-2025-0126-四川机司-乐山市校地共建产教融合基地配套设施项目施工二标段钢筋采购合同</v>
      </c>
      <c r="R2401" s="30" t="str">
        <f>_xlfn._xlws.FILTER(辅助信息!D:D,辅助信息!E:E=B2401)</f>
        <v>乐山市校地共建产教融合基地建设项目</v>
      </c>
    </row>
    <row r="2402" hidden="1" spans="2:18">
      <c r="B2402" s="41" t="s">
        <v>186</v>
      </c>
      <c r="C2402" s="71">
        <v>45861</v>
      </c>
      <c r="D2402" s="41" t="str">
        <f>VLOOKUP(B2402,辅助信息!E:K,7,FALSE)</f>
        <v>JWDDCD2025072900123</v>
      </c>
      <c r="E2402" s="41" t="str">
        <f>VLOOKUP(F2402,辅助信息!A:B,2,FALSE)</f>
        <v>螺纹钢</v>
      </c>
      <c r="F2402" s="41" t="s">
        <v>138</v>
      </c>
      <c r="G2402" s="37">
        <v>10</v>
      </c>
      <c r="H2402" s="135" t="str">
        <f>_xlfn.XLOOKUP(C2402&amp;F2402&amp;I2402&amp;J2402,'[1]2025年已发货'!$F:$F&amp;'[1]2025年已发货'!$C:$C&amp;'[1]2025年已发货'!$G:$G&amp;'[1]2025年已发货'!$H:$H,'[1]2025年已发货'!$E:$E,"未发货")</f>
        <v>未发货</v>
      </c>
      <c r="I2402" s="41" t="str">
        <f>VLOOKUP(B2402,辅助信息!E:I,3,FALSE)</f>
        <v>(乐山市校地共建产教融合基地建设项目二标段)四川省乐山市市中区苏稽镇</v>
      </c>
      <c r="J2402" s="41" t="str">
        <f>VLOOKUP(B2402,辅助信息!E:I,4,FALSE)</f>
        <v>彭江涛</v>
      </c>
      <c r="K2402" s="41">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96</v>
      </c>
      <c r="Q2402" s="30" t="str">
        <f>VLOOKUP(B2402,辅助信息!E:M,9,FALSE)</f>
        <v>ZTWM-CDGS-XS-2025-0126-四川机司-乐山市校地共建产教融合基地配套设施项目施工二标段钢筋采购合同</v>
      </c>
      <c r="R2402" s="30" t="str">
        <f>_xlfn._xlws.FILTER(辅助信息!D:D,辅助信息!E:E=B2402)</f>
        <v>乐山市校地共建产教融合基地建设项目</v>
      </c>
    </row>
    <row r="2403" hidden="1" spans="2:18">
      <c r="B2403" s="41" t="s">
        <v>186</v>
      </c>
      <c r="C2403" s="71">
        <v>45861</v>
      </c>
      <c r="D2403" s="41" t="str">
        <f>VLOOKUP(B2403,辅助信息!E:K,7,FALSE)</f>
        <v>JWDDCD2025072900123</v>
      </c>
      <c r="E2403" s="41" t="str">
        <f>VLOOKUP(F2403,辅助信息!A:B,2,FALSE)</f>
        <v>螺纹钢</v>
      </c>
      <c r="F2403" s="41" t="s">
        <v>91</v>
      </c>
      <c r="G2403" s="37">
        <v>15</v>
      </c>
      <c r="H2403" s="135" t="str">
        <f>_xlfn.XLOOKUP(C2403&amp;F2403&amp;I2403&amp;J2403,'[1]2025年已发货'!$F:$F&amp;'[1]2025年已发货'!$C:$C&amp;'[1]2025年已发货'!$G:$G&amp;'[1]2025年已发货'!$H:$H,'[1]2025年已发货'!$E:$E,"未发货")</f>
        <v>未发货</v>
      </c>
      <c r="I2403" s="41" t="str">
        <f>VLOOKUP(B2403,辅助信息!E:I,3,FALSE)</f>
        <v>(乐山市校地共建产教融合基地建设项目二标段)四川省乐山市市中区苏稽镇</v>
      </c>
      <c r="J2403" s="41" t="str">
        <f>VLOOKUP(B2403,辅助信息!E:I,4,FALSE)</f>
        <v>彭江涛</v>
      </c>
      <c r="K2403" s="41">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96</v>
      </c>
      <c r="Q2403" s="30" t="str">
        <f>VLOOKUP(B2403,辅助信息!E:M,9,FALSE)</f>
        <v>ZTWM-CDGS-XS-2025-0126-四川机司-乐山市校地共建产教融合基地配套设施项目施工二标段钢筋采购合同</v>
      </c>
      <c r="R2403" s="30" t="str">
        <f>_xlfn._xlws.FILTER(辅助信息!D:D,辅助信息!E:E=B2403)</f>
        <v>乐山市校地共建产教融合基地建设项目</v>
      </c>
    </row>
    <row r="2404" hidden="1" spans="2:18">
      <c r="B2404" s="41" t="s">
        <v>186</v>
      </c>
      <c r="C2404" s="71">
        <v>45861</v>
      </c>
      <c r="D2404" s="41" t="str">
        <f>VLOOKUP(B2404,辅助信息!E:K,7,FALSE)</f>
        <v>JWDDCD2025072900123</v>
      </c>
      <c r="E2404" s="41" t="str">
        <f>VLOOKUP(F2404,辅助信息!A:B,2,FALSE)</f>
        <v>螺纹钢</v>
      </c>
      <c r="F2404" s="41" t="s">
        <v>140</v>
      </c>
      <c r="G2404" s="37">
        <v>6</v>
      </c>
      <c r="H2404" s="135" t="str">
        <f>_xlfn.XLOOKUP(C2404&amp;F2404&amp;I2404&amp;J2404,'[1]2025年已发货'!$F:$F&amp;'[1]2025年已发货'!$C:$C&amp;'[1]2025年已发货'!$G:$G&amp;'[1]2025年已发货'!$H:$H,'[1]2025年已发货'!$E:$E,"未发货")</f>
        <v>未发货</v>
      </c>
      <c r="I2404" s="41" t="str">
        <f>VLOOKUP(B2404,辅助信息!E:I,3,FALSE)</f>
        <v>(乐山市校地共建产教融合基地建设项目二标段)四川省乐山市市中区苏稽镇</v>
      </c>
      <c r="J2404" s="41" t="str">
        <f>VLOOKUP(B2404,辅助信息!E:I,4,FALSE)</f>
        <v>彭江涛</v>
      </c>
      <c r="K2404" s="41">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96</v>
      </c>
      <c r="Q2404" s="30" t="str">
        <f>VLOOKUP(B2404,辅助信息!E:M,9,FALSE)</f>
        <v>ZTWM-CDGS-XS-2025-0126-四川机司-乐山市校地共建产教融合基地配套设施项目施工二标段钢筋采购合同</v>
      </c>
      <c r="R2404" s="30" t="str">
        <f>_xlfn._xlws.FILTER(辅助信息!D:D,辅助信息!E:E=B2404)</f>
        <v>乐山市校地共建产教融合基地建设项目</v>
      </c>
    </row>
    <row r="2405" hidden="1" spans="2:18">
      <c r="B2405" s="41" t="s">
        <v>186</v>
      </c>
      <c r="C2405" s="71">
        <v>45861</v>
      </c>
      <c r="D2405" s="41" t="str">
        <f>VLOOKUP(B2405,辅助信息!E:K,7,FALSE)</f>
        <v>JWDDCD2025072900123</v>
      </c>
      <c r="E2405" s="41" t="str">
        <f>VLOOKUP(F2405,辅助信息!A:B,2,FALSE)</f>
        <v>螺纹钢</v>
      </c>
      <c r="F2405" s="41" t="s">
        <v>197</v>
      </c>
      <c r="G2405" s="37">
        <v>6</v>
      </c>
      <c r="H2405" s="135" t="str">
        <f>_xlfn.XLOOKUP(C2405&amp;F2405&amp;I2405&amp;J2405,'[1]2025年已发货'!$F:$F&amp;'[1]2025年已发货'!$C:$C&amp;'[1]2025年已发货'!$G:$G&amp;'[1]2025年已发货'!$H:$H,'[1]2025年已发货'!$E:$E,"未发货")</f>
        <v>未发货</v>
      </c>
      <c r="I2405" s="41" t="str">
        <f>VLOOKUP(B2405,辅助信息!E:I,3,FALSE)</f>
        <v>(乐山市校地共建产教融合基地建设项目二标段)四川省乐山市市中区苏稽镇</v>
      </c>
      <c r="J2405" s="41" t="str">
        <f>VLOOKUP(B2405,辅助信息!E:I,4,FALSE)</f>
        <v>彭江涛</v>
      </c>
      <c r="K2405" s="41">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96</v>
      </c>
      <c r="Q2405" s="30" t="str">
        <f>VLOOKUP(B2405,辅助信息!E:M,9,FALSE)</f>
        <v>ZTWM-CDGS-XS-2025-0126-四川机司-乐山市校地共建产教融合基地配套设施项目施工二标段钢筋采购合同</v>
      </c>
      <c r="R2405" s="30" t="str">
        <f>_xlfn._xlws.FILTER(辅助信息!D:D,辅助信息!E:E=B2405)</f>
        <v>乐山市校地共建产教融合基地建设项目</v>
      </c>
    </row>
    <row r="2406" hidden="1" spans="2:18">
      <c r="B2406" s="41" t="s">
        <v>186</v>
      </c>
      <c r="C2406" s="71">
        <v>45861</v>
      </c>
      <c r="D2406" s="41" t="str">
        <f>VLOOKUP(B2406,辅助信息!E:K,7,FALSE)</f>
        <v>JWDDCD2025072900123</v>
      </c>
      <c r="E2406" s="41" t="str">
        <f>VLOOKUP(F2406,辅助信息!A:B,2,FALSE)</f>
        <v>螺纹钢</v>
      </c>
      <c r="F2406" s="41" t="s">
        <v>198</v>
      </c>
      <c r="G2406" s="37">
        <v>10</v>
      </c>
      <c r="H2406" s="135" t="str">
        <f>_xlfn.XLOOKUP(C2406&amp;F2406&amp;I2406&amp;J2406,'[1]2025年已发货'!$F:$F&amp;'[1]2025年已发货'!$C:$C&amp;'[1]2025年已发货'!$G:$G&amp;'[1]2025年已发货'!$H:$H,'[1]2025年已发货'!$E:$E,"未发货")</f>
        <v>未发货</v>
      </c>
      <c r="I2406" s="41" t="str">
        <f>VLOOKUP(B2406,辅助信息!E:I,3,FALSE)</f>
        <v>(乐山市校地共建产教融合基地建设项目二标段)四川省乐山市市中区苏稽镇</v>
      </c>
      <c r="J2406" s="41" t="str">
        <f>VLOOKUP(B2406,辅助信息!E:I,4,FALSE)</f>
        <v>彭江涛</v>
      </c>
      <c r="K2406" s="41">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96</v>
      </c>
      <c r="Q2406" s="30" t="str">
        <f>VLOOKUP(B2406,辅助信息!E:M,9,FALSE)</f>
        <v>ZTWM-CDGS-XS-2025-0126-四川机司-乐山市校地共建产教融合基地配套设施项目施工二标段钢筋采购合同</v>
      </c>
      <c r="R2406" s="30" t="str">
        <f>_xlfn._xlws.FILTER(辅助信息!D:D,辅助信息!E:E=B2406)</f>
        <v>乐山市校地共建产教融合基地建设项目</v>
      </c>
    </row>
    <row r="2407" hidden="1" spans="2:18">
      <c r="B2407" s="41" t="s">
        <v>186</v>
      </c>
      <c r="C2407" s="71">
        <v>45861</v>
      </c>
      <c r="D2407" s="41" t="str">
        <f>VLOOKUP(B2407,辅助信息!E:K,7,FALSE)</f>
        <v>JWDDCD2025072900123</v>
      </c>
      <c r="E2407" s="41" t="str">
        <f>VLOOKUP(F2407,辅助信息!A:B,2,FALSE)</f>
        <v>螺纹钢</v>
      </c>
      <c r="F2407" s="41" t="s">
        <v>199</v>
      </c>
      <c r="G2407" s="37">
        <v>10</v>
      </c>
      <c r="H2407" s="135" t="str">
        <f>_xlfn.XLOOKUP(C2407&amp;F2407&amp;I2407&amp;J2407,'[1]2025年已发货'!$F:$F&amp;'[1]2025年已发货'!$C:$C&amp;'[1]2025年已发货'!$G:$G&amp;'[1]2025年已发货'!$H:$H,'[1]2025年已发货'!$E:$E,"未发货")</f>
        <v>未发货</v>
      </c>
      <c r="I2407" s="41" t="str">
        <f>VLOOKUP(B2407,辅助信息!E:I,3,FALSE)</f>
        <v>(乐山市校地共建产教融合基地建设项目二标段)四川省乐山市市中区苏稽镇</v>
      </c>
      <c r="J2407" s="41" t="str">
        <f>VLOOKUP(B2407,辅助信息!E:I,4,FALSE)</f>
        <v>彭江涛</v>
      </c>
      <c r="K2407" s="41">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96</v>
      </c>
      <c r="Q2407" s="30" t="str">
        <f>VLOOKUP(B2407,辅助信息!E:M,9,FALSE)</f>
        <v>ZTWM-CDGS-XS-2025-0126-四川机司-乐山市校地共建产教融合基地配套设施项目施工二标段钢筋采购合同</v>
      </c>
      <c r="R2407" s="30" t="str">
        <f>_xlfn._xlws.FILTER(辅助信息!D:D,辅助信息!E:E=B2407)</f>
        <v>乐山市校地共建产教融合基地建设项目</v>
      </c>
    </row>
    <row r="2408" hidden="1" spans="2:18">
      <c r="B2408" s="41" t="s">
        <v>186</v>
      </c>
      <c r="C2408" s="71">
        <v>45861</v>
      </c>
      <c r="D2408" s="41" t="str">
        <f>VLOOKUP(B2408,辅助信息!E:K,7,FALSE)</f>
        <v>JWDDCD2025072900123</v>
      </c>
      <c r="E2408" s="41" t="str">
        <f>VLOOKUP(F2408,辅助信息!A:B,2,FALSE)</f>
        <v>螺纹钢</v>
      </c>
      <c r="F2408" s="41" t="s">
        <v>142</v>
      </c>
      <c r="G2408" s="37">
        <v>30</v>
      </c>
      <c r="H2408" s="135" t="str">
        <f>_xlfn.XLOOKUP(C2408&amp;F2408&amp;I2408&amp;J2408,'[1]2025年已发货'!$F:$F&amp;'[1]2025年已发货'!$C:$C&amp;'[1]2025年已发货'!$G:$G&amp;'[1]2025年已发货'!$H:$H,'[1]2025年已发货'!$E:$E,"未发货")</f>
        <v>未发货</v>
      </c>
      <c r="I2408" s="41" t="str">
        <f>VLOOKUP(B2408,辅助信息!E:I,3,FALSE)</f>
        <v>(乐山市校地共建产教融合基地建设项目二标段)四川省乐山市市中区苏稽镇</v>
      </c>
      <c r="J2408" s="41" t="str">
        <f>VLOOKUP(B2408,辅助信息!E:I,4,FALSE)</f>
        <v>彭江涛</v>
      </c>
      <c r="K2408" s="41">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96</v>
      </c>
      <c r="Q2408" s="30" t="str">
        <f>VLOOKUP(B2408,辅助信息!E:M,9,FALSE)</f>
        <v>ZTWM-CDGS-XS-2025-0126-四川机司-乐山市校地共建产教融合基地配套设施项目施工二标段钢筋采购合同</v>
      </c>
      <c r="R2408" s="30" t="str">
        <f>_xlfn._xlws.FILTER(辅助信息!D:D,辅助信息!E:E=B2408)</f>
        <v>乐山市校地共建产教融合基地建设项目</v>
      </c>
    </row>
    <row r="2409" hidden="1" spans="2:18">
      <c r="B2409" s="41" t="s">
        <v>186</v>
      </c>
      <c r="C2409" s="71">
        <v>45861</v>
      </c>
      <c r="D2409" s="41" t="str">
        <f>VLOOKUP(B2409,辅助信息!E:K,7,FALSE)</f>
        <v>JWDDCD2025072900123</v>
      </c>
      <c r="E2409" s="41" t="str">
        <f>VLOOKUP(F2409,辅助信息!A:B,2,FALSE)</f>
        <v>螺纹钢</v>
      </c>
      <c r="F2409" s="41" t="s">
        <v>200</v>
      </c>
      <c r="G2409" s="37">
        <v>20</v>
      </c>
      <c r="H2409" s="135" t="str">
        <f>_xlfn.XLOOKUP(C2409&amp;F2409&amp;I2409&amp;J2409,'[1]2025年已发货'!$F:$F&amp;'[1]2025年已发货'!$C:$C&amp;'[1]2025年已发货'!$G:$G&amp;'[1]2025年已发货'!$H:$H,'[1]2025年已发货'!$E:$E,"未发货")</f>
        <v>未发货</v>
      </c>
      <c r="I2409" s="41" t="str">
        <f>VLOOKUP(B2409,辅助信息!E:I,3,FALSE)</f>
        <v>(乐山市校地共建产教融合基地建设项目二标段)四川省乐山市市中区苏稽镇</v>
      </c>
      <c r="J2409" s="41" t="str">
        <f>VLOOKUP(B2409,辅助信息!E:I,4,FALSE)</f>
        <v>彭江涛</v>
      </c>
      <c r="K2409" s="41">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96</v>
      </c>
      <c r="Q2409" s="30" t="str">
        <f>VLOOKUP(B2409,辅助信息!E:M,9,FALSE)</f>
        <v>ZTWM-CDGS-XS-2025-0126-四川机司-乐山市校地共建产教融合基地配套设施项目施工二标段钢筋采购合同</v>
      </c>
      <c r="R2409" s="30" t="str">
        <f>_xlfn._xlws.FILTER(辅助信息!D:D,辅助信息!E:E=B2409)</f>
        <v>乐山市校地共建产教融合基地建设项目</v>
      </c>
    </row>
    <row r="2410" hidden="1" spans="2:18">
      <c r="B2410" s="41" t="s">
        <v>186</v>
      </c>
      <c r="C2410" s="71">
        <v>45861</v>
      </c>
      <c r="D2410" s="41" t="str">
        <f>VLOOKUP(B2410,辅助信息!E:K,7,FALSE)</f>
        <v>JWDDCD2025072900123</v>
      </c>
      <c r="E2410" s="41" t="str">
        <f>VLOOKUP(F2410,辅助信息!A:B,2,FALSE)</f>
        <v>螺纹钢</v>
      </c>
      <c r="F2410" s="41" t="s">
        <v>201</v>
      </c>
      <c r="G2410" s="37">
        <v>20</v>
      </c>
      <c r="H2410" s="135" t="str">
        <f>_xlfn.XLOOKUP(C2410&amp;F2410&amp;I2410&amp;J2410,'[1]2025年已发货'!$F:$F&amp;'[1]2025年已发货'!$C:$C&amp;'[1]2025年已发货'!$G:$G&amp;'[1]2025年已发货'!$H:$H,'[1]2025年已发货'!$E:$E,"未发货")</f>
        <v>未发货</v>
      </c>
      <c r="I2410" s="41" t="str">
        <f>VLOOKUP(B2410,辅助信息!E:I,3,FALSE)</f>
        <v>(乐山市校地共建产教融合基地建设项目二标段)四川省乐山市市中区苏稽镇</v>
      </c>
      <c r="J2410" s="41" t="str">
        <f>VLOOKUP(B2410,辅助信息!E:I,4,FALSE)</f>
        <v>彭江涛</v>
      </c>
      <c r="K2410" s="41">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96</v>
      </c>
      <c r="Q2410" s="30" t="str">
        <f>VLOOKUP(B2410,辅助信息!E:M,9,FALSE)</f>
        <v>ZTWM-CDGS-XS-2025-0126-四川机司-乐山市校地共建产教融合基地配套设施项目施工二标段钢筋采购合同</v>
      </c>
      <c r="R2410" s="30" t="str">
        <f>_xlfn._xlws.FILTER(辅助信息!D:D,辅助信息!E:E=B2410)</f>
        <v>乐山市校地共建产教融合基地建设项目</v>
      </c>
    </row>
    <row r="2411" hidden="1" spans="2:18">
      <c r="B2411" s="41" t="s">
        <v>196</v>
      </c>
      <c r="C2411" s="71">
        <v>45861</v>
      </c>
      <c r="D2411" s="41" t="str">
        <f>VLOOKUP(B2411,辅助信息!E:K,7,FALSE)</f>
        <v>JWDDCD2025102100476</v>
      </c>
      <c r="E2411" s="41" t="str">
        <f>VLOOKUP(F2411,辅助信息!A:B,2,FALSE)</f>
        <v>盘螺</v>
      </c>
      <c r="F2411" s="41" t="s">
        <v>49</v>
      </c>
      <c r="G2411" s="37">
        <v>2.5</v>
      </c>
      <c r="H2411" s="135">
        <f>_xlfn.XLOOKUP(C2411&amp;F2411&amp;I2411&amp;J2411,'[1]2025年已发货'!$F:$F&amp;'[1]2025年已发货'!$C:$C&amp;'[1]2025年已发货'!$G:$G&amp;'[1]2025年已发货'!$H:$H,'[1]2025年已发货'!$E:$E,"未发货")</f>
        <v>2.5</v>
      </c>
      <c r="I2411" s="41" t="str">
        <f>VLOOKUP(B2411,辅助信息!E:I,3,FALSE)</f>
        <v>(五冶建设师大附中外语校新建教学楼工程)四川省成都市成华区大观堰2号(四川师范大学附属中学外国语学校)</v>
      </c>
      <c r="J2411" s="41" t="str">
        <f>VLOOKUP(B2411,辅助信息!E:I,4,FALSE)</f>
        <v>蔡浩</v>
      </c>
      <c r="K2411" s="41">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96</v>
      </c>
      <c r="Q2411" s="30" t="str">
        <f>VLOOKUP(B2411,辅助信息!E:M,9,FALSE)</f>
        <v>ZTWM-CDGS-XS-2025-0073-五冶天府-成都怡心湖片区及龙泉驿医院等项目</v>
      </c>
      <c r="R2411" s="30" t="str">
        <f>_xlfn._xlws.FILTER(辅助信息!D:D,辅助信息!E:E=B2411)</f>
        <v>五冶建设师大附中外语校新建教学楼工程</v>
      </c>
    </row>
    <row r="2412" hidden="1" spans="2:18">
      <c r="B2412" s="41" t="s">
        <v>196</v>
      </c>
      <c r="C2412" s="71">
        <v>45861</v>
      </c>
      <c r="D2412" s="41" t="str">
        <f>VLOOKUP(B2412,辅助信息!E:K,7,FALSE)</f>
        <v>JWDDCD2025102100476</v>
      </c>
      <c r="E2412" s="41" t="str">
        <f>VLOOKUP(F2412,辅助信息!A:B,2,FALSE)</f>
        <v>盘螺</v>
      </c>
      <c r="F2412" s="41" t="s">
        <v>40</v>
      </c>
      <c r="G2412" s="37">
        <v>2.5</v>
      </c>
      <c r="H2412" s="135">
        <f>_xlfn.XLOOKUP(C2412&amp;F2412&amp;I2412&amp;J2412,'[1]2025年已发货'!$F:$F&amp;'[1]2025年已发货'!$C:$C&amp;'[1]2025年已发货'!$G:$G&amp;'[1]2025年已发货'!$H:$H,'[1]2025年已发货'!$E:$E,"未发货")</f>
        <v>2.5</v>
      </c>
      <c r="I2412" s="41" t="str">
        <f>VLOOKUP(B2412,辅助信息!E:I,3,FALSE)</f>
        <v>(五冶建设师大附中外语校新建教学楼工程)四川省成都市成华区大观堰2号(四川师范大学附属中学外国语学校)</v>
      </c>
      <c r="J2412" s="41" t="str">
        <f>VLOOKUP(B2412,辅助信息!E:I,4,FALSE)</f>
        <v>蔡浩</v>
      </c>
      <c r="K2412" s="41">
        <f>VLOOKUP(J2412,辅助信息!H:I,2,FALSE)</f>
        <v>13980880820</v>
      </c>
      <c r="L2412" s="91"/>
      <c r="M2412" s="92">
        <v>45863</v>
      </c>
      <c r="O2412" s="63">
        <f ca="1" t="shared" si="155"/>
        <v>0</v>
      </c>
      <c r="P2412" s="63">
        <f ca="1" t="shared" si="156"/>
        <v>96</v>
      </c>
      <c r="Q2412" s="30" t="str">
        <f>VLOOKUP(B2412,辅助信息!E:M,9,FALSE)</f>
        <v>ZTWM-CDGS-XS-2025-0073-五冶天府-成都怡心湖片区及龙泉驿医院等项目</v>
      </c>
      <c r="R2412" s="30" t="str">
        <f>_xlfn._xlws.FILTER(辅助信息!D:D,辅助信息!E:E=B2412)</f>
        <v>五冶建设师大附中外语校新建教学楼工程</v>
      </c>
    </row>
    <row r="2413" hidden="1" spans="2:18">
      <c r="B2413" s="41" t="s">
        <v>196</v>
      </c>
      <c r="C2413" s="71">
        <v>45861</v>
      </c>
      <c r="D2413" s="41" t="str">
        <f>VLOOKUP(B2413,辅助信息!E:K,7,FALSE)</f>
        <v>JWDDCD2025102100476</v>
      </c>
      <c r="E2413" s="41" t="str">
        <f>VLOOKUP(F2413,辅助信息!A:B,2,FALSE)</f>
        <v>盘螺</v>
      </c>
      <c r="F2413" s="41" t="s">
        <v>41</v>
      </c>
      <c r="G2413" s="37">
        <v>2.5</v>
      </c>
      <c r="H2413" s="135">
        <f>_xlfn.XLOOKUP(C2413&amp;F2413&amp;I2413&amp;J2413,'[1]2025年已发货'!$F:$F&amp;'[1]2025年已发货'!$C:$C&amp;'[1]2025年已发货'!$G:$G&amp;'[1]2025年已发货'!$H:$H,'[1]2025年已发货'!$E:$E,"未发货")</f>
        <v>2.5</v>
      </c>
      <c r="I2413" s="41" t="str">
        <f>VLOOKUP(B2413,辅助信息!E:I,3,FALSE)</f>
        <v>(五冶建设师大附中外语校新建教学楼工程)四川省成都市成华区大观堰2号(四川师范大学附属中学外国语学校)</v>
      </c>
      <c r="J2413" s="41" t="str">
        <f>VLOOKUP(B2413,辅助信息!E:I,4,FALSE)</f>
        <v>蔡浩</v>
      </c>
      <c r="K2413" s="41">
        <f>VLOOKUP(J2413,辅助信息!H:I,2,FALSE)</f>
        <v>13980880820</v>
      </c>
      <c r="L2413" s="91"/>
      <c r="M2413" s="92">
        <v>45863</v>
      </c>
      <c r="O2413" s="63">
        <f ca="1" t="shared" si="155"/>
        <v>0</v>
      </c>
      <c r="P2413" s="63">
        <f ca="1" t="shared" si="156"/>
        <v>96</v>
      </c>
      <c r="Q2413" s="30" t="str">
        <f>VLOOKUP(B2413,辅助信息!E:M,9,FALSE)</f>
        <v>ZTWM-CDGS-XS-2025-0073-五冶天府-成都怡心湖片区及龙泉驿医院等项目</v>
      </c>
      <c r="R2413" s="30" t="str">
        <f>_xlfn._xlws.FILTER(辅助信息!D:D,辅助信息!E:E=B2413)</f>
        <v>五冶建设师大附中外语校新建教学楼工程</v>
      </c>
    </row>
    <row r="2414" hidden="1" spans="2:18">
      <c r="B2414" s="41" t="s">
        <v>196</v>
      </c>
      <c r="C2414" s="71">
        <v>45861</v>
      </c>
      <c r="D2414" s="41" t="str">
        <f>VLOOKUP(B2414,辅助信息!E:K,7,FALSE)</f>
        <v>JWDDCD2025102100476</v>
      </c>
      <c r="E2414" s="41" t="str">
        <f>VLOOKUP(F2414,辅助信息!A:B,2,FALSE)</f>
        <v>螺纹钢</v>
      </c>
      <c r="F2414" s="41" t="s">
        <v>27</v>
      </c>
      <c r="G2414" s="37">
        <v>10</v>
      </c>
      <c r="H2414" s="135">
        <f>_xlfn.XLOOKUP(C2414&amp;F2414&amp;I2414&amp;J2414,'[1]2025年已发货'!$F:$F&amp;'[1]2025年已发货'!$C:$C&amp;'[1]2025年已发货'!$G:$G&amp;'[1]2025年已发货'!$H:$H,'[1]2025年已发货'!$E:$E,"未发货")</f>
        <v>10</v>
      </c>
      <c r="I2414" s="41" t="str">
        <f>VLOOKUP(B2414,辅助信息!E:I,3,FALSE)</f>
        <v>(五冶建设师大附中外语校新建教学楼工程)四川省成都市成华区大观堰2号(四川师范大学附属中学外国语学校)</v>
      </c>
      <c r="J2414" s="41" t="str">
        <f>VLOOKUP(B2414,辅助信息!E:I,4,FALSE)</f>
        <v>蔡浩</v>
      </c>
      <c r="K2414" s="41">
        <f>VLOOKUP(J2414,辅助信息!H:I,2,FALSE)</f>
        <v>13980880820</v>
      </c>
      <c r="L2414" s="91"/>
      <c r="M2414" s="92">
        <v>45863</v>
      </c>
      <c r="O2414" s="63">
        <f ca="1" t="shared" si="155"/>
        <v>0</v>
      </c>
      <c r="P2414" s="63">
        <f ca="1" t="shared" si="156"/>
        <v>96</v>
      </c>
      <c r="Q2414" s="30" t="str">
        <f>VLOOKUP(B2414,辅助信息!E:M,9,FALSE)</f>
        <v>ZTWM-CDGS-XS-2025-0073-五冶天府-成都怡心湖片区及龙泉驿医院等项目</v>
      </c>
      <c r="R2414" s="30" t="str">
        <f>_xlfn._xlws.FILTER(辅助信息!D:D,辅助信息!E:E=B2414)</f>
        <v>五冶建设师大附中外语校新建教学楼工程</v>
      </c>
    </row>
    <row r="2415" hidden="1" spans="2:18">
      <c r="B2415" s="41" t="s">
        <v>196</v>
      </c>
      <c r="C2415" s="71">
        <v>45861</v>
      </c>
      <c r="D2415" s="41" t="str">
        <f>VLOOKUP(B2415,辅助信息!E:K,7,FALSE)</f>
        <v>JWDDCD2025102100476</v>
      </c>
      <c r="E2415" s="41" t="str">
        <f>VLOOKUP(F2415,辅助信息!A:B,2,FALSE)</f>
        <v>螺纹钢</v>
      </c>
      <c r="F2415" s="41" t="s">
        <v>19</v>
      </c>
      <c r="G2415" s="37">
        <v>20</v>
      </c>
      <c r="H2415" s="135">
        <f>_xlfn.XLOOKUP(C2415&amp;F2415&amp;I2415&amp;J2415,'[1]2025年已发货'!$F:$F&amp;'[1]2025年已发货'!$C:$C&amp;'[1]2025年已发货'!$G:$G&amp;'[1]2025年已发货'!$H:$H,'[1]2025年已发货'!$E:$E,"未发货")</f>
        <v>20</v>
      </c>
      <c r="I2415" s="41" t="str">
        <f>VLOOKUP(B2415,辅助信息!E:I,3,FALSE)</f>
        <v>(五冶建设师大附中外语校新建教学楼工程)四川省成都市成华区大观堰2号(四川师范大学附属中学外国语学校)</v>
      </c>
      <c r="J2415" s="41" t="str">
        <f>VLOOKUP(B2415,辅助信息!E:I,4,FALSE)</f>
        <v>蔡浩</v>
      </c>
      <c r="K2415" s="41">
        <f>VLOOKUP(J2415,辅助信息!H:I,2,FALSE)</f>
        <v>13980880820</v>
      </c>
      <c r="L2415" s="91"/>
      <c r="M2415" s="92">
        <v>45863</v>
      </c>
      <c r="O2415" s="63">
        <f ca="1" t="shared" si="155"/>
        <v>0</v>
      </c>
      <c r="P2415" s="63">
        <f ca="1" t="shared" si="156"/>
        <v>96</v>
      </c>
      <c r="Q2415" s="30" t="str">
        <f>VLOOKUP(B2415,辅助信息!E:M,9,FALSE)</f>
        <v>ZTWM-CDGS-XS-2025-0073-五冶天府-成都怡心湖片区及龙泉驿医院等项目</v>
      </c>
      <c r="R2415" s="30" t="str">
        <f>_xlfn._xlws.FILTER(辅助信息!D:D,辅助信息!E:E=B2415)</f>
        <v>五冶建设师大附中外语校新建教学楼工程</v>
      </c>
    </row>
    <row r="2416" hidden="1" spans="2:18">
      <c r="B2416" s="41" t="s">
        <v>196</v>
      </c>
      <c r="C2416" s="71">
        <v>45861</v>
      </c>
      <c r="D2416" s="41" t="str">
        <f>VLOOKUP(B2416,辅助信息!E:K,7,FALSE)</f>
        <v>JWDDCD2025102100476</v>
      </c>
      <c r="E2416" s="41" t="str">
        <f>VLOOKUP(F2416,辅助信息!A:B,2,FALSE)</f>
        <v>螺纹钢</v>
      </c>
      <c r="F2416" s="41" t="s">
        <v>32</v>
      </c>
      <c r="G2416" s="37">
        <v>10</v>
      </c>
      <c r="H2416" s="135">
        <f>_xlfn.XLOOKUP(C2416&amp;F2416&amp;I2416&amp;J2416,'[1]2025年已发货'!$F:$F&amp;'[1]2025年已发货'!$C:$C&amp;'[1]2025年已发货'!$G:$G&amp;'[1]2025年已发货'!$H:$H,'[1]2025年已发货'!$E:$E,"未发货")</f>
        <v>14</v>
      </c>
      <c r="I2416" s="41" t="str">
        <f>VLOOKUP(B2416,辅助信息!E:I,3,FALSE)</f>
        <v>(五冶建设师大附中外语校新建教学楼工程)四川省成都市成华区大观堰2号(四川师范大学附属中学外国语学校)</v>
      </c>
      <c r="J2416" s="41" t="str">
        <f>VLOOKUP(B2416,辅助信息!E:I,4,FALSE)</f>
        <v>蔡浩</v>
      </c>
      <c r="K2416" s="41">
        <f>VLOOKUP(J2416,辅助信息!H:I,2,FALSE)</f>
        <v>13980880820</v>
      </c>
      <c r="L2416" s="91"/>
      <c r="M2416" s="92">
        <v>45863</v>
      </c>
      <c r="O2416" s="63">
        <f ca="1" t="shared" si="155"/>
        <v>0</v>
      </c>
      <c r="P2416" s="63">
        <f ca="1" t="shared" si="156"/>
        <v>96</v>
      </c>
      <c r="Q2416" s="30" t="str">
        <f>VLOOKUP(B2416,辅助信息!E:M,9,FALSE)</f>
        <v>ZTWM-CDGS-XS-2025-0073-五冶天府-成都怡心湖片区及龙泉驿医院等项目</v>
      </c>
      <c r="R2416" s="30" t="str">
        <f>_xlfn._xlws.FILTER(辅助信息!D:D,辅助信息!E:E=B2416)</f>
        <v>五冶建设师大附中外语校新建教学楼工程</v>
      </c>
    </row>
    <row r="2417" hidden="1" spans="2:18">
      <c r="B2417" s="41" t="s">
        <v>196</v>
      </c>
      <c r="C2417" s="71">
        <v>45861</v>
      </c>
      <c r="D2417" s="41" t="str">
        <f>VLOOKUP(B2417,辅助信息!E:K,7,FALSE)</f>
        <v>JWDDCD2025102100476</v>
      </c>
      <c r="E2417" s="41" t="str">
        <f>VLOOKUP(F2417,辅助信息!A:B,2,FALSE)</f>
        <v>螺纹钢</v>
      </c>
      <c r="F2417" s="41" t="s">
        <v>30</v>
      </c>
      <c r="G2417" s="37">
        <v>25</v>
      </c>
      <c r="H2417" s="135">
        <f>_xlfn.XLOOKUP(C2417&amp;F2417&amp;I2417&amp;J2417,'[1]2025年已发货'!$F:$F&amp;'[1]2025年已发货'!$C:$C&amp;'[1]2025年已发货'!$G:$G&amp;'[1]2025年已发货'!$H:$H,'[1]2025年已发货'!$E:$E,"未发货")</f>
        <v>11.4</v>
      </c>
      <c r="I2417" s="41" t="str">
        <f>VLOOKUP(B2417,辅助信息!E:I,3,FALSE)</f>
        <v>(五冶建设师大附中外语校新建教学楼工程)四川省成都市成华区大观堰2号(四川师范大学附属中学外国语学校)</v>
      </c>
      <c r="J2417" s="41" t="str">
        <f>VLOOKUP(B2417,辅助信息!E:I,4,FALSE)</f>
        <v>蔡浩</v>
      </c>
      <c r="K2417" s="41">
        <f>VLOOKUP(J2417,辅助信息!H:I,2,FALSE)</f>
        <v>13980880820</v>
      </c>
      <c r="L2417" s="91"/>
      <c r="M2417" s="92">
        <v>45863</v>
      </c>
      <c r="O2417" s="63">
        <f ca="1" t="shared" si="155"/>
        <v>0</v>
      </c>
      <c r="P2417" s="63">
        <f ca="1" t="shared" si="156"/>
        <v>96</v>
      </c>
      <c r="Q2417" s="30" t="str">
        <f>VLOOKUP(B2417,辅助信息!E:M,9,FALSE)</f>
        <v>ZTWM-CDGS-XS-2025-0073-五冶天府-成都怡心湖片区及龙泉驿医院等项目</v>
      </c>
      <c r="R2417" s="30" t="str">
        <f>_xlfn._xlws.FILTER(辅助信息!D:D,辅助信息!E:E=B2417)</f>
        <v>五冶建设师大附中外语校新建教学楼工程</v>
      </c>
    </row>
    <row r="2418" hidden="1" spans="2:18">
      <c r="B2418" s="41" t="s">
        <v>196</v>
      </c>
      <c r="C2418" s="71">
        <v>45861</v>
      </c>
      <c r="D2418" s="41" t="str">
        <f>VLOOKUP(B2418,辅助信息!E:K,7,FALSE)</f>
        <v>JWDDCD2025102100476</v>
      </c>
      <c r="E2418" s="41" t="str">
        <f>VLOOKUP(F2418,辅助信息!A:B,2,FALSE)</f>
        <v>螺纹钢</v>
      </c>
      <c r="F2418" s="41" t="s">
        <v>33</v>
      </c>
      <c r="G2418" s="37">
        <v>10</v>
      </c>
      <c r="H2418" s="135">
        <f>_xlfn.XLOOKUP(C2418&amp;F2418&amp;I2418&amp;J2418,'[1]2025年已发货'!$F:$F&amp;'[1]2025年已发货'!$C:$C&amp;'[1]2025年已发货'!$G:$G&amp;'[1]2025年已发货'!$H:$H,'[1]2025年已发货'!$E:$E,"未发货")</f>
        <v>10</v>
      </c>
      <c r="I2418" s="41" t="str">
        <f>VLOOKUP(B2418,辅助信息!E:I,3,FALSE)</f>
        <v>(五冶建设师大附中外语校新建教学楼工程)四川省成都市成华区大观堰2号(四川师范大学附属中学外国语学校)</v>
      </c>
      <c r="J2418" s="41" t="str">
        <f>VLOOKUP(B2418,辅助信息!E:I,4,FALSE)</f>
        <v>蔡浩</v>
      </c>
      <c r="K2418" s="41">
        <f>VLOOKUP(J2418,辅助信息!H:I,2,FALSE)</f>
        <v>13980880820</v>
      </c>
      <c r="L2418" s="91"/>
      <c r="M2418" s="92">
        <v>45863</v>
      </c>
      <c r="O2418" s="63">
        <f ca="1" t="shared" si="155"/>
        <v>0</v>
      </c>
      <c r="P2418" s="63">
        <f ca="1" t="shared" si="156"/>
        <v>96</v>
      </c>
      <c r="Q2418" s="30" t="str">
        <f>VLOOKUP(B2418,辅助信息!E:M,9,FALSE)</f>
        <v>ZTWM-CDGS-XS-2025-0073-五冶天府-成都怡心湖片区及龙泉驿医院等项目</v>
      </c>
      <c r="R2418" s="30" t="str">
        <f>_xlfn._xlws.FILTER(辅助信息!D:D,辅助信息!E:E=B2418)</f>
        <v>五冶建设师大附中外语校新建教学楼工程</v>
      </c>
    </row>
    <row r="2419" hidden="1" spans="2:18">
      <c r="B2419" s="41" t="s">
        <v>196</v>
      </c>
      <c r="C2419" s="71">
        <v>45861</v>
      </c>
      <c r="D2419" s="41" t="str">
        <f>VLOOKUP(B2419,辅助信息!E:K,7,FALSE)</f>
        <v>JWDDCD2025102100476</v>
      </c>
      <c r="E2419" s="41" t="str">
        <f>VLOOKUP(F2419,辅助信息!A:B,2,FALSE)</f>
        <v>螺纹钢</v>
      </c>
      <c r="F2419" s="41" t="s">
        <v>28</v>
      </c>
      <c r="G2419" s="37">
        <v>10</v>
      </c>
      <c r="H2419" s="135">
        <f>_xlfn.XLOOKUP(C2419&amp;F2419&amp;I2419&amp;J2419,'[1]2025年已发货'!$F:$F&amp;'[1]2025年已发货'!$C:$C&amp;'[1]2025年已发货'!$G:$G&amp;'[1]2025年已发货'!$H:$H,'[1]2025年已发货'!$E:$E,"未发货")</f>
        <v>10</v>
      </c>
      <c r="I2419" s="41" t="str">
        <f>VLOOKUP(B2419,辅助信息!E:I,3,FALSE)</f>
        <v>(五冶建设师大附中外语校新建教学楼工程)四川省成都市成华区大观堰2号(四川师范大学附属中学外国语学校)</v>
      </c>
      <c r="J2419" s="41" t="str">
        <f>VLOOKUP(B2419,辅助信息!E:I,4,FALSE)</f>
        <v>蔡浩</v>
      </c>
      <c r="K2419" s="41">
        <f>VLOOKUP(J2419,辅助信息!H:I,2,FALSE)</f>
        <v>13980880820</v>
      </c>
      <c r="L2419" s="91"/>
      <c r="M2419" s="92">
        <v>45863</v>
      </c>
      <c r="O2419" s="63">
        <f ca="1" t="shared" si="155"/>
        <v>0</v>
      </c>
      <c r="P2419" s="63">
        <f ca="1" t="shared" si="156"/>
        <v>96</v>
      </c>
      <c r="Q2419" s="30" t="str">
        <f>VLOOKUP(B2419,辅助信息!E:M,9,FALSE)</f>
        <v>ZTWM-CDGS-XS-2025-0073-五冶天府-成都怡心湖片区及龙泉驿医院等项目</v>
      </c>
      <c r="R2419" s="30" t="str">
        <f>_xlfn._xlws.FILTER(辅助信息!D:D,辅助信息!E:E=B2419)</f>
        <v>五冶建设师大附中外语校新建教学楼工程</v>
      </c>
    </row>
    <row r="2420" hidden="1" spans="2:18">
      <c r="B2420" s="41" t="s">
        <v>196</v>
      </c>
      <c r="C2420" s="71">
        <v>45861</v>
      </c>
      <c r="D2420" s="41" t="str">
        <f>VLOOKUP(B2420,辅助信息!E:K,7,FALSE)</f>
        <v>JWDDCD2025102100476</v>
      </c>
      <c r="E2420" s="41" t="str">
        <f>VLOOKUP(F2420,辅助信息!A:B,2,FALSE)</f>
        <v>螺纹钢</v>
      </c>
      <c r="F2420" s="41" t="s">
        <v>18</v>
      </c>
      <c r="G2420" s="37">
        <v>15</v>
      </c>
      <c r="H2420" s="135">
        <f>_xlfn.XLOOKUP(C2420&amp;F2420&amp;I2420&amp;J2420,'[1]2025年已发货'!$F:$F&amp;'[1]2025年已发货'!$C:$C&amp;'[1]2025年已发货'!$G:$G&amp;'[1]2025年已发货'!$H:$H,'[1]2025年已发货'!$E:$E,"未发货")</f>
        <v>15</v>
      </c>
      <c r="I2420" s="41" t="str">
        <f>VLOOKUP(B2420,辅助信息!E:I,3,FALSE)</f>
        <v>(五冶建设师大附中外语校新建教学楼工程)四川省成都市成华区大观堰2号(四川师范大学附属中学外国语学校)</v>
      </c>
      <c r="J2420" s="41" t="str">
        <f>VLOOKUP(B2420,辅助信息!E:I,4,FALSE)</f>
        <v>蔡浩</v>
      </c>
      <c r="K2420" s="41">
        <f>VLOOKUP(J2420,辅助信息!H:I,2,FALSE)</f>
        <v>13980880820</v>
      </c>
      <c r="L2420" s="91"/>
      <c r="M2420" s="92">
        <v>45863</v>
      </c>
      <c r="O2420" s="63">
        <f ca="1" t="shared" si="155"/>
        <v>0</v>
      </c>
      <c r="P2420" s="63">
        <f ca="1" t="shared" si="156"/>
        <v>96</v>
      </c>
      <c r="Q2420" s="30" t="str">
        <f>VLOOKUP(B2420,辅助信息!E:M,9,FALSE)</f>
        <v>ZTWM-CDGS-XS-2025-0073-五冶天府-成都怡心湖片区及龙泉驿医院等项目</v>
      </c>
      <c r="R2420" s="30" t="str">
        <f>_xlfn._xlws.FILTER(辅助信息!D:D,辅助信息!E:E=B2420)</f>
        <v>五冶建设师大附中外语校新建教学楼工程</v>
      </c>
    </row>
    <row r="2421" hidden="1" spans="2:18">
      <c r="B2421" s="41" t="s">
        <v>196</v>
      </c>
      <c r="C2421" s="71">
        <v>45861</v>
      </c>
      <c r="D2421" s="41" t="str">
        <f>VLOOKUP(B2421,辅助信息!E:K,7,FALSE)</f>
        <v>JWDDCD2025102100476</v>
      </c>
      <c r="E2421" s="41" t="str">
        <f>VLOOKUP(F2421,辅助信息!A:B,2,FALSE)</f>
        <v>螺纹钢</v>
      </c>
      <c r="F2421" s="41" t="s">
        <v>65</v>
      </c>
      <c r="G2421" s="37">
        <v>10</v>
      </c>
      <c r="H2421" s="135">
        <f>_xlfn.XLOOKUP(C2421&amp;F2421&amp;I2421&amp;J2421,'[1]2025年已发货'!$F:$F&amp;'[1]2025年已发货'!$C:$C&amp;'[1]2025年已发货'!$G:$G&amp;'[1]2025年已发货'!$H:$H,'[1]2025年已发货'!$E:$E,"未发货")</f>
        <v>10</v>
      </c>
      <c r="I2421" s="41" t="str">
        <f>VLOOKUP(B2421,辅助信息!E:I,3,FALSE)</f>
        <v>(五冶建设师大附中外语校新建教学楼工程)四川省成都市成华区大观堰2号(四川师范大学附属中学外国语学校)</v>
      </c>
      <c r="J2421" s="41" t="str">
        <f>VLOOKUP(B2421,辅助信息!E:I,4,FALSE)</f>
        <v>蔡浩</v>
      </c>
      <c r="K2421" s="41">
        <f>VLOOKUP(J2421,辅助信息!H:I,2,FALSE)</f>
        <v>13980880820</v>
      </c>
      <c r="L2421" s="91"/>
      <c r="M2421" s="92">
        <v>45863</v>
      </c>
      <c r="O2421" s="63">
        <f ca="1" t="shared" si="155"/>
        <v>0</v>
      </c>
      <c r="P2421" s="63">
        <f ca="1" t="shared" si="156"/>
        <v>96</v>
      </c>
      <c r="Q2421" s="30" t="str">
        <f>VLOOKUP(B2421,辅助信息!E:M,9,FALSE)</f>
        <v>ZTWM-CDGS-XS-2025-0073-五冶天府-成都怡心湖片区及龙泉驿医院等项目</v>
      </c>
      <c r="R2421" s="30" t="str">
        <f>_xlfn._xlws.FILTER(辅助信息!D:D,辅助信息!E:E=B2421)</f>
        <v>五冶建设师大附中外语校新建教学楼工程</v>
      </c>
    </row>
    <row r="2422" hidden="1" spans="2:18">
      <c r="B2422" s="41" t="s">
        <v>196</v>
      </c>
      <c r="C2422" s="71">
        <v>45861</v>
      </c>
      <c r="D2422" s="41" t="str">
        <f>VLOOKUP(B2422,辅助信息!E:K,7,FALSE)</f>
        <v>JWDDCD2025102100476</v>
      </c>
      <c r="E2422" s="41" t="str">
        <f>VLOOKUP(F2422,辅助信息!A:B,2,FALSE)</f>
        <v>螺纹钢</v>
      </c>
      <c r="F2422" s="41" t="s">
        <v>45</v>
      </c>
      <c r="G2422" s="37">
        <v>10</v>
      </c>
      <c r="H2422" s="135">
        <f>_xlfn.XLOOKUP(C2422&amp;F2422&amp;I2422&amp;J2422,'[1]2025年已发货'!$F:$F&amp;'[1]2025年已发货'!$C:$C&amp;'[1]2025年已发货'!$G:$G&amp;'[1]2025年已发货'!$H:$H,'[1]2025年已发货'!$E:$E,"未发货")</f>
        <v>10</v>
      </c>
      <c r="I2422" s="41" t="str">
        <f>VLOOKUP(B2422,辅助信息!E:I,3,FALSE)</f>
        <v>(五冶建设师大附中外语校新建教学楼工程)四川省成都市成华区大观堰2号(四川师范大学附属中学外国语学校)</v>
      </c>
      <c r="J2422" s="41" t="str">
        <f>VLOOKUP(B2422,辅助信息!E:I,4,FALSE)</f>
        <v>蔡浩</v>
      </c>
      <c r="K2422" s="41">
        <f>VLOOKUP(J2422,辅助信息!H:I,2,FALSE)</f>
        <v>13980880820</v>
      </c>
      <c r="L2422" s="91"/>
      <c r="M2422" s="92">
        <v>45863</v>
      </c>
      <c r="O2422" s="63">
        <f ca="1" t="shared" si="155"/>
        <v>0</v>
      </c>
      <c r="P2422" s="63">
        <f ca="1" t="shared" si="156"/>
        <v>96</v>
      </c>
      <c r="Q2422" s="30" t="str">
        <f>VLOOKUP(B2422,辅助信息!E:M,9,FALSE)</f>
        <v>ZTWM-CDGS-XS-2025-0073-五冶天府-成都怡心湖片区及龙泉驿医院等项目</v>
      </c>
      <c r="R2422" s="30" t="str">
        <f>_xlfn._xlws.FILTER(辅助信息!D:D,辅助信息!E:E=B2422)</f>
        <v>五冶建设师大附中外语校新建教学楼工程</v>
      </c>
    </row>
    <row r="2423" hidden="1" spans="2:18">
      <c r="B2423" s="41" t="s">
        <v>196</v>
      </c>
      <c r="C2423" s="71">
        <v>45861</v>
      </c>
      <c r="D2423" s="41" t="str">
        <f>VLOOKUP(B2423,辅助信息!E:K,7,FALSE)</f>
        <v>JWDDCD2025102100476</v>
      </c>
      <c r="E2423" s="41" t="str">
        <f>VLOOKUP(F2423,辅助信息!A:B,2,FALSE)</f>
        <v>螺纹钢</v>
      </c>
      <c r="F2423" s="41" t="s">
        <v>21</v>
      </c>
      <c r="G2423" s="37">
        <v>5</v>
      </c>
      <c r="H2423" s="135">
        <f>_xlfn.XLOOKUP(C2423&amp;F2423&amp;I2423&amp;J2423,'[1]2025年已发货'!$F:$F&amp;'[1]2025年已发货'!$C:$C&amp;'[1]2025年已发货'!$G:$G&amp;'[1]2025年已发货'!$H:$H,'[1]2025年已发货'!$E:$E,"未发货")</f>
        <v>5</v>
      </c>
      <c r="I2423" s="41" t="str">
        <f>VLOOKUP(B2423,辅助信息!E:I,3,FALSE)</f>
        <v>(五冶建设师大附中外语校新建教学楼工程)四川省成都市成华区大观堰2号(四川师范大学附属中学外国语学校)</v>
      </c>
      <c r="J2423" s="41" t="str">
        <f>VLOOKUP(B2423,辅助信息!E:I,4,FALSE)</f>
        <v>蔡浩</v>
      </c>
      <c r="K2423" s="41">
        <f>VLOOKUP(J2423,辅助信息!H:I,2,FALSE)</f>
        <v>13980880820</v>
      </c>
      <c r="L2423" s="91"/>
      <c r="M2423" s="92">
        <v>45863</v>
      </c>
      <c r="O2423" s="63">
        <f ca="1" t="shared" si="155"/>
        <v>0</v>
      </c>
      <c r="P2423" s="63">
        <f ca="1" t="shared" si="156"/>
        <v>96</v>
      </c>
      <c r="Q2423" s="30" t="str">
        <f>VLOOKUP(B2423,辅助信息!E:M,9,FALSE)</f>
        <v>ZTWM-CDGS-XS-2025-0073-五冶天府-成都怡心湖片区及龙泉驿医院等项目</v>
      </c>
      <c r="R2423" s="30" t="str">
        <f>_xlfn._xlws.FILTER(辅助信息!D:D,辅助信息!E:E=B2423)</f>
        <v>五冶建设师大附中外语校新建教学楼工程</v>
      </c>
    </row>
    <row r="2424" hidden="1" spans="2:18">
      <c r="B2424" s="41" t="s">
        <v>196</v>
      </c>
      <c r="C2424" s="71">
        <v>45861</v>
      </c>
      <c r="D2424" s="41" t="str">
        <f>VLOOKUP(B2424,辅助信息!E:K,7,FALSE)</f>
        <v>JWDDCD2025102100476</v>
      </c>
      <c r="E2424" s="41" t="str">
        <f>VLOOKUP(F2424,辅助信息!A:B,2,FALSE)</f>
        <v>螺纹钢</v>
      </c>
      <c r="F2424" s="41" t="s">
        <v>58</v>
      </c>
      <c r="G2424" s="37">
        <v>5</v>
      </c>
      <c r="H2424" s="135">
        <f>_xlfn.XLOOKUP(C2424&amp;F2424&amp;I2424&amp;J2424,'[1]2025年已发货'!$F:$F&amp;'[1]2025年已发货'!$C:$C&amp;'[1]2025年已发货'!$G:$G&amp;'[1]2025年已发货'!$H:$H,'[1]2025年已发货'!$E:$E,"未发货")</f>
        <v>5</v>
      </c>
      <c r="I2424" s="41" t="str">
        <f>VLOOKUP(B2424,辅助信息!E:I,3,FALSE)</f>
        <v>(五冶建设师大附中外语校新建教学楼工程)四川省成都市成华区大观堰2号(四川师范大学附属中学外国语学校)</v>
      </c>
      <c r="J2424" s="41" t="str">
        <f>VLOOKUP(B2424,辅助信息!E:I,4,FALSE)</f>
        <v>蔡浩</v>
      </c>
      <c r="K2424" s="41">
        <f>VLOOKUP(J2424,辅助信息!H:I,2,FALSE)</f>
        <v>13980880820</v>
      </c>
      <c r="L2424" s="91"/>
      <c r="M2424" s="92">
        <v>45863</v>
      </c>
      <c r="O2424" s="63">
        <f ca="1" t="shared" si="155"/>
        <v>0</v>
      </c>
      <c r="P2424" s="63">
        <f ca="1" t="shared" si="156"/>
        <v>96</v>
      </c>
      <c r="Q2424" s="30" t="str">
        <f>VLOOKUP(B2424,辅助信息!E:M,9,FALSE)</f>
        <v>ZTWM-CDGS-XS-2025-0073-五冶天府-成都怡心湖片区及龙泉驿医院等项目</v>
      </c>
      <c r="R2424" s="30" t="str">
        <f>_xlfn._xlws.FILTER(辅助信息!D:D,辅助信息!E:E=B2424)</f>
        <v>五冶建设师大附中外语校新建教学楼工程</v>
      </c>
    </row>
    <row r="2425" hidden="1" spans="2:18">
      <c r="B2425" s="41" t="s">
        <v>196</v>
      </c>
      <c r="C2425" s="71">
        <v>45861</v>
      </c>
      <c r="D2425" s="41" t="str">
        <f>VLOOKUP(B2425,辅助信息!E:K,7,FALSE)</f>
        <v>JWDDCD2025102100476</v>
      </c>
      <c r="E2425" s="41" t="str">
        <f>VLOOKUP(F2425,辅助信息!A:B,2,FALSE)</f>
        <v>螺纹钢</v>
      </c>
      <c r="F2425" s="41" t="s">
        <v>46</v>
      </c>
      <c r="G2425" s="37">
        <v>3</v>
      </c>
      <c r="H2425" s="135">
        <f>_xlfn.XLOOKUP(C2425&amp;F2425&amp;I2425&amp;J2425,'[1]2025年已发货'!$F:$F&amp;'[1]2025年已发货'!$C:$C&amp;'[1]2025年已发货'!$G:$G&amp;'[1]2025年已发货'!$H:$H,'[1]2025年已发货'!$E:$E,"未发货")</f>
        <v>3</v>
      </c>
      <c r="I2425" s="41" t="str">
        <f>VLOOKUP(B2425,辅助信息!E:I,3,FALSE)</f>
        <v>(五冶建设师大附中外语校新建教学楼工程)四川省成都市成华区大观堰2号(四川师范大学附属中学外国语学校)</v>
      </c>
      <c r="J2425" s="41" t="str">
        <f>VLOOKUP(B2425,辅助信息!E:I,4,FALSE)</f>
        <v>蔡浩</v>
      </c>
      <c r="K2425" s="41">
        <f>VLOOKUP(J2425,辅助信息!H:I,2,FALSE)</f>
        <v>13980880820</v>
      </c>
      <c r="L2425" s="91"/>
      <c r="M2425" s="92">
        <v>45863</v>
      </c>
      <c r="O2425" s="63">
        <f ca="1" t="shared" si="155"/>
        <v>0</v>
      </c>
      <c r="P2425" s="63">
        <f ca="1" t="shared" si="156"/>
        <v>96</v>
      </c>
      <c r="Q2425" s="30" t="str">
        <f>VLOOKUP(B2425,辅助信息!E:M,9,FALSE)</f>
        <v>ZTWM-CDGS-XS-2025-0073-五冶天府-成都怡心湖片区及龙泉驿医院等项目</v>
      </c>
      <c r="R2425" s="30" t="str">
        <f>_xlfn._xlws.FILTER(辅助信息!D:D,辅助信息!E:E=B2425)</f>
        <v>五冶建设师大附中外语校新建教学楼工程</v>
      </c>
    </row>
    <row r="2426" hidden="1" spans="2:18">
      <c r="B2426" s="41" t="s">
        <v>196</v>
      </c>
      <c r="C2426" s="71">
        <v>45861</v>
      </c>
      <c r="D2426" s="41" t="str">
        <f>VLOOKUP(B2426,辅助信息!E:K,7,FALSE)</f>
        <v>JWDDCD2025102100476</v>
      </c>
      <c r="E2426" s="41" t="str">
        <f>VLOOKUP(F2426,辅助信息!A:B,2,FALSE)</f>
        <v>螺纹钢</v>
      </c>
      <c r="F2426" s="41" t="s">
        <v>22</v>
      </c>
      <c r="G2426" s="37">
        <v>3</v>
      </c>
      <c r="H2426" s="135">
        <f>_xlfn.XLOOKUP(C2426&amp;F2426&amp;I2426&amp;J2426,'[1]2025年已发货'!$F:$F&amp;'[1]2025年已发货'!$C:$C&amp;'[1]2025年已发货'!$G:$G&amp;'[1]2025年已发货'!$H:$H,'[1]2025年已发货'!$E:$E,"未发货")</f>
        <v>3</v>
      </c>
      <c r="I2426" s="41" t="str">
        <f>VLOOKUP(B2426,辅助信息!E:I,3,FALSE)</f>
        <v>(五冶建设师大附中外语校新建教学楼工程)四川省成都市成华区大观堰2号(四川师范大学附属中学外国语学校)</v>
      </c>
      <c r="J2426" s="41" t="str">
        <f>VLOOKUP(B2426,辅助信息!E:I,4,FALSE)</f>
        <v>蔡浩</v>
      </c>
      <c r="K2426" s="41">
        <f>VLOOKUP(J2426,辅助信息!H:I,2,FALSE)</f>
        <v>13980880820</v>
      </c>
      <c r="L2426" s="91"/>
      <c r="M2426" s="92">
        <v>45863</v>
      </c>
      <c r="O2426" s="63">
        <f ca="1" t="shared" si="155"/>
        <v>0</v>
      </c>
      <c r="P2426" s="63">
        <f ca="1" t="shared" si="156"/>
        <v>96</v>
      </c>
      <c r="Q2426" s="30" t="str">
        <f>VLOOKUP(B2426,辅助信息!E:M,9,FALSE)</f>
        <v>ZTWM-CDGS-XS-2025-0073-五冶天府-成都怡心湖片区及龙泉驿医院等项目</v>
      </c>
      <c r="R2426" s="30" t="str">
        <f>_xlfn._xlws.FILTER(辅助信息!D:D,辅助信息!E:E=B2426)</f>
        <v>五冶建设师大附中外语校新建教学楼工程</v>
      </c>
    </row>
    <row r="2427" hidden="1" spans="2:18">
      <c r="B2427" s="41" t="s">
        <v>196</v>
      </c>
      <c r="C2427" s="71">
        <v>45861</v>
      </c>
      <c r="D2427" s="41" t="str">
        <f>VLOOKUP(B2427,辅助信息!E:K,7,FALSE)</f>
        <v>JWDDCD2025102100476</v>
      </c>
      <c r="E2427" s="41" t="str">
        <f>VLOOKUP(F2427,辅助信息!A:B,2,FALSE)</f>
        <v>螺纹钢</v>
      </c>
      <c r="F2427" s="41" t="s">
        <v>181</v>
      </c>
      <c r="G2427" s="37">
        <v>3</v>
      </c>
      <c r="H2427" s="135">
        <f>_xlfn.XLOOKUP(C2427&amp;F2427&amp;I2427&amp;J2427,'[1]2025年已发货'!$F:$F&amp;'[1]2025年已发货'!$C:$C&amp;'[1]2025年已发货'!$G:$G&amp;'[1]2025年已发货'!$H:$H,'[1]2025年已发货'!$E:$E,"未发货")</f>
        <v>3</v>
      </c>
      <c r="I2427" s="41" t="str">
        <f>VLOOKUP(B2427,辅助信息!E:I,3,FALSE)</f>
        <v>(五冶建设师大附中外语校新建教学楼工程)四川省成都市成华区大观堰2号(四川师范大学附属中学外国语学校)</v>
      </c>
      <c r="J2427" s="41" t="str">
        <f>VLOOKUP(B2427,辅助信息!E:I,4,FALSE)</f>
        <v>蔡浩</v>
      </c>
      <c r="K2427" s="41">
        <f>VLOOKUP(J2427,辅助信息!H:I,2,FALSE)</f>
        <v>13980880820</v>
      </c>
      <c r="L2427" s="91"/>
      <c r="M2427" s="92">
        <v>45863</v>
      </c>
      <c r="O2427" s="63">
        <f ca="1" t="shared" si="155"/>
        <v>0</v>
      </c>
      <c r="P2427" s="63">
        <f ca="1" t="shared" si="156"/>
        <v>96</v>
      </c>
      <c r="Q2427" s="30" t="str">
        <f>VLOOKUP(B2427,辅助信息!E:M,9,FALSE)</f>
        <v>ZTWM-CDGS-XS-2025-0073-五冶天府-成都怡心湖片区及龙泉驿医院等项目</v>
      </c>
      <c r="R2427" s="30" t="str">
        <f>_xlfn._xlws.FILTER(辅助信息!D:D,辅助信息!E:E=B2427)</f>
        <v>五冶建设师大附中外语校新建教学楼工程</v>
      </c>
    </row>
    <row r="2428" hidden="1" spans="2:18">
      <c r="B2428" s="41" t="s">
        <v>196</v>
      </c>
      <c r="C2428" s="71">
        <v>45861</v>
      </c>
      <c r="D2428" s="41" t="str">
        <f>VLOOKUP(B2428,辅助信息!E:K,7,FALSE)</f>
        <v>JWDDCD2025102100476</v>
      </c>
      <c r="E2428" s="41" t="str">
        <f>VLOOKUP(F2428,辅助信息!A:B,2,FALSE)</f>
        <v>螺纹钢</v>
      </c>
      <c r="F2428" s="41" t="s">
        <v>182</v>
      </c>
      <c r="G2428" s="37">
        <v>3</v>
      </c>
      <c r="H2428" s="135">
        <f>_xlfn.XLOOKUP(C2428&amp;F2428&amp;I2428&amp;J2428,'[1]2025年已发货'!$F:$F&amp;'[1]2025年已发货'!$C:$C&amp;'[1]2025年已发货'!$G:$G&amp;'[1]2025年已发货'!$H:$H,'[1]2025年已发货'!$E:$E,"未发货")</f>
        <v>3</v>
      </c>
      <c r="I2428" s="41" t="str">
        <f>VLOOKUP(B2428,辅助信息!E:I,3,FALSE)</f>
        <v>(五冶建设师大附中外语校新建教学楼工程)四川省成都市成华区大观堰2号(四川师范大学附属中学外国语学校)</v>
      </c>
      <c r="J2428" s="41" t="str">
        <f>VLOOKUP(B2428,辅助信息!E:I,4,FALSE)</f>
        <v>蔡浩</v>
      </c>
      <c r="K2428" s="41">
        <f>VLOOKUP(J2428,辅助信息!H:I,2,FALSE)</f>
        <v>13980880820</v>
      </c>
      <c r="L2428" s="76"/>
      <c r="M2428" s="92">
        <v>45863</v>
      </c>
      <c r="O2428" s="63">
        <f ca="1" t="shared" si="155"/>
        <v>0</v>
      </c>
      <c r="P2428" s="63">
        <f ca="1" t="shared" si="156"/>
        <v>96</v>
      </c>
      <c r="Q2428" s="30" t="str">
        <f>VLOOKUP(B2428,辅助信息!E:M,9,FALSE)</f>
        <v>ZTWM-CDGS-XS-2025-0073-五冶天府-成都怡心湖片区及龙泉驿医院等项目</v>
      </c>
      <c r="R2428" s="30" t="str">
        <f>_xlfn._xlws.FILTER(辅助信息!D:D,辅助信息!E:E=B2428)</f>
        <v>五冶建设师大附中外语校新建教学楼工程</v>
      </c>
    </row>
    <row r="2429" hidden="1" spans="1:18">
      <c r="A2429" s="72" t="s">
        <v>202</v>
      </c>
      <c r="B2429" s="41" t="s">
        <v>203</v>
      </c>
      <c r="C2429" s="71">
        <v>45862</v>
      </c>
      <c r="D2429" s="41" t="str">
        <f>VLOOKUP(B2429,辅助信息!E:K,7,FALSE)</f>
        <v>JWDDCD2025102100479</v>
      </c>
      <c r="E2429" s="41" t="str">
        <f>VLOOKUP(F2429,辅助信息!A:B,2,FALSE)</f>
        <v>盘螺</v>
      </c>
      <c r="F2429" s="41" t="s">
        <v>40</v>
      </c>
      <c r="G2429" s="37">
        <v>2</v>
      </c>
      <c r="H2429" s="135" t="str">
        <f>_xlfn.XLOOKUP(C2429&amp;F2429&amp;I2429&amp;J2429,'[1]2025年已发货'!$F:$F&amp;'[1]2025年已发货'!$C:$C&amp;'[1]2025年已发货'!$G:$G&amp;'[1]2025年已发货'!$H:$H,'[1]2025年已发货'!$E:$E,"未发货")</f>
        <v>未发货</v>
      </c>
      <c r="I2429" s="41" t="str">
        <f>VLOOKUP(B2429,辅助信息!E:I,3,FALSE)</f>
        <v>(五冶建设空港兴城怡心街道83亩项目)成都市双流区怡心街道高峰社区一组剑和路一段空港兴城怡心街道83亩项目中国五冶项目部</v>
      </c>
      <c r="J2429" s="41" t="str">
        <f>VLOOKUP(B2429,辅助信息!E:I,4,FALSE)</f>
        <v>王刚</v>
      </c>
      <c r="K2429" s="41">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30" t="str">
        <f>VLOOKUP(B2429,辅助信息!E:M,9,FALSE)</f>
        <v>ZTWM-CDGS-XS-2025-0073-五冶天府-成都怡心湖片区及龙泉驿医院等项目</v>
      </c>
      <c r="R2429" s="30" t="str">
        <f>_xlfn._xlws.FILTER(辅助信息!D:D,辅助信息!E:E=B2429)</f>
        <v>五冶建设空港兴城怡心街道83亩项目</v>
      </c>
    </row>
    <row r="2430" hidden="1" spans="1:18">
      <c r="A2430" s="72"/>
      <c r="B2430" s="41" t="s">
        <v>203</v>
      </c>
      <c r="C2430" s="71">
        <v>45862</v>
      </c>
      <c r="D2430" s="41" t="str">
        <f>VLOOKUP(B2430,辅助信息!E:K,7,FALSE)</f>
        <v>JWDDCD2025102100479</v>
      </c>
      <c r="E2430" s="41" t="str">
        <f>VLOOKUP(F2430,辅助信息!A:B,2,FALSE)</f>
        <v>盘螺</v>
      </c>
      <c r="F2430" s="41" t="s">
        <v>41</v>
      </c>
      <c r="G2430" s="37">
        <v>2</v>
      </c>
      <c r="H2430" s="135" t="str">
        <f>_xlfn.XLOOKUP(C2430&amp;F2430&amp;I2430&amp;J2430,'[1]2025年已发货'!$F:$F&amp;'[1]2025年已发货'!$C:$C&amp;'[1]2025年已发货'!$G:$G&amp;'[1]2025年已发货'!$H:$H,'[1]2025年已发货'!$E:$E,"未发货")</f>
        <v>未发货</v>
      </c>
      <c r="I2430" s="41" t="str">
        <f>VLOOKUP(B2430,辅助信息!E:I,3,FALSE)</f>
        <v>(五冶建设空港兴城怡心街道83亩项目)成都市双流区怡心街道高峰社区一组剑和路一段空港兴城怡心街道83亩项目中国五冶项目部</v>
      </c>
      <c r="J2430" s="41" t="str">
        <f>VLOOKUP(B2430,辅助信息!E:I,4,FALSE)</f>
        <v>王刚</v>
      </c>
      <c r="K2430" s="41">
        <f>VLOOKUP(J2430,辅助信息!H:I,2,FALSE)</f>
        <v>15881190525</v>
      </c>
      <c r="L2430" s="91"/>
      <c r="O2430" s="63" t="str">
        <f ca="1" t="shared" si="155"/>
        <v/>
      </c>
      <c r="P2430" s="63" t="str">
        <f ca="1" t="shared" si="156"/>
        <v/>
      </c>
      <c r="Q2430" s="30" t="str">
        <f>VLOOKUP(B2430,辅助信息!E:M,9,FALSE)</f>
        <v>ZTWM-CDGS-XS-2025-0073-五冶天府-成都怡心湖片区及龙泉驿医院等项目</v>
      </c>
      <c r="R2430" s="30" t="str">
        <f>_xlfn._xlws.FILTER(辅助信息!D:D,辅助信息!E:E=B2430)</f>
        <v>五冶建设空港兴城怡心街道83亩项目</v>
      </c>
    </row>
    <row r="2431" hidden="1" spans="1:18">
      <c r="A2431" s="72"/>
      <c r="B2431" s="41" t="s">
        <v>203</v>
      </c>
      <c r="C2431" s="71">
        <v>45862</v>
      </c>
      <c r="D2431" s="41" t="str">
        <f>VLOOKUP(B2431,辅助信息!E:K,7,FALSE)</f>
        <v>JWDDCD2025102100479</v>
      </c>
      <c r="E2431" s="41" t="str">
        <f>VLOOKUP(F2431,辅助信息!A:B,2,FALSE)</f>
        <v>螺纹钢</v>
      </c>
      <c r="F2431" s="41" t="s">
        <v>27</v>
      </c>
      <c r="G2431" s="37">
        <v>3</v>
      </c>
      <c r="H2431" s="135" t="str">
        <f>_xlfn.XLOOKUP(C2431&amp;F2431&amp;I2431&amp;J2431,'[1]2025年已发货'!$F:$F&amp;'[1]2025年已发货'!$C:$C&amp;'[1]2025年已发货'!$G:$G&amp;'[1]2025年已发货'!$H:$H,'[1]2025年已发货'!$E:$E,"未发货")</f>
        <v>未发货</v>
      </c>
      <c r="I2431" s="41" t="str">
        <f>VLOOKUP(B2431,辅助信息!E:I,3,FALSE)</f>
        <v>(五冶建设空港兴城怡心街道83亩项目)成都市双流区怡心街道高峰社区一组剑和路一段空港兴城怡心街道83亩项目中国五冶项目部</v>
      </c>
      <c r="J2431" s="41" t="str">
        <f>VLOOKUP(B2431,辅助信息!E:I,4,FALSE)</f>
        <v>王刚</v>
      </c>
      <c r="K2431" s="41">
        <f>VLOOKUP(J2431,辅助信息!H:I,2,FALSE)</f>
        <v>15881190525</v>
      </c>
      <c r="L2431" s="91"/>
      <c r="O2431" s="63" t="str">
        <f ca="1" t="shared" si="155"/>
        <v/>
      </c>
      <c r="P2431" s="63" t="str">
        <f ca="1" t="shared" si="156"/>
        <v/>
      </c>
      <c r="Q2431" s="30" t="str">
        <f>VLOOKUP(B2431,辅助信息!E:M,9,FALSE)</f>
        <v>ZTWM-CDGS-XS-2025-0073-五冶天府-成都怡心湖片区及龙泉驿医院等项目</v>
      </c>
      <c r="R2431" s="30" t="str">
        <f>_xlfn._xlws.FILTER(辅助信息!D:D,辅助信息!E:E=B2431)</f>
        <v>五冶建设空港兴城怡心街道83亩项目</v>
      </c>
    </row>
    <row r="2432" hidden="1" spans="1:18">
      <c r="A2432" s="72"/>
      <c r="B2432" s="41" t="s">
        <v>203</v>
      </c>
      <c r="C2432" s="71">
        <v>45862</v>
      </c>
      <c r="D2432" s="41" t="str">
        <f>VLOOKUP(B2432,辅助信息!E:K,7,FALSE)</f>
        <v>JWDDCD2025102100479</v>
      </c>
      <c r="E2432" s="41" t="str">
        <f>VLOOKUP(F2432,辅助信息!A:B,2,FALSE)</f>
        <v>螺纹钢</v>
      </c>
      <c r="F2432" s="41" t="s">
        <v>19</v>
      </c>
      <c r="G2432" s="37">
        <v>6</v>
      </c>
      <c r="H2432" s="135" t="str">
        <f>_xlfn.XLOOKUP(C2432&amp;F2432&amp;I2432&amp;J2432,'[1]2025年已发货'!$F:$F&amp;'[1]2025年已发货'!$C:$C&amp;'[1]2025年已发货'!$G:$G&amp;'[1]2025年已发货'!$H:$H,'[1]2025年已发货'!$E:$E,"未发货")</f>
        <v>未发货</v>
      </c>
      <c r="I2432" s="41" t="str">
        <f>VLOOKUP(B2432,辅助信息!E:I,3,FALSE)</f>
        <v>(五冶建设空港兴城怡心街道83亩项目)成都市双流区怡心街道高峰社区一组剑和路一段空港兴城怡心街道83亩项目中国五冶项目部</v>
      </c>
      <c r="J2432" s="41" t="str">
        <f>VLOOKUP(B2432,辅助信息!E:I,4,FALSE)</f>
        <v>王刚</v>
      </c>
      <c r="K2432" s="41">
        <f>VLOOKUP(J2432,辅助信息!H:I,2,FALSE)</f>
        <v>15881190525</v>
      </c>
      <c r="L2432" s="91"/>
      <c r="O2432" s="63" t="str">
        <f ca="1" t="shared" si="155"/>
        <v/>
      </c>
      <c r="P2432" s="63" t="str">
        <f ca="1" t="shared" si="156"/>
        <v/>
      </c>
      <c r="Q2432" s="30" t="str">
        <f>VLOOKUP(B2432,辅助信息!E:M,9,FALSE)</f>
        <v>ZTWM-CDGS-XS-2025-0073-五冶天府-成都怡心湖片区及龙泉驿医院等项目</v>
      </c>
      <c r="R2432" s="30" t="str">
        <f>_xlfn._xlws.FILTER(辅助信息!D:D,辅助信息!E:E=B2432)</f>
        <v>五冶建设空港兴城怡心街道83亩项目</v>
      </c>
    </row>
    <row r="2433" hidden="1" spans="1:18">
      <c r="A2433" s="72"/>
      <c r="B2433" s="41" t="s">
        <v>203</v>
      </c>
      <c r="C2433" s="71">
        <v>45862</v>
      </c>
      <c r="D2433" s="41" t="str">
        <f>VLOOKUP(B2433,辅助信息!E:K,7,FALSE)</f>
        <v>JWDDCD2025102100479</v>
      </c>
      <c r="E2433" s="41" t="str">
        <f>VLOOKUP(F2433,辅助信息!A:B,2,FALSE)</f>
        <v>螺纹钢</v>
      </c>
      <c r="F2433" s="41" t="s">
        <v>32</v>
      </c>
      <c r="G2433" s="37">
        <v>3</v>
      </c>
      <c r="H2433" s="135" t="str">
        <f>_xlfn.XLOOKUP(C2433&amp;F2433&amp;I2433&amp;J2433,'[1]2025年已发货'!$F:$F&amp;'[1]2025年已发货'!$C:$C&amp;'[1]2025年已发货'!$G:$G&amp;'[1]2025年已发货'!$H:$H,'[1]2025年已发货'!$E:$E,"未发货")</f>
        <v>未发货</v>
      </c>
      <c r="I2433" s="41" t="str">
        <f>VLOOKUP(B2433,辅助信息!E:I,3,FALSE)</f>
        <v>(五冶建设空港兴城怡心街道83亩项目)成都市双流区怡心街道高峰社区一组剑和路一段空港兴城怡心街道83亩项目中国五冶项目部</v>
      </c>
      <c r="J2433" s="41" t="str">
        <f>VLOOKUP(B2433,辅助信息!E:I,4,FALSE)</f>
        <v>王刚</v>
      </c>
      <c r="K2433" s="41">
        <f>VLOOKUP(J2433,辅助信息!H:I,2,FALSE)</f>
        <v>15881190525</v>
      </c>
      <c r="L2433" s="91"/>
      <c r="O2433" s="63" t="str">
        <f ca="1" t="shared" si="155"/>
        <v/>
      </c>
      <c r="P2433" s="63" t="str">
        <f ca="1" t="shared" si="156"/>
        <v/>
      </c>
      <c r="Q2433" s="30" t="str">
        <f>VLOOKUP(B2433,辅助信息!E:M,9,FALSE)</f>
        <v>ZTWM-CDGS-XS-2025-0073-五冶天府-成都怡心湖片区及龙泉驿医院等项目</v>
      </c>
      <c r="R2433" s="30" t="str">
        <f>_xlfn._xlws.FILTER(辅助信息!D:D,辅助信息!E:E=B2433)</f>
        <v>五冶建设空港兴城怡心街道83亩项目</v>
      </c>
    </row>
    <row r="2434" hidden="1" spans="1:18">
      <c r="A2434" s="72"/>
      <c r="B2434" s="41" t="s">
        <v>203</v>
      </c>
      <c r="C2434" s="71">
        <v>45862</v>
      </c>
      <c r="D2434" s="41" t="str">
        <f>VLOOKUP(B2434,辅助信息!E:K,7,FALSE)</f>
        <v>JWDDCD2025102100479</v>
      </c>
      <c r="E2434" s="41" t="str">
        <f>VLOOKUP(F2434,辅助信息!A:B,2,FALSE)</f>
        <v>螺纹钢</v>
      </c>
      <c r="F2434" s="41" t="s">
        <v>30</v>
      </c>
      <c r="G2434" s="37">
        <v>3</v>
      </c>
      <c r="H2434" s="135" t="str">
        <f>_xlfn.XLOOKUP(C2434&amp;F2434&amp;I2434&amp;J2434,'[1]2025年已发货'!$F:$F&amp;'[1]2025年已发货'!$C:$C&amp;'[1]2025年已发货'!$G:$G&amp;'[1]2025年已发货'!$H:$H,'[1]2025年已发货'!$E:$E,"未发货")</f>
        <v>未发货</v>
      </c>
      <c r="I2434" s="41" t="str">
        <f>VLOOKUP(B2434,辅助信息!E:I,3,FALSE)</f>
        <v>(五冶建设空港兴城怡心街道83亩项目)成都市双流区怡心街道高峰社区一组剑和路一段空港兴城怡心街道83亩项目中国五冶项目部</v>
      </c>
      <c r="J2434" s="41" t="str">
        <f>VLOOKUP(B2434,辅助信息!E:I,4,FALSE)</f>
        <v>王刚</v>
      </c>
      <c r="K2434" s="41">
        <f>VLOOKUP(J2434,辅助信息!H:I,2,FALSE)</f>
        <v>15881190525</v>
      </c>
      <c r="L2434" s="91"/>
      <c r="O2434" s="63" t="str">
        <f ca="1" t="shared" si="155"/>
        <v/>
      </c>
      <c r="P2434" s="63" t="str">
        <f ca="1" t="shared" si="156"/>
        <v/>
      </c>
      <c r="Q2434" s="30" t="str">
        <f>VLOOKUP(B2434,辅助信息!E:M,9,FALSE)</f>
        <v>ZTWM-CDGS-XS-2025-0073-五冶天府-成都怡心湖片区及龙泉驿医院等项目</v>
      </c>
      <c r="R2434" s="30" t="str">
        <f>_xlfn._xlws.FILTER(辅助信息!D:D,辅助信息!E:E=B2434)</f>
        <v>五冶建设空港兴城怡心街道83亩项目</v>
      </c>
    </row>
    <row r="2435" hidden="1" spans="1:18">
      <c r="A2435" s="72"/>
      <c r="B2435" s="41" t="s">
        <v>203</v>
      </c>
      <c r="C2435" s="71">
        <v>45862</v>
      </c>
      <c r="D2435" s="41" t="str">
        <f>VLOOKUP(B2435,辅助信息!E:K,7,FALSE)</f>
        <v>JWDDCD2025102100479</v>
      </c>
      <c r="E2435" s="41" t="str">
        <f>VLOOKUP(F2435,辅助信息!A:B,2,FALSE)</f>
        <v>螺纹钢</v>
      </c>
      <c r="F2435" s="41" t="s">
        <v>33</v>
      </c>
      <c r="G2435" s="37">
        <v>3</v>
      </c>
      <c r="H2435" s="135" t="str">
        <f>_xlfn.XLOOKUP(C2435&amp;F2435&amp;I2435&amp;J2435,'[1]2025年已发货'!$F:$F&amp;'[1]2025年已发货'!$C:$C&amp;'[1]2025年已发货'!$G:$G&amp;'[1]2025年已发货'!$H:$H,'[1]2025年已发货'!$E:$E,"未发货")</f>
        <v>未发货</v>
      </c>
      <c r="I2435" s="41" t="str">
        <f>VLOOKUP(B2435,辅助信息!E:I,3,FALSE)</f>
        <v>(五冶建设空港兴城怡心街道83亩项目)成都市双流区怡心街道高峰社区一组剑和路一段空港兴城怡心街道83亩项目中国五冶项目部</v>
      </c>
      <c r="J2435" s="41" t="str">
        <f>VLOOKUP(B2435,辅助信息!E:I,4,FALSE)</f>
        <v>王刚</v>
      </c>
      <c r="K2435" s="41">
        <f>VLOOKUP(J2435,辅助信息!H:I,2,FALSE)</f>
        <v>15881190525</v>
      </c>
      <c r="L2435" s="91"/>
      <c r="O2435" s="63" t="str">
        <f ca="1" t="shared" si="155"/>
        <v/>
      </c>
      <c r="P2435" s="63" t="str">
        <f ca="1" t="shared" si="156"/>
        <v/>
      </c>
      <c r="Q2435" s="30" t="str">
        <f>VLOOKUP(B2435,辅助信息!E:M,9,FALSE)</f>
        <v>ZTWM-CDGS-XS-2025-0073-五冶天府-成都怡心湖片区及龙泉驿医院等项目</v>
      </c>
      <c r="R2435" s="30" t="str">
        <f>_xlfn._xlws.FILTER(辅助信息!D:D,辅助信息!E:E=B2435)</f>
        <v>五冶建设空港兴城怡心街道83亩项目</v>
      </c>
    </row>
    <row r="2436" hidden="1" spans="1:18">
      <c r="A2436" s="72"/>
      <c r="B2436" s="41" t="s">
        <v>203</v>
      </c>
      <c r="C2436" s="71">
        <v>45862</v>
      </c>
      <c r="D2436" s="41" t="str">
        <f>VLOOKUP(B2436,辅助信息!E:K,7,FALSE)</f>
        <v>JWDDCD2025102100479</v>
      </c>
      <c r="E2436" s="41" t="str">
        <f>VLOOKUP(F2436,辅助信息!A:B,2,FALSE)</f>
        <v>螺纹钢</v>
      </c>
      <c r="F2436" s="41" t="s">
        <v>28</v>
      </c>
      <c r="G2436" s="37">
        <v>3</v>
      </c>
      <c r="H2436" s="135" t="str">
        <f>_xlfn.XLOOKUP(C2436&amp;F2436&amp;I2436&amp;J2436,'[1]2025年已发货'!$F:$F&amp;'[1]2025年已发货'!$C:$C&amp;'[1]2025年已发货'!$G:$G&amp;'[1]2025年已发货'!$H:$H,'[1]2025年已发货'!$E:$E,"未发货")</f>
        <v>未发货</v>
      </c>
      <c r="I2436" s="41" t="str">
        <f>VLOOKUP(B2436,辅助信息!E:I,3,FALSE)</f>
        <v>(五冶建设空港兴城怡心街道83亩项目)成都市双流区怡心街道高峰社区一组剑和路一段空港兴城怡心街道83亩项目中国五冶项目部</v>
      </c>
      <c r="J2436" s="41" t="str">
        <f>VLOOKUP(B2436,辅助信息!E:I,4,FALSE)</f>
        <v>王刚</v>
      </c>
      <c r="K2436" s="41">
        <f>VLOOKUP(J2436,辅助信息!H:I,2,FALSE)</f>
        <v>15881190525</v>
      </c>
      <c r="L2436" s="91"/>
      <c r="O2436" s="63" t="str">
        <f ca="1" t="shared" si="155"/>
        <v/>
      </c>
      <c r="P2436" s="63" t="str">
        <f ca="1" t="shared" si="156"/>
        <v/>
      </c>
      <c r="Q2436" s="30" t="str">
        <f>VLOOKUP(B2436,辅助信息!E:M,9,FALSE)</f>
        <v>ZTWM-CDGS-XS-2025-0073-五冶天府-成都怡心湖片区及龙泉驿医院等项目</v>
      </c>
      <c r="R2436" s="30" t="str">
        <f>_xlfn._xlws.FILTER(辅助信息!D:D,辅助信息!E:E=B2436)</f>
        <v>五冶建设空港兴城怡心街道83亩项目</v>
      </c>
    </row>
    <row r="2437" hidden="1" spans="1:18">
      <c r="A2437" s="72"/>
      <c r="B2437" s="41" t="s">
        <v>203</v>
      </c>
      <c r="C2437" s="71">
        <v>45862</v>
      </c>
      <c r="D2437" s="41" t="str">
        <f>VLOOKUP(B2437,辅助信息!E:K,7,FALSE)</f>
        <v>JWDDCD2025102100479</v>
      </c>
      <c r="E2437" s="41" t="str">
        <f>VLOOKUP(F2437,辅助信息!A:B,2,FALSE)</f>
        <v>螺纹钢</v>
      </c>
      <c r="F2437" s="41" t="s">
        <v>18</v>
      </c>
      <c r="G2437" s="37">
        <v>11</v>
      </c>
      <c r="H2437" s="135" t="str">
        <f>_xlfn.XLOOKUP(C2437&amp;F2437&amp;I2437&amp;J2437,'[1]2025年已发货'!$F:$F&amp;'[1]2025年已发货'!$C:$C&amp;'[1]2025年已发货'!$G:$G&amp;'[1]2025年已发货'!$H:$H,'[1]2025年已发货'!$E:$E,"未发货")</f>
        <v>未发货</v>
      </c>
      <c r="I2437" s="41" t="str">
        <f>VLOOKUP(B2437,辅助信息!E:I,3,FALSE)</f>
        <v>(五冶建设空港兴城怡心街道83亩项目)成都市双流区怡心街道高峰社区一组剑和路一段空港兴城怡心街道83亩项目中国五冶项目部</v>
      </c>
      <c r="J2437" s="41" t="str">
        <f>VLOOKUP(B2437,辅助信息!E:I,4,FALSE)</f>
        <v>王刚</v>
      </c>
      <c r="K2437" s="41">
        <f>VLOOKUP(J2437,辅助信息!H:I,2,FALSE)</f>
        <v>15881190525</v>
      </c>
      <c r="L2437" s="76"/>
      <c r="O2437" s="63" t="str">
        <f ca="1" t="shared" si="155"/>
        <v/>
      </c>
      <c r="P2437" s="63" t="str">
        <f ca="1" t="shared" si="156"/>
        <v/>
      </c>
      <c r="Q2437" s="30" t="str">
        <f>VLOOKUP(B2437,辅助信息!E:M,9,FALSE)</f>
        <v>ZTWM-CDGS-XS-2025-0073-五冶天府-成都怡心湖片区及龙泉驿医院等项目</v>
      </c>
      <c r="R2437" s="30"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96</v>
      </c>
      <c r="Q2438" s="30" t="str">
        <f>VLOOKUP(B2438,辅助信息!E:M,9,FALSE)</f>
        <v>ZTWM-CDYXGS-XS-2025-0014-宜宾兴港建材-三江新区长江工业园片区保障性租赁住房建设项目</v>
      </c>
      <c r="R2438" s="30" t="str">
        <f>_xlfn._xlws.FILTER(辅助信息!D:D,辅助信息!E:E=B2438)</f>
        <v>宜宾兴港三江新区长江工业园建设项目</v>
      </c>
    </row>
    <row r="2439" hidden="1" spans="2:18">
      <c r="B2439" s="41" t="s">
        <v>147</v>
      </c>
      <c r="C2439" s="71">
        <v>45862</v>
      </c>
      <c r="D2439" s="41" t="str">
        <f>VLOOKUP(B2439,辅助信息!E:K,7,FALSE)</f>
        <v>JWDDCD2025052800131</v>
      </c>
      <c r="E2439" s="41" t="str">
        <f>VLOOKUP(F2439,辅助信息!A:B,2,FALSE)</f>
        <v>盘螺</v>
      </c>
      <c r="F2439" s="41" t="s">
        <v>41</v>
      </c>
      <c r="G2439" s="37">
        <v>24</v>
      </c>
      <c r="H2439" s="135">
        <f>_xlfn.XLOOKUP(C2439&amp;F2439&amp;I2439&amp;J2439,'[1]2025年已发货'!$F:$F&amp;'[1]2025年已发货'!$C:$C&amp;'[1]2025年已发货'!$G:$G&amp;'[1]2025年已发货'!$H:$H,'[1]2025年已发货'!$E:$E,"未发货")</f>
        <v>24</v>
      </c>
      <c r="I2439" s="41" t="str">
        <f>VLOOKUP(B2439,辅助信息!E:I,3,FALSE)</f>
        <v>（商投建工达州中医药科技园-4工区-11号楼）达州市通川区达州中医药职业学院犀牛大道北段</v>
      </c>
      <c r="J2439" s="41" t="str">
        <f>VLOOKUP(B2439,辅助信息!E:I,4,FALSE)</f>
        <v>张扬</v>
      </c>
      <c r="K2439" s="41">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30" t="str">
        <f>VLOOKUP(B2439,辅助信息!E:M,9,FALSE)</f>
        <v>ZTWM-CDGS-XS-2024-0134-商投建工达州中医药科技成果示范园项目</v>
      </c>
      <c r="R2439" s="30" t="str">
        <f>_xlfn._xlws.FILTER(辅助信息!D:D,辅助信息!E:E=B2439)</f>
        <v>商投建工达州中医药科技园</v>
      </c>
    </row>
    <row r="2440" hidden="1" spans="2:18">
      <c r="B2440" s="41" t="s">
        <v>147</v>
      </c>
      <c r="C2440" s="71">
        <v>45862</v>
      </c>
      <c r="D2440" s="41" t="str">
        <f>VLOOKUP(B2440,辅助信息!E:K,7,FALSE)</f>
        <v>JWDDCD2025052800131</v>
      </c>
      <c r="E2440" s="41" t="str">
        <f>VLOOKUP(F2440,辅助信息!A:B,2,FALSE)</f>
        <v>螺纹钢</v>
      </c>
      <c r="F2440" s="41" t="s">
        <v>32</v>
      </c>
      <c r="G2440" s="37">
        <v>9</v>
      </c>
      <c r="H2440" s="135">
        <f>_xlfn.XLOOKUP(C2440&amp;F2440&amp;I2440&amp;J2440,'[1]2025年已发货'!$F:$F&amp;'[1]2025年已发货'!$C:$C&amp;'[1]2025年已发货'!$G:$G&amp;'[1]2025年已发货'!$H:$H,'[1]2025年已发货'!$E:$E,"未发货")</f>
        <v>9</v>
      </c>
      <c r="I2440" s="41" t="str">
        <f>VLOOKUP(B2440,辅助信息!E:I,3,FALSE)</f>
        <v>（商投建工达州中医药科技园-4工区-11号楼）达州市通川区达州中医药职业学院犀牛大道北段</v>
      </c>
      <c r="J2440" s="41" t="str">
        <f>VLOOKUP(B2440,辅助信息!E:I,4,FALSE)</f>
        <v>张扬</v>
      </c>
      <c r="K2440" s="41">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30" t="str">
        <f>VLOOKUP(B2440,辅助信息!E:M,9,FALSE)</f>
        <v>ZTWM-CDGS-XS-2024-0134-商投建工达州中医药科技成果示范园项目</v>
      </c>
      <c r="R2440" s="30" t="str">
        <f>_xlfn._xlws.FILTER(辅助信息!D:D,辅助信息!E:E=B2440)</f>
        <v>商投建工达州中医药科技园</v>
      </c>
    </row>
    <row r="2441" hidden="1" spans="2:18">
      <c r="B2441" s="41" t="s">
        <v>147</v>
      </c>
      <c r="C2441" s="71">
        <v>45862</v>
      </c>
      <c r="D2441" s="41" t="str">
        <f>VLOOKUP(B2441,辅助信息!E:K,7,FALSE)</f>
        <v>JWDDCD2025052800131</v>
      </c>
      <c r="E2441" s="41" t="str">
        <f>VLOOKUP(F2441,辅助信息!A:B,2,FALSE)</f>
        <v>螺纹钢</v>
      </c>
      <c r="F2441" s="41" t="s">
        <v>33</v>
      </c>
      <c r="G2441" s="37">
        <v>6</v>
      </c>
      <c r="H2441" s="135">
        <f>_xlfn.XLOOKUP(C2441&amp;F2441&amp;I2441&amp;J2441,'[1]2025年已发货'!$F:$F&amp;'[1]2025年已发货'!$C:$C&amp;'[1]2025年已发货'!$G:$G&amp;'[1]2025年已发货'!$H:$H,'[1]2025年已发货'!$E:$E,"未发货")</f>
        <v>6</v>
      </c>
      <c r="I2441" s="41" t="str">
        <f>VLOOKUP(B2441,辅助信息!E:I,3,FALSE)</f>
        <v>（商投建工达州中医药科技园-4工区-11号楼）达州市通川区达州中医药职业学院犀牛大道北段</v>
      </c>
      <c r="J2441" s="41" t="str">
        <f>VLOOKUP(B2441,辅助信息!E:I,4,FALSE)</f>
        <v>张扬</v>
      </c>
      <c r="K2441" s="41">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30" t="str">
        <f>VLOOKUP(B2441,辅助信息!E:M,9,FALSE)</f>
        <v>ZTWM-CDGS-XS-2024-0134-商投建工达州中医药科技成果示范园项目</v>
      </c>
      <c r="R2441" s="30" t="str">
        <f>_xlfn._xlws.FILTER(辅助信息!D:D,辅助信息!E:E=B2441)</f>
        <v>商投建工达州中医药科技园</v>
      </c>
    </row>
    <row r="2442" hidden="1" spans="2:18">
      <c r="B2442" s="41" t="s">
        <v>147</v>
      </c>
      <c r="C2442" s="71">
        <v>45862</v>
      </c>
      <c r="D2442" s="41" t="str">
        <f>VLOOKUP(B2442,辅助信息!E:K,7,FALSE)</f>
        <v>JWDDCD2025052800131</v>
      </c>
      <c r="E2442" s="41" t="str">
        <f>VLOOKUP(F2442,辅助信息!A:B,2,FALSE)</f>
        <v>螺纹钢</v>
      </c>
      <c r="F2442" s="41" t="s">
        <v>18</v>
      </c>
      <c r="G2442" s="37">
        <v>6</v>
      </c>
      <c r="H2442" s="135">
        <f>_xlfn.XLOOKUP(C2442&amp;F2442&amp;I2442&amp;J2442,'[1]2025年已发货'!$F:$F&amp;'[1]2025年已发货'!$C:$C&amp;'[1]2025年已发货'!$G:$G&amp;'[1]2025年已发货'!$H:$H,'[1]2025年已发货'!$E:$E,"未发货")</f>
        <v>6</v>
      </c>
      <c r="I2442" s="41" t="str">
        <f>VLOOKUP(B2442,辅助信息!E:I,3,FALSE)</f>
        <v>（商投建工达州中医药科技园-4工区-11号楼）达州市通川区达州中医药职业学院犀牛大道北段</v>
      </c>
      <c r="J2442" s="41" t="str">
        <f>VLOOKUP(B2442,辅助信息!E:I,4,FALSE)</f>
        <v>张扬</v>
      </c>
      <c r="K2442" s="41">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30" t="str">
        <f>VLOOKUP(B2442,辅助信息!E:M,9,FALSE)</f>
        <v>ZTWM-CDGS-XS-2024-0134-商投建工达州中医药科技成果示范园项目</v>
      </c>
      <c r="R2442" s="30" t="str">
        <f>_xlfn._xlws.FILTER(辅助信息!D:D,辅助信息!E:E=B2442)</f>
        <v>商投建工达州中医药科技园</v>
      </c>
    </row>
    <row r="2443" hidden="1" spans="2:18">
      <c r="B2443" s="41" t="s">
        <v>81</v>
      </c>
      <c r="C2443" s="71">
        <v>45864</v>
      </c>
      <c r="D2443" s="41" t="str">
        <f>VLOOKUP(B2443,辅助信息!E:K,7,FALSE)</f>
        <v>JWDDCD2025060900080</v>
      </c>
      <c r="E2443" s="41" t="str">
        <f>VLOOKUP(F2443,辅助信息!A:B,2,FALSE)</f>
        <v>盘螺</v>
      </c>
      <c r="F2443" s="41" t="s">
        <v>49</v>
      </c>
      <c r="G2443" s="37">
        <v>2</v>
      </c>
      <c r="H2443" s="135">
        <f>_xlfn.XLOOKUP(C2443&amp;F2443&amp;I2443&amp;J2443,'[1]2025年已发货'!$F:$F&amp;'[1]2025年已发货'!$C:$C&amp;'[1]2025年已发货'!$G:$G&amp;'[1]2025年已发货'!$H:$H,'[1]2025年已发货'!$E:$E,"未发货")</f>
        <v>2</v>
      </c>
      <c r="I2443" s="41" t="str">
        <f>VLOOKUP(B2443,辅助信息!E:I,3,FALSE)</f>
        <v>（华西简阳西城嘉苑）四川省成都市简阳市简城街道高屋村</v>
      </c>
      <c r="J2443" s="41" t="str">
        <f>VLOOKUP(B2443,辅助信息!E:I,4,FALSE)</f>
        <v>张瀚镭</v>
      </c>
      <c r="K2443" s="41">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30" t="str">
        <f>VLOOKUP(B2443,辅助信息!E:M,9,FALSE)</f>
        <v>ZTWM-CDGS-XS-2024-0030-华西集采-简州大道</v>
      </c>
      <c r="R2443" s="30" t="str">
        <f>_xlfn._xlws.FILTER(辅助信息!D:D,辅助信息!E:E=B2443)</f>
        <v>华西简阳西城嘉苑</v>
      </c>
    </row>
    <row r="2444" hidden="1" spans="2:18">
      <c r="B2444" s="41" t="s">
        <v>81</v>
      </c>
      <c r="C2444" s="71">
        <v>45864</v>
      </c>
      <c r="D2444" s="41" t="str">
        <f>VLOOKUP(B2444,辅助信息!E:K,7,FALSE)</f>
        <v>JWDDCD2025060900080</v>
      </c>
      <c r="E2444" s="41" t="str">
        <f>VLOOKUP(F2444,辅助信息!A:B,2,FALSE)</f>
        <v>盘螺</v>
      </c>
      <c r="F2444" s="41" t="s">
        <v>40</v>
      </c>
      <c r="G2444" s="37">
        <v>14.5</v>
      </c>
      <c r="H2444" s="135">
        <f>_xlfn.XLOOKUP(C2444&amp;F2444&amp;I2444&amp;J2444,'[1]2025年已发货'!$F:$F&amp;'[1]2025年已发货'!$C:$C&amp;'[1]2025年已发货'!$G:$G&amp;'[1]2025年已发货'!$H:$H,'[1]2025年已发货'!$E:$E,"未发货")</f>
        <v>14.5</v>
      </c>
      <c r="I2444" s="41" t="str">
        <f>VLOOKUP(B2444,辅助信息!E:I,3,FALSE)</f>
        <v>（华西简阳西城嘉苑）四川省成都市简阳市简城街道高屋村</v>
      </c>
      <c r="J2444" s="41" t="str">
        <f>VLOOKUP(B2444,辅助信息!E:I,4,FALSE)</f>
        <v>张瀚镭</v>
      </c>
      <c r="K2444" s="41">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30" t="str">
        <f>VLOOKUP(B2444,辅助信息!E:M,9,FALSE)</f>
        <v>ZTWM-CDGS-XS-2024-0030-华西集采-简州大道</v>
      </c>
      <c r="R2444" s="30" t="str">
        <f>_xlfn._xlws.FILTER(辅助信息!D:D,辅助信息!E:E=B2444)</f>
        <v>华西简阳西城嘉苑</v>
      </c>
    </row>
    <row r="2445" hidden="1" spans="2:18">
      <c r="B2445" s="41" t="s">
        <v>81</v>
      </c>
      <c r="C2445" s="71">
        <v>45864</v>
      </c>
      <c r="D2445" s="41" t="str">
        <f>VLOOKUP(B2445,辅助信息!E:K,7,FALSE)</f>
        <v>JWDDCD2025060900080</v>
      </c>
      <c r="E2445" s="41" t="str">
        <f>VLOOKUP(F2445,辅助信息!A:B,2,FALSE)</f>
        <v>盘螺</v>
      </c>
      <c r="F2445" s="41" t="s">
        <v>41</v>
      </c>
      <c r="G2445" s="37">
        <v>94</v>
      </c>
      <c r="H2445" s="135">
        <f>_xlfn.XLOOKUP(C2445&amp;F2445&amp;I2445&amp;J2445,'[1]2025年已发货'!$F:$F&amp;'[1]2025年已发货'!$C:$C&amp;'[1]2025年已发货'!$G:$G&amp;'[1]2025年已发货'!$H:$H,'[1]2025年已发货'!$E:$E,"未发货")</f>
        <v>94</v>
      </c>
      <c r="I2445" s="41" t="str">
        <f>VLOOKUP(B2445,辅助信息!E:I,3,FALSE)</f>
        <v>（华西简阳西城嘉苑）四川省成都市简阳市简城街道高屋村</v>
      </c>
      <c r="J2445" s="41" t="str">
        <f>VLOOKUP(B2445,辅助信息!E:I,4,FALSE)</f>
        <v>张瀚镭</v>
      </c>
      <c r="K2445" s="41">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30" t="str">
        <f>VLOOKUP(B2445,辅助信息!E:M,9,FALSE)</f>
        <v>ZTWM-CDGS-XS-2024-0030-华西集采-简州大道</v>
      </c>
      <c r="R2445" s="30" t="str">
        <f>_xlfn._xlws.FILTER(辅助信息!D:D,辅助信息!E:E=B2445)</f>
        <v>华西简阳西城嘉苑</v>
      </c>
    </row>
    <row r="2446" hidden="1" spans="2:18">
      <c r="B2446" s="41" t="s">
        <v>81</v>
      </c>
      <c r="C2446" s="71">
        <v>45864</v>
      </c>
      <c r="D2446" s="41" t="str">
        <f>VLOOKUP(B2446,辅助信息!E:K,7,FALSE)</f>
        <v>JWDDCD2025060900080</v>
      </c>
      <c r="E2446" s="41" t="str">
        <f>VLOOKUP(F2446,辅助信息!A:B,2,FALSE)</f>
        <v>盘螺</v>
      </c>
      <c r="F2446" s="41" t="s">
        <v>26</v>
      </c>
      <c r="G2446" s="37">
        <v>12</v>
      </c>
      <c r="H2446" s="135">
        <f>_xlfn.XLOOKUP(C2446&amp;F2446&amp;I2446&amp;J2446,'[1]2025年已发货'!$F:$F&amp;'[1]2025年已发货'!$C:$C&amp;'[1]2025年已发货'!$G:$G&amp;'[1]2025年已发货'!$H:$H,'[1]2025年已发货'!$E:$E,"未发货")</f>
        <v>12</v>
      </c>
      <c r="I2446" s="41" t="str">
        <f>VLOOKUP(B2446,辅助信息!E:I,3,FALSE)</f>
        <v>（华西简阳西城嘉苑）四川省成都市简阳市简城街道高屋村</v>
      </c>
      <c r="J2446" s="41" t="str">
        <f>VLOOKUP(B2446,辅助信息!E:I,4,FALSE)</f>
        <v>张瀚镭</v>
      </c>
      <c r="K2446" s="41">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30" t="str">
        <f>VLOOKUP(B2446,辅助信息!E:M,9,FALSE)</f>
        <v>ZTWM-CDGS-XS-2024-0030-华西集采-简州大道</v>
      </c>
      <c r="R2446" s="30" t="str">
        <f>_xlfn._xlws.FILTER(辅助信息!D:D,辅助信息!E:E=B2446)</f>
        <v>华西简阳西城嘉苑</v>
      </c>
    </row>
    <row r="2447" hidden="1" spans="2:18">
      <c r="B2447" s="41" t="s">
        <v>81</v>
      </c>
      <c r="C2447" s="71">
        <v>45864</v>
      </c>
      <c r="D2447" s="41" t="str">
        <f>VLOOKUP(B2447,辅助信息!E:K,7,FALSE)</f>
        <v>JWDDCD2025060900080</v>
      </c>
      <c r="E2447" s="41" t="str">
        <f>VLOOKUP(F2447,辅助信息!A:B,2,FALSE)</f>
        <v>螺纹钢</v>
      </c>
      <c r="F2447" s="41" t="s">
        <v>19</v>
      </c>
      <c r="G2447" s="37">
        <v>26</v>
      </c>
      <c r="H2447" s="135">
        <f>_xlfn.XLOOKUP(C2447&amp;F2447&amp;I2447&amp;J2447,'[1]2025年已发货'!$F:$F&amp;'[1]2025年已发货'!$C:$C&amp;'[1]2025年已发货'!$G:$G&amp;'[1]2025年已发货'!$H:$H,'[1]2025年已发货'!$E:$E,"未发货")</f>
        <v>26</v>
      </c>
      <c r="I2447" s="41" t="str">
        <f>VLOOKUP(B2447,辅助信息!E:I,3,FALSE)</f>
        <v>（华西简阳西城嘉苑）四川省成都市简阳市简城街道高屋村</v>
      </c>
      <c r="J2447" s="41" t="str">
        <f>VLOOKUP(B2447,辅助信息!E:I,4,FALSE)</f>
        <v>张瀚镭</v>
      </c>
      <c r="K2447" s="41">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30" t="str">
        <f>VLOOKUP(B2447,辅助信息!E:M,9,FALSE)</f>
        <v>ZTWM-CDGS-XS-2024-0030-华西集采-简州大道</v>
      </c>
      <c r="R2447" s="30" t="str">
        <f>_xlfn._xlws.FILTER(辅助信息!D:D,辅助信息!E:E=B2447)</f>
        <v>华西简阳西城嘉苑</v>
      </c>
    </row>
    <row r="2448" hidden="1" spans="2:18">
      <c r="B2448" s="41" t="s">
        <v>81</v>
      </c>
      <c r="C2448" s="71">
        <v>45864</v>
      </c>
      <c r="D2448" s="41" t="str">
        <f>VLOOKUP(B2448,辅助信息!E:K,7,FALSE)</f>
        <v>JWDDCD2025060900080</v>
      </c>
      <c r="E2448" s="41" t="str">
        <f>VLOOKUP(F2448,辅助信息!A:B,2,FALSE)</f>
        <v>螺纹钢</v>
      </c>
      <c r="F2448" s="41" t="s">
        <v>32</v>
      </c>
      <c r="G2448" s="37">
        <v>17</v>
      </c>
      <c r="H2448" s="135">
        <f>_xlfn.XLOOKUP(C2448&amp;F2448&amp;I2448&amp;J2448,'[1]2025年已发货'!$F:$F&amp;'[1]2025年已发货'!$C:$C&amp;'[1]2025年已发货'!$G:$G&amp;'[1]2025年已发货'!$H:$H,'[1]2025年已发货'!$E:$E,"未发货")</f>
        <v>17</v>
      </c>
      <c r="I2448" s="41" t="str">
        <f>VLOOKUP(B2448,辅助信息!E:I,3,FALSE)</f>
        <v>（华西简阳西城嘉苑）四川省成都市简阳市简城街道高屋村</v>
      </c>
      <c r="J2448" s="41" t="str">
        <f>VLOOKUP(B2448,辅助信息!E:I,4,FALSE)</f>
        <v>张瀚镭</v>
      </c>
      <c r="K2448" s="41">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30" t="str">
        <f>VLOOKUP(B2448,辅助信息!E:M,9,FALSE)</f>
        <v>ZTWM-CDGS-XS-2024-0030-华西集采-简州大道</v>
      </c>
      <c r="R2448" s="30" t="str">
        <f>_xlfn._xlws.FILTER(辅助信息!D:D,辅助信息!E:E=B2448)</f>
        <v>华西简阳西城嘉苑</v>
      </c>
    </row>
    <row r="2449" hidden="1" spans="2:18">
      <c r="B2449" s="41" t="s">
        <v>81</v>
      </c>
      <c r="C2449" s="71">
        <v>45864</v>
      </c>
      <c r="D2449" s="41" t="str">
        <f>VLOOKUP(B2449,辅助信息!E:K,7,FALSE)</f>
        <v>JWDDCD2025060900080</v>
      </c>
      <c r="E2449" s="41" t="str">
        <f>VLOOKUP(F2449,辅助信息!A:B,2,FALSE)</f>
        <v>螺纹钢</v>
      </c>
      <c r="F2449" s="41" t="s">
        <v>30</v>
      </c>
      <c r="G2449" s="37">
        <v>5</v>
      </c>
      <c r="H2449" s="135">
        <f>_xlfn.XLOOKUP(C2449&amp;F2449&amp;I2449&amp;J2449,'[1]2025年已发货'!$F:$F&amp;'[1]2025年已发货'!$C:$C&amp;'[1]2025年已发货'!$G:$G&amp;'[1]2025年已发货'!$H:$H,'[1]2025年已发货'!$E:$E,"未发货")</f>
        <v>5</v>
      </c>
      <c r="I2449" s="41" t="str">
        <f>VLOOKUP(B2449,辅助信息!E:I,3,FALSE)</f>
        <v>（华西简阳西城嘉苑）四川省成都市简阳市简城街道高屋村</v>
      </c>
      <c r="J2449" s="41" t="str">
        <f>VLOOKUP(B2449,辅助信息!E:I,4,FALSE)</f>
        <v>张瀚镭</v>
      </c>
      <c r="K2449" s="41">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30" t="str">
        <f>VLOOKUP(B2449,辅助信息!E:M,9,FALSE)</f>
        <v>ZTWM-CDGS-XS-2024-0030-华西集采-简州大道</v>
      </c>
      <c r="R2449" s="30" t="str">
        <f>_xlfn._xlws.FILTER(辅助信息!D:D,辅助信息!E:E=B2449)</f>
        <v>华西简阳西城嘉苑</v>
      </c>
    </row>
    <row r="2450" hidden="1" spans="2:18">
      <c r="B2450" s="41" t="s">
        <v>81</v>
      </c>
      <c r="C2450" s="71">
        <v>45864</v>
      </c>
      <c r="D2450" s="41" t="str">
        <f>VLOOKUP(B2450,辅助信息!E:K,7,FALSE)</f>
        <v>JWDDCD2025060900080</v>
      </c>
      <c r="E2450" s="41" t="str">
        <f>VLOOKUP(F2450,辅助信息!A:B,2,FALSE)</f>
        <v>螺纹钢</v>
      </c>
      <c r="F2450" s="41" t="s">
        <v>45</v>
      </c>
      <c r="G2450" s="37">
        <v>2.5</v>
      </c>
      <c r="H2450" s="135">
        <f>_xlfn.XLOOKUP(C2450&amp;F2450&amp;I2450&amp;J2450,'[1]2025年已发货'!$F:$F&amp;'[1]2025年已发货'!$C:$C&amp;'[1]2025年已发货'!$G:$G&amp;'[1]2025年已发货'!$H:$H,'[1]2025年已发货'!$E:$E,"未发货")</f>
        <v>2.5</v>
      </c>
      <c r="I2450" s="41" t="str">
        <f>VLOOKUP(B2450,辅助信息!E:I,3,FALSE)</f>
        <v>（华西简阳西城嘉苑）四川省成都市简阳市简城街道高屋村</v>
      </c>
      <c r="J2450" s="41" t="str">
        <f>VLOOKUP(B2450,辅助信息!E:I,4,FALSE)</f>
        <v>张瀚镭</v>
      </c>
      <c r="K2450" s="41">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30" t="str">
        <f>VLOOKUP(B2450,辅助信息!E:M,9,FALSE)</f>
        <v>ZTWM-CDGS-XS-2024-0030-华西集采-简州大道</v>
      </c>
      <c r="R2450" s="30" t="str">
        <f>_xlfn._xlws.FILTER(辅助信息!D:D,辅助信息!E:E=B2450)</f>
        <v>华西简阳西城嘉苑</v>
      </c>
    </row>
    <row r="2451" hidden="1" spans="2:18">
      <c r="B2451" s="41" t="s">
        <v>81</v>
      </c>
      <c r="C2451" s="71">
        <v>45864</v>
      </c>
      <c r="D2451" s="41" t="str">
        <f>VLOOKUP(B2451,辅助信息!E:K,7,FALSE)</f>
        <v>JWDDCD2025060900080</v>
      </c>
      <c r="E2451" s="41" t="str">
        <f>VLOOKUP(F2451,辅助信息!A:B,2,FALSE)</f>
        <v>螺纹钢</v>
      </c>
      <c r="F2451" s="41" t="s">
        <v>58</v>
      </c>
      <c r="G2451" s="37">
        <v>16</v>
      </c>
      <c r="H2451" s="135">
        <f>_xlfn.XLOOKUP(C2451&amp;F2451&amp;I2451&amp;J2451,'[1]2025年已发货'!$F:$F&amp;'[1]2025年已发货'!$C:$C&amp;'[1]2025年已发货'!$G:$G&amp;'[1]2025年已发货'!$H:$H,'[1]2025年已发货'!$E:$E,"未发货")</f>
        <v>16</v>
      </c>
      <c r="I2451" s="41" t="str">
        <f>VLOOKUP(B2451,辅助信息!E:I,3,FALSE)</f>
        <v>（华西简阳西城嘉苑）四川省成都市简阳市简城街道高屋村</v>
      </c>
      <c r="J2451" s="41" t="str">
        <f>VLOOKUP(B2451,辅助信息!E:I,4,FALSE)</f>
        <v>张瀚镭</v>
      </c>
      <c r="K2451" s="41">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30" t="str">
        <f>VLOOKUP(B2451,辅助信息!E:M,9,FALSE)</f>
        <v>ZTWM-CDGS-XS-2024-0030-华西集采-简州大道</v>
      </c>
      <c r="R2451" s="30" t="str">
        <f>_xlfn._xlws.FILTER(辅助信息!D:D,辅助信息!E:E=B2451)</f>
        <v>华西简阳西城嘉苑</v>
      </c>
    </row>
    <row r="2452" hidden="1" spans="2:18">
      <c r="B2452" s="41" t="s">
        <v>81</v>
      </c>
      <c r="C2452" s="71">
        <v>45864</v>
      </c>
      <c r="D2452" s="41" t="str">
        <f>VLOOKUP(B2452,辅助信息!E:K,7,FALSE)</f>
        <v>JWDDCD2025060900080</v>
      </c>
      <c r="E2452" s="41" t="str">
        <f>VLOOKUP(F2452,辅助信息!A:B,2,FALSE)</f>
        <v>螺纹钢</v>
      </c>
      <c r="F2452" s="41" t="s">
        <v>46</v>
      </c>
      <c r="G2452" s="37">
        <v>5.5</v>
      </c>
      <c r="H2452" s="135">
        <f>_xlfn.XLOOKUP(C2452&amp;F2452&amp;I2452&amp;J2452,'[1]2025年已发货'!$F:$F&amp;'[1]2025年已发货'!$C:$C&amp;'[1]2025年已发货'!$G:$G&amp;'[1]2025年已发货'!$H:$H,'[1]2025年已发货'!$E:$E,"未发货")</f>
        <v>5.5</v>
      </c>
      <c r="I2452" s="41" t="str">
        <f>VLOOKUP(B2452,辅助信息!E:I,3,FALSE)</f>
        <v>（华西简阳西城嘉苑）四川省成都市简阳市简城街道高屋村</v>
      </c>
      <c r="J2452" s="41" t="str">
        <f>VLOOKUP(B2452,辅助信息!E:I,4,FALSE)</f>
        <v>张瀚镭</v>
      </c>
      <c r="K2452" s="41">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30" t="str">
        <f>VLOOKUP(B2452,辅助信息!E:M,9,FALSE)</f>
        <v>ZTWM-CDGS-XS-2024-0030-华西集采-简州大道</v>
      </c>
      <c r="R2452" s="30" t="str">
        <f>_xlfn._xlws.FILTER(辅助信息!D:D,辅助信息!E:E=B2452)</f>
        <v>华西简阳西城嘉苑</v>
      </c>
    </row>
    <row r="2453" hidden="1" spans="2:18">
      <c r="B2453" s="41" t="s">
        <v>81</v>
      </c>
      <c r="C2453" s="71">
        <v>45864</v>
      </c>
      <c r="D2453" s="41" t="str">
        <f>VLOOKUP(B2453,辅助信息!E:K,7,FALSE)</f>
        <v>JWDDCD2025060900080</v>
      </c>
      <c r="E2453" s="41" t="str">
        <f>VLOOKUP(F2453,辅助信息!A:B,2,FALSE)</f>
        <v>螺纹钢</v>
      </c>
      <c r="F2453" s="41" t="s">
        <v>22</v>
      </c>
      <c r="G2453" s="37">
        <v>48</v>
      </c>
      <c r="H2453" s="135">
        <f>_xlfn.XLOOKUP(C2453&amp;F2453&amp;I2453&amp;J2453,'[1]2025年已发货'!$F:$F&amp;'[1]2025年已发货'!$C:$C&amp;'[1]2025年已发货'!$G:$G&amp;'[1]2025年已发货'!$H:$H,'[1]2025年已发货'!$E:$E,"未发货")</f>
        <v>18</v>
      </c>
      <c r="I2453" s="41" t="str">
        <f>VLOOKUP(B2453,辅助信息!E:I,3,FALSE)</f>
        <v>（华西简阳西城嘉苑）四川省成都市简阳市简城街道高屋村</v>
      </c>
      <c r="J2453" s="41" t="str">
        <f>VLOOKUP(B2453,辅助信息!E:I,4,FALSE)</f>
        <v>张瀚镭</v>
      </c>
      <c r="K2453" s="41">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30" t="str">
        <f>VLOOKUP(B2453,辅助信息!E:M,9,FALSE)</f>
        <v>ZTWM-CDGS-XS-2024-0030-华西集采-简州大道</v>
      </c>
      <c r="R2453" s="30" t="str">
        <f>_xlfn._xlws.FILTER(辅助信息!D:D,辅助信息!E:E=B2453)</f>
        <v>华西简阳西城嘉苑</v>
      </c>
    </row>
    <row r="2454" hidden="1" spans="2:18">
      <c r="B2454" s="41" t="s">
        <v>186</v>
      </c>
      <c r="C2454" s="71">
        <v>45863</v>
      </c>
      <c r="D2454" s="41" t="str">
        <f>VLOOKUP(B2454,辅助信息!E:K,7,FALSE)</f>
        <v>JWDDCD2025072900123</v>
      </c>
      <c r="E2454" s="41" t="str">
        <f>VLOOKUP(F2454,辅助信息!A:B,2,FALSE)</f>
        <v>高线</v>
      </c>
      <c r="F2454" s="41" t="s">
        <v>57</v>
      </c>
      <c r="G2454" s="37">
        <v>2.5</v>
      </c>
      <c r="H2454" s="135">
        <f>_xlfn.XLOOKUP(C2454&amp;F2454&amp;I2454&amp;J2454,'[1]2025年已发货'!$F:$F&amp;'[1]2025年已发货'!$C:$C&amp;'[1]2025年已发货'!$G:$G&amp;'[1]2025年已发货'!$H:$H,'[1]2025年已发货'!$E:$E,"未发货")</f>
        <v>2</v>
      </c>
      <c r="I2454" s="41" t="str">
        <f>VLOOKUP(B2454,辅助信息!E:I,3,FALSE)</f>
        <v>(乐山市校地共建产教融合基地建设项目二标段)四川省乐山市市中区苏稽镇</v>
      </c>
      <c r="J2454" s="41" t="str">
        <f>VLOOKUP(B2454,辅助信息!E:I,4,FALSE)</f>
        <v>彭江涛</v>
      </c>
      <c r="K2454" s="41">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30" t="str">
        <f>VLOOKUP(B2454,辅助信息!E:M,9,FALSE)</f>
        <v>ZTWM-CDGS-XS-2025-0126-四川机司-乐山市校地共建产教融合基地配套设施项目施工二标段钢筋采购合同</v>
      </c>
      <c r="R2454" s="30" t="str">
        <f>_xlfn._xlws.FILTER(辅助信息!D:D,辅助信息!E:E=B2454)</f>
        <v>乐山市校地共建产教融合基地建设项目</v>
      </c>
    </row>
    <row r="2455" hidden="1" spans="2:18">
      <c r="B2455" s="41" t="s">
        <v>186</v>
      </c>
      <c r="C2455" s="71">
        <v>45863</v>
      </c>
      <c r="D2455" s="41" t="str">
        <f>VLOOKUP(B2455,辅助信息!E:K,7,FALSE)</f>
        <v>JWDDCD2025072900123</v>
      </c>
      <c r="E2455" s="41" t="str">
        <f>VLOOKUP(F2455,辅助信息!A:B,2,FALSE)</f>
        <v>高线</v>
      </c>
      <c r="F2455" s="41" t="s">
        <v>53</v>
      </c>
      <c r="G2455" s="37">
        <v>13.5</v>
      </c>
      <c r="H2455" s="135">
        <f>_xlfn.XLOOKUP(C2455&amp;F2455&amp;I2455&amp;J2455,'[1]2025年已发货'!$F:$F&amp;'[1]2025年已发货'!$C:$C&amp;'[1]2025年已发货'!$G:$G&amp;'[1]2025年已发货'!$H:$H,'[1]2025年已发货'!$E:$E,"未发货")</f>
        <v>10</v>
      </c>
      <c r="I2455" s="41" t="str">
        <f>VLOOKUP(B2455,辅助信息!E:I,3,FALSE)</f>
        <v>(乐山市校地共建产教融合基地建设项目二标段)四川省乐山市市中区苏稽镇</v>
      </c>
      <c r="J2455" s="41" t="str">
        <f>VLOOKUP(B2455,辅助信息!E:I,4,FALSE)</f>
        <v>彭江涛</v>
      </c>
      <c r="K2455" s="41">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30" t="str">
        <f>VLOOKUP(B2455,辅助信息!E:M,9,FALSE)</f>
        <v>ZTWM-CDGS-XS-2025-0126-四川机司-乐山市校地共建产教融合基地配套设施项目施工二标段钢筋采购合同</v>
      </c>
      <c r="R2455" s="30" t="str">
        <f>_xlfn._xlws.FILTER(辅助信息!D:D,辅助信息!E:E=B2455)</f>
        <v>乐山市校地共建产教融合基地建设项目</v>
      </c>
    </row>
    <row r="2456" hidden="1" spans="2:18">
      <c r="B2456" s="41" t="s">
        <v>186</v>
      </c>
      <c r="C2456" s="71">
        <v>45863</v>
      </c>
      <c r="D2456" s="41" t="str">
        <f>VLOOKUP(B2456,辅助信息!E:K,7,FALSE)</f>
        <v>JWDDCD2025072900123</v>
      </c>
      <c r="E2456" s="41" t="str">
        <f>VLOOKUP(F2456,辅助信息!A:B,2,FALSE)</f>
        <v>盘螺</v>
      </c>
      <c r="F2456" s="41" t="s">
        <v>41</v>
      </c>
      <c r="G2456" s="37">
        <v>22.5</v>
      </c>
      <c r="H2456" s="135">
        <f>_xlfn.XLOOKUP(C2456&amp;F2456&amp;I2456&amp;J2456,'[1]2025年已发货'!$F:$F&amp;'[1]2025年已发货'!$C:$C&amp;'[1]2025年已发货'!$G:$G&amp;'[1]2025年已发货'!$H:$H,'[1]2025年已发货'!$E:$E,"未发货")</f>
        <v>22</v>
      </c>
      <c r="I2456" s="41" t="str">
        <f>VLOOKUP(B2456,辅助信息!E:I,3,FALSE)</f>
        <v>(乐山市校地共建产教融合基地建设项目二标段)四川省乐山市市中区苏稽镇</v>
      </c>
      <c r="J2456" s="41" t="str">
        <f>VLOOKUP(B2456,辅助信息!E:I,4,FALSE)</f>
        <v>彭江涛</v>
      </c>
      <c r="K2456" s="41">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30" t="str">
        <f>VLOOKUP(B2456,辅助信息!E:M,9,FALSE)</f>
        <v>ZTWM-CDGS-XS-2025-0126-四川机司-乐山市校地共建产教融合基地配套设施项目施工二标段钢筋采购合同</v>
      </c>
      <c r="R2456" s="30" t="str">
        <f>_xlfn._xlws.FILTER(辅助信息!D:D,辅助信息!E:E=B2456)</f>
        <v>乐山市校地共建产教融合基地建设项目</v>
      </c>
    </row>
    <row r="2457" hidden="1" spans="2:18">
      <c r="B2457" s="41" t="s">
        <v>186</v>
      </c>
      <c r="C2457" s="71">
        <v>45863</v>
      </c>
      <c r="D2457" s="41" t="str">
        <f>VLOOKUP(B2457,辅助信息!E:K,7,FALSE)</f>
        <v>JWDDCD2025072900123</v>
      </c>
      <c r="E2457" s="41" t="str">
        <f>VLOOKUP(F2457,辅助信息!A:B,2,FALSE)</f>
        <v>盘螺</v>
      </c>
      <c r="F2457" s="41" t="s">
        <v>26</v>
      </c>
      <c r="G2457" s="37">
        <v>30</v>
      </c>
      <c r="H2457" s="135">
        <f>_xlfn.XLOOKUP(C2457&amp;F2457&amp;I2457&amp;J2457,'[1]2025年已发货'!$F:$F&amp;'[1]2025年已发货'!$C:$C&amp;'[1]2025年已发货'!$G:$G&amp;'[1]2025年已发货'!$H:$H,'[1]2025年已发货'!$E:$E,"未发货")</f>
        <v>30</v>
      </c>
      <c r="I2457" s="41" t="str">
        <f>VLOOKUP(B2457,辅助信息!E:I,3,FALSE)</f>
        <v>(乐山市校地共建产教融合基地建设项目二标段)四川省乐山市市中区苏稽镇</v>
      </c>
      <c r="J2457" s="41" t="str">
        <f>VLOOKUP(B2457,辅助信息!E:I,4,FALSE)</f>
        <v>彭江涛</v>
      </c>
      <c r="K2457" s="41">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30" t="str">
        <f>VLOOKUP(B2457,辅助信息!E:M,9,FALSE)</f>
        <v>ZTWM-CDGS-XS-2025-0126-四川机司-乐山市校地共建产教融合基地配套设施项目施工二标段钢筋采购合同</v>
      </c>
      <c r="R2457" s="30" t="str">
        <f>_xlfn._xlws.FILTER(辅助信息!D:D,辅助信息!E:E=B2457)</f>
        <v>乐山市校地共建产教融合基地建设项目</v>
      </c>
    </row>
    <row r="2458" hidden="1" spans="2:18">
      <c r="B2458" s="41" t="s">
        <v>186</v>
      </c>
      <c r="C2458" s="71">
        <v>45863</v>
      </c>
      <c r="D2458" s="41" t="str">
        <f>VLOOKUP(B2458,辅助信息!E:K,7,FALSE)</f>
        <v>JWDDCD2025072900123</v>
      </c>
      <c r="E2458" s="41" t="str">
        <f>VLOOKUP(F2458,辅助信息!A:B,2,FALSE)</f>
        <v>盘螺</v>
      </c>
      <c r="F2458" s="41" t="s">
        <v>40</v>
      </c>
      <c r="G2458" s="37">
        <v>15</v>
      </c>
      <c r="H2458" s="135">
        <f>_xlfn.XLOOKUP(C2458&amp;F2458&amp;I2458&amp;J2458,'[1]2025年已发货'!$F:$F&amp;'[1]2025年已发货'!$C:$C&amp;'[1]2025年已发货'!$G:$G&amp;'[1]2025年已发货'!$H:$H,'[1]2025年已发货'!$E:$E,"未发货")</f>
        <v>14</v>
      </c>
      <c r="I2458" s="41" t="str">
        <f>VLOOKUP(B2458,辅助信息!E:I,3,FALSE)</f>
        <v>(乐山市校地共建产教融合基地建设项目二标段)四川省乐山市市中区苏稽镇</v>
      </c>
      <c r="J2458" s="41" t="str">
        <f>VLOOKUP(B2458,辅助信息!E:I,4,FALSE)</f>
        <v>彭江涛</v>
      </c>
      <c r="K2458" s="41">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30" t="str">
        <f>VLOOKUP(B2458,辅助信息!E:M,9,FALSE)</f>
        <v>ZTWM-CDGS-XS-2025-0126-四川机司-乐山市校地共建产教融合基地配套设施项目施工二标段钢筋采购合同</v>
      </c>
      <c r="R2458" s="30" t="str">
        <f>_xlfn._xlws.FILTER(辅助信息!D:D,辅助信息!E:E=B2458)</f>
        <v>乐山市校地共建产教融合基地建设项目</v>
      </c>
    </row>
    <row r="2459" hidden="1" spans="2:18">
      <c r="B2459" s="41" t="s">
        <v>186</v>
      </c>
      <c r="C2459" s="71">
        <v>45863</v>
      </c>
      <c r="D2459" s="41" t="str">
        <f>VLOOKUP(B2459,辅助信息!E:K,7,FALSE)</f>
        <v>JWDDCD2025072900123</v>
      </c>
      <c r="E2459" s="41" t="str">
        <f>VLOOKUP(F2459,辅助信息!A:B,2,FALSE)</f>
        <v>螺纹钢</v>
      </c>
      <c r="F2459" s="41" t="s">
        <v>32</v>
      </c>
      <c r="G2459" s="37">
        <v>3</v>
      </c>
      <c r="H2459" s="135">
        <f>_xlfn.XLOOKUP(C2459&amp;F2459&amp;I2459&amp;J2459,'[1]2025年已发货'!$F:$F&amp;'[1]2025年已发货'!$C:$C&amp;'[1]2025年已发货'!$G:$G&amp;'[1]2025年已发货'!$H:$H,'[1]2025年已发货'!$E:$E,"未发货")</f>
        <v>3</v>
      </c>
      <c r="I2459" s="41" t="str">
        <f>VLOOKUP(B2459,辅助信息!E:I,3,FALSE)</f>
        <v>(乐山市校地共建产教融合基地建设项目二标段)四川省乐山市市中区苏稽镇</v>
      </c>
      <c r="J2459" s="41" t="str">
        <f>VLOOKUP(B2459,辅助信息!E:I,4,FALSE)</f>
        <v>彭江涛</v>
      </c>
      <c r="K2459" s="41">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30" t="str">
        <f>VLOOKUP(B2459,辅助信息!E:M,9,FALSE)</f>
        <v>ZTWM-CDGS-XS-2025-0126-四川机司-乐山市校地共建产教融合基地配套设施项目施工二标段钢筋采购合同</v>
      </c>
      <c r="R2459" s="30" t="str">
        <f>_xlfn._xlws.FILTER(辅助信息!D:D,辅助信息!E:E=B2459)</f>
        <v>乐山市校地共建产教融合基地建设项目</v>
      </c>
    </row>
    <row r="2460" hidden="1" spans="2:18">
      <c r="B2460" s="41" t="s">
        <v>186</v>
      </c>
      <c r="C2460" s="71">
        <v>45863</v>
      </c>
      <c r="D2460" s="41" t="str">
        <f>VLOOKUP(B2460,辅助信息!E:K,7,FALSE)</f>
        <v>JWDDCD2025072900123</v>
      </c>
      <c r="E2460" s="41" t="str">
        <f>VLOOKUP(F2460,辅助信息!A:B,2,FALSE)</f>
        <v>螺纹钢</v>
      </c>
      <c r="F2460" s="41" t="s">
        <v>30</v>
      </c>
      <c r="G2460" s="37">
        <v>27</v>
      </c>
      <c r="H2460" s="135">
        <f>_xlfn.XLOOKUP(C2460&amp;F2460&amp;I2460&amp;J2460,'[1]2025年已发货'!$F:$F&amp;'[1]2025年已发货'!$C:$C&amp;'[1]2025年已发货'!$G:$G&amp;'[1]2025年已发货'!$H:$H,'[1]2025年已发货'!$E:$E,"未发货")</f>
        <v>27</v>
      </c>
      <c r="I2460" s="41" t="str">
        <f>VLOOKUP(B2460,辅助信息!E:I,3,FALSE)</f>
        <v>(乐山市校地共建产教融合基地建设项目二标段)四川省乐山市市中区苏稽镇</v>
      </c>
      <c r="J2460" s="41" t="str">
        <f>VLOOKUP(B2460,辅助信息!E:I,4,FALSE)</f>
        <v>彭江涛</v>
      </c>
      <c r="K2460" s="41">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30" t="str">
        <f>VLOOKUP(B2460,辅助信息!E:M,9,FALSE)</f>
        <v>ZTWM-CDGS-XS-2025-0126-四川机司-乐山市校地共建产教融合基地配套设施项目施工二标段钢筋采购合同</v>
      </c>
      <c r="R2460" s="30" t="str">
        <f>_xlfn._xlws.FILTER(辅助信息!D:D,辅助信息!E:E=B2460)</f>
        <v>乐山市校地共建产教融合基地建设项目</v>
      </c>
    </row>
    <row r="2461" hidden="1" spans="2:18">
      <c r="B2461" s="41" t="s">
        <v>186</v>
      </c>
      <c r="C2461" s="71">
        <v>45863</v>
      </c>
      <c r="D2461" s="41" t="str">
        <f>VLOOKUP(B2461,辅助信息!E:K,7,FALSE)</f>
        <v>JWDDCD2025072900123</v>
      </c>
      <c r="E2461" s="41" t="str">
        <f>VLOOKUP(F2461,辅助信息!A:B,2,FALSE)</f>
        <v>螺纹钢</v>
      </c>
      <c r="F2461" s="41" t="s">
        <v>76</v>
      </c>
      <c r="G2461" s="37">
        <v>48</v>
      </c>
      <c r="H2461" s="135">
        <f>_xlfn.XLOOKUP(C2461&amp;F2461&amp;I2461&amp;J2461,'[1]2025年已发货'!$F:$F&amp;'[1]2025年已发货'!$C:$C&amp;'[1]2025年已发货'!$G:$G&amp;'[1]2025年已发货'!$H:$H,'[1]2025年已发货'!$E:$E,"未发货")</f>
        <v>47.5</v>
      </c>
      <c r="I2461" s="41" t="str">
        <f>VLOOKUP(B2461,辅助信息!E:I,3,FALSE)</f>
        <v>(乐山市校地共建产教融合基地建设项目二标段)四川省乐山市市中区苏稽镇</v>
      </c>
      <c r="J2461" s="41" t="str">
        <f>VLOOKUP(B2461,辅助信息!E:I,4,FALSE)</f>
        <v>彭江涛</v>
      </c>
      <c r="K2461" s="41">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30" t="str">
        <f>VLOOKUP(B2461,辅助信息!E:M,9,FALSE)</f>
        <v>ZTWM-CDGS-XS-2025-0126-四川机司-乐山市校地共建产教融合基地配套设施项目施工二标段钢筋采购合同</v>
      </c>
      <c r="R2461" s="30" t="str">
        <f>_xlfn._xlws.FILTER(辅助信息!D:D,辅助信息!E:E=B2461)</f>
        <v>乐山市校地共建产教融合基地建设项目</v>
      </c>
    </row>
    <row r="2462" hidden="1" spans="2:18">
      <c r="B2462" s="41" t="s">
        <v>186</v>
      </c>
      <c r="C2462" s="71">
        <v>45863</v>
      </c>
      <c r="D2462" s="41" t="str">
        <f>VLOOKUP(B2462,辅助信息!E:K,7,FALSE)</f>
        <v>JWDDCD2025072900123</v>
      </c>
      <c r="E2462" s="41" t="str">
        <f>VLOOKUP(F2462,辅助信息!A:B,2,FALSE)</f>
        <v>螺纹钢</v>
      </c>
      <c r="F2462" s="41" t="s">
        <v>90</v>
      </c>
      <c r="G2462" s="37">
        <v>88</v>
      </c>
      <c r="H2462" s="135">
        <f>_xlfn.XLOOKUP(C2462&amp;F2462&amp;I2462&amp;J2462,'[1]2025年已发货'!$F:$F&amp;'[1]2025年已发货'!$C:$C&amp;'[1]2025年已发货'!$G:$G&amp;'[1]2025年已发货'!$H:$H,'[1]2025年已发货'!$E:$E,"未发货")</f>
        <v>72.5</v>
      </c>
      <c r="I2462" s="41" t="str">
        <f>VLOOKUP(B2462,辅助信息!E:I,3,FALSE)</f>
        <v>(乐山市校地共建产教融合基地建设项目二标段)四川省乐山市市中区苏稽镇</v>
      </c>
      <c r="J2462" s="41" t="str">
        <f>VLOOKUP(B2462,辅助信息!E:I,4,FALSE)</f>
        <v>彭江涛</v>
      </c>
      <c r="K2462" s="41">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30" t="str">
        <f>VLOOKUP(B2462,辅助信息!E:M,9,FALSE)</f>
        <v>ZTWM-CDGS-XS-2025-0126-四川机司-乐山市校地共建产教融合基地配套设施项目施工二标段钢筋采购合同</v>
      </c>
      <c r="R2462" s="30" t="str">
        <f>_xlfn._xlws.FILTER(辅助信息!D:D,辅助信息!E:E=B2462)</f>
        <v>乐山市校地共建产教融合基地建设项目</v>
      </c>
    </row>
    <row r="2463" hidden="1" spans="2:18">
      <c r="B2463" s="41" t="s">
        <v>186</v>
      </c>
      <c r="C2463" s="71">
        <v>45863</v>
      </c>
      <c r="D2463" s="41" t="str">
        <f>VLOOKUP(B2463,辅助信息!E:K,7,FALSE)</f>
        <v>JWDDCD2025072900123</v>
      </c>
      <c r="E2463" s="41" t="str">
        <f>VLOOKUP(F2463,辅助信息!A:B,2,FALSE)</f>
        <v>螺纹钢</v>
      </c>
      <c r="F2463" s="41" t="s">
        <v>130</v>
      </c>
      <c r="G2463" s="37">
        <v>41</v>
      </c>
      <c r="H2463" s="135">
        <f>_xlfn.XLOOKUP(C2463&amp;F2463&amp;I2463&amp;J2463,'[1]2025年已发货'!$F:$F&amp;'[1]2025年已发货'!$C:$C&amp;'[1]2025年已发货'!$G:$G&amp;'[1]2025年已发货'!$H:$H,'[1]2025年已发货'!$E:$E,"未发货")</f>
        <v>41</v>
      </c>
      <c r="I2463" s="41" t="str">
        <f>VLOOKUP(B2463,辅助信息!E:I,3,FALSE)</f>
        <v>(乐山市校地共建产教融合基地建设项目二标段)四川省乐山市市中区苏稽镇</v>
      </c>
      <c r="J2463" s="41" t="str">
        <f>VLOOKUP(B2463,辅助信息!E:I,4,FALSE)</f>
        <v>彭江涛</v>
      </c>
      <c r="K2463" s="41">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30" t="str">
        <f>VLOOKUP(B2463,辅助信息!E:M,9,FALSE)</f>
        <v>ZTWM-CDGS-XS-2025-0126-四川机司-乐山市校地共建产教融合基地配套设施项目施工二标段钢筋采购合同</v>
      </c>
      <c r="R2463" s="30" t="str">
        <f>_xlfn._xlws.FILTER(辅助信息!D:D,辅助信息!E:E=B2463)</f>
        <v>乐山市校地共建产教融合基地建设项目</v>
      </c>
    </row>
    <row r="2464" hidden="1" spans="2:18">
      <c r="B2464" s="41" t="s">
        <v>186</v>
      </c>
      <c r="C2464" s="71">
        <v>45863</v>
      </c>
      <c r="D2464" s="41" t="str">
        <f>VLOOKUP(B2464,辅助信息!E:K,7,FALSE)</f>
        <v>JWDDCD2025072900123</v>
      </c>
      <c r="E2464" s="41" t="str">
        <f>VLOOKUP(F2464,辅助信息!A:B,2,FALSE)</f>
        <v>螺纹钢</v>
      </c>
      <c r="F2464" s="41" t="s">
        <v>138</v>
      </c>
      <c r="G2464" s="37">
        <v>40</v>
      </c>
      <c r="H2464" s="135">
        <f>_xlfn.XLOOKUP(C2464&amp;F2464&amp;I2464&amp;J2464,'[1]2025年已发货'!$F:$F&amp;'[1]2025年已发货'!$C:$C&amp;'[1]2025年已发货'!$G:$G&amp;'[1]2025年已发货'!$H:$H,'[1]2025年已发货'!$E:$E,"未发货")</f>
        <v>40</v>
      </c>
      <c r="I2464" s="41" t="str">
        <f>VLOOKUP(B2464,辅助信息!E:I,3,FALSE)</f>
        <v>(乐山市校地共建产教融合基地建设项目二标段)四川省乐山市市中区苏稽镇</v>
      </c>
      <c r="J2464" s="41" t="str">
        <f>VLOOKUP(B2464,辅助信息!E:I,4,FALSE)</f>
        <v>彭江涛</v>
      </c>
      <c r="K2464" s="41">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30" t="str">
        <f>VLOOKUP(B2464,辅助信息!E:M,9,FALSE)</f>
        <v>ZTWM-CDGS-XS-2025-0126-四川机司-乐山市校地共建产教融合基地配套设施项目施工二标段钢筋采购合同</v>
      </c>
      <c r="R2464" s="30" t="str">
        <f>_xlfn._xlws.FILTER(辅助信息!D:D,辅助信息!E:E=B2464)</f>
        <v>乐山市校地共建产教融合基地建设项目</v>
      </c>
    </row>
    <row r="2465" hidden="1" spans="2:18">
      <c r="B2465" s="41" t="s">
        <v>186</v>
      </c>
      <c r="C2465" s="71">
        <v>45863</v>
      </c>
      <c r="D2465" s="41" t="str">
        <f>VLOOKUP(B2465,辅助信息!E:K,7,FALSE)</f>
        <v>JWDDCD2025072900123</v>
      </c>
      <c r="E2465" s="41" t="str">
        <f>VLOOKUP(F2465,辅助信息!A:B,2,FALSE)</f>
        <v>螺纹钢</v>
      </c>
      <c r="F2465" s="41" t="s">
        <v>133</v>
      </c>
      <c r="G2465" s="37">
        <v>74</v>
      </c>
      <c r="H2465" s="135">
        <f>_xlfn.XLOOKUP(C2465&amp;F2465&amp;I2465&amp;J2465,'[1]2025年已发货'!$F:$F&amp;'[1]2025年已发货'!$C:$C&amp;'[1]2025年已发货'!$G:$G&amp;'[1]2025年已发货'!$H:$H,'[1]2025年已发货'!$E:$E,"未发货")</f>
        <v>74</v>
      </c>
      <c r="I2465" s="41" t="str">
        <f>VLOOKUP(B2465,辅助信息!E:I,3,FALSE)</f>
        <v>(乐山市校地共建产教融合基地建设项目二标段)四川省乐山市市中区苏稽镇</v>
      </c>
      <c r="J2465" s="41" t="str">
        <f>VLOOKUP(B2465,辅助信息!E:I,4,FALSE)</f>
        <v>彭江涛</v>
      </c>
      <c r="K2465" s="41">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30" t="str">
        <f>VLOOKUP(B2465,辅助信息!E:M,9,FALSE)</f>
        <v>ZTWM-CDGS-XS-2025-0126-四川机司-乐山市校地共建产教融合基地配套设施项目施工二标段钢筋采购合同</v>
      </c>
      <c r="R2465" s="30" t="str">
        <f>_xlfn._xlws.FILTER(辅助信息!D:D,辅助信息!E:E=B2465)</f>
        <v>乐山市校地共建产教融合基地建设项目</v>
      </c>
    </row>
    <row r="2466" hidden="1" spans="2:18">
      <c r="B2466" s="41" t="s">
        <v>186</v>
      </c>
      <c r="C2466" s="71">
        <v>45863</v>
      </c>
      <c r="D2466" s="41" t="str">
        <f>VLOOKUP(B2466,辅助信息!E:K,7,FALSE)</f>
        <v>JWDDCD2025072900123</v>
      </c>
      <c r="E2466" s="41" t="str">
        <f>VLOOKUP(F2466,辅助信息!A:B,2,FALSE)</f>
        <v>螺纹钢</v>
      </c>
      <c r="F2466" s="41" t="s">
        <v>91</v>
      </c>
      <c r="G2466" s="37">
        <v>108</v>
      </c>
      <c r="H2466" s="135">
        <f>_xlfn.XLOOKUP(C2466&amp;F2466&amp;I2466&amp;J2466,'[1]2025年已发货'!$F:$F&amp;'[1]2025年已发货'!$C:$C&amp;'[1]2025年已发货'!$G:$G&amp;'[1]2025年已发货'!$H:$H,'[1]2025年已发货'!$E:$E,"未发货")</f>
        <v>108</v>
      </c>
      <c r="I2466" s="41" t="str">
        <f>VLOOKUP(B2466,辅助信息!E:I,3,FALSE)</f>
        <v>(乐山市校地共建产教融合基地建设项目二标段)四川省乐山市市中区苏稽镇</v>
      </c>
      <c r="J2466" s="41" t="str">
        <f>VLOOKUP(B2466,辅助信息!E:I,4,FALSE)</f>
        <v>彭江涛</v>
      </c>
      <c r="K2466" s="41">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30" t="str">
        <f>VLOOKUP(B2466,辅助信息!E:M,9,FALSE)</f>
        <v>ZTWM-CDGS-XS-2025-0126-四川机司-乐山市校地共建产教融合基地配套设施项目施工二标段钢筋采购合同</v>
      </c>
      <c r="R2466" s="30" t="str">
        <f>_xlfn._xlws.FILTER(辅助信息!D:D,辅助信息!E:E=B2466)</f>
        <v>乐山市校地共建产教融合基地建设项目</v>
      </c>
    </row>
    <row r="2467" hidden="1" spans="2:18">
      <c r="B2467" s="41" t="s">
        <v>186</v>
      </c>
      <c r="C2467" s="71">
        <v>45863</v>
      </c>
      <c r="D2467" s="41" t="str">
        <f>VLOOKUP(B2467,辅助信息!E:K,7,FALSE)</f>
        <v>JWDDCD2025072900123</v>
      </c>
      <c r="E2467" s="41" t="str">
        <f>VLOOKUP(F2467,辅助信息!A:B,2,FALSE)</f>
        <v>螺纹钢</v>
      </c>
      <c r="F2467" s="41" t="s">
        <v>77</v>
      </c>
      <c r="G2467" s="37">
        <v>22</v>
      </c>
      <c r="H2467" s="135">
        <f>_xlfn.XLOOKUP(C2467&amp;F2467&amp;I2467&amp;J2467,'[1]2025年已发货'!$F:$F&amp;'[1]2025年已发货'!$C:$C&amp;'[1]2025年已发货'!$G:$G&amp;'[1]2025年已发货'!$H:$H,'[1]2025年已发货'!$E:$E,"未发货")</f>
        <v>22</v>
      </c>
      <c r="I2467" s="41" t="str">
        <f>VLOOKUP(B2467,辅助信息!E:I,3,FALSE)</f>
        <v>(乐山市校地共建产教融合基地建设项目二标段)四川省乐山市市中区苏稽镇</v>
      </c>
      <c r="J2467" s="41" t="str">
        <f>VLOOKUP(B2467,辅助信息!E:I,4,FALSE)</f>
        <v>彭江涛</v>
      </c>
      <c r="K2467" s="41">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30" t="str">
        <f>VLOOKUP(B2467,辅助信息!E:M,9,FALSE)</f>
        <v>ZTWM-CDGS-XS-2025-0126-四川机司-乐山市校地共建产教融合基地配套设施项目施工二标段钢筋采购合同</v>
      </c>
      <c r="R2467" s="30" t="str">
        <f>_xlfn._xlws.FILTER(辅助信息!D:D,辅助信息!E:E=B2467)</f>
        <v>乐山市校地共建产教融合基地建设项目</v>
      </c>
    </row>
    <row r="2468" hidden="1" spans="2:18">
      <c r="B2468" s="41" t="s">
        <v>186</v>
      </c>
      <c r="C2468" s="71">
        <v>45863</v>
      </c>
      <c r="D2468" s="41" t="str">
        <f>VLOOKUP(B2468,辅助信息!E:K,7,FALSE)</f>
        <v>JWDDCD2025072900123</v>
      </c>
      <c r="E2468" s="41" t="str">
        <f>VLOOKUP(F2468,辅助信息!A:B,2,FALSE)</f>
        <v>螺纹钢</v>
      </c>
      <c r="F2468" s="41" t="s">
        <v>140</v>
      </c>
      <c r="G2468" s="37">
        <v>6</v>
      </c>
      <c r="H2468" s="135">
        <f>_xlfn.XLOOKUP(C2468&amp;F2468&amp;I2468&amp;J2468,'[1]2025年已发货'!$F:$F&amp;'[1]2025年已发货'!$C:$C&amp;'[1]2025年已发货'!$G:$G&amp;'[1]2025年已发货'!$H:$H,'[1]2025年已发货'!$E:$E,"未发货")</f>
        <v>5</v>
      </c>
      <c r="I2468" s="41" t="str">
        <f>VLOOKUP(B2468,辅助信息!E:I,3,FALSE)</f>
        <v>(乐山市校地共建产教融合基地建设项目二标段)四川省乐山市市中区苏稽镇</v>
      </c>
      <c r="J2468" s="41" t="str">
        <f>VLOOKUP(B2468,辅助信息!E:I,4,FALSE)</f>
        <v>彭江涛</v>
      </c>
      <c r="K2468" s="41">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30" t="str">
        <f>VLOOKUP(B2468,辅助信息!E:M,9,FALSE)</f>
        <v>ZTWM-CDGS-XS-2025-0126-四川机司-乐山市校地共建产教融合基地配套设施项目施工二标段钢筋采购合同</v>
      </c>
      <c r="R2468" s="30" t="str">
        <f>_xlfn._xlws.FILTER(辅助信息!D:D,辅助信息!E:E=B2468)</f>
        <v>乐山市校地共建产教融合基地建设项目</v>
      </c>
    </row>
    <row r="2469" hidden="1" spans="2:18">
      <c r="B2469" s="41" t="s">
        <v>186</v>
      </c>
      <c r="C2469" s="71">
        <v>45863</v>
      </c>
      <c r="D2469" s="41" t="str">
        <f>VLOOKUP(B2469,辅助信息!E:K,7,FALSE)</f>
        <v>JWDDCD2025072900123</v>
      </c>
      <c r="E2469" s="41" t="str">
        <f>VLOOKUP(F2469,辅助信息!A:B,2,FALSE)</f>
        <v>螺纹钢</v>
      </c>
      <c r="F2469" s="41" t="s">
        <v>197</v>
      </c>
      <c r="G2469" s="37">
        <v>6</v>
      </c>
      <c r="H2469" s="135">
        <f>_xlfn.XLOOKUP(C2469&amp;F2469&amp;I2469&amp;J2469,'[1]2025年已发货'!$F:$F&amp;'[1]2025年已发货'!$C:$C&amp;'[1]2025年已发货'!$G:$G&amp;'[1]2025年已发货'!$H:$H,'[1]2025年已发货'!$E:$E,"未发货")</f>
        <v>5</v>
      </c>
      <c r="I2469" s="41" t="str">
        <f>VLOOKUP(B2469,辅助信息!E:I,3,FALSE)</f>
        <v>(乐山市校地共建产教融合基地建设项目二标段)四川省乐山市市中区苏稽镇</v>
      </c>
      <c r="J2469" s="41" t="str">
        <f>VLOOKUP(B2469,辅助信息!E:I,4,FALSE)</f>
        <v>彭江涛</v>
      </c>
      <c r="K2469" s="41">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30" t="str">
        <f>VLOOKUP(B2469,辅助信息!E:M,9,FALSE)</f>
        <v>ZTWM-CDGS-XS-2025-0126-四川机司-乐山市校地共建产教融合基地配套设施项目施工二标段钢筋采购合同</v>
      </c>
      <c r="R2469" s="30" t="str">
        <f>_xlfn._xlws.FILTER(辅助信息!D:D,辅助信息!E:E=B2469)</f>
        <v>乐山市校地共建产教融合基地建设项目</v>
      </c>
    </row>
    <row r="2470" hidden="1" spans="2:18">
      <c r="B2470" s="41" t="s">
        <v>186</v>
      </c>
      <c r="C2470" s="71">
        <v>45863</v>
      </c>
      <c r="D2470" s="41" t="str">
        <f>VLOOKUP(B2470,辅助信息!E:K,7,FALSE)</f>
        <v>JWDDCD2025072900123</v>
      </c>
      <c r="E2470" s="41" t="str">
        <f>VLOOKUP(F2470,辅助信息!A:B,2,FALSE)</f>
        <v>螺纹钢</v>
      </c>
      <c r="F2470" s="41" t="s">
        <v>198</v>
      </c>
      <c r="G2470" s="37">
        <v>10</v>
      </c>
      <c r="H2470" s="135">
        <f>_xlfn.XLOOKUP(C2470&amp;F2470&amp;I2470&amp;J2470,'[1]2025年已发货'!$F:$F&amp;'[1]2025年已发货'!$C:$C&amp;'[1]2025年已发货'!$G:$G&amp;'[1]2025年已发货'!$H:$H,'[1]2025年已发货'!$E:$E,"未发货")</f>
        <v>10</v>
      </c>
      <c r="I2470" s="41" t="str">
        <f>VLOOKUP(B2470,辅助信息!E:I,3,FALSE)</f>
        <v>(乐山市校地共建产教融合基地建设项目二标段)四川省乐山市市中区苏稽镇</v>
      </c>
      <c r="J2470" s="41" t="str">
        <f>VLOOKUP(B2470,辅助信息!E:I,4,FALSE)</f>
        <v>彭江涛</v>
      </c>
      <c r="K2470" s="41">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30" t="str">
        <f>VLOOKUP(B2470,辅助信息!E:M,9,FALSE)</f>
        <v>ZTWM-CDGS-XS-2025-0126-四川机司-乐山市校地共建产教融合基地配套设施项目施工二标段钢筋采购合同</v>
      </c>
      <c r="R2470" s="30" t="str">
        <f>_xlfn._xlws.FILTER(辅助信息!D:D,辅助信息!E:E=B2470)</f>
        <v>乐山市校地共建产教融合基地建设项目</v>
      </c>
    </row>
    <row r="2471" hidden="1" spans="2:18">
      <c r="B2471" s="41" t="s">
        <v>186</v>
      </c>
      <c r="C2471" s="71">
        <v>45863</v>
      </c>
      <c r="D2471" s="41" t="str">
        <f>VLOOKUP(B2471,辅助信息!E:K,7,FALSE)</f>
        <v>JWDDCD2025072900123</v>
      </c>
      <c r="E2471" s="41" t="str">
        <f>VLOOKUP(F2471,辅助信息!A:B,2,FALSE)</f>
        <v>螺纹钢</v>
      </c>
      <c r="F2471" s="41" t="s">
        <v>199</v>
      </c>
      <c r="G2471" s="37">
        <v>10</v>
      </c>
      <c r="H2471" s="135">
        <f>_xlfn.XLOOKUP(C2471&amp;F2471&amp;I2471&amp;J2471,'[1]2025年已发货'!$F:$F&amp;'[1]2025年已发货'!$C:$C&amp;'[1]2025年已发货'!$G:$G&amp;'[1]2025年已发货'!$H:$H,'[1]2025年已发货'!$E:$E,"未发货")</f>
        <v>10</v>
      </c>
      <c r="I2471" s="41" t="str">
        <f>VLOOKUP(B2471,辅助信息!E:I,3,FALSE)</f>
        <v>(乐山市校地共建产教融合基地建设项目二标段)四川省乐山市市中区苏稽镇</v>
      </c>
      <c r="J2471" s="41" t="str">
        <f>VLOOKUP(B2471,辅助信息!E:I,4,FALSE)</f>
        <v>彭江涛</v>
      </c>
      <c r="K2471" s="41">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30" t="str">
        <f>VLOOKUP(B2471,辅助信息!E:M,9,FALSE)</f>
        <v>ZTWM-CDGS-XS-2025-0126-四川机司-乐山市校地共建产教融合基地配套设施项目施工二标段钢筋采购合同</v>
      </c>
      <c r="R2471" s="30" t="str">
        <f>_xlfn._xlws.FILTER(辅助信息!D:D,辅助信息!E:E=B2471)</f>
        <v>乐山市校地共建产教融合基地建设项目</v>
      </c>
    </row>
    <row r="2472" hidden="1" spans="2:18">
      <c r="B2472" s="41" t="s">
        <v>186</v>
      </c>
      <c r="C2472" s="71">
        <v>45863</v>
      </c>
      <c r="D2472" s="41" t="str">
        <f>VLOOKUP(B2472,辅助信息!E:K,7,FALSE)</f>
        <v>JWDDCD2025072900123</v>
      </c>
      <c r="E2472" s="41" t="str">
        <f>VLOOKUP(F2472,辅助信息!A:B,2,FALSE)</f>
        <v>螺纹钢</v>
      </c>
      <c r="F2472" s="41" t="s">
        <v>142</v>
      </c>
      <c r="G2472" s="37">
        <v>45</v>
      </c>
      <c r="H2472" s="135">
        <f>_xlfn.XLOOKUP(C2472&amp;F2472&amp;I2472&amp;J2472,'[1]2025年已发货'!$F:$F&amp;'[1]2025年已发货'!$C:$C&amp;'[1]2025年已发货'!$G:$G&amp;'[1]2025年已发货'!$H:$H,'[1]2025年已发货'!$E:$E,"未发货")</f>
        <v>45</v>
      </c>
      <c r="I2472" s="41" t="str">
        <f>VLOOKUP(B2472,辅助信息!E:I,3,FALSE)</f>
        <v>(乐山市校地共建产教融合基地建设项目二标段)四川省乐山市市中区苏稽镇</v>
      </c>
      <c r="J2472" s="41" t="str">
        <f>VLOOKUP(B2472,辅助信息!E:I,4,FALSE)</f>
        <v>彭江涛</v>
      </c>
      <c r="K2472" s="41">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30" t="str">
        <f>VLOOKUP(B2472,辅助信息!E:M,9,FALSE)</f>
        <v>ZTWM-CDGS-XS-2025-0126-四川机司-乐山市校地共建产教融合基地配套设施项目施工二标段钢筋采购合同</v>
      </c>
      <c r="R2472" s="30" t="str">
        <f>_xlfn._xlws.FILTER(辅助信息!D:D,辅助信息!E:E=B2472)</f>
        <v>乐山市校地共建产教融合基地建设项目</v>
      </c>
    </row>
    <row r="2473" hidden="1" spans="2:18">
      <c r="B2473" s="41" t="s">
        <v>186</v>
      </c>
      <c r="C2473" s="71">
        <v>45863</v>
      </c>
      <c r="D2473" s="41" t="str">
        <f>VLOOKUP(B2473,辅助信息!E:K,7,FALSE)</f>
        <v>JWDDCD2025072900123</v>
      </c>
      <c r="E2473" s="41" t="str">
        <f>VLOOKUP(F2473,辅助信息!A:B,2,FALSE)</f>
        <v>螺纹钢</v>
      </c>
      <c r="F2473" s="41" t="s">
        <v>200</v>
      </c>
      <c r="G2473" s="37">
        <v>30</v>
      </c>
      <c r="H2473" s="135">
        <f>_xlfn.XLOOKUP(C2473&amp;F2473&amp;I2473&amp;J2473,'[1]2025年已发货'!$F:$F&amp;'[1]2025年已发货'!$C:$C&amp;'[1]2025年已发货'!$G:$G&amp;'[1]2025年已发货'!$H:$H,'[1]2025年已发货'!$E:$E,"未发货")</f>
        <v>30</v>
      </c>
      <c r="I2473" s="41" t="str">
        <f>VLOOKUP(B2473,辅助信息!E:I,3,FALSE)</f>
        <v>(乐山市校地共建产教融合基地建设项目二标段)四川省乐山市市中区苏稽镇</v>
      </c>
      <c r="J2473" s="41" t="str">
        <f>VLOOKUP(B2473,辅助信息!E:I,4,FALSE)</f>
        <v>彭江涛</v>
      </c>
      <c r="K2473" s="41">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30" t="str">
        <f>VLOOKUP(B2473,辅助信息!E:M,9,FALSE)</f>
        <v>ZTWM-CDGS-XS-2025-0126-四川机司-乐山市校地共建产教融合基地配套设施项目施工二标段钢筋采购合同</v>
      </c>
      <c r="R2473" s="30" t="str">
        <f>_xlfn._xlws.FILTER(辅助信息!D:D,辅助信息!E:E=B2473)</f>
        <v>乐山市校地共建产教融合基地建设项目</v>
      </c>
    </row>
    <row r="2474" hidden="1" spans="2:18">
      <c r="B2474" s="41" t="s">
        <v>186</v>
      </c>
      <c r="C2474" s="71">
        <v>45863</v>
      </c>
      <c r="D2474" s="41" t="str">
        <f>VLOOKUP(B2474,辅助信息!E:K,7,FALSE)</f>
        <v>JWDDCD2025072900123</v>
      </c>
      <c r="E2474" s="41" t="str">
        <f>VLOOKUP(F2474,辅助信息!A:B,2,FALSE)</f>
        <v>螺纹钢</v>
      </c>
      <c r="F2474" s="41" t="s">
        <v>201</v>
      </c>
      <c r="G2474" s="37">
        <v>30</v>
      </c>
      <c r="H2474" s="135">
        <f>_xlfn.XLOOKUP(C2474&amp;F2474&amp;I2474&amp;J2474,'[1]2025年已发货'!$F:$F&amp;'[1]2025年已发货'!$C:$C&amp;'[1]2025年已发货'!$G:$G&amp;'[1]2025年已发货'!$H:$H,'[1]2025年已发货'!$E:$E,"未发货")</f>
        <v>30</v>
      </c>
      <c r="I2474" s="41" t="str">
        <f>VLOOKUP(B2474,辅助信息!E:I,3,FALSE)</f>
        <v>(乐山市校地共建产教融合基地建设项目二标段)四川省乐山市市中区苏稽镇</v>
      </c>
      <c r="J2474" s="41" t="str">
        <f>VLOOKUP(B2474,辅助信息!E:I,4,FALSE)</f>
        <v>彭江涛</v>
      </c>
      <c r="K2474" s="41">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30" t="str">
        <f>VLOOKUP(B2474,辅助信息!E:M,9,FALSE)</f>
        <v>ZTWM-CDGS-XS-2025-0126-四川机司-乐山市校地共建产教融合基地配套设施项目施工二标段钢筋采购合同</v>
      </c>
      <c r="R2474" s="30" t="str">
        <f>_xlfn._xlws.FILTER(辅助信息!D:D,辅助信息!E:E=B2474)</f>
        <v>乐山市校地共建产教融合基地建设项目</v>
      </c>
    </row>
    <row r="2475" hidden="1" spans="2:18">
      <c r="B2475" s="41" t="s">
        <v>167</v>
      </c>
      <c r="C2475" s="71">
        <v>45864</v>
      </c>
      <c r="D2475" s="41" t="str">
        <f>VLOOKUP(B2475,辅助信息!E:K,7,FALSE)</f>
        <v>JWDDCD2025102100473</v>
      </c>
      <c r="E2475" s="41" t="str">
        <f>VLOOKUP(F2475,辅助信息!A:B,2,FALSE)</f>
        <v>螺纹钢</v>
      </c>
      <c r="F2475" s="41" t="s">
        <v>27</v>
      </c>
      <c r="G2475" s="37">
        <v>30</v>
      </c>
      <c r="H2475" s="135">
        <f>_xlfn.XLOOKUP(C2475&amp;F2475&amp;I2475&amp;J2475,'[1]2025年已发货'!$F:$F&amp;'[1]2025年已发货'!$C:$C&amp;'[1]2025年已发货'!$G:$G&amp;'[1]2025年已发货'!$H:$H,'[1]2025年已发货'!$E:$E,"未发货")</f>
        <v>30</v>
      </c>
      <c r="I2475" s="41" t="str">
        <f>VLOOKUP(B2475,辅助信息!E:I,3,FALSE)</f>
        <v>(五冶建设扩建艺体中学二期工程)四川省成都市双流区光荣路成都艺体中学南200米</v>
      </c>
      <c r="J2475" s="41" t="str">
        <f>VLOOKUP(B2475,辅助信息!E:I,4,FALSE)</f>
        <v>谢序强</v>
      </c>
      <c r="K2475" s="41">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30" t="str">
        <f>VLOOKUP(B2475,辅助信息!E:M,9,FALSE)</f>
        <v>ZTWM-CDGS-XS-2025-0073-五冶天府-成都怡心湖片区及龙泉驿医院等项目</v>
      </c>
      <c r="R2475" s="30" t="str">
        <f>_xlfn._xlws.FILTER(辅助信息!D:D,辅助信息!E:E=B2475)</f>
        <v>五冶建设扩建艺体中学二期工程</v>
      </c>
    </row>
    <row r="2476" hidden="1" spans="2:18">
      <c r="B2476" s="41" t="s">
        <v>167</v>
      </c>
      <c r="C2476" s="71">
        <v>45864</v>
      </c>
      <c r="D2476" s="41" t="str">
        <f>VLOOKUP(B2476,辅助信息!E:K,7,FALSE)</f>
        <v>JWDDCD2025102100473</v>
      </c>
      <c r="E2476" s="41" t="str">
        <f>VLOOKUP(F2476,辅助信息!A:B,2,FALSE)</f>
        <v>螺纹钢</v>
      </c>
      <c r="F2476" s="41" t="s">
        <v>19</v>
      </c>
      <c r="G2476" s="37">
        <v>25</v>
      </c>
      <c r="H2476" s="135">
        <f>_xlfn.XLOOKUP(C2476&amp;F2476&amp;I2476&amp;J2476,'[1]2025年已发货'!$F:$F&amp;'[1]2025年已发货'!$C:$C&amp;'[1]2025年已发货'!$G:$G&amp;'[1]2025年已发货'!$H:$H,'[1]2025年已发货'!$E:$E,"未发货")</f>
        <v>25</v>
      </c>
      <c r="I2476" s="41" t="str">
        <f>VLOOKUP(B2476,辅助信息!E:I,3,FALSE)</f>
        <v>(五冶建设扩建艺体中学二期工程)四川省成都市双流区光荣路成都艺体中学南200米</v>
      </c>
      <c r="J2476" s="41" t="str">
        <f>VLOOKUP(B2476,辅助信息!E:I,4,FALSE)</f>
        <v>谢序强</v>
      </c>
      <c r="K2476" s="41">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30" t="str">
        <f>VLOOKUP(B2476,辅助信息!E:M,9,FALSE)</f>
        <v>ZTWM-CDGS-XS-2025-0073-五冶天府-成都怡心湖片区及龙泉驿医院等项目</v>
      </c>
      <c r="R2476" s="30" t="str">
        <f>_xlfn._xlws.FILTER(辅助信息!D:D,辅助信息!E:E=B2476)</f>
        <v>五冶建设扩建艺体中学二期工程</v>
      </c>
    </row>
    <row r="2477" hidden="1" spans="2:18">
      <c r="B2477" s="41" t="s">
        <v>167</v>
      </c>
      <c r="C2477" s="71">
        <v>45864</v>
      </c>
      <c r="D2477" s="41" t="str">
        <f>VLOOKUP(B2477,辅助信息!E:K,7,FALSE)</f>
        <v>JWDDCD2025102100473</v>
      </c>
      <c r="E2477" s="41" t="str">
        <f>VLOOKUP(F2477,辅助信息!A:B,2,FALSE)</f>
        <v>螺纹钢</v>
      </c>
      <c r="F2477" s="41" t="s">
        <v>32</v>
      </c>
      <c r="G2477" s="37">
        <v>20</v>
      </c>
      <c r="H2477" s="135">
        <f>_xlfn.XLOOKUP(C2477&amp;F2477&amp;I2477&amp;J2477,'[1]2025年已发货'!$F:$F&amp;'[1]2025年已发货'!$C:$C&amp;'[1]2025年已发货'!$G:$G&amp;'[1]2025年已发货'!$H:$H,'[1]2025年已发货'!$E:$E,"未发货")</f>
        <v>20</v>
      </c>
      <c r="I2477" s="41" t="str">
        <f>VLOOKUP(B2477,辅助信息!E:I,3,FALSE)</f>
        <v>(五冶建设扩建艺体中学二期工程)四川省成都市双流区光荣路成都艺体中学南200米</v>
      </c>
      <c r="J2477" s="41" t="str">
        <f>VLOOKUP(B2477,辅助信息!E:I,4,FALSE)</f>
        <v>谢序强</v>
      </c>
      <c r="K2477" s="41">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30" t="str">
        <f>VLOOKUP(B2477,辅助信息!E:M,9,FALSE)</f>
        <v>ZTWM-CDGS-XS-2025-0073-五冶天府-成都怡心湖片区及龙泉驿医院等项目</v>
      </c>
      <c r="R2477" s="30" t="str">
        <f>_xlfn._xlws.FILTER(辅助信息!D:D,辅助信息!E:E=B2477)</f>
        <v>五冶建设扩建艺体中学二期工程</v>
      </c>
    </row>
    <row r="2478" hidden="1" spans="2:18">
      <c r="B2478" s="41" t="s">
        <v>167</v>
      </c>
      <c r="C2478" s="71">
        <v>45864</v>
      </c>
      <c r="D2478" s="41" t="str">
        <f>VLOOKUP(B2478,辅助信息!E:K,7,FALSE)</f>
        <v>JWDDCD2025102100473</v>
      </c>
      <c r="E2478" s="41" t="str">
        <f>VLOOKUP(F2478,辅助信息!A:B,2,FALSE)</f>
        <v>螺纹钢</v>
      </c>
      <c r="F2478" s="41" t="s">
        <v>30</v>
      </c>
      <c r="G2478" s="37">
        <v>30</v>
      </c>
      <c r="H2478" s="135">
        <f>_xlfn.XLOOKUP(C2478&amp;F2478&amp;I2478&amp;J2478,'[1]2025年已发货'!$F:$F&amp;'[1]2025年已发货'!$C:$C&amp;'[1]2025年已发货'!$G:$G&amp;'[1]2025年已发货'!$H:$H,'[1]2025年已发货'!$E:$E,"未发货")</f>
        <v>8</v>
      </c>
      <c r="I2478" s="41" t="str">
        <f>VLOOKUP(B2478,辅助信息!E:I,3,FALSE)</f>
        <v>(五冶建设扩建艺体中学二期工程)四川省成都市双流区光荣路成都艺体中学南200米</v>
      </c>
      <c r="J2478" s="41" t="str">
        <f>VLOOKUP(B2478,辅助信息!E:I,4,FALSE)</f>
        <v>谢序强</v>
      </c>
      <c r="K2478" s="41">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30" t="str">
        <f>VLOOKUP(B2478,辅助信息!E:M,9,FALSE)</f>
        <v>ZTWM-CDGS-XS-2025-0073-五冶天府-成都怡心湖片区及龙泉驿医院等项目</v>
      </c>
      <c r="R2478" s="30" t="str">
        <f>_xlfn._xlws.FILTER(辅助信息!D:D,辅助信息!E:E=B2478)</f>
        <v>五冶建设扩建艺体中学二期工程</v>
      </c>
    </row>
    <row r="2479" hidden="1" spans="2:18">
      <c r="B2479" s="41" t="s">
        <v>167</v>
      </c>
      <c r="C2479" s="71">
        <v>45864</v>
      </c>
      <c r="D2479" s="41" t="str">
        <f>VLOOKUP(B2479,辅助信息!E:K,7,FALSE)</f>
        <v>JWDDCD2025102100473</v>
      </c>
      <c r="E2479" s="41" t="str">
        <f>VLOOKUP(F2479,辅助信息!A:B,2,FALSE)</f>
        <v>螺纹钢</v>
      </c>
      <c r="F2479" s="41" t="s">
        <v>33</v>
      </c>
      <c r="G2479" s="37">
        <v>20</v>
      </c>
      <c r="H2479" s="135">
        <f>_xlfn.XLOOKUP(C2479&amp;F2479&amp;I2479&amp;J2479,'[1]2025年已发货'!$F:$F&amp;'[1]2025年已发货'!$C:$C&amp;'[1]2025年已发货'!$G:$G&amp;'[1]2025年已发货'!$H:$H,'[1]2025年已发货'!$E:$E,"未发货")</f>
        <v>20</v>
      </c>
      <c r="I2479" s="41" t="str">
        <f>VLOOKUP(B2479,辅助信息!E:I,3,FALSE)</f>
        <v>(五冶建设扩建艺体中学二期工程)四川省成都市双流区光荣路成都艺体中学南200米</v>
      </c>
      <c r="J2479" s="41" t="str">
        <f>VLOOKUP(B2479,辅助信息!E:I,4,FALSE)</f>
        <v>谢序强</v>
      </c>
      <c r="K2479" s="41">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30" t="str">
        <f>VLOOKUP(B2479,辅助信息!E:M,9,FALSE)</f>
        <v>ZTWM-CDGS-XS-2025-0073-五冶天府-成都怡心湖片区及龙泉驿医院等项目</v>
      </c>
      <c r="R2479" s="30" t="str">
        <f>_xlfn._xlws.FILTER(辅助信息!D:D,辅助信息!E:E=B2479)</f>
        <v>五冶建设扩建艺体中学二期工程</v>
      </c>
    </row>
    <row r="2480" hidden="1" spans="2:18">
      <c r="B2480" s="41" t="s">
        <v>167</v>
      </c>
      <c r="C2480" s="71">
        <v>45864</v>
      </c>
      <c r="D2480" s="41" t="str">
        <f>VLOOKUP(B2480,辅助信息!E:K,7,FALSE)</f>
        <v>JWDDCD2025102100473</v>
      </c>
      <c r="E2480" s="41" t="str">
        <f>VLOOKUP(F2480,辅助信息!A:B,2,FALSE)</f>
        <v>螺纹钢</v>
      </c>
      <c r="F2480" s="41" t="s">
        <v>28</v>
      </c>
      <c r="G2480" s="37">
        <v>40</v>
      </c>
      <c r="H2480" s="135">
        <f>_xlfn.XLOOKUP(C2480&amp;F2480&amp;I2480&amp;J2480,'[1]2025年已发货'!$F:$F&amp;'[1]2025年已发货'!$C:$C&amp;'[1]2025年已发货'!$G:$G&amp;'[1]2025年已发货'!$H:$H,'[1]2025年已发货'!$E:$E,"未发货")</f>
        <v>40</v>
      </c>
      <c r="I2480" s="41" t="str">
        <f>VLOOKUP(B2480,辅助信息!E:I,3,FALSE)</f>
        <v>(五冶建设扩建艺体中学二期工程)四川省成都市双流区光荣路成都艺体中学南200米</v>
      </c>
      <c r="J2480" s="41" t="str">
        <f>VLOOKUP(B2480,辅助信息!E:I,4,FALSE)</f>
        <v>谢序强</v>
      </c>
      <c r="K2480" s="41">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30" t="str">
        <f>VLOOKUP(B2480,辅助信息!E:M,9,FALSE)</f>
        <v>ZTWM-CDGS-XS-2025-0073-五冶天府-成都怡心湖片区及龙泉驿医院等项目</v>
      </c>
      <c r="R2480" s="30" t="str">
        <f>_xlfn._xlws.FILTER(辅助信息!D:D,辅助信息!E:E=B2480)</f>
        <v>五冶建设扩建艺体中学二期工程</v>
      </c>
    </row>
    <row r="2481" hidden="1" spans="2:18">
      <c r="B2481" s="41" t="s">
        <v>167</v>
      </c>
      <c r="C2481" s="71">
        <v>45864</v>
      </c>
      <c r="D2481" s="41" t="str">
        <f>VLOOKUP(B2481,辅助信息!E:K,7,FALSE)</f>
        <v>JWDDCD2025102100473</v>
      </c>
      <c r="E2481" s="41" t="str">
        <f>VLOOKUP(F2481,辅助信息!A:B,2,FALSE)</f>
        <v>螺纹钢</v>
      </c>
      <c r="F2481" s="41" t="s">
        <v>46</v>
      </c>
      <c r="G2481" s="37">
        <v>10</v>
      </c>
      <c r="H2481" s="135">
        <f>_xlfn.XLOOKUP(C2481&amp;F2481&amp;I2481&amp;J2481,'[1]2025年已发货'!$F:$F&amp;'[1]2025年已发货'!$C:$C&amp;'[1]2025年已发货'!$G:$G&amp;'[1]2025年已发货'!$H:$H,'[1]2025年已发货'!$E:$E,"未发货")</f>
        <v>6</v>
      </c>
      <c r="I2481" s="41" t="str">
        <f>VLOOKUP(B2481,辅助信息!E:I,3,FALSE)</f>
        <v>(五冶建设扩建艺体中学二期工程)四川省成都市双流区光荣路成都艺体中学南200米</v>
      </c>
      <c r="J2481" s="41" t="str">
        <f>VLOOKUP(B2481,辅助信息!E:I,4,FALSE)</f>
        <v>谢序强</v>
      </c>
      <c r="K2481" s="41">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30" t="str">
        <f>VLOOKUP(B2481,辅助信息!E:M,9,FALSE)</f>
        <v>ZTWM-CDGS-XS-2025-0073-五冶天府-成都怡心湖片区及龙泉驿医院等项目</v>
      </c>
      <c r="R2481" s="30" t="str">
        <f>_xlfn._xlws.FILTER(辅助信息!D:D,辅助信息!E:E=B2481)</f>
        <v>五冶建设扩建艺体中学二期工程</v>
      </c>
    </row>
    <row r="2482" hidden="1" spans="2:18">
      <c r="B2482" s="41" t="s">
        <v>167</v>
      </c>
      <c r="C2482" s="71">
        <v>45864</v>
      </c>
      <c r="D2482" s="41" t="str">
        <f>VLOOKUP(B2482,辅助信息!E:K,7,FALSE)</f>
        <v>JWDDCD2025102100473</v>
      </c>
      <c r="E2482" s="41" t="str">
        <f>VLOOKUP(F2482,辅助信息!A:B,2,FALSE)</f>
        <v>螺纹钢</v>
      </c>
      <c r="F2482" s="41" t="s">
        <v>22</v>
      </c>
      <c r="G2482" s="37">
        <v>50</v>
      </c>
      <c r="H2482" s="135">
        <f>_xlfn.XLOOKUP(C2482&amp;F2482&amp;I2482&amp;J2482,'[1]2025年已发货'!$F:$F&amp;'[1]2025年已发货'!$C:$C&amp;'[1]2025年已发货'!$G:$G&amp;'[1]2025年已发货'!$H:$H,'[1]2025年已发货'!$E:$E,"未发货")</f>
        <v>50</v>
      </c>
      <c r="I2482" s="41" t="str">
        <f>VLOOKUP(B2482,辅助信息!E:I,3,FALSE)</f>
        <v>(五冶建设扩建艺体中学二期工程)四川省成都市双流区光荣路成都艺体中学南200米</v>
      </c>
      <c r="J2482" s="41" t="str">
        <f>VLOOKUP(B2482,辅助信息!E:I,4,FALSE)</f>
        <v>谢序强</v>
      </c>
      <c r="K2482" s="41">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30" t="str">
        <f>VLOOKUP(B2482,辅助信息!E:M,9,FALSE)</f>
        <v>ZTWM-CDGS-XS-2025-0073-五冶天府-成都怡心湖片区及龙泉驿医院等项目</v>
      </c>
      <c r="R2482" s="30" t="str">
        <f>_xlfn._xlws.FILTER(辅助信息!D:D,辅助信息!E:E=B2482)</f>
        <v>五冶建设扩建艺体中学二期工程</v>
      </c>
    </row>
    <row r="2483" hidden="1" spans="2:18">
      <c r="B2483" s="41" t="s">
        <v>167</v>
      </c>
      <c r="C2483" s="71">
        <v>45864</v>
      </c>
      <c r="D2483" s="41" t="str">
        <f>VLOOKUP(B2483,辅助信息!E:K,7,FALSE)</f>
        <v>JWDDCD2025102100473</v>
      </c>
      <c r="E2483" s="41" t="str">
        <f>VLOOKUP(F2483,辅助信息!A:B,2,FALSE)</f>
        <v>螺纹钢</v>
      </c>
      <c r="F2483" s="41" t="s">
        <v>182</v>
      </c>
      <c r="G2483" s="37">
        <v>5</v>
      </c>
      <c r="H2483" s="135">
        <f>_xlfn.XLOOKUP(C2483&amp;F2483&amp;I2483&amp;J2483,'[1]2025年已发货'!$F:$F&amp;'[1]2025年已发货'!$C:$C&amp;'[1]2025年已发货'!$G:$G&amp;'[1]2025年已发货'!$H:$H,'[1]2025年已发货'!$E:$E,"未发货")</f>
        <v>5</v>
      </c>
      <c r="I2483" s="41" t="str">
        <f>VLOOKUP(B2483,辅助信息!E:I,3,FALSE)</f>
        <v>(五冶建设扩建艺体中学二期工程)四川省成都市双流区光荣路成都艺体中学南200米</v>
      </c>
      <c r="J2483" s="41" t="str">
        <f>VLOOKUP(B2483,辅助信息!E:I,4,FALSE)</f>
        <v>谢序强</v>
      </c>
      <c r="K2483" s="41">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30" t="str">
        <f>VLOOKUP(B2483,辅助信息!E:M,9,FALSE)</f>
        <v>ZTWM-CDGS-XS-2025-0073-五冶天府-成都怡心湖片区及龙泉驿医院等项目</v>
      </c>
      <c r="R2483" s="30" t="str">
        <f>_xlfn._xlws.FILTER(辅助信息!D:D,辅助信息!E:E=B2483)</f>
        <v>五冶建设扩建艺体中学二期工程</v>
      </c>
    </row>
    <row r="2484" hidden="1" spans="2:18">
      <c r="B2484" s="41" t="s">
        <v>167</v>
      </c>
      <c r="C2484" s="71">
        <v>45866</v>
      </c>
      <c r="D2484" s="41" t="str">
        <f>VLOOKUP(B2484,辅助信息!E:K,7,FALSE)</f>
        <v>JWDDCD2025102100473</v>
      </c>
      <c r="E2484" s="41" t="str">
        <f>VLOOKUP(F2484,辅助信息!A:B,2,FALSE)</f>
        <v>盘螺</v>
      </c>
      <c r="F2484" s="41" t="s">
        <v>41</v>
      </c>
      <c r="G2484" s="37">
        <v>16</v>
      </c>
      <c r="H2484" s="135">
        <f>_xlfn.XLOOKUP(C2484&amp;F2484&amp;I2484&amp;J2484,'[1]2025年已发货'!$F:$F&amp;'[1]2025年已发货'!$C:$C&amp;'[1]2025年已发货'!$G:$G&amp;'[1]2025年已发货'!$H:$H,'[1]2025年已发货'!$E:$E,"未发货")</f>
        <v>16</v>
      </c>
      <c r="I2484" s="41" t="str">
        <f>VLOOKUP(B2484,辅助信息!E:I,3,FALSE)</f>
        <v>(五冶建设扩建艺体中学二期工程)四川省成都市双流区光荣路成都艺体中学南200米</v>
      </c>
      <c r="J2484" s="41" t="str">
        <f>VLOOKUP(B2484,辅助信息!E:I,4,FALSE)</f>
        <v>谢序强</v>
      </c>
      <c r="K2484" s="41">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93</v>
      </c>
      <c r="Q2484" s="30" t="str">
        <f>VLOOKUP(B2484,辅助信息!E:M,9,FALSE)</f>
        <v>ZTWM-CDGS-XS-2025-0073-五冶天府-成都怡心湖片区及龙泉驿医院等项目</v>
      </c>
      <c r="R2484" s="30" t="str">
        <f>_xlfn._xlws.FILTER(辅助信息!D:D,辅助信息!E:E=B2484)</f>
        <v>五冶建设扩建艺体中学二期工程</v>
      </c>
    </row>
    <row r="2485" hidden="1" spans="2:18">
      <c r="B2485" s="41" t="s">
        <v>167</v>
      </c>
      <c r="C2485" s="71">
        <v>45866</v>
      </c>
      <c r="D2485" s="41" t="str">
        <f>VLOOKUP(B2485,辅助信息!E:K,7,FALSE)</f>
        <v>JWDDCD2025102100473</v>
      </c>
      <c r="E2485" s="41" t="str">
        <f>VLOOKUP(F2485,辅助信息!A:B,2,FALSE)</f>
        <v>螺纹钢</v>
      </c>
      <c r="F2485" s="41" t="s">
        <v>27</v>
      </c>
      <c r="G2485" s="37">
        <v>77</v>
      </c>
      <c r="H2485" s="135">
        <f>_xlfn.XLOOKUP(C2485&amp;F2485&amp;I2485&amp;J2485,'[1]2025年已发货'!$F:$F&amp;'[1]2025年已发货'!$C:$C&amp;'[1]2025年已发货'!$G:$G&amp;'[1]2025年已发货'!$H:$H,'[1]2025年已发货'!$E:$E,"未发货")</f>
        <v>77</v>
      </c>
      <c r="I2485" s="41" t="str">
        <f>VLOOKUP(B2485,辅助信息!E:I,3,FALSE)</f>
        <v>(五冶建设扩建艺体中学二期工程)四川省成都市双流区光荣路成都艺体中学南200米</v>
      </c>
      <c r="J2485" s="41" t="str">
        <f>VLOOKUP(B2485,辅助信息!E:I,4,FALSE)</f>
        <v>谢序强</v>
      </c>
      <c r="K2485" s="41">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93</v>
      </c>
      <c r="Q2485" s="30" t="str">
        <f>VLOOKUP(B2485,辅助信息!E:M,9,FALSE)</f>
        <v>ZTWM-CDGS-XS-2025-0073-五冶天府-成都怡心湖片区及龙泉驿医院等项目</v>
      </c>
      <c r="R2485" s="30" t="str">
        <f>_xlfn._xlws.FILTER(辅助信息!D:D,辅助信息!E:E=B2485)</f>
        <v>五冶建设扩建艺体中学二期工程</v>
      </c>
    </row>
    <row r="2486" hidden="1" spans="2:18">
      <c r="B2486" s="41" t="s">
        <v>167</v>
      </c>
      <c r="C2486" s="71">
        <v>45866</v>
      </c>
      <c r="D2486" s="41" t="str">
        <f>VLOOKUP(B2486,辅助信息!E:K,7,FALSE)</f>
        <v>JWDDCD2025102100473</v>
      </c>
      <c r="E2486" s="41" t="str">
        <f>VLOOKUP(F2486,辅助信息!A:B,2,FALSE)</f>
        <v>螺纹钢</v>
      </c>
      <c r="F2486" s="41" t="s">
        <v>19</v>
      </c>
      <c r="G2486" s="37">
        <v>20</v>
      </c>
      <c r="H2486" s="135">
        <f>_xlfn.XLOOKUP(C2486&amp;F2486&amp;I2486&amp;J2486,'[1]2025年已发货'!$F:$F&amp;'[1]2025年已发货'!$C:$C&amp;'[1]2025年已发货'!$G:$G&amp;'[1]2025年已发货'!$H:$H,'[1]2025年已发货'!$E:$E,"未发货")</f>
        <v>20</v>
      </c>
      <c r="I2486" s="41" t="str">
        <f>VLOOKUP(B2486,辅助信息!E:I,3,FALSE)</f>
        <v>(五冶建设扩建艺体中学二期工程)四川省成都市双流区光荣路成都艺体中学南200米</v>
      </c>
      <c r="J2486" s="41" t="str">
        <f>VLOOKUP(B2486,辅助信息!E:I,4,FALSE)</f>
        <v>谢序强</v>
      </c>
      <c r="K2486" s="41">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93</v>
      </c>
      <c r="Q2486" s="30" t="str">
        <f>VLOOKUP(B2486,辅助信息!E:M,9,FALSE)</f>
        <v>ZTWM-CDGS-XS-2025-0073-五冶天府-成都怡心湖片区及龙泉驿医院等项目</v>
      </c>
      <c r="R2486" s="30" t="str">
        <f>_xlfn._xlws.FILTER(辅助信息!D:D,辅助信息!E:E=B2486)</f>
        <v>五冶建设扩建艺体中学二期工程</v>
      </c>
    </row>
    <row r="2487" hidden="1" spans="2:18">
      <c r="B2487" s="41" t="s">
        <v>167</v>
      </c>
      <c r="C2487" s="71">
        <v>45866</v>
      </c>
      <c r="D2487" s="41" t="str">
        <f>VLOOKUP(B2487,辅助信息!E:K,7,FALSE)</f>
        <v>JWDDCD2025102100473</v>
      </c>
      <c r="E2487" s="41" t="str">
        <f>VLOOKUP(F2487,辅助信息!A:B,2,FALSE)</f>
        <v>螺纹钢</v>
      </c>
      <c r="F2487" s="41" t="s">
        <v>30</v>
      </c>
      <c r="G2487" s="37">
        <v>32.5</v>
      </c>
      <c r="H2487" s="135">
        <f>_xlfn.XLOOKUP(C2487&amp;F2487&amp;I2487&amp;J2487,'[1]2025年已发货'!$F:$F&amp;'[1]2025年已发货'!$C:$C&amp;'[1]2025年已发货'!$G:$G&amp;'[1]2025年已发货'!$H:$H,'[1]2025年已发货'!$E:$E,"未发货")</f>
        <v>70</v>
      </c>
      <c r="I2487" s="41" t="str">
        <f>VLOOKUP(B2487,辅助信息!E:I,3,FALSE)</f>
        <v>(五冶建设扩建艺体中学二期工程)四川省成都市双流区光荣路成都艺体中学南200米</v>
      </c>
      <c r="J2487" s="41" t="str">
        <f>VLOOKUP(B2487,辅助信息!E:I,4,FALSE)</f>
        <v>谢序强</v>
      </c>
      <c r="K2487" s="41">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93</v>
      </c>
      <c r="Q2487" s="30" t="str">
        <f>VLOOKUP(B2487,辅助信息!E:M,9,FALSE)</f>
        <v>ZTWM-CDGS-XS-2025-0073-五冶天府-成都怡心湖片区及龙泉驿医院等项目</v>
      </c>
      <c r="R2487" s="30" t="str">
        <f>_xlfn._xlws.FILTER(辅助信息!D:D,辅助信息!E:E=B2487)</f>
        <v>五冶建设扩建艺体中学二期工程</v>
      </c>
    </row>
    <row r="2488" hidden="1" spans="2:18">
      <c r="B2488" s="41" t="s">
        <v>167</v>
      </c>
      <c r="C2488" s="71">
        <v>45866</v>
      </c>
      <c r="D2488" s="41" t="str">
        <f>VLOOKUP(B2488,辅助信息!E:K,7,FALSE)</f>
        <v>JWDDCD2025102100473</v>
      </c>
      <c r="E2488" s="41" t="str">
        <f>VLOOKUP(F2488,辅助信息!A:B,2,FALSE)</f>
        <v>螺纹钢</v>
      </c>
      <c r="F2488" s="41" t="s">
        <v>66</v>
      </c>
      <c r="G2488" s="37">
        <v>5</v>
      </c>
      <c r="H2488" s="135">
        <f>_xlfn.XLOOKUP(C2488&amp;F2488&amp;I2488&amp;J2488,'[1]2025年已发货'!$F:$F&amp;'[1]2025年已发货'!$C:$C&amp;'[1]2025年已发货'!$G:$G&amp;'[1]2025年已发货'!$H:$H,'[1]2025年已发货'!$E:$E,"未发货")</f>
        <v>5</v>
      </c>
      <c r="I2488" s="41" t="str">
        <f>VLOOKUP(B2488,辅助信息!E:I,3,FALSE)</f>
        <v>(五冶建设扩建艺体中学二期工程)四川省成都市双流区光荣路成都艺体中学南200米</v>
      </c>
      <c r="J2488" s="41" t="str">
        <f>VLOOKUP(B2488,辅助信息!E:I,4,FALSE)</f>
        <v>谢序强</v>
      </c>
      <c r="K2488" s="41">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93</v>
      </c>
      <c r="Q2488" s="30" t="str">
        <f>VLOOKUP(B2488,辅助信息!E:M,9,FALSE)</f>
        <v>ZTWM-CDGS-XS-2025-0073-五冶天府-成都怡心湖片区及龙泉驿医院等项目</v>
      </c>
      <c r="R2488" s="30" t="str">
        <f>_xlfn._xlws.FILTER(辅助信息!D:D,辅助信息!E:E=B2488)</f>
        <v>五冶建设扩建艺体中学二期工程</v>
      </c>
    </row>
    <row r="2489" hidden="1" spans="2:18">
      <c r="B2489" s="41" t="s">
        <v>167</v>
      </c>
      <c r="C2489" s="71">
        <v>45866</v>
      </c>
      <c r="D2489" s="41" t="str">
        <f>VLOOKUP(B2489,辅助信息!E:K,7,FALSE)</f>
        <v>JWDDCD2025102100473</v>
      </c>
      <c r="E2489" s="41" t="str">
        <f>VLOOKUP(F2489,辅助信息!A:B,2,FALSE)</f>
        <v>螺纹钢</v>
      </c>
      <c r="F2489" s="41" t="s">
        <v>82</v>
      </c>
      <c r="G2489" s="37">
        <v>5</v>
      </c>
      <c r="H2489" s="135">
        <f>_xlfn.XLOOKUP(C2489&amp;F2489&amp;I2489&amp;J2489,'[1]2025年已发货'!$F:$F&amp;'[1]2025年已发货'!$C:$C&amp;'[1]2025年已发货'!$G:$G&amp;'[1]2025年已发货'!$H:$H,'[1]2025年已发货'!$E:$E,"未发货")</f>
        <v>5</v>
      </c>
      <c r="I2489" s="41" t="str">
        <f>VLOOKUP(B2489,辅助信息!E:I,3,FALSE)</f>
        <v>(五冶建设扩建艺体中学二期工程)四川省成都市双流区光荣路成都艺体中学南200米</v>
      </c>
      <c r="J2489" s="41" t="str">
        <f>VLOOKUP(B2489,辅助信息!E:I,4,FALSE)</f>
        <v>谢序强</v>
      </c>
      <c r="K2489" s="41">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93</v>
      </c>
      <c r="Q2489" s="30" t="str">
        <f>VLOOKUP(B2489,辅助信息!E:M,9,FALSE)</f>
        <v>ZTWM-CDGS-XS-2025-0073-五冶天府-成都怡心湖片区及龙泉驿医院等项目</v>
      </c>
      <c r="R2489" s="30" t="str">
        <f>_xlfn._xlws.FILTER(辅助信息!D:D,辅助信息!E:E=B2489)</f>
        <v>五冶建设扩建艺体中学二期工程</v>
      </c>
    </row>
    <row r="2490" hidden="1" spans="2:18">
      <c r="B2490" s="41" t="s">
        <v>167</v>
      </c>
      <c r="C2490" s="71">
        <v>45866</v>
      </c>
      <c r="D2490" s="41" t="str">
        <f>VLOOKUP(B2490,辅助信息!E:K,7,FALSE)</f>
        <v>JWDDCD2025102100473</v>
      </c>
      <c r="E2490" s="41" t="str">
        <f>VLOOKUP(F2490,辅助信息!A:B,2,FALSE)</f>
        <v>螺纹钢</v>
      </c>
      <c r="F2490" s="41" t="s">
        <v>45</v>
      </c>
      <c r="G2490" s="37">
        <v>5</v>
      </c>
      <c r="H2490" s="135">
        <f>_xlfn.XLOOKUP(C2490&amp;F2490&amp;I2490&amp;J2490,'[1]2025年已发货'!$F:$F&amp;'[1]2025年已发货'!$C:$C&amp;'[1]2025年已发货'!$G:$G&amp;'[1]2025年已发货'!$H:$H,'[1]2025年已发货'!$E:$E,"未发货")</f>
        <v>5</v>
      </c>
      <c r="I2490" s="41" t="str">
        <f>VLOOKUP(B2490,辅助信息!E:I,3,FALSE)</f>
        <v>(五冶建设扩建艺体中学二期工程)四川省成都市双流区光荣路成都艺体中学南200米</v>
      </c>
      <c r="J2490" s="41" t="str">
        <f>VLOOKUP(B2490,辅助信息!E:I,4,FALSE)</f>
        <v>谢序强</v>
      </c>
      <c r="K2490" s="41">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93</v>
      </c>
      <c r="Q2490" s="30" t="str">
        <f>VLOOKUP(B2490,辅助信息!E:M,9,FALSE)</f>
        <v>ZTWM-CDGS-XS-2025-0073-五冶天府-成都怡心湖片区及龙泉驿医院等项目</v>
      </c>
      <c r="R2490" s="30" t="str">
        <f>_xlfn._xlws.FILTER(辅助信息!D:D,辅助信息!E:E=B2490)</f>
        <v>五冶建设扩建艺体中学二期工程</v>
      </c>
    </row>
    <row r="2491" hidden="1" spans="2:18">
      <c r="B2491" s="41" t="s">
        <v>167</v>
      </c>
      <c r="C2491" s="71">
        <v>45866</v>
      </c>
      <c r="D2491" s="41" t="str">
        <f>VLOOKUP(B2491,辅助信息!E:K,7,FALSE)</f>
        <v>JWDDCD2025102100473</v>
      </c>
      <c r="E2491" s="41" t="str">
        <f>VLOOKUP(F2491,辅助信息!A:B,2,FALSE)</f>
        <v>螺纹钢</v>
      </c>
      <c r="F2491" s="41" t="s">
        <v>21</v>
      </c>
      <c r="G2491" s="37">
        <v>5</v>
      </c>
      <c r="H2491" s="135">
        <f>_xlfn.XLOOKUP(C2491&amp;F2491&amp;I2491&amp;J2491,'[1]2025年已发货'!$F:$F&amp;'[1]2025年已发货'!$C:$C&amp;'[1]2025年已发货'!$G:$G&amp;'[1]2025年已发货'!$H:$H,'[1]2025年已发货'!$E:$E,"未发货")</f>
        <v>5</v>
      </c>
      <c r="I2491" s="41" t="str">
        <f>VLOOKUP(B2491,辅助信息!E:I,3,FALSE)</f>
        <v>(五冶建设扩建艺体中学二期工程)四川省成都市双流区光荣路成都艺体中学南200米</v>
      </c>
      <c r="J2491" s="41" t="str">
        <f>VLOOKUP(B2491,辅助信息!E:I,4,FALSE)</f>
        <v>谢序强</v>
      </c>
      <c r="K2491" s="41">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93</v>
      </c>
      <c r="Q2491" s="30" t="str">
        <f>VLOOKUP(B2491,辅助信息!E:M,9,FALSE)</f>
        <v>ZTWM-CDGS-XS-2025-0073-五冶天府-成都怡心湖片区及龙泉驿医院等项目</v>
      </c>
      <c r="R2491" s="30" t="str">
        <f>_xlfn._xlws.FILTER(辅助信息!D:D,辅助信息!E:E=B2491)</f>
        <v>五冶建设扩建艺体中学二期工程</v>
      </c>
    </row>
    <row r="2492" hidden="1" spans="2:18">
      <c r="B2492" s="41" t="s">
        <v>167</v>
      </c>
      <c r="C2492" s="71">
        <v>45866</v>
      </c>
      <c r="D2492" s="41" t="str">
        <f>VLOOKUP(B2492,辅助信息!E:K,7,FALSE)</f>
        <v>JWDDCD2025102100473</v>
      </c>
      <c r="E2492" s="41" t="str">
        <f>VLOOKUP(F2492,辅助信息!A:B,2,FALSE)</f>
        <v>螺纹钢</v>
      </c>
      <c r="F2492" s="41" t="s">
        <v>58</v>
      </c>
      <c r="G2492" s="37">
        <v>10</v>
      </c>
      <c r="H2492" s="135">
        <f>_xlfn.XLOOKUP(C2492&amp;F2492&amp;I2492&amp;J2492,'[1]2025年已发货'!$F:$F&amp;'[1]2025年已发货'!$C:$C&amp;'[1]2025年已发货'!$G:$G&amp;'[1]2025年已发货'!$H:$H,'[1]2025年已发货'!$E:$E,"未发货")</f>
        <v>10</v>
      </c>
      <c r="I2492" s="41" t="str">
        <f>VLOOKUP(B2492,辅助信息!E:I,3,FALSE)</f>
        <v>(五冶建设扩建艺体中学二期工程)四川省成都市双流区光荣路成都艺体中学南200米</v>
      </c>
      <c r="J2492" s="41" t="str">
        <f>VLOOKUP(B2492,辅助信息!E:I,4,FALSE)</f>
        <v>谢序强</v>
      </c>
      <c r="K2492" s="41">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93</v>
      </c>
      <c r="Q2492" s="30" t="str">
        <f>VLOOKUP(B2492,辅助信息!E:M,9,FALSE)</f>
        <v>ZTWM-CDGS-XS-2025-0073-五冶天府-成都怡心湖片区及龙泉驿医院等项目</v>
      </c>
      <c r="R2492" s="30" t="str">
        <f>_xlfn._xlws.FILTER(辅助信息!D:D,辅助信息!E:E=B2492)</f>
        <v>五冶建设扩建艺体中学二期工程</v>
      </c>
    </row>
    <row r="2493" hidden="1" spans="2:18">
      <c r="B2493" s="41" t="s">
        <v>167</v>
      </c>
      <c r="C2493" s="71">
        <v>45866</v>
      </c>
      <c r="D2493" s="41" t="str">
        <f>VLOOKUP(B2493,辅助信息!E:K,7,FALSE)</f>
        <v>JWDDCD2025102100473</v>
      </c>
      <c r="E2493" s="41" t="str">
        <f>VLOOKUP(F2493,辅助信息!A:B,2,FALSE)</f>
        <v>螺纹钢</v>
      </c>
      <c r="F2493" s="41" t="s">
        <v>46</v>
      </c>
      <c r="G2493" s="37">
        <v>10</v>
      </c>
      <c r="H2493" s="135">
        <f>_xlfn.XLOOKUP(C2493&amp;F2493&amp;I2493&amp;J2493,'[1]2025年已发货'!$F:$F&amp;'[1]2025年已发货'!$C:$C&amp;'[1]2025年已发货'!$G:$G&amp;'[1]2025年已发货'!$H:$H,'[1]2025年已发货'!$E:$E,"未发货")</f>
        <v>10</v>
      </c>
      <c r="I2493" s="41" t="str">
        <f>VLOOKUP(B2493,辅助信息!E:I,3,FALSE)</f>
        <v>(五冶建设扩建艺体中学二期工程)四川省成都市双流区光荣路成都艺体中学南200米</v>
      </c>
      <c r="J2493" s="41" t="str">
        <f>VLOOKUP(B2493,辅助信息!E:I,4,FALSE)</f>
        <v>谢序强</v>
      </c>
      <c r="K2493" s="41">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93</v>
      </c>
      <c r="Q2493" s="30" t="str">
        <f>VLOOKUP(B2493,辅助信息!E:M,9,FALSE)</f>
        <v>ZTWM-CDGS-XS-2025-0073-五冶天府-成都怡心湖片区及龙泉驿医院等项目</v>
      </c>
      <c r="R2493" s="30" t="str">
        <f>_xlfn._xlws.FILTER(辅助信息!D:D,辅助信息!E:E=B2493)</f>
        <v>五冶建设扩建艺体中学二期工程</v>
      </c>
    </row>
    <row r="2494" hidden="1" spans="2:18">
      <c r="B2494" s="41" t="s">
        <v>167</v>
      </c>
      <c r="C2494" s="71">
        <v>45866</v>
      </c>
      <c r="D2494" s="41" t="str">
        <f>VLOOKUP(B2494,辅助信息!E:K,7,FALSE)</f>
        <v>JWDDCD2025102100473</v>
      </c>
      <c r="E2494" s="41" t="str">
        <f>VLOOKUP(F2494,辅助信息!A:B,2,FALSE)</f>
        <v>螺纹钢</v>
      </c>
      <c r="F2494" s="41" t="s">
        <v>22</v>
      </c>
      <c r="G2494" s="37">
        <v>50</v>
      </c>
      <c r="H2494" s="135">
        <f>_xlfn.XLOOKUP(C2494&amp;F2494&amp;I2494&amp;J2494,'[1]2025年已发货'!$F:$F&amp;'[1]2025年已发货'!$C:$C&amp;'[1]2025年已发货'!$G:$G&amp;'[1]2025年已发货'!$H:$H,'[1]2025年已发货'!$E:$E,"未发货")</f>
        <v>50</v>
      </c>
      <c r="I2494" s="41" t="str">
        <f>VLOOKUP(B2494,辅助信息!E:I,3,FALSE)</f>
        <v>(五冶建设扩建艺体中学二期工程)四川省成都市双流区光荣路成都艺体中学南200米</v>
      </c>
      <c r="J2494" s="41" t="str">
        <f>VLOOKUP(B2494,辅助信息!E:I,4,FALSE)</f>
        <v>谢序强</v>
      </c>
      <c r="K2494" s="41">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93</v>
      </c>
      <c r="Q2494" s="30" t="str">
        <f>VLOOKUP(B2494,辅助信息!E:M,9,FALSE)</f>
        <v>ZTWM-CDGS-XS-2025-0073-五冶天府-成都怡心湖片区及龙泉驿医院等项目</v>
      </c>
      <c r="R2494" s="30" t="str">
        <f>_xlfn._xlws.FILTER(辅助信息!D:D,辅助信息!E:E=B2494)</f>
        <v>五冶建设扩建艺体中学二期工程</v>
      </c>
    </row>
    <row r="2495" hidden="1" spans="2:18">
      <c r="B2495" s="41" t="s">
        <v>167</v>
      </c>
      <c r="C2495" s="71">
        <v>45866</v>
      </c>
      <c r="D2495" s="41" t="str">
        <f>VLOOKUP(B2495,辅助信息!E:K,7,FALSE)</f>
        <v>JWDDCD2025102100473</v>
      </c>
      <c r="E2495" s="41" t="str">
        <f>VLOOKUP(F2495,辅助信息!A:B,2,FALSE)</f>
        <v>螺纹钢</v>
      </c>
      <c r="F2495" s="41" t="s">
        <v>181</v>
      </c>
      <c r="G2495" s="37">
        <v>10</v>
      </c>
      <c r="H2495" s="135">
        <f>_xlfn.XLOOKUP(C2495&amp;F2495&amp;I2495&amp;J2495,'[1]2025年已发货'!$F:$F&amp;'[1]2025年已发货'!$C:$C&amp;'[1]2025年已发货'!$G:$G&amp;'[1]2025年已发货'!$H:$H,'[1]2025年已发货'!$E:$E,"未发货")</f>
        <v>10</v>
      </c>
      <c r="I2495" s="41" t="str">
        <f>VLOOKUP(B2495,辅助信息!E:I,3,FALSE)</f>
        <v>(五冶建设扩建艺体中学二期工程)四川省成都市双流区光荣路成都艺体中学南200米</v>
      </c>
      <c r="J2495" s="41" t="str">
        <f>VLOOKUP(B2495,辅助信息!E:I,4,FALSE)</f>
        <v>谢序强</v>
      </c>
      <c r="K2495" s="41">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93</v>
      </c>
      <c r="Q2495" s="30" t="str">
        <f>VLOOKUP(B2495,辅助信息!E:M,9,FALSE)</f>
        <v>ZTWM-CDGS-XS-2025-0073-五冶天府-成都怡心湖片区及龙泉驿医院等项目</v>
      </c>
      <c r="R2495" s="30" t="str">
        <f>_xlfn._xlws.FILTER(辅助信息!D:D,辅助信息!E:E=B2495)</f>
        <v>五冶建设扩建艺体中学二期工程</v>
      </c>
    </row>
    <row r="2496" hidden="1" spans="2:18">
      <c r="B2496" s="41" t="s">
        <v>47</v>
      </c>
      <c r="C2496" s="71">
        <v>45866</v>
      </c>
      <c r="D2496" s="41" t="str">
        <f>VLOOKUP(B2496,辅助信息!E:K,7,FALSE)</f>
        <v>JWDDCD2025052800131</v>
      </c>
      <c r="E2496" s="41" t="str">
        <f>VLOOKUP(F2496,辅助信息!A:B,2,FALSE)</f>
        <v>盘螺</v>
      </c>
      <c r="F2496" s="41" t="s">
        <v>40</v>
      </c>
      <c r="G2496" s="37">
        <v>27</v>
      </c>
      <c r="H2496" s="135">
        <f>_xlfn.XLOOKUP(C2496&amp;F2496&amp;I2496&amp;J2496,'[1]2025年已发货'!$F:$F&amp;'[1]2025年已发货'!$C:$C&amp;'[1]2025年已发货'!$G:$G&amp;'[1]2025年已发货'!$H:$H,'[1]2025年已发货'!$E:$E,"未发货")</f>
        <v>27</v>
      </c>
      <c r="I2496" s="41" t="str">
        <f>VLOOKUP(B2496,辅助信息!E:I,3,FALSE)</f>
        <v>（商投建工达州中医药科技园-1工区）达州市通川区达州中医药职业学院犀牛大道北段</v>
      </c>
      <c r="J2496" s="41" t="str">
        <f>VLOOKUP(B2496,辅助信息!E:I,4,FALSE)</f>
        <v>程黄刚</v>
      </c>
      <c r="K2496" s="41">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93</v>
      </c>
      <c r="Q2496" s="30" t="str">
        <f>VLOOKUP(B2496,辅助信息!E:M,9,FALSE)</f>
        <v>ZTWM-CDGS-XS-2024-0134-商投建工达州中医药科技成果示范园项目</v>
      </c>
      <c r="R2496" s="30" t="str">
        <f>_xlfn._xlws.FILTER(辅助信息!D:D,辅助信息!E:E=B2496)</f>
        <v>商投建工达州中医药科技园</v>
      </c>
    </row>
    <row r="2497" hidden="1" spans="2:18">
      <c r="B2497" s="41" t="s">
        <v>47</v>
      </c>
      <c r="C2497" s="71">
        <v>45866</v>
      </c>
      <c r="D2497" s="41" t="str">
        <f>VLOOKUP(B2497,辅助信息!E:K,7,FALSE)</f>
        <v>JWDDCD2025052800131</v>
      </c>
      <c r="E2497" s="41" t="str">
        <f>VLOOKUP(F2497,辅助信息!A:B,2,FALSE)</f>
        <v>盘螺</v>
      </c>
      <c r="F2497" s="41" t="s">
        <v>41</v>
      </c>
      <c r="G2497" s="37">
        <v>9</v>
      </c>
      <c r="H2497" s="135">
        <f>_xlfn.XLOOKUP(C2497&amp;F2497&amp;I2497&amp;J2497,'[1]2025年已发货'!$F:$F&amp;'[1]2025年已发货'!$C:$C&amp;'[1]2025年已发货'!$G:$G&amp;'[1]2025年已发货'!$H:$H,'[1]2025年已发货'!$E:$E,"未发货")</f>
        <v>10</v>
      </c>
      <c r="I2497" s="41" t="str">
        <f>VLOOKUP(B2497,辅助信息!E:I,3,FALSE)</f>
        <v>（商投建工达州中医药科技园-1工区）达州市通川区达州中医药职业学院犀牛大道北段</v>
      </c>
      <c r="J2497" s="41" t="str">
        <f>VLOOKUP(B2497,辅助信息!E:I,4,FALSE)</f>
        <v>程黄刚</v>
      </c>
      <c r="K2497" s="41">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93</v>
      </c>
      <c r="Q2497" s="30" t="str">
        <f>VLOOKUP(B2497,辅助信息!E:M,9,FALSE)</f>
        <v>ZTWM-CDGS-XS-2024-0134-商投建工达州中医药科技成果示范园项目</v>
      </c>
      <c r="R2497" s="30" t="str">
        <f>_xlfn._xlws.FILTER(辅助信息!D:D,辅助信息!E:E=B2497)</f>
        <v>商投建工达州中医药科技园</v>
      </c>
    </row>
    <row r="2498" hidden="1" spans="2:18">
      <c r="B2498" s="41" t="s">
        <v>47</v>
      </c>
      <c r="C2498" s="71">
        <v>45866</v>
      </c>
      <c r="D2498" s="41" t="str">
        <f>VLOOKUP(B2498,辅助信息!E:K,7,FALSE)</f>
        <v>JWDDCD2025052800131</v>
      </c>
      <c r="E2498" s="41" t="str">
        <f>VLOOKUP(F2498,辅助信息!A:B,2,FALSE)</f>
        <v>螺纹钢</v>
      </c>
      <c r="F2498" s="41" t="s">
        <v>45</v>
      </c>
      <c r="G2498" s="37">
        <v>6</v>
      </c>
      <c r="H2498" s="135">
        <f>_xlfn.XLOOKUP(C2498&amp;F2498&amp;I2498&amp;J2498,'[1]2025年已发货'!$F:$F&amp;'[1]2025年已发货'!$C:$C&amp;'[1]2025年已发货'!$G:$G&amp;'[1]2025年已发货'!$H:$H,'[1]2025年已发货'!$E:$E,"未发货")</f>
        <v>5</v>
      </c>
      <c r="I2498" s="41" t="str">
        <f>VLOOKUP(B2498,辅助信息!E:I,3,FALSE)</f>
        <v>（商投建工达州中医药科技园-1工区）达州市通川区达州中医药职业学院犀牛大道北段</v>
      </c>
      <c r="J2498" s="41" t="str">
        <f>VLOOKUP(B2498,辅助信息!E:I,4,FALSE)</f>
        <v>程黄刚</v>
      </c>
      <c r="K2498" s="41">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93</v>
      </c>
      <c r="Q2498" s="30" t="str">
        <f>VLOOKUP(B2498,辅助信息!E:M,9,FALSE)</f>
        <v>ZTWM-CDGS-XS-2024-0134-商投建工达州中医药科技成果示范园项目</v>
      </c>
      <c r="R2498" s="30" t="str">
        <f>_xlfn._xlws.FILTER(辅助信息!D:D,辅助信息!E:E=B2498)</f>
        <v>商投建工达州中医药科技园</v>
      </c>
    </row>
    <row r="2499" hidden="1" spans="2:18">
      <c r="B2499" s="41" t="s">
        <v>47</v>
      </c>
      <c r="C2499" s="71">
        <v>45866</v>
      </c>
      <c r="D2499" s="41" t="str">
        <f>VLOOKUP(B2499,辅助信息!E:K,7,FALSE)</f>
        <v>JWDDCD2025052800131</v>
      </c>
      <c r="E2499" s="41" t="str">
        <f>VLOOKUP(F2499,辅助信息!A:B,2,FALSE)</f>
        <v>螺纹钢</v>
      </c>
      <c r="F2499" s="41" t="s">
        <v>21</v>
      </c>
      <c r="G2499" s="37">
        <v>12</v>
      </c>
      <c r="H2499" s="135">
        <f>_xlfn.XLOOKUP(C2499&amp;F2499&amp;I2499&amp;J2499,'[1]2025年已发货'!$F:$F&amp;'[1]2025年已发货'!$C:$C&amp;'[1]2025年已发货'!$G:$G&amp;'[1]2025年已发货'!$H:$H,'[1]2025年已发货'!$E:$E,"未发货")</f>
        <v>12.5</v>
      </c>
      <c r="I2499" s="41" t="str">
        <f>VLOOKUP(B2499,辅助信息!E:I,3,FALSE)</f>
        <v>（商投建工达州中医药科技园-1工区）达州市通川区达州中医药职业学院犀牛大道北段</v>
      </c>
      <c r="J2499" s="41" t="str">
        <f>VLOOKUP(B2499,辅助信息!E:I,4,FALSE)</f>
        <v>程黄刚</v>
      </c>
      <c r="K2499" s="41">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93</v>
      </c>
      <c r="Q2499" s="30" t="str">
        <f>VLOOKUP(B2499,辅助信息!E:M,9,FALSE)</f>
        <v>ZTWM-CDGS-XS-2024-0134-商投建工达州中医药科技成果示范园项目</v>
      </c>
      <c r="R2499" s="30" t="str">
        <f>_xlfn._xlws.FILTER(辅助信息!D:D,辅助信息!E:E=B2499)</f>
        <v>商投建工达州中医药科技园</v>
      </c>
    </row>
    <row r="2500" hidden="1" spans="2:18">
      <c r="B2500" s="41" t="s">
        <v>47</v>
      </c>
      <c r="C2500" s="71">
        <v>45866</v>
      </c>
      <c r="D2500" s="41" t="str">
        <f>VLOOKUP(B2500,辅助信息!E:K,7,FALSE)</f>
        <v>JWDDCD2025052800131</v>
      </c>
      <c r="E2500" s="41" t="str">
        <f>VLOOKUP(F2500,辅助信息!A:B,2,FALSE)</f>
        <v>螺纹钢</v>
      </c>
      <c r="F2500" s="41" t="s">
        <v>58</v>
      </c>
      <c r="G2500" s="37">
        <v>15</v>
      </c>
      <c r="H2500" s="135">
        <f>_xlfn.XLOOKUP(C2500&amp;F2500&amp;I2500&amp;J2500,'[1]2025年已发货'!$F:$F&amp;'[1]2025年已发货'!$C:$C&amp;'[1]2025年已发货'!$G:$G&amp;'[1]2025年已发货'!$H:$H,'[1]2025年已发货'!$E:$E,"未发货")</f>
        <v>12.5</v>
      </c>
      <c r="I2500" s="41" t="str">
        <f>VLOOKUP(B2500,辅助信息!E:I,3,FALSE)</f>
        <v>（商投建工达州中医药科技园-1工区）达州市通川区达州中医药职业学院犀牛大道北段</v>
      </c>
      <c r="J2500" s="41" t="str">
        <f>VLOOKUP(B2500,辅助信息!E:I,4,FALSE)</f>
        <v>程黄刚</v>
      </c>
      <c r="K2500" s="41">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93</v>
      </c>
      <c r="Q2500" s="30" t="str">
        <f>VLOOKUP(B2500,辅助信息!E:M,9,FALSE)</f>
        <v>ZTWM-CDGS-XS-2024-0134-商投建工达州中医药科技成果示范园项目</v>
      </c>
      <c r="R2500" s="30" t="str">
        <f>_xlfn._xlws.FILTER(辅助信息!D:D,辅助信息!E:E=B2500)</f>
        <v>商投建工达州中医药科技园</v>
      </c>
    </row>
    <row r="2501" hidden="1" spans="2:18">
      <c r="B2501" s="41" t="s">
        <v>47</v>
      </c>
      <c r="C2501" s="71">
        <v>45866</v>
      </c>
      <c r="D2501" s="41" t="str">
        <f>VLOOKUP(B2501,辅助信息!E:K,7,FALSE)</f>
        <v>JWDDCD2025052800131</v>
      </c>
      <c r="E2501" s="41" t="str">
        <f>VLOOKUP(F2501,辅助信息!A:B,2,FALSE)</f>
        <v>螺纹钢</v>
      </c>
      <c r="F2501" s="41" t="s">
        <v>46</v>
      </c>
      <c r="G2501" s="37">
        <v>6</v>
      </c>
      <c r="H2501" s="135">
        <f>_xlfn.XLOOKUP(C2501&amp;F2501&amp;I2501&amp;J2501,'[1]2025年已发货'!$F:$F&amp;'[1]2025年已发货'!$C:$C&amp;'[1]2025年已发货'!$G:$G&amp;'[1]2025年已发货'!$H:$H,'[1]2025年已发货'!$E:$E,"未发货")</f>
        <v>5</v>
      </c>
      <c r="I2501" s="41" t="str">
        <f>VLOOKUP(B2501,辅助信息!E:I,3,FALSE)</f>
        <v>（商投建工达州中医药科技园-1工区）达州市通川区达州中医药职业学院犀牛大道北段</v>
      </c>
      <c r="J2501" s="41" t="str">
        <f>VLOOKUP(B2501,辅助信息!E:I,4,FALSE)</f>
        <v>程黄刚</v>
      </c>
      <c r="K2501" s="41">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93</v>
      </c>
      <c r="Q2501" s="30" t="str">
        <f>VLOOKUP(B2501,辅助信息!E:M,9,FALSE)</f>
        <v>ZTWM-CDGS-XS-2024-0134-商投建工达州中医药科技成果示范园项目</v>
      </c>
      <c r="R2501" s="30" t="str">
        <f>_xlfn._xlws.FILTER(辅助信息!D:D,辅助信息!E:E=B2501)</f>
        <v>商投建工达州中医药科技园</v>
      </c>
    </row>
    <row r="2502" hidden="1" spans="2:18">
      <c r="B2502" s="41" t="s">
        <v>47</v>
      </c>
      <c r="C2502" s="71">
        <v>45866</v>
      </c>
      <c r="D2502" s="41" t="str">
        <f>VLOOKUP(B2502,辅助信息!E:K,7,FALSE)</f>
        <v>JWDDCD2025052800131</v>
      </c>
      <c r="E2502" s="41" t="str">
        <f>VLOOKUP(F2502,辅助信息!A:B,2,FALSE)</f>
        <v>螺纹钢</v>
      </c>
      <c r="F2502" s="41" t="s">
        <v>22</v>
      </c>
      <c r="G2502" s="37">
        <v>6</v>
      </c>
      <c r="H2502" s="135">
        <f>_xlfn.XLOOKUP(C2502&amp;F2502&amp;I2502&amp;J2502,'[1]2025年已发货'!$F:$F&amp;'[1]2025年已发货'!$C:$C&amp;'[1]2025年已发货'!$G:$G&amp;'[1]2025年已发货'!$H:$H,'[1]2025年已发货'!$E:$E,"未发货")</f>
        <v>6</v>
      </c>
      <c r="I2502" s="41" t="str">
        <f>VLOOKUP(B2502,辅助信息!E:I,3,FALSE)</f>
        <v>（商投建工达州中医药科技园-1工区）达州市通川区达州中医药职业学院犀牛大道北段</v>
      </c>
      <c r="J2502" s="41" t="str">
        <f>VLOOKUP(B2502,辅助信息!E:I,4,FALSE)</f>
        <v>程黄刚</v>
      </c>
      <c r="K2502" s="41">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93</v>
      </c>
      <c r="Q2502" s="30" t="str">
        <f>VLOOKUP(B2502,辅助信息!E:M,9,FALSE)</f>
        <v>ZTWM-CDGS-XS-2024-0134-商投建工达州中医药科技成果示范园项目</v>
      </c>
      <c r="R2502" s="30" t="str">
        <f>_xlfn._xlws.FILTER(辅助信息!D:D,辅助信息!E:E=B2502)</f>
        <v>商投建工达州中医药科技园</v>
      </c>
    </row>
    <row r="2503" hidden="1" spans="2:18">
      <c r="B2503" s="41" t="s">
        <v>92</v>
      </c>
      <c r="C2503" s="71">
        <v>45866</v>
      </c>
      <c r="D2503" s="41" t="str">
        <f>VLOOKUP(B2503,辅助信息!E:K,7,FALSE)</f>
        <v>JWDDCD2025051800046</v>
      </c>
      <c r="E2503" s="41" t="str">
        <f>VLOOKUP(F2503,辅助信息!A:B,2,FALSE)</f>
        <v>盘螺</v>
      </c>
      <c r="F2503" s="41" t="s">
        <v>40</v>
      </c>
      <c r="G2503" s="37">
        <v>20</v>
      </c>
      <c r="H2503" s="135">
        <f>_xlfn.XLOOKUP(C2503&amp;F2503&amp;I2503&amp;J2503,'[1]2025年已发货'!$F:$F&amp;'[1]2025年已发货'!$C:$C&amp;'[1]2025年已发货'!$G:$G&amp;'[1]2025年已发货'!$H:$H,'[1]2025年已发货'!$E:$E,"未发货")</f>
        <v>20</v>
      </c>
      <c r="I2503" s="41" t="str">
        <f>VLOOKUP(B2503,辅助信息!E:I,3,FALSE)</f>
        <v>（华西萌海科创农业生态谷）成都市简阳市白金山水库</v>
      </c>
      <c r="J2503" s="41" t="str">
        <f>VLOOKUP(B2503,辅助信息!E:I,4,FALSE)</f>
        <v>石清国</v>
      </c>
      <c r="K2503" s="41">
        <f>VLOOKUP(J2503,辅助信息!H:I,2,FALSE)</f>
        <v>13458642015</v>
      </c>
      <c r="L2503" s="110" t="str">
        <f>VLOOKUP(B2503,辅助信息!E:J,6,FALSE)</f>
        <v>优先威钢,我方卸车,新老国标钢厂不加价可直发</v>
      </c>
      <c r="M2503" s="92">
        <v>45869</v>
      </c>
      <c r="O2503" s="63">
        <f ca="1" t="shared" si="157"/>
        <v>0</v>
      </c>
      <c r="P2503" s="63">
        <f ca="1" t="shared" si="158"/>
        <v>90</v>
      </c>
      <c r="Q2503" s="30" t="str">
        <f>VLOOKUP(B2503,辅助信息!E:M,9,FALSE)</f>
        <v>ZTWM-CDGS-XS-2024-0092-华西-萌海科创农业生态谷</v>
      </c>
      <c r="R2503" s="30" t="str">
        <f>_xlfn._xlws.FILTER(辅助信息!D:D,辅助信息!E:E=B2503)</f>
        <v>华西萌海-科创农业生态谷</v>
      </c>
    </row>
    <row r="2504" hidden="1" spans="2:18">
      <c r="B2504" s="41" t="s">
        <v>92</v>
      </c>
      <c r="C2504" s="71">
        <v>45866</v>
      </c>
      <c r="D2504" s="41" t="str">
        <f>VLOOKUP(B2504,辅助信息!E:K,7,FALSE)</f>
        <v>JWDDCD2025051800046</v>
      </c>
      <c r="E2504" s="41" t="str">
        <f>VLOOKUP(F2504,辅助信息!A:B,2,FALSE)</f>
        <v>盘螺</v>
      </c>
      <c r="F2504" s="41" t="s">
        <v>41</v>
      </c>
      <c r="G2504" s="37">
        <v>20</v>
      </c>
      <c r="H2504" s="135">
        <f>_xlfn.XLOOKUP(C2504&amp;F2504&amp;I2504&amp;J2504,'[1]2025年已发货'!$F:$F&amp;'[1]2025年已发货'!$C:$C&amp;'[1]2025年已发货'!$G:$G&amp;'[1]2025年已发货'!$H:$H,'[1]2025年已发货'!$E:$E,"未发货")</f>
        <v>20</v>
      </c>
      <c r="I2504" s="41" t="str">
        <f>VLOOKUP(B2504,辅助信息!E:I,3,FALSE)</f>
        <v>（华西萌海科创农业生态谷）成都市简阳市白金山水库</v>
      </c>
      <c r="J2504" s="41" t="str">
        <f>VLOOKUP(B2504,辅助信息!E:I,4,FALSE)</f>
        <v>石清国</v>
      </c>
      <c r="K2504" s="41">
        <f>VLOOKUP(J2504,辅助信息!H:I,2,FALSE)</f>
        <v>13458642015</v>
      </c>
      <c r="L2504" s="110" t="str">
        <f>VLOOKUP(B2504,辅助信息!E:J,6,FALSE)</f>
        <v>优先威钢,我方卸车,新老国标钢厂不加价可直发</v>
      </c>
      <c r="M2504" s="92">
        <v>45869</v>
      </c>
      <c r="O2504" s="63">
        <f ca="1" t="shared" si="157"/>
        <v>0</v>
      </c>
      <c r="P2504" s="63">
        <f ca="1" t="shared" si="158"/>
        <v>90</v>
      </c>
      <c r="Q2504" s="30" t="str">
        <f>VLOOKUP(B2504,辅助信息!E:M,9,FALSE)</f>
        <v>ZTWM-CDGS-XS-2024-0092-华西-萌海科创农业生态谷</v>
      </c>
      <c r="R2504" s="30" t="str">
        <f>_xlfn._xlws.FILTER(辅助信息!D:D,辅助信息!E:E=B2504)</f>
        <v>华西萌海-科创农业生态谷</v>
      </c>
    </row>
    <row r="2505" hidden="1" spans="2:18">
      <c r="B2505" s="41" t="s">
        <v>92</v>
      </c>
      <c r="C2505" s="71">
        <v>45866</v>
      </c>
      <c r="D2505" s="41" t="str">
        <f>VLOOKUP(B2505,辅助信息!E:K,7,FALSE)</f>
        <v>JWDDCD2025051800046</v>
      </c>
      <c r="E2505" s="41" t="str">
        <f>VLOOKUP(F2505,辅助信息!A:B,2,FALSE)</f>
        <v>螺纹钢</v>
      </c>
      <c r="F2505" s="41" t="s">
        <v>27</v>
      </c>
      <c r="G2505" s="37">
        <v>10</v>
      </c>
      <c r="H2505" s="135">
        <f>_xlfn.XLOOKUP(C2505&amp;F2505&amp;I2505&amp;J2505,'[1]2025年已发货'!$F:$F&amp;'[1]2025年已发货'!$C:$C&amp;'[1]2025年已发货'!$G:$G&amp;'[1]2025年已发货'!$H:$H,'[1]2025年已发货'!$E:$E,"未发货")</f>
        <v>10</v>
      </c>
      <c r="I2505" s="41" t="str">
        <f>VLOOKUP(B2505,辅助信息!E:I,3,FALSE)</f>
        <v>（华西萌海科创农业生态谷）成都市简阳市白金山水库</v>
      </c>
      <c r="J2505" s="41" t="str">
        <f>VLOOKUP(B2505,辅助信息!E:I,4,FALSE)</f>
        <v>石清国</v>
      </c>
      <c r="K2505" s="41">
        <f>VLOOKUP(J2505,辅助信息!H:I,2,FALSE)</f>
        <v>13458642015</v>
      </c>
      <c r="L2505" s="110" t="str">
        <f>VLOOKUP(B2505,辅助信息!E:J,6,FALSE)</f>
        <v>优先威钢,我方卸车,新老国标钢厂不加价可直发</v>
      </c>
      <c r="M2505" s="92">
        <v>45869</v>
      </c>
      <c r="O2505" s="63">
        <f ca="1" t="shared" si="157"/>
        <v>0</v>
      </c>
      <c r="P2505" s="63">
        <f ca="1" t="shared" si="158"/>
        <v>90</v>
      </c>
      <c r="Q2505" s="30" t="str">
        <f>VLOOKUP(B2505,辅助信息!E:M,9,FALSE)</f>
        <v>ZTWM-CDGS-XS-2024-0092-华西-萌海科创农业生态谷</v>
      </c>
      <c r="R2505" s="30" t="str">
        <f>_xlfn._xlws.FILTER(辅助信息!D:D,辅助信息!E:E=B2505)</f>
        <v>华西萌海-科创农业生态谷</v>
      </c>
    </row>
    <row r="2506" hidden="1" spans="2:18">
      <c r="B2506" s="41" t="s">
        <v>92</v>
      </c>
      <c r="C2506" s="71">
        <v>45866</v>
      </c>
      <c r="D2506" s="41" t="str">
        <f>VLOOKUP(B2506,辅助信息!E:K,7,FALSE)</f>
        <v>JWDDCD2025051800046</v>
      </c>
      <c r="E2506" s="41" t="str">
        <f>VLOOKUP(F2506,辅助信息!A:B,2,FALSE)</f>
        <v>螺纹钢</v>
      </c>
      <c r="F2506" s="41" t="s">
        <v>19</v>
      </c>
      <c r="G2506" s="37">
        <v>3</v>
      </c>
      <c r="H2506" s="135">
        <f>_xlfn.XLOOKUP(C2506&amp;F2506&amp;I2506&amp;J2506,'[1]2025年已发货'!$F:$F&amp;'[1]2025年已发货'!$C:$C&amp;'[1]2025年已发货'!$G:$G&amp;'[1]2025年已发货'!$H:$H,'[1]2025年已发货'!$E:$E,"未发货")</f>
        <v>3</v>
      </c>
      <c r="I2506" s="41" t="str">
        <f>VLOOKUP(B2506,辅助信息!E:I,3,FALSE)</f>
        <v>（华西萌海科创农业生态谷）成都市简阳市白金山水库</v>
      </c>
      <c r="J2506" s="41" t="str">
        <f>VLOOKUP(B2506,辅助信息!E:I,4,FALSE)</f>
        <v>石清国</v>
      </c>
      <c r="K2506" s="41">
        <f>VLOOKUP(J2506,辅助信息!H:I,2,FALSE)</f>
        <v>13458642015</v>
      </c>
      <c r="L2506" s="110" t="str">
        <f>VLOOKUP(B2506,辅助信息!E:J,6,FALSE)</f>
        <v>优先威钢,我方卸车,新老国标钢厂不加价可直发</v>
      </c>
      <c r="M2506" s="92">
        <v>45869</v>
      </c>
      <c r="O2506" s="63">
        <f ca="1" t="shared" si="157"/>
        <v>0</v>
      </c>
      <c r="P2506" s="63">
        <f ca="1" t="shared" si="158"/>
        <v>90</v>
      </c>
      <c r="Q2506" s="30" t="str">
        <f>VLOOKUP(B2506,辅助信息!E:M,9,FALSE)</f>
        <v>ZTWM-CDGS-XS-2024-0092-华西-萌海科创农业生态谷</v>
      </c>
      <c r="R2506" s="30" t="str">
        <f>_xlfn._xlws.FILTER(辅助信息!D:D,辅助信息!E:E=B2506)</f>
        <v>华西萌海-科创农业生态谷</v>
      </c>
    </row>
    <row r="2507" hidden="1" spans="2:18">
      <c r="B2507" s="41" t="s">
        <v>92</v>
      </c>
      <c r="C2507" s="71">
        <v>45866</v>
      </c>
      <c r="D2507" s="41" t="str">
        <f>VLOOKUP(B2507,辅助信息!E:K,7,FALSE)</f>
        <v>JWDDCD2025051800046</v>
      </c>
      <c r="E2507" s="41" t="str">
        <f>VLOOKUP(F2507,辅助信息!A:B,2,FALSE)</f>
        <v>螺纹钢</v>
      </c>
      <c r="F2507" s="41" t="s">
        <v>82</v>
      </c>
      <c r="G2507" s="37">
        <v>3</v>
      </c>
      <c r="H2507" s="135">
        <f>_xlfn.XLOOKUP(C2507&amp;F2507&amp;I2507&amp;J2507,'[1]2025年已发货'!$F:$F&amp;'[1]2025年已发货'!$C:$C&amp;'[1]2025年已发货'!$G:$G&amp;'[1]2025年已发货'!$H:$H,'[1]2025年已发货'!$E:$E,"未发货")</f>
        <v>3</v>
      </c>
      <c r="I2507" s="41" t="str">
        <f>VLOOKUP(B2507,辅助信息!E:I,3,FALSE)</f>
        <v>（华西萌海科创农业生态谷）成都市简阳市白金山水库</v>
      </c>
      <c r="J2507" s="41" t="str">
        <f>VLOOKUP(B2507,辅助信息!E:I,4,FALSE)</f>
        <v>石清国</v>
      </c>
      <c r="K2507" s="41">
        <f>VLOOKUP(J2507,辅助信息!H:I,2,FALSE)</f>
        <v>13458642015</v>
      </c>
      <c r="L2507" s="110" t="str">
        <f>VLOOKUP(B2507,辅助信息!E:J,6,FALSE)</f>
        <v>优先威钢,我方卸车,新老国标钢厂不加价可直发</v>
      </c>
      <c r="M2507" s="92">
        <v>45869</v>
      </c>
      <c r="O2507" s="63">
        <f ca="1" t="shared" si="157"/>
        <v>0</v>
      </c>
      <c r="P2507" s="63">
        <f ca="1" t="shared" si="158"/>
        <v>90</v>
      </c>
      <c r="Q2507" s="30" t="str">
        <f>VLOOKUP(B2507,辅助信息!E:M,9,FALSE)</f>
        <v>ZTWM-CDGS-XS-2024-0092-华西-萌海科创农业生态谷</v>
      </c>
      <c r="R2507" s="30" t="str">
        <f>_xlfn._xlws.FILTER(辅助信息!D:D,辅助信息!E:E=B2507)</f>
        <v>华西萌海-科创农业生态谷</v>
      </c>
    </row>
    <row r="2508" hidden="1" spans="2:18">
      <c r="B2508" s="41" t="s">
        <v>92</v>
      </c>
      <c r="C2508" s="71">
        <v>45866</v>
      </c>
      <c r="D2508" s="41" t="str">
        <f>VLOOKUP(B2508,辅助信息!E:K,7,FALSE)</f>
        <v>JWDDCD2025051800046</v>
      </c>
      <c r="E2508" s="41" t="str">
        <f>VLOOKUP(F2508,辅助信息!A:B,2,FALSE)</f>
        <v>螺纹钢</v>
      </c>
      <c r="F2508" s="41" t="s">
        <v>45</v>
      </c>
      <c r="G2508" s="37">
        <v>5</v>
      </c>
      <c r="H2508" s="135">
        <f>_xlfn.XLOOKUP(C2508&amp;F2508&amp;I2508&amp;J2508,'[1]2025年已发货'!$F:$F&amp;'[1]2025年已发货'!$C:$C&amp;'[1]2025年已发货'!$G:$G&amp;'[1]2025年已发货'!$H:$H,'[1]2025年已发货'!$E:$E,"未发货")</f>
        <v>5</v>
      </c>
      <c r="I2508" s="41" t="str">
        <f>VLOOKUP(B2508,辅助信息!E:I,3,FALSE)</f>
        <v>（华西萌海科创农业生态谷）成都市简阳市白金山水库</v>
      </c>
      <c r="J2508" s="41" t="str">
        <f>VLOOKUP(B2508,辅助信息!E:I,4,FALSE)</f>
        <v>石清国</v>
      </c>
      <c r="K2508" s="41">
        <f>VLOOKUP(J2508,辅助信息!H:I,2,FALSE)</f>
        <v>13458642015</v>
      </c>
      <c r="L2508" s="110" t="str">
        <f>VLOOKUP(B2508,辅助信息!E:J,6,FALSE)</f>
        <v>优先威钢,我方卸车,新老国标钢厂不加价可直发</v>
      </c>
      <c r="M2508" s="92">
        <v>45869</v>
      </c>
      <c r="O2508" s="63">
        <f ca="1" t="shared" si="157"/>
        <v>0</v>
      </c>
      <c r="P2508" s="63">
        <f ca="1" t="shared" si="158"/>
        <v>90</v>
      </c>
      <c r="Q2508" s="30" t="str">
        <f>VLOOKUP(B2508,辅助信息!E:M,9,FALSE)</f>
        <v>ZTWM-CDGS-XS-2024-0092-华西-萌海科创农业生态谷</v>
      </c>
      <c r="R2508" s="30" t="str">
        <f>_xlfn._xlws.FILTER(辅助信息!D:D,辅助信息!E:E=B2508)</f>
        <v>华西萌海-科创农业生态谷</v>
      </c>
    </row>
    <row r="2509" hidden="1" spans="2:18">
      <c r="B2509" s="41" t="s">
        <v>92</v>
      </c>
      <c r="C2509" s="71">
        <v>45866</v>
      </c>
      <c r="D2509" s="41" t="str">
        <f>VLOOKUP(B2509,辅助信息!E:K,7,FALSE)</f>
        <v>JWDDCD2025051800046</v>
      </c>
      <c r="E2509" s="41" t="str">
        <f>VLOOKUP(F2509,辅助信息!A:B,2,FALSE)</f>
        <v>螺纹钢</v>
      </c>
      <c r="F2509" s="41" t="s">
        <v>21</v>
      </c>
      <c r="G2509" s="37">
        <v>3</v>
      </c>
      <c r="H2509" s="135">
        <f>_xlfn.XLOOKUP(C2509&amp;F2509&amp;I2509&amp;J2509,'[1]2025年已发货'!$F:$F&amp;'[1]2025年已发货'!$C:$C&amp;'[1]2025年已发货'!$G:$G&amp;'[1]2025年已发货'!$H:$H,'[1]2025年已发货'!$E:$E,"未发货")</f>
        <v>3</v>
      </c>
      <c r="I2509" s="41" t="str">
        <f>VLOOKUP(B2509,辅助信息!E:I,3,FALSE)</f>
        <v>（华西萌海科创农业生态谷）成都市简阳市白金山水库</v>
      </c>
      <c r="J2509" s="41" t="str">
        <f>VLOOKUP(B2509,辅助信息!E:I,4,FALSE)</f>
        <v>石清国</v>
      </c>
      <c r="K2509" s="41">
        <f>VLOOKUP(J2509,辅助信息!H:I,2,FALSE)</f>
        <v>13458642015</v>
      </c>
      <c r="L2509" s="110" t="str">
        <f>VLOOKUP(B2509,辅助信息!E:J,6,FALSE)</f>
        <v>优先威钢,我方卸车,新老国标钢厂不加价可直发</v>
      </c>
      <c r="M2509" s="92">
        <v>45869</v>
      </c>
      <c r="O2509" s="63">
        <f ca="1" t="shared" si="157"/>
        <v>0</v>
      </c>
      <c r="P2509" s="63">
        <f ca="1" t="shared" si="158"/>
        <v>90</v>
      </c>
      <c r="Q2509" s="30" t="str">
        <f>VLOOKUP(B2509,辅助信息!E:M,9,FALSE)</f>
        <v>ZTWM-CDGS-XS-2024-0092-华西-萌海科创农业生态谷</v>
      </c>
      <c r="R2509" s="30" t="str">
        <f>_xlfn._xlws.FILTER(辅助信息!D:D,辅助信息!E:E=B2509)</f>
        <v>华西萌海-科创农业生态谷</v>
      </c>
    </row>
    <row r="2510" hidden="1" spans="2:18">
      <c r="B2510" s="41" t="s">
        <v>92</v>
      </c>
      <c r="C2510" s="71">
        <v>45866</v>
      </c>
      <c r="D2510" s="41" t="str">
        <f>VLOOKUP(B2510,辅助信息!E:K,7,FALSE)</f>
        <v>JWDDCD2025051800046</v>
      </c>
      <c r="E2510" s="41" t="str">
        <f>VLOOKUP(F2510,辅助信息!A:B,2,FALSE)</f>
        <v>螺纹钢</v>
      </c>
      <c r="F2510" s="41" t="s">
        <v>58</v>
      </c>
      <c r="G2510" s="37">
        <v>13</v>
      </c>
      <c r="H2510" s="135">
        <f>_xlfn.XLOOKUP(C2510&amp;F2510&amp;I2510&amp;J2510,'[1]2025年已发货'!$F:$F&amp;'[1]2025年已发货'!$C:$C&amp;'[1]2025年已发货'!$G:$G&amp;'[1]2025年已发货'!$H:$H,'[1]2025年已发货'!$E:$E,"未发货")</f>
        <v>13</v>
      </c>
      <c r="I2510" s="41" t="str">
        <f>VLOOKUP(B2510,辅助信息!E:I,3,FALSE)</f>
        <v>（华西萌海科创农业生态谷）成都市简阳市白金山水库</v>
      </c>
      <c r="J2510" s="41" t="str">
        <f>VLOOKUP(B2510,辅助信息!E:I,4,FALSE)</f>
        <v>石清国</v>
      </c>
      <c r="K2510" s="41">
        <f>VLOOKUP(J2510,辅助信息!H:I,2,FALSE)</f>
        <v>13458642015</v>
      </c>
      <c r="L2510" s="110" t="str">
        <f>VLOOKUP(B2510,辅助信息!E:J,6,FALSE)</f>
        <v>优先威钢,我方卸车,新老国标钢厂不加价可直发</v>
      </c>
      <c r="M2510" s="92">
        <v>45869</v>
      </c>
      <c r="O2510" s="63">
        <f ca="1" t="shared" si="157"/>
        <v>0</v>
      </c>
      <c r="P2510" s="63">
        <f ca="1" t="shared" si="158"/>
        <v>90</v>
      </c>
      <c r="Q2510" s="30" t="str">
        <f>VLOOKUP(B2510,辅助信息!E:M,9,FALSE)</f>
        <v>ZTWM-CDGS-XS-2024-0092-华西-萌海科创农业生态谷</v>
      </c>
      <c r="R2510" s="30" t="str">
        <f>_xlfn._xlws.FILTER(辅助信息!D:D,辅助信息!E:E=B2510)</f>
        <v>华西萌海-科创农业生态谷</v>
      </c>
    </row>
    <row r="2511" hidden="1" spans="2:18">
      <c r="B2511" s="41" t="s">
        <v>92</v>
      </c>
      <c r="C2511" s="71">
        <v>45866</v>
      </c>
      <c r="D2511" s="41" t="str">
        <f>VLOOKUP(B2511,辅助信息!E:K,7,FALSE)</f>
        <v>JWDDCD2025051800046</v>
      </c>
      <c r="E2511" s="41" t="str">
        <f>VLOOKUP(F2511,辅助信息!A:B,2,FALSE)</f>
        <v>螺纹钢</v>
      </c>
      <c r="F2511" s="41" t="s">
        <v>46</v>
      </c>
      <c r="G2511" s="37">
        <v>6</v>
      </c>
      <c r="H2511" s="135">
        <f>_xlfn.XLOOKUP(C2511&amp;F2511&amp;I2511&amp;J2511,'[1]2025年已发货'!$F:$F&amp;'[1]2025年已发货'!$C:$C&amp;'[1]2025年已发货'!$G:$G&amp;'[1]2025年已发货'!$H:$H,'[1]2025年已发货'!$E:$E,"未发货")</f>
        <v>6</v>
      </c>
      <c r="I2511" s="41" t="str">
        <f>VLOOKUP(B2511,辅助信息!E:I,3,FALSE)</f>
        <v>（华西萌海科创农业生态谷）成都市简阳市白金山水库</v>
      </c>
      <c r="J2511" s="41" t="str">
        <f>VLOOKUP(B2511,辅助信息!E:I,4,FALSE)</f>
        <v>石清国</v>
      </c>
      <c r="K2511" s="41">
        <f>VLOOKUP(J2511,辅助信息!H:I,2,FALSE)</f>
        <v>13458642015</v>
      </c>
      <c r="L2511" s="110" t="str">
        <f>VLOOKUP(B2511,辅助信息!E:J,6,FALSE)</f>
        <v>优先威钢,我方卸车,新老国标钢厂不加价可直发</v>
      </c>
      <c r="M2511" s="92">
        <v>45869</v>
      </c>
      <c r="O2511" s="63">
        <f ca="1" t="shared" si="157"/>
        <v>0</v>
      </c>
      <c r="P2511" s="63">
        <f ca="1" t="shared" si="158"/>
        <v>90</v>
      </c>
      <c r="Q2511" s="30" t="str">
        <f>VLOOKUP(B2511,辅助信息!E:M,9,FALSE)</f>
        <v>ZTWM-CDGS-XS-2024-0092-华西-萌海科创农业生态谷</v>
      </c>
      <c r="R2511" s="30" t="str">
        <f>_xlfn._xlws.FILTER(辅助信息!D:D,辅助信息!E:E=B2511)</f>
        <v>华西萌海-科创农业生态谷</v>
      </c>
    </row>
    <row r="2512" hidden="1" spans="2:18">
      <c r="B2512" s="41" t="s">
        <v>92</v>
      </c>
      <c r="C2512" s="71">
        <v>45866</v>
      </c>
      <c r="D2512" s="41" t="str">
        <f>VLOOKUP(B2512,辅助信息!E:K,7,FALSE)</f>
        <v>JWDDCD2025051800046</v>
      </c>
      <c r="E2512" s="41" t="str">
        <f>VLOOKUP(F2512,辅助信息!A:B,2,FALSE)</f>
        <v>螺纹钢</v>
      </c>
      <c r="F2512" s="41" t="s">
        <v>22</v>
      </c>
      <c r="G2512" s="37">
        <v>22</v>
      </c>
      <c r="H2512" s="135">
        <f>_xlfn.XLOOKUP(C2512&amp;F2512&amp;I2512&amp;J2512,'[1]2025年已发货'!$F:$F&amp;'[1]2025年已发货'!$C:$C&amp;'[1]2025年已发货'!$G:$G&amp;'[1]2025年已发货'!$H:$H,'[1]2025年已发货'!$E:$E,"未发货")</f>
        <v>22</v>
      </c>
      <c r="I2512" s="41" t="str">
        <f>VLOOKUP(B2512,辅助信息!E:I,3,FALSE)</f>
        <v>（华西萌海科创农业生态谷）成都市简阳市白金山水库</v>
      </c>
      <c r="J2512" s="41" t="str">
        <f>VLOOKUP(B2512,辅助信息!E:I,4,FALSE)</f>
        <v>石清国</v>
      </c>
      <c r="K2512" s="41">
        <f>VLOOKUP(J2512,辅助信息!H:I,2,FALSE)</f>
        <v>13458642015</v>
      </c>
      <c r="L2512" s="110" t="str">
        <f>VLOOKUP(B2512,辅助信息!E:J,6,FALSE)</f>
        <v>优先威钢,我方卸车,新老国标钢厂不加价可直发</v>
      </c>
      <c r="M2512" s="92">
        <v>45869</v>
      </c>
      <c r="O2512" s="63">
        <f ca="1" t="shared" si="157"/>
        <v>0</v>
      </c>
      <c r="P2512" s="63">
        <f ca="1" t="shared" si="158"/>
        <v>90</v>
      </c>
      <c r="Q2512" s="30" t="str">
        <f>VLOOKUP(B2512,辅助信息!E:M,9,FALSE)</f>
        <v>ZTWM-CDGS-XS-2024-0092-华西-萌海科创农业生态谷</v>
      </c>
      <c r="R2512" s="30" t="str">
        <f>_xlfn._xlws.FILTER(辅助信息!D:D,辅助信息!E:E=B2512)</f>
        <v>华西萌海-科创农业生态谷</v>
      </c>
    </row>
    <row r="2513" hidden="1" spans="2:18">
      <c r="B2513" s="41" t="s">
        <v>204</v>
      </c>
      <c r="C2513" s="71">
        <v>45866</v>
      </c>
      <c r="D2513" s="41" t="str">
        <f>VLOOKUP(B2513,辅助信息!E:K,7,FALSE)</f>
        <v>JWDDCD2025062200016</v>
      </c>
      <c r="E2513" s="41" t="str">
        <f>VLOOKUP(F2513,辅助信息!A:B,2,FALSE)</f>
        <v>盘螺</v>
      </c>
      <c r="F2513" s="41" t="s">
        <v>40</v>
      </c>
      <c r="G2513" s="37">
        <v>14.12</v>
      </c>
      <c r="H2513" s="135">
        <f>_xlfn.XLOOKUP(C2513&amp;F2513&amp;I2513&amp;J2513,'[1]2025年已发货'!$F:$F&amp;'[1]2025年已发货'!$C:$C&amp;'[1]2025年已发货'!$G:$G&amp;'[1]2025年已发货'!$H:$H,'[1]2025年已发货'!$E:$E,"未发货")</f>
        <v>15</v>
      </c>
      <c r="I2513" s="41" t="str">
        <f>VLOOKUP(B2513,辅助信息!E:I,3,FALSE)</f>
        <v>(武汉电气化局成达万高铁强电项目-达州主城区-达州南站)四川省达州市达川区达州南站</v>
      </c>
      <c r="J2513" s="41" t="str">
        <f>VLOOKUP(B2513,辅助信息!E:I,4,FALSE)</f>
        <v>杨人志</v>
      </c>
      <c r="K2513" s="41">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93</v>
      </c>
      <c r="Q2513" s="30" t="str">
        <f>VLOOKUP(B2513,辅助信息!E:M,9,FALSE)</f>
        <v>ZTWM-CDGS-XS-2025-0033-中铁武汉电气化局集团有限公司成达万高速铁路强电工程项目</v>
      </c>
      <c r="R2513" s="30" t="str">
        <f>_xlfn._xlws.FILTER(辅助信息!D:D,辅助信息!E:E=B2513)</f>
        <v>武汉电气化局成达万高铁强电项目</v>
      </c>
    </row>
    <row r="2514" hidden="1" spans="2:18">
      <c r="B2514" s="41" t="s">
        <v>204</v>
      </c>
      <c r="C2514" s="71">
        <v>45866</v>
      </c>
      <c r="D2514" s="41" t="str">
        <f>VLOOKUP(B2514,辅助信息!E:K,7,FALSE)</f>
        <v>JWDDCD2025062200016</v>
      </c>
      <c r="E2514" s="41" t="str">
        <f>VLOOKUP(F2514,辅助信息!A:B,2,FALSE)</f>
        <v>盘螺</v>
      </c>
      <c r="F2514" s="41" t="s">
        <v>41</v>
      </c>
      <c r="G2514" s="37">
        <v>18.07</v>
      </c>
      <c r="H2514" s="135">
        <f>_xlfn.XLOOKUP(C2514&amp;F2514&amp;I2514&amp;J2514,'[1]2025年已发货'!$F:$F&amp;'[1]2025年已发货'!$C:$C&amp;'[1]2025年已发货'!$G:$G&amp;'[1]2025年已发货'!$H:$H,'[1]2025年已发货'!$E:$E,"未发货")</f>
        <v>17</v>
      </c>
      <c r="I2514" s="41" t="str">
        <f>VLOOKUP(B2514,辅助信息!E:I,3,FALSE)</f>
        <v>(武汉电气化局成达万高铁强电项目-达州主城区-达州南站)四川省达州市达川区达州南站</v>
      </c>
      <c r="J2514" s="41" t="str">
        <f>VLOOKUP(B2514,辅助信息!E:I,4,FALSE)</f>
        <v>杨人志</v>
      </c>
      <c r="K2514" s="41">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93</v>
      </c>
      <c r="Q2514" s="30" t="str">
        <f>VLOOKUP(B2514,辅助信息!E:M,9,FALSE)</f>
        <v>ZTWM-CDGS-XS-2025-0033-中铁武汉电气化局集团有限公司成达万高速铁路强电工程项目</v>
      </c>
      <c r="R2514" s="30" t="str">
        <f>_xlfn._xlws.FILTER(辅助信息!D:D,辅助信息!E:E=B2514)</f>
        <v>武汉电气化局成达万高铁强电项目</v>
      </c>
    </row>
    <row r="2515" hidden="1" spans="2:18">
      <c r="B2515" s="41" t="s">
        <v>204</v>
      </c>
      <c r="C2515" s="71">
        <v>45866</v>
      </c>
      <c r="D2515" s="41" t="str">
        <f>VLOOKUP(B2515,辅助信息!E:K,7,FALSE)</f>
        <v>JWDDCD2025062200016</v>
      </c>
      <c r="E2515" s="41" t="str">
        <f>VLOOKUP(F2515,辅助信息!A:B,2,FALSE)</f>
        <v>螺纹钢</v>
      </c>
      <c r="F2515" s="41" t="s">
        <v>27</v>
      </c>
      <c r="G2515" s="37">
        <v>11.89</v>
      </c>
      <c r="H2515" s="135">
        <f>_xlfn.XLOOKUP(C2515&amp;F2515&amp;I2515&amp;J2515,'[1]2025年已发货'!$F:$F&amp;'[1]2025年已发货'!$C:$C&amp;'[1]2025年已发货'!$G:$G&amp;'[1]2025年已发货'!$H:$H,'[1]2025年已发货'!$E:$E,"未发货")</f>
        <v>12</v>
      </c>
      <c r="I2515" s="41" t="str">
        <f>VLOOKUP(B2515,辅助信息!E:I,3,FALSE)</f>
        <v>(武汉电气化局成达万高铁强电项目-达州主城区-达州南站)四川省达州市达川区达州南站</v>
      </c>
      <c r="J2515" s="41" t="str">
        <f>VLOOKUP(B2515,辅助信息!E:I,4,FALSE)</f>
        <v>杨人志</v>
      </c>
      <c r="K2515" s="41">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93</v>
      </c>
      <c r="Q2515" s="30" t="str">
        <f>VLOOKUP(B2515,辅助信息!E:M,9,FALSE)</f>
        <v>ZTWM-CDGS-XS-2025-0033-中铁武汉电气化局集团有限公司成达万高速铁路强电工程项目</v>
      </c>
      <c r="R2515" s="30" t="str">
        <f>_xlfn._xlws.FILTER(辅助信息!D:D,辅助信息!E:E=B2515)</f>
        <v>武汉电气化局成达万高铁强电项目</v>
      </c>
    </row>
    <row r="2516" hidden="1" spans="2:18">
      <c r="B2516" s="41" t="s">
        <v>204</v>
      </c>
      <c r="C2516" s="71">
        <v>45866</v>
      </c>
      <c r="D2516" s="41" t="str">
        <f>VLOOKUP(B2516,辅助信息!E:K,7,FALSE)</f>
        <v>JWDDCD2025062200016</v>
      </c>
      <c r="E2516" s="41" t="str">
        <f>VLOOKUP(F2516,辅助信息!A:B,2,FALSE)</f>
        <v>螺纹钢</v>
      </c>
      <c r="F2516" s="41" t="s">
        <v>19</v>
      </c>
      <c r="G2516" s="37">
        <v>10.24</v>
      </c>
      <c r="H2516" s="135">
        <f>_xlfn.XLOOKUP(C2516&amp;F2516&amp;I2516&amp;J2516,'[1]2025年已发货'!$F:$F&amp;'[1]2025年已发货'!$C:$C&amp;'[1]2025年已发货'!$G:$G&amp;'[1]2025年已发货'!$H:$H,'[1]2025年已发货'!$E:$E,"未发货")</f>
        <v>9</v>
      </c>
      <c r="I2516" s="41" t="str">
        <f>VLOOKUP(B2516,辅助信息!E:I,3,FALSE)</f>
        <v>(武汉电气化局成达万高铁强电项目-达州主城区-达州南站)四川省达州市达川区达州南站</v>
      </c>
      <c r="J2516" s="41" t="str">
        <f>VLOOKUP(B2516,辅助信息!E:I,4,FALSE)</f>
        <v>杨人志</v>
      </c>
      <c r="K2516" s="41">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93</v>
      </c>
      <c r="Q2516" s="30" t="str">
        <f>VLOOKUP(B2516,辅助信息!E:M,9,FALSE)</f>
        <v>ZTWM-CDGS-XS-2025-0033-中铁武汉电气化局集团有限公司成达万高速铁路强电工程项目</v>
      </c>
      <c r="R2516" s="30" t="str">
        <f>_xlfn._xlws.FILTER(辅助信息!D:D,辅助信息!E:E=B2516)</f>
        <v>武汉电气化局成达万高铁强电项目</v>
      </c>
    </row>
    <row r="2517" hidden="1" spans="2:18">
      <c r="B2517" s="41" t="s">
        <v>204</v>
      </c>
      <c r="C2517" s="71">
        <v>45866</v>
      </c>
      <c r="D2517" s="41" t="str">
        <f>VLOOKUP(B2517,辅助信息!E:K,7,FALSE)</f>
        <v>JWDDCD2025062200016</v>
      </c>
      <c r="E2517" s="41" t="str">
        <f>VLOOKUP(F2517,辅助信息!A:B,2,FALSE)</f>
        <v>螺纹钢</v>
      </c>
      <c r="F2517" s="41" t="s">
        <v>32</v>
      </c>
      <c r="G2517" s="37">
        <v>9</v>
      </c>
      <c r="H2517" s="135">
        <f>_xlfn.XLOOKUP(C2517&amp;F2517&amp;I2517&amp;J2517,'[1]2025年已发货'!$F:$F&amp;'[1]2025年已发货'!$C:$C&amp;'[1]2025年已发货'!$G:$G&amp;'[1]2025年已发货'!$H:$H,'[1]2025年已发货'!$E:$E,"未发货")</f>
        <v>9</v>
      </c>
      <c r="I2517" s="41" t="str">
        <f>VLOOKUP(B2517,辅助信息!E:I,3,FALSE)</f>
        <v>(武汉电气化局成达万高铁强电项目-达州主城区-达州南站)四川省达州市达川区达州南站</v>
      </c>
      <c r="J2517" s="41" t="str">
        <f>VLOOKUP(B2517,辅助信息!E:I,4,FALSE)</f>
        <v>杨人志</v>
      </c>
      <c r="K2517" s="41">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93</v>
      </c>
      <c r="Q2517" s="30" t="str">
        <f>VLOOKUP(B2517,辅助信息!E:M,9,FALSE)</f>
        <v>ZTWM-CDGS-XS-2025-0033-中铁武汉电气化局集团有限公司成达万高速铁路强电工程项目</v>
      </c>
      <c r="R2517" s="30" t="str">
        <f>_xlfn._xlws.FILTER(辅助信息!D:D,辅助信息!E:E=B2517)</f>
        <v>武汉电气化局成达万高铁强电项目</v>
      </c>
    </row>
    <row r="2518" hidden="1" spans="2:18">
      <c r="B2518" s="41" t="s">
        <v>204</v>
      </c>
      <c r="C2518" s="71">
        <v>45866</v>
      </c>
      <c r="D2518" s="41" t="str">
        <f>VLOOKUP(B2518,辅助信息!E:K,7,FALSE)</f>
        <v>JWDDCD2025062200016</v>
      </c>
      <c r="E2518" s="41" t="str">
        <f>VLOOKUP(F2518,辅助信息!A:B,2,FALSE)</f>
        <v>螺纹钢</v>
      </c>
      <c r="F2518" s="41" t="s">
        <v>30</v>
      </c>
      <c r="G2518" s="37">
        <v>22.45</v>
      </c>
      <c r="H2518" s="135" t="str">
        <f>_xlfn.XLOOKUP(C2518&amp;F2518&amp;I2518&amp;J2518,'[1]2025年已发货'!$F:$F&amp;'[1]2025年已发货'!$C:$C&amp;'[1]2025年已发货'!$G:$G&amp;'[1]2025年已发货'!$H:$H,'[1]2025年已发货'!$E:$E,"未发货")</f>
        <v>未发货</v>
      </c>
      <c r="I2518" s="41" t="str">
        <f>VLOOKUP(B2518,辅助信息!E:I,3,FALSE)</f>
        <v>(武汉电气化局成达万高铁强电项目-达州主城区-达州南站)四川省达州市达川区达州南站</v>
      </c>
      <c r="J2518" s="41" t="str">
        <f>VLOOKUP(B2518,辅助信息!E:I,4,FALSE)</f>
        <v>杨人志</v>
      </c>
      <c r="K2518" s="41">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93</v>
      </c>
      <c r="Q2518" s="30" t="str">
        <f>VLOOKUP(B2518,辅助信息!E:M,9,FALSE)</f>
        <v>ZTWM-CDGS-XS-2025-0033-中铁武汉电气化局集团有限公司成达万高速铁路强电工程项目</v>
      </c>
      <c r="R2518" s="30" t="str">
        <f>_xlfn._xlws.FILTER(辅助信息!D:D,辅助信息!E:E=B2518)</f>
        <v>武汉电气化局成达万高铁强电项目</v>
      </c>
    </row>
    <row r="2519" hidden="1" spans="2:18">
      <c r="B2519" s="41" t="s">
        <v>204</v>
      </c>
      <c r="C2519" s="71">
        <v>45866</v>
      </c>
      <c r="D2519" s="41" t="str">
        <f>VLOOKUP(B2519,辅助信息!E:K,7,FALSE)</f>
        <v>JWDDCD2025062200016</v>
      </c>
      <c r="E2519" s="41" t="str">
        <f>VLOOKUP(F2519,辅助信息!A:B,2,FALSE)</f>
        <v>螺纹钢</v>
      </c>
      <c r="F2519" s="41" t="s">
        <v>33</v>
      </c>
      <c r="G2519" s="37">
        <v>10.57</v>
      </c>
      <c r="H2519" s="135">
        <f>_xlfn.XLOOKUP(C2519&amp;F2519&amp;I2519&amp;J2519,'[1]2025年已发货'!$F:$F&amp;'[1]2025年已发货'!$C:$C&amp;'[1]2025年已发货'!$G:$G&amp;'[1]2025年已发货'!$H:$H,'[1]2025年已发货'!$E:$E,"未发货")</f>
        <v>9</v>
      </c>
      <c r="I2519" s="41" t="str">
        <f>VLOOKUP(B2519,辅助信息!E:I,3,FALSE)</f>
        <v>(武汉电气化局成达万高铁强电项目-达州主城区-达州南站)四川省达州市达川区达州南站</v>
      </c>
      <c r="J2519" s="41" t="str">
        <f>VLOOKUP(B2519,辅助信息!E:I,4,FALSE)</f>
        <v>杨人志</v>
      </c>
      <c r="K2519" s="41">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93</v>
      </c>
      <c r="Q2519" s="30" t="str">
        <f>VLOOKUP(B2519,辅助信息!E:M,9,FALSE)</f>
        <v>ZTWM-CDGS-XS-2025-0033-中铁武汉电气化局集团有限公司成达万高速铁路强电工程项目</v>
      </c>
      <c r="R2519" s="30" t="str">
        <f>_xlfn._xlws.FILTER(辅助信息!D:D,辅助信息!E:E=B2519)</f>
        <v>武汉电气化局成达万高铁强电项目</v>
      </c>
    </row>
    <row r="2520" hidden="1" spans="2:18">
      <c r="B2520" s="41" t="s">
        <v>204</v>
      </c>
      <c r="C2520" s="71">
        <v>45866</v>
      </c>
      <c r="D2520" s="41" t="str">
        <f>VLOOKUP(B2520,辅助信息!E:K,7,FALSE)</f>
        <v>JWDDCD2025062200016</v>
      </c>
      <c r="E2520" s="41" t="str">
        <f>VLOOKUP(F2520,辅助信息!A:B,2,FALSE)</f>
        <v>螺纹钢</v>
      </c>
      <c r="F2520" s="41" t="s">
        <v>28</v>
      </c>
      <c r="G2520" s="37">
        <v>10.16</v>
      </c>
      <c r="H2520" s="135">
        <f>_xlfn.XLOOKUP(C2520&amp;F2520&amp;I2520&amp;J2520,'[1]2025年已发货'!$F:$F&amp;'[1]2025年已发货'!$C:$C&amp;'[1]2025年已发货'!$G:$G&amp;'[1]2025年已发货'!$H:$H,'[1]2025年已发货'!$E:$E,"未发货")</f>
        <v>9</v>
      </c>
      <c r="I2520" s="41" t="str">
        <f>VLOOKUP(B2520,辅助信息!E:I,3,FALSE)</f>
        <v>(武汉电气化局成达万高铁强电项目-达州主城区-达州南站)四川省达州市达川区达州南站</v>
      </c>
      <c r="J2520" s="41" t="str">
        <f>VLOOKUP(B2520,辅助信息!E:I,4,FALSE)</f>
        <v>杨人志</v>
      </c>
      <c r="K2520" s="41">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93</v>
      </c>
      <c r="Q2520" s="30" t="str">
        <f>VLOOKUP(B2520,辅助信息!E:M,9,FALSE)</f>
        <v>ZTWM-CDGS-XS-2025-0033-中铁武汉电气化局集团有限公司成达万高速铁路强电工程项目</v>
      </c>
      <c r="R2520" s="30" t="str">
        <f>_xlfn._xlws.FILTER(辅助信息!D:D,辅助信息!E:E=B2520)</f>
        <v>武汉电气化局成达万高铁强电项目</v>
      </c>
    </row>
    <row r="2521" hidden="1" spans="2:18">
      <c r="B2521" s="41" t="s">
        <v>204</v>
      </c>
      <c r="C2521" s="71">
        <v>45866</v>
      </c>
      <c r="D2521" s="41" t="str">
        <f>VLOOKUP(B2521,辅助信息!E:K,7,FALSE)</f>
        <v>JWDDCD2025062200016</v>
      </c>
      <c r="E2521" s="41" t="str">
        <f>VLOOKUP(F2521,辅助信息!A:B,2,FALSE)</f>
        <v>螺纹钢</v>
      </c>
      <c r="F2521" s="41" t="s">
        <v>18</v>
      </c>
      <c r="G2521" s="37">
        <v>10.73</v>
      </c>
      <c r="H2521" s="135">
        <f>_xlfn.XLOOKUP(C2521&amp;F2521&amp;I2521&amp;J2521,'[1]2025年已发货'!$F:$F&amp;'[1]2025年已发货'!$C:$C&amp;'[1]2025年已发货'!$G:$G&amp;'[1]2025年已发货'!$H:$H,'[1]2025年已发货'!$E:$E,"未发货")</f>
        <v>12</v>
      </c>
      <c r="I2521" s="41" t="str">
        <f>VLOOKUP(B2521,辅助信息!E:I,3,FALSE)</f>
        <v>(武汉电气化局成达万高铁强电项目-达州主城区-达州南站)四川省达州市达川区达州南站</v>
      </c>
      <c r="J2521" s="41" t="str">
        <f>VLOOKUP(B2521,辅助信息!E:I,4,FALSE)</f>
        <v>杨人志</v>
      </c>
      <c r="K2521" s="41">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93</v>
      </c>
      <c r="Q2521" s="30" t="str">
        <f>VLOOKUP(B2521,辅助信息!E:M,9,FALSE)</f>
        <v>ZTWM-CDGS-XS-2025-0033-中铁武汉电气化局集团有限公司成达万高速铁路强电工程项目</v>
      </c>
      <c r="R2521" s="30" t="str">
        <f>_xlfn._xlws.FILTER(辅助信息!D:D,辅助信息!E:E=B2521)</f>
        <v>武汉电气化局成达万高铁强电项目</v>
      </c>
    </row>
    <row r="2522" hidden="1" spans="2:18">
      <c r="B2522" s="41" t="s">
        <v>81</v>
      </c>
      <c r="C2522" s="71">
        <v>45867</v>
      </c>
      <c r="D2522" s="41" t="str">
        <f>VLOOKUP(B2522,辅助信息!E:K,7,FALSE)</f>
        <v>JWDDCD2025060900080</v>
      </c>
      <c r="E2522" s="41" t="str">
        <f>VLOOKUP(F2522,辅助信息!A:B,2,FALSE)</f>
        <v>盘螺</v>
      </c>
      <c r="F2522" s="41" t="s">
        <v>49</v>
      </c>
      <c r="G2522" s="37">
        <v>5</v>
      </c>
      <c r="H2522" s="135">
        <f>_xlfn.XLOOKUP(C2522&amp;F2522&amp;I2522&amp;J2522,'[1]2025年已发货'!$F:$F&amp;'[1]2025年已发货'!$C:$C&amp;'[1]2025年已发货'!$G:$G&amp;'[1]2025年已发货'!$H:$H,'[1]2025年已发货'!$E:$E,"未发货")</f>
        <v>2.5</v>
      </c>
      <c r="I2522" s="41" t="str">
        <f>VLOOKUP(B2522,辅助信息!E:I,3,FALSE)</f>
        <v>（华西简阳西城嘉苑）四川省成都市简阳市简城街道高屋村</v>
      </c>
      <c r="J2522" s="41" t="str">
        <f>VLOOKUP(B2522,辅助信息!E:I,4,FALSE)</f>
        <v>张瀚镭</v>
      </c>
      <c r="K2522" s="41">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91</v>
      </c>
      <c r="Q2522" s="30" t="str">
        <f>VLOOKUP(B2522,辅助信息!E:M,9,FALSE)</f>
        <v>ZTWM-CDGS-XS-2024-0030-华西集采-简州大道</v>
      </c>
      <c r="R2522" s="30" t="str">
        <f>_xlfn._xlws.FILTER(辅助信息!D:D,辅助信息!E:E=B2522)</f>
        <v>华西简阳西城嘉苑</v>
      </c>
    </row>
    <row r="2523" hidden="1" spans="2:18">
      <c r="B2523" s="41" t="s">
        <v>81</v>
      </c>
      <c r="C2523" s="71">
        <v>45867</v>
      </c>
      <c r="D2523" s="41" t="str">
        <f>VLOOKUP(B2523,辅助信息!E:K,7,FALSE)</f>
        <v>JWDDCD2025060900080</v>
      </c>
      <c r="E2523" s="41" t="str">
        <f>VLOOKUP(F2523,辅助信息!A:B,2,FALSE)</f>
        <v>盘螺</v>
      </c>
      <c r="F2523" s="41" t="s">
        <v>40</v>
      </c>
      <c r="G2523" s="37">
        <v>44</v>
      </c>
      <c r="H2523" s="135">
        <f>_xlfn.XLOOKUP(C2523&amp;F2523&amp;I2523&amp;J2523,'[1]2025年已发货'!$F:$F&amp;'[1]2025年已发货'!$C:$C&amp;'[1]2025年已发货'!$G:$G&amp;'[1]2025年已发货'!$H:$H,'[1]2025年已发货'!$E:$E,"未发货")</f>
        <v>35</v>
      </c>
      <c r="I2523" s="41" t="str">
        <f>VLOOKUP(B2523,辅助信息!E:I,3,FALSE)</f>
        <v>（华西简阳西城嘉苑）四川省成都市简阳市简城街道高屋村</v>
      </c>
      <c r="J2523" s="41" t="str">
        <f>VLOOKUP(B2523,辅助信息!E:I,4,FALSE)</f>
        <v>张瀚镭</v>
      </c>
      <c r="K2523" s="41">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91</v>
      </c>
      <c r="Q2523" s="30" t="str">
        <f>VLOOKUP(B2523,辅助信息!E:M,9,FALSE)</f>
        <v>ZTWM-CDGS-XS-2024-0030-华西集采-简州大道</v>
      </c>
      <c r="R2523" s="30" t="str">
        <f>_xlfn._xlws.FILTER(辅助信息!D:D,辅助信息!E:E=B2523)</f>
        <v>华西简阳西城嘉苑</v>
      </c>
    </row>
    <row r="2524" hidden="1" spans="2:18">
      <c r="B2524" s="41" t="s">
        <v>81</v>
      </c>
      <c r="C2524" s="71">
        <v>45867</v>
      </c>
      <c r="D2524" s="41" t="str">
        <f>VLOOKUP(B2524,辅助信息!E:K,7,FALSE)</f>
        <v>JWDDCD2025060900080</v>
      </c>
      <c r="E2524" s="41" t="str">
        <f>VLOOKUP(F2524,辅助信息!A:B,2,FALSE)</f>
        <v>盘螺</v>
      </c>
      <c r="F2524" s="41" t="s">
        <v>41</v>
      </c>
      <c r="G2524" s="37">
        <v>73</v>
      </c>
      <c r="H2524" s="135">
        <f>_xlfn.XLOOKUP(C2524&amp;F2524&amp;I2524&amp;J2524,'[1]2025年已发货'!$F:$F&amp;'[1]2025年已发货'!$C:$C&amp;'[1]2025年已发货'!$G:$G&amp;'[1]2025年已发货'!$H:$H,'[1]2025年已发货'!$E:$E,"未发货")</f>
        <v>36</v>
      </c>
      <c r="I2524" s="41" t="str">
        <f>VLOOKUP(B2524,辅助信息!E:I,3,FALSE)</f>
        <v>（华西简阳西城嘉苑）四川省成都市简阳市简城街道高屋村</v>
      </c>
      <c r="J2524" s="41" t="str">
        <f>VLOOKUP(B2524,辅助信息!E:I,4,FALSE)</f>
        <v>张瀚镭</v>
      </c>
      <c r="K2524" s="41">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91</v>
      </c>
      <c r="Q2524" s="30" t="str">
        <f>VLOOKUP(B2524,辅助信息!E:M,9,FALSE)</f>
        <v>ZTWM-CDGS-XS-2024-0030-华西集采-简州大道</v>
      </c>
      <c r="R2524" s="30" t="str">
        <f>_xlfn._xlws.FILTER(辅助信息!D:D,辅助信息!E:E=B2524)</f>
        <v>华西简阳西城嘉苑</v>
      </c>
    </row>
    <row r="2525" hidden="1" spans="2:18">
      <c r="B2525" s="41" t="s">
        <v>81</v>
      </c>
      <c r="C2525" s="71">
        <v>45867</v>
      </c>
      <c r="D2525" s="41" t="str">
        <f>VLOOKUP(B2525,辅助信息!E:K,7,FALSE)</f>
        <v>JWDDCD2025060900080</v>
      </c>
      <c r="E2525" s="41" t="str">
        <f>VLOOKUP(F2525,辅助信息!A:B,2,FALSE)</f>
        <v>盘螺</v>
      </c>
      <c r="F2525" s="41" t="s">
        <v>26</v>
      </c>
      <c r="G2525" s="37">
        <v>19.5</v>
      </c>
      <c r="H2525" s="135">
        <f>_xlfn.XLOOKUP(C2525&amp;F2525&amp;I2525&amp;J2525,'[1]2025年已发货'!$F:$F&amp;'[1]2025年已发货'!$C:$C&amp;'[1]2025年已发货'!$G:$G&amp;'[1]2025年已发货'!$H:$H,'[1]2025年已发货'!$E:$E,"未发货")</f>
        <v>15.5</v>
      </c>
      <c r="I2525" s="41" t="str">
        <f>VLOOKUP(B2525,辅助信息!E:I,3,FALSE)</f>
        <v>（华西简阳西城嘉苑）四川省成都市简阳市简城街道高屋村</v>
      </c>
      <c r="J2525" s="41" t="str">
        <f>VLOOKUP(B2525,辅助信息!E:I,4,FALSE)</f>
        <v>张瀚镭</v>
      </c>
      <c r="K2525" s="41">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91</v>
      </c>
      <c r="Q2525" s="30" t="str">
        <f>VLOOKUP(B2525,辅助信息!E:M,9,FALSE)</f>
        <v>ZTWM-CDGS-XS-2024-0030-华西集采-简州大道</v>
      </c>
      <c r="R2525" s="30" t="str">
        <f>_xlfn._xlws.FILTER(辅助信息!D:D,辅助信息!E:E=B2525)</f>
        <v>华西简阳西城嘉苑</v>
      </c>
    </row>
    <row r="2526" hidden="1" spans="2:18">
      <c r="B2526" s="41" t="s">
        <v>81</v>
      </c>
      <c r="C2526" s="71">
        <v>45867</v>
      </c>
      <c r="D2526" s="41" t="str">
        <f>VLOOKUP(B2526,辅助信息!E:K,7,FALSE)</f>
        <v>JWDDCD2025060900080</v>
      </c>
      <c r="E2526" s="41" t="str">
        <f>VLOOKUP(F2526,辅助信息!A:B,2,FALSE)</f>
        <v>螺纹钢</v>
      </c>
      <c r="F2526" s="41" t="s">
        <v>19</v>
      </c>
      <c r="G2526" s="37">
        <v>16</v>
      </c>
      <c r="H2526" s="135">
        <f>_xlfn.XLOOKUP(C2526&amp;F2526&amp;I2526&amp;J2526,'[1]2025年已发货'!$F:$F&amp;'[1]2025年已发货'!$C:$C&amp;'[1]2025年已发货'!$G:$G&amp;'[1]2025年已发货'!$H:$H,'[1]2025年已发货'!$E:$E,"未发货")</f>
        <v>6</v>
      </c>
      <c r="I2526" s="41" t="str">
        <f>VLOOKUP(B2526,辅助信息!E:I,3,FALSE)</f>
        <v>（华西简阳西城嘉苑）四川省成都市简阳市简城街道高屋村</v>
      </c>
      <c r="J2526" s="41" t="str">
        <f>VLOOKUP(B2526,辅助信息!E:I,4,FALSE)</f>
        <v>张瀚镭</v>
      </c>
      <c r="K2526" s="41">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91</v>
      </c>
      <c r="Q2526" s="30" t="str">
        <f>VLOOKUP(B2526,辅助信息!E:M,9,FALSE)</f>
        <v>ZTWM-CDGS-XS-2024-0030-华西集采-简州大道</v>
      </c>
      <c r="R2526" s="30" t="str">
        <f>_xlfn._xlws.FILTER(辅助信息!D:D,辅助信息!E:E=B2526)</f>
        <v>华西简阳西城嘉苑</v>
      </c>
    </row>
    <row r="2527" hidden="1" spans="2:18">
      <c r="B2527" s="41" t="s">
        <v>81</v>
      </c>
      <c r="C2527" s="71">
        <v>45867</v>
      </c>
      <c r="D2527" s="41" t="str">
        <f>VLOOKUP(B2527,辅助信息!E:K,7,FALSE)</f>
        <v>JWDDCD2025060900080</v>
      </c>
      <c r="E2527" s="41" t="str">
        <f>VLOOKUP(F2527,辅助信息!A:B,2,FALSE)</f>
        <v>螺纹钢</v>
      </c>
      <c r="F2527" s="41" t="s">
        <v>32</v>
      </c>
      <c r="G2527" s="37">
        <v>14</v>
      </c>
      <c r="H2527" s="135">
        <f>_xlfn.XLOOKUP(C2527&amp;F2527&amp;I2527&amp;J2527,'[1]2025年已发货'!$F:$F&amp;'[1]2025年已发货'!$C:$C&amp;'[1]2025年已发货'!$G:$G&amp;'[1]2025年已发货'!$H:$H,'[1]2025年已发货'!$E:$E,"未发货")</f>
        <v>6</v>
      </c>
      <c r="I2527" s="41" t="str">
        <f>VLOOKUP(B2527,辅助信息!E:I,3,FALSE)</f>
        <v>（华西简阳西城嘉苑）四川省成都市简阳市简城街道高屋村</v>
      </c>
      <c r="J2527" s="41" t="str">
        <f>VLOOKUP(B2527,辅助信息!E:I,4,FALSE)</f>
        <v>张瀚镭</v>
      </c>
      <c r="K2527" s="41">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91</v>
      </c>
      <c r="Q2527" s="30" t="str">
        <f>VLOOKUP(B2527,辅助信息!E:M,9,FALSE)</f>
        <v>ZTWM-CDGS-XS-2024-0030-华西集采-简州大道</v>
      </c>
      <c r="R2527" s="30" t="str">
        <f>_xlfn._xlws.FILTER(辅助信息!D:D,辅助信息!E:E=B2527)</f>
        <v>华西简阳西城嘉苑</v>
      </c>
    </row>
    <row r="2528" hidden="1" spans="2:18">
      <c r="B2528" s="41" t="s">
        <v>81</v>
      </c>
      <c r="C2528" s="71">
        <v>45867</v>
      </c>
      <c r="D2528" s="41" t="str">
        <f>VLOOKUP(B2528,辅助信息!E:K,7,FALSE)</f>
        <v>JWDDCD2025060900080</v>
      </c>
      <c r="E2528" s="41" t="str">
        <f>VLOOKUP(F2528,辅助信息!A:B,2,FALSE)</f>
        <v>螺纹钢</v>
      </c>
      <c r="F2528" s="41" t="s">
        <v>30</v>
      </c>
      <c r="G2528" s="37">
        <v>2.5</v>
      </c>
      <c r="H2528" s="135">
        <f>_xlfn.XLOOKUP(C2528&amp;F2528&amp;I2528&amp;J2528,'[1]2025年已发货'!$F:$F&amp;'[1]2025年已发货'!$C:$C&amp;'[1]2025年已发货'!$G:$G&amp;'[1]2025年已发货'!$H:$H,'[1]2025年已发货'!$E:$E,"未发货")</f>
        <v>2.5</v>
      </c>
      <c r="I2528" s="41" t="str">
        <f>VLOOKUP(B2528,辅助信息!E:I,3,FALSE)</f>
        <v>（华西简阳西城嘉苑）四川省成都市简阳市简城街道高屋村</v>
      </c>
      <c r="J2528" s="41" t="str">
        <f>VLOOKUP(B2528,辅助信息!E:I,4,FALSE)</f>
        <v>张瀚镭</v>
      </c>
      <c r="K2528" s="41">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91</v>
      </c>
      <c r="Q2528" s="30" t="str">
        <f>VLOOKUP(B2528,辅助信息!E:M,9,FALSE)</f>
        <v>ZTWM-CDGS-XS-2024-0030-华西集采-简州大道</v>
      </c>
      <c r="R2528" s="30" t="str">
        <f>_xlfn._xlws.FILTER(辅助信息!D:D,辅助信息!E:E=B2528)</f>
        <v>华西简阳西城嘉苑</v>
      </c>
    </row>
    <row r="2529" hidden="1" spans="2:18">
      <c r="B2529" s="41" t="s">
        <v>81</v>
      </c>
      <c r="C2529" s="71">
        <v>45867</v>
      </c>
      <c r="D2529" s="41" t="str">
        <f>VLOOKUP(B2529,辅助信息!E:K,7,FALSE)</f>
        <v>JWDDCD2025060900080</v>
      </c>
      <c r="E2529" s="41" t="str">
        <f>VLOOKUP(F2529,辅助信息!A:B,2,FALSE)</f>
        <v>螺纹钢</v>
      </c>
      <c r="F2529" s="41" t="s">
        <v>33</v>
      </c>
      <c r="G2529" s="37">
        <v>2.5</v>
      </c>
      <c r="H2529" s="135">
        <f>_xlfn.XLOOKUP(C2529&amp;F2529&amp;I2529&amp;J2529,'[1]2025年已发货'!$F:$F&amp;'[1]2025年已发货'!$C:$C&amp;'[1]2025年已发货'!$G:$G&amp;'[1]2025年已发货'!$H:$H,'[1]2025年已发货'!$E:$E,"未发货")</f>
        <v>2.5</v>
      </c>
      <c r="I2529" s="41" t="str">
        <f>VLOOKUP(B2529,辅助信息!E:I,3,FALSE)</f>
        <v>（华西简阳西城嘉苑）四川省成都市简阳市简城街道高屋村</v>
      </c>
      <c r="J2529" s="41" t="str">
        <f>VLOOKUP(B2529,辅助信息!E:I,4,FALSE)</f>
        <v>张瀚镭</v>
      </c>
      <c r="K2529" s="41">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91</v>
      </c>
      <c r="Q2529" s="30" t="str">
        <f>VLOOKUP(B2529,辅助信息!E:M,9,FALSE)</f>
        <v>ZTWM-CDGS-XS-2024-0030-华西集采-简州大道</v>
      </c>
      <c r="R2529" s="30" t="str">
        <f>_xlfn._xlws.FILTER(辅助信息!D:D,辅助信息!E:E=B2529)</f>
        <v>华西简阳西城嘉苑</v>
      </c>
    </row>
    <row r="2530" hidden="1" spans="2:18">
      <c r="B2530" s="41" t="s">
        <v>81</v>
      </c>
      <c r="C2530" s="71">
        <v>45867</v>
      </c>
      <c r="D2530" s="41" t="str">
        <f>VLOOKUP(B2530,辅助信息!E:K,7,FALSE)</f>
        <v>JWDDCD2025060900080</v>
      </c>
      <c r="E2530" s="41" t="str">
        <f>VLOOKUP(F2530,辅助信息!A:B,2,FALSE)</f>
        <v>螺纹钢</v>
      </c>
      <c r="F2530" s="41" t="s">
        <v>58</v>
      </c>
      <c r="G2530" s="37">
        <v>7</v>
      </c>
      <c r="H2530" s="135" t="str">
        <f>_xlfn.XLOOKUP(C2530&amp;F2530&amp;I2530&amp;J2530,'[1]2025年已发货'!$F:$F&amp;'[1]2025年已发货'!$C:$C&amp;'[1]2025年已发货'!$G:$G&amp;'[1]2025年已发货'!$H:$H,'[1]2025年已发货'!$E:$E,"未发货")</f>
        <v>未发货</v>
      </c>
      <c r="I2530" s="41" t="str">
        <f>VLOOKUP(B2530,辅助信息!E:I,3,FALSE)</f>
        <v>（华西简阳西城嘉苑）四川省成都市简阳市简城街道高屋村</v>
      </c>
      <c r="J2530" s="41" t="str">
        <f>VLOOKUP(B2530,辅助信息!E:I,4,FALSE)</f>
        <v>张瀚镭</v>
      </c>
      <c r="K2530" s="41">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91</v>
      </c>
      <c r="Q2530" s="30" t="str">
        <f>VLOOKUP(B2530,辅助信息!E:M,9,FALSE)</f>
        <v>ZTWM-CDGS-XS-2024-0030-华西集采-简州大道</v>
      </c>
      <c r="R2530" s="30" t="str">
        <f>_xlfn._xlws.FILTER(辅助信息!D:D,辅助信息!E:E=B2530)</f>
        <v>华西简阳西城嘉苑</v>
      </c>
    </row>
    <row r="2531" hidden="1" spans="2:18">
      <c r="B2531" s="41" t="s">
        <v>81</v>
      </c>
      <c r="C2531" s="71">
        <v>45867</v>
      </c>
      <c r="D2531" s="41" t="str">
        <f>VLOOKUP(B2531,辅助信息!E:K,7,FALSE)</f>
        <v>JWDDCD2025060900080</v>
      </c>
      <c r="E2531" s="41" t="str">
        <f>VLOOKUP(F2531,辅助信息!A:B,2,FALSE)</f>
        <v>螺纹钢</v>
      </c>
      <c r="F2531" s="41" t="s">
        <v>46</v>
      </c>
      <c r="G2531" s="37">
        <v>5</v>
      </c>
      <c r="H2531" s="135" t="str">
        <f>_xlfn.XLOOKUP(C2531&amp;F2531&amp;I2531&amp;J2531,'[1]2025年已发货'!$F:$F&amp;'[1]2025年已发货'!$C:$C&amp;'[1]2025年已发货'!$G:$G&amp;'[1]2025年已发货'!$H:$H,'[1]2025年已发货'!$E:$E,"未发货")</f>
        <v>未发货</v>
      </c>
      <c r="I2531" s="41" t="str">
        <f>VLOOKUP(B2531,辅助信息!E:I,3,FALSE)</f>
        <v>（华西简阳西城嘉苑）四川省成都市简阳市简城街道高屋村</v>
      </c>
      <c r="J2531" s="41" t="str">
        <f>VLOOKUP(B2531,辅助信息!E:I,4,FALSE)</f>
        <v>张瀚镭</v>
      </c>
      <c r="K2531" s="41">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91</v>
      </c>
      <c r="Q2531" s="30" t="str">
        <f>VLOOKUP(B2531,辅助信息!E:M,9,FALSE)</f>
        <v>ZTWM-CDGS-XS-2024-0030-华西集采-简州大道</v>
      </c>
      <c r="R2531" s="30" t="str">
        <f>_xlfn._xlws.FILTER(辅助信息!D:D,辅助信息!E:E=B2531)</f>
        <v>华西简阳西城嘉苑</v>
      </c>
    </row>
    <row r="2532" hidden="1" spans="2:18">
      <c r="B2532" s="41" t="s">
        <v>81</v>
      </c>
      <c r="C2532" s="71">
        <v>45867</v>
      </c>
      <c r="D2532" s="41" t="str">
        <f>VLOOKUP(B2532,辅助信息!E:K,7,FALSE)</f>
        <v>JWDDCD2025060900080</v>
      </c>
      <c r="E2532" s="41" t="str">
        <f>VLOOKUP(F2532,辅助信息!A:B,2,FALSE)</f>
        <v>螺纹钢</v>
      </c>
      <c r="F2532" s="41" t="s">
        <v>22</v>
      </c>
      <c r="G2532" s="37">
        <v>20</v>
      </c>
      <c r="H2532" s="135" t="str">
        <f>_xlfn.XLOOKUP(C2532&amp;F2532&amp;I2532&amp;J2532,'[1]2025年已发货'!$F:$F&amp;'[1]2025年已发货'!$C:$C&amp;'[1]2025年已发货'!$G:$G&amp;'[1]2025年已发货'!$H:$H,'[1]2025年已发货'!$E:$E,"未发货")</f>
        <v>未发货</v>
      </c>
      <c r="I2532" s="41" t="str">
        <f>VLOOKUP(B2532,辅助信息!E:I,3,FALSE)</f>
        <v>（华西简阳西城嘉苑）四川省成都市简阳市简城街道高屋村</v>
      </c>
      <c r="J2532" s="41" t="str">
        <f>VLOOKUP(B2532,辅助信息!E:I,4,FALSE)</f>
        <v>张瀚镭</v>
      </c>
      <c r="K2532" s="41">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91</v>
      </c>
      <c r="Q2532" s="30" t="str">
        <f>VLOOKUP(B2532,辅助信息!E:M,9,FALSE)</f>
        <v>ZTWM-CDGS-XS-2024-0030-华西集采-简州大道</v>
      </c>
      <c r="R2532" s="30" t="str">
        <f>_xlfn._xlws.FILTER(辅助信息!D:D,辅助信息!E:E=B2532)</f>
        <v>华西简阳西城嘉苑</v>
      </c>
    </row>
    <row r="2533" hidden="1" spans="2:18">
      <c r="B2533" s="41" t="s">
        <v>194</v>
      </c>
      <c r="C2533" s="71">
        <v>45867</v>
      </c>
      <c r="D2533" s="41" t="str">
        <f>VLOOKUP(B2533,辅助信息!E:K,7,FALSE)</f>
        <v>JWDD2025071500089</v>
      </c>
      <c r="E2533" s="41" t="str">
        <f>VLOOKUP(F2533,辅助信息!A:B,2,FALSE)</f>
        <v>盘螺</v>
      </c>
      <c r="F2533" s="41" t="s">
        <v>49</v>
      </c>
      <c r="G2533" s="37">
        <v>6</v>
      </c>
      <c r="H2533" s="135" t="str">
        <f>_xlfn.XLOOKUP(C2533&amp;F2533&amp;I2533&amp;J2533,'[1]2025年已发货'!$F:$F&amp;'[1]2025年已发货'!$C:$C&amp;'[1]2025年已发货'!$G:$G&amp;'[1]2025年已发货'!$H:$H,'[1]2025年已发货'!$E:$E,"未发货")</f>
        <v>未发货</v>
      </c>
      <c r="I2533" s="41" t="str">
        <f>VLOOKUP(B2533,辅助信息!E:I,3,FALSE)</f>
        <v>(宜宾兴港三江新区长江工业园保障性租赁住房建设项目-土建)四川省宜宾市翠屏区永善路南段宜宾市三江新区长江工业园区</v>
      </c>
      <c r="J2533" s="41" t="str">
        <f>VLOOKUP(B2533,辅助信息!E:I,4,FALSE)</f>
        <v>赵元虎</v>
      </c>
      <c r="K2533" s="41">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91</v>
      </c>
      <c r="Q2533" s="30" t="str">
        <f>VLOOKUP(B2533,辅助信息!E:M,9,FALSE)</f>
        <v>ZTWM-CDYXGS-XS-2025-0014-宜宾兴港建材-三江新区长江工业园片区保障性租赁住房建设项目</v>
      </c>
      <c r="R2533" s="30" t="str">
        <f>_xlfn._xlws.FILTER(辅助信息!D:D,辅助信息!E:E=B2533)</f>
        <v>宜宾兴港三江新区长江工业园建设项目</v>
      </c>
    </row>
    <row r="2534" hidden="1" spans="2:18">
      <c r="B2534" s="41" t="s">
        <v>194</v>
      </c>
      <c r="C2534" s="71">
        <v>45867</v>
      </c>
      <c r="D2534" s="41" t="str">
        <f>VLOOKUP(B2534,辅助信息!E:K,7,FALSE)</f>
        <v>JWDD2025071500089</v>
      </c>
      <c r="E2534" s="41" t="str">
        <f>VLOOKUP(F2534,辅助信息!A:B,2,FALSE)</f>
        <v>盘螺</v>
      </c>
      <c r="F2534" s="41" t="s">
        <v>40</v>
      </c>
      <c r="G2534" s="37">
        <v>10</v>
      </c>
      <c r="H2534" s="135" t="str">
        <f>_xlfn.XLOOKUP(C2534&amp;F2534&amp;I2534&amp;J2534,'[1]2025年已发货'!$F:$F&amp;'[1]2025年已发货'!$C:$C&amp;'[1]2025年已发货'!$G:$G&amp;'[1]2025年已发货'!$H:$H,'[1]2025年已发货'!$E:$E,"未发货")</f>
        <v>未发货</v>
      </c>
      <c r="I2534" s="41" t="str">
        <f>VLOOKUP(B2534,辅助信息!E:I,3,FALSE)</f>
        <v>(宜宾兴港三江新区长江工业园保障性租赁住房建设项目-土建)四川省宜宾市翠屏区永善路南段宜宾市三江新区长江工业园区</v>
      </c>
      <c r="J2534" s="41" t="str">
        <f>VLOOKUP(B2534,辅助信息!E:I,4,FALSE)</f>
        <v>赵元虎</v>
      </c>
      <c r="K2534" s="41">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91</v>
      </c>
      <c r="Q2534" s="30" t="str">
        <f>VLOOKUP(B2534,辅助信息!E:M,9,FALSE)</f>
        <v>ZTWM-CDYXGS-XS-2025-0014-宜宾兴港建材-三江新区长江工业园片区保障性租赁住房建设项目</v>
      </c>
      <c r="R2534" s="30" t="str">
        <f>_xlfn._xlws.FILTER(辅助信息!D:D,辅助信息!E:E=B2534)</f>
        <v>宜宾兴港三江新区长江工业园建设项目</v>
      </c>
    </row>
    <row r="2535" hidden="1" spans="2:18">
      <c r="B2535" s="41" t="s">
        <v>194</v>
      </c>
      <c r="C2535" s="71">
        <v>45867</v>
      </c>
      <c r="D2535" s="41" t="str">
        <f>VLOOKUP(B2535,辅助信息!E:K,7,FALSE)</f>
        <v>JWDD2025071500089</v>
      </c>
      <c r="E2535" s="41" t="str">
        <f>VLOOKUP(F2535,辅助信息!A:B,2,FALSE)</f>
        <v>盘螺</v>
      </c>
      <c r="F2535" s="41" t="s">
        <v>41</v>
      </c>
      <c r="G2535" s="37">
        <v>8</v>
      </c>
      <c r="H2535" s="135">
        <v>8</v>
      </c>
      <c r="I2535" s="41" t="str">
        <f>VLOOKUP(B2535,辅助信息!E:I,3,FALSE)</f>
        <v>(宜宾兴港三江新区长江工业园保障性租赁住房建设项目-土建)四川省宜宾市翠屏区永善路南段宜宾市三江新区长江工业园区</v>
      </c>
      <c r="J2535" s="41" t="str">
        <f>VLOOKUP(B2535,辅助信息!E:I,4,FALSE)</f>
        <v>赵元虎</v>
      </c>
      <c r="K2535" s="41">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91</v>
      </c>
      <c r="Q2535" s="30" t="str">
        <f>VLOOKUP(B2535,辅助信息!E:M,9,FALSE)</f>
        <v>ZTWM-CDYXGS-XS-2025-0014-宜宾兴港建材-三江新区长江工业园片区保障性租赁住房建设项目</v>
      </c>
      <c r="R2535" s="30" t="str">
        <f>_xlfn._xlws.FILTER(辅助信息!D:D,辅助信息!E:E=B2535)</f>
        <v>宜宾兴港三江新区长江工业园建设项目</v>
      </c>
    </row>
    <row r="2536" hidden="1" spans="2:18">
      <c r="B2536" s="41" t="s">
        <v>194</v>
      </c>
      <c r="C2536" s="71">
        <v>45867</v>
      </c>
      <c r="D2536" s="41" t="str">
        <f>VLOOKUP(B2536,辅助信息!E:K,7,FALSE)</f>
        <v>JWDD2025071500089</v>
      </c>
      <c r="E2536" s="41" t="str">
        <f>VLOOKUP(F2536,辅助信息!A:B,2,FALSE)</f>
        <v>盘螺</v>
      </c>
      <c r="F2536" s="41" t="s">
        <v>26</v>
      </c>
      <c r="G2536" s="37">
        <v>16</v>
      </c>
      <c r="H2536" s="135" t="str">
        <f>_xlfn.XLOOKUP(C2536&amp;F2536&amp;I2536&amp;J2536,'[1]2025年已发货'!$F:$F&amp;'[1]2025年已发货'!$C:$C&amp;'[1]2025年已发货'!$G:$G&amp;'[1]2025年已发货'!$H:$H,'[1]2025年已发货'!$E:$E,"未发货")</f>
        <v>未发货</v>
      </c>
      <c r="I2536" s="41" t="str">
        <f>VLOOKUP(B2536,辅助信息!E:I,3,FALSE)</f>
        <v>(宜宾兴港三江新区长江工业园保障性租赁住房建设项目-土建)四川省宜宾市翠屏区永善路南段宜宾市三江新区长江工业园区</v>
      </c>
      <c r="J2536" s="41" t="str">
        <f>VLOOKUP(B2536,辅助信息!E:I,4,FALSE)</f>
        <v>赵元虎</v>
      </c>
      <c r="K2536" s="41">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91</v>
      </c>
      <c r="Q2536" s="30" t="str">
        <f>VLOOKUP(B2536,辅助信息!E:M,9,FALSE)</f>
        <v>ZTWM-CDYXGS-XS-2025-0014-宜宾兴港建材-三江新区长江工业园片区保障性租赁住房建设项目</v>
      </c>
      <c r="R2536" s="30" t="str">
        <f>_xlfn._xlws.FILTER(辅助信息!D:D,辅助信息!E:E=B2536)</f>
        <v>宜宾兴港三江新区长江工业园建设项目</v>
      </c>
    </row>
    <row r="2537" hidden="1" spans="2:18">
      <c r="B2537" s="41" t="s">
        <v>194</v>
      </c>
      <c r="C2537" s="71">
        <v>45867</v>
      </c>
      <c r="D2537" s="41" t="str">
        <f>VLOOKUP(B2537,辅助信息!E:K,7,FALSE)</f>
        <v>JWDD2025071500089</v>
      </c>
      <c r="E2537" s="41" t="str">
        <f>VLOOKUP(F2537,辅助信息!A:B,2,FALSE)</f>
        <v>螺纹钢</v>
      </c>
      <c r="F2537" s="41" t="s">
        <v>32</v>
      </c>
      <c r="G2537" s="37">
        <v>34</v>
      </c>
      <c r="H2537" s="135">
        <v>27</v>
      </c>
      <c r="I2537" s="41" t="str">
        <f>VLOOKUP(B2537,辅助信息!E:I,3,FALSE)</f>
        <v>(宜宾兴港三江新区长江工业园保障性租赁住房建设项目-土建)四川省宜宾市翠屏区永善路南段宜宾市三江新区长江工业园区</v>
      </c>
      <c r="J2537" s="41" t="str">
        <f>VLOOKUP(B2537,辅助信息!E:I,4,FALSE)</f>
        <v>赵元虎</v>
      </c>
      <c r="K2537" s="41">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91</v>
      </c>
      <c r="Q2537" s="30" t="str">
        <f>VLOOKUP(B2537,辅助信息!E:M,9,FALSE)</f>
        <v>ZTWM-CDYXGS-XS-2025-0014-宜宾兴港建材-三江新区长江工业园片区保障性租赁住房建设项目</v>
      </c>
      <c r="R2537" s="30" t="str">
        <f>_xlfn._xlws.FILTER(辅助信息!D:D,辅助信息!E:E=B2537)</f>
        <v>宜宾兴港三江新区长江工业园建设项目</v>
      </c>
    </row>
    <row r="2538" hidden="1" spans="2:18">
      <c r="B2538" s="41" t="s">
        <v>194</v>
      </c>
      <c r="C2538" s="71">
        <v>45867</v>
      </c>
      <c r="D2538" s="41" t="str">
        <f>VLOOKUP(B2538,辅助信息!E:K,7,FALSE)</f>
        <v>JWDD2025071500089</v>
      </c>
      <c r="E2538" s="41" t="str">
        <f>VLOOKUP(F2538,辅助信息!A:B,2,FALSE)</f>
        <v>螺纹钢</v>
      </c>
      <c r="F2538" s="41" t="s">
        <v>30</v>
      </c>
      <c r="G2538" s="37">
        <v>10</v>
      </c>
      <c r="H2538" s="135" t="str">
        <f>_xlfn.XLOOKUP(C2538&amp;F2538&amp;I2538&amp;J2538,'[1]2025年已发货'!$F:$F&amp;'[1]2025年已发货'!$C:$C&amp;'[1]2025年已发货'!$G:$G&amp;'[1]2025年已发货'!$H:$H,'[1]2025年已发货'!$E:$E,"未发货")</f>
        <v>未发货</v>
      </c>
      <c r="I2538" s="41" t="str">
        <f>VLOOKUP(B2538,辅助信息!E:I,3,FALSE)</f>
        <v>(宜宾兴港三江新区长江工业园保障性租赁住房建设项目-土建)四川省宜宾市翠屏区永善路南段宜宾市三江新区长江工业园区</v>
      </c>
      <c r="J2538" s="41" t="str">
        <f>VLOOKUP(B2538,辅助信息!E:I,4,FALSE)</f>
        <v>赵元虎</v>
      </c>
      <c r="K2538" s="41">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91</v>
      </c>
      <c r="Q2538" s="30" t="str">
        <f>VLOOKUP(B2538,辅助信息!E:M,9,FALSE)</f>
        <v>ZTWM-CDYXGS-XS-2025-0014-宜宾兴港建材-三江新区长江工业园片区保障性租赁住房建设项目</v>
      </c>
      <c r="R2538" s="30" t="str">
        <f>_xlfn._xlws.FILTER(辅助信息!D:D,辅助信息!E:E=B2538)</f>
        <v>宜宾兴港三江新区长江工业园建设项目</v>
      </c>
    </row>
    <row r="2539" hidden="1" spans="2:18">
      <c r="B2539" s="41" t="s">
        <v>194</v>
      </c>
      <c r="C2539" s="71">
        <v>45867</v>
      </c>
      <c r="D2539" s="41" t="str">
        <f>VLOOKUP(B2539,辅助信息!E:K,7,FALSE)</f>
        <v>JWDD2025071500089</v>
      </c>
      <c r="E2539" s="41" t="str">
        <f>VLOOKUP(F2539,辅助信息!A:B,2,FALSE)</f>
        <v>螺纹钢</v>
      </c>
      <c r="F2539" s="41" t="s">
        <v>33</v>
      </c>
      <c r="G2539" s="37">
        <v>8</v>
      </c>
      <c r="H2539" s="135" t="str">
        <f>_xlfn.XLOOKUP(C2539&amp;F2539&amp;I2539&amp;J2539,'[1]2025年已发货'!$F:$F&amp;'[1]2025年已发货'!$C:$C&amp;'[1]2025年已发货'!$G:$G&amp;'[1]2025年已发货'!$H:$H,'[1]2025年已发货'!$E:$E,"未发货")</f>
        <v>未发货</v>
      </c>
      <c r="I2539" s="41" t="str">
        <f>VLOOKUP(B2539,辅助信息!E:I,3,FALSE)</f>
        <v>(宜宾兴港三江新区长江工业园保障性租赁住房建设项目-土建)四川省宜宾市翠屏区永善路南段宜宾市三江新区长江工业园区</v>
      </c>
      <c r="J2539" s="41" t="str">
        <f>VLOOKUP(B2539,辅助信息!E:I,4,FALSE)</f>
        <v>赵元虎</v>
      </c>
      <c r="K2539" s="41">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91</v>
      </c>
      <c r="Q2539" s="30" t="str">
        <f>VLOOKUP(B2539,辅助信息!E:M,9,FALSE)</f>
        <v>ZTWM-CDYXGS-XS-2025-0014-宜宾兴港建材-三江新区长江工业园片区保障性租赁住房建设项目</v>
      </c>
      <c r="R2539" s="30" t="str">
        <f>_xlfn._xlws.FILTER(辅助信息!D:D,辅助信息!E:E=B2539)</f>
        <v>宜宾兴港三江新区长江工业园建设项目</v>
      </c>
    </row>
    <row r="2540" hidden="1" spans="2:18">
      <c r="B2540" s="41" t="s">
        <v>194</v>
      </c>
      <c r="C2540" s="71">
        <v>45867</v>
      </c>
      <c r="D2540" s="41" t="str">
        <f>VLOOKUP(B2540,辅助信息!E:K,7,FALSE)</f>
        <v>JWDD2025071500089</v>
      </c>
      <c r="E2540" s="41" t="str">
        <f>VLOOKUP(F2540,辅助信息!A:B,2,FALSE)</f>
        <v>螺纹钢</v>
      </c>
      <c r="F2540" s="41" t="s">
        <v>28</v>
      </c>
      <c r="G2540" s="37">
        <v>20</v>
      </c>
      <c r="H2540" s="135" t="str">
        <f>_xlfn.XLOOKUP(C2540&amp;F2540&amp;I2540&amp;J2540,'[1]2025年已发货'!$F:$F&amp;'[1]2025年已发货'!$C:$C&amp;'[1]2025年已发货'!$G:$G&amp;'[1]2025年已发货'!$H:$H,'[1]2025年已发货'!$E:$E,"未发货")</f>
        <v>未发货</v>
      </c>
      <c r="I2540" s="41" t="str">
        <f>VLOOKUP(B2540,辅助信息!E:I,3,FALSE)</f>
        <v>(宜宾兴港三江新区长江工业园保障性租赁住房建设项目-土建)四川省宜宾市翠屏区永善路南段宜宾市三江新区长江工业园区</v>
      </c>
      <c r="J2540" s="41" t="str">
        <f>VLOOKUP(B2540,辅助信息!E:I,4,FALSE)</f>
        <v>赵元虎</v>
      </c>
      <c r="K2540" s="41">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91</v>
      </c>
      <c r="Q2540" s="30" t="str">
        <f>VLOOKUP(B2540,辅助信息!E:M,9,FALSE)</f>
        <v>ZTWM-CDYXGS-XS-2025-0014-宜宾兴港建材-三江新区长江工业园片区保障性租赁住房建设项目</v>
      </c>
      <c r="R2540" s="30" t="str">
        <f>_xlfn._xlws.FILTER(辅助信息!D:D,辅助信息!E:E=B2540)</f>
        <v>宜宾兴港三江新区长江工业园建设项目</v>
      </c>
    </row>
    <row r="2541" hidden="1" spans="2:18">
      <c r="B2541" s="41" t="s">
        <v>194</v>
      </c>
      <c r="C2541" s="71">
        <v>45867</v>
      </c>
      <c r="D2541" s="41" t="str">
        <f>VLOOKUP(B2541,辅助信息!E:K,7,FALSE)</f>
        <v>JWDD2025071500089</v>
      </c>
      <c r="E2541" s="41" t="str">
        <f>VLOOKUP(F2541,辅助信息!A:B,2,FALSE)</f>
        <v>螺纹钢</v>
      </c>
      <c r="F2541" s="41" t="s">
        <v>18</v>
      </c>
      <c r="G2541" s="37">
        <v>42</v>
      </c>
      <c r="H2541" s="135">
        <v>42</v>
      </c>
      <c r="I2541" s="41" t="str">
        <f>VLOOKUP(B2541,辅助信息!E:I,3,FALSE)</f>
        <v>(宜宾兴港三江新区长江工业园保障性租赁住房建设项目-土建)四川省宜宾市翠屏区永善路南段宜宾市三江新区长江工业园区</v>
      </c>
      <c r="J2541" s="41" t="str">
        <f>VLOOKUP(B2541,辅助信息!E:I,4,FALSE)</f>
        <v>赵元虎</v>
      </c>
      <c r="K2541" s="41">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91</v>
      </c>
      <c r="Q2541" s="30" t="str">
        <f>VLOOKUP(B2541,辅助信息!E:M,9,FALSE)</f>
        <v>ZTWM-CDYXGS-XS-2025-0014-宜宾兴港建材-三江新区长江工业园片区保障性租赁住房建设项目</v>
      </c>
      <c r="R2541" s="30" t="str">
        <f>_xlfn._xlws.FILTER(辅助信息!D:D,辅助信息!E:E=B2541)</f>
        <v>宜宾兴港三江新区长江工业园建设项目</v>
      </c>
    </row>
    <row r="2542" hidden="1" spans="2:18">
      <c r="B2542" s="41" t="s">
        <v>186</v>
      </c>
      <c r="C2542" s="71">
        <v>45867</v>
      </c>
      <c r="D2542" s="41" t="str">
        <f>VLOOKUP(B2542,辅助信息!E:K,7,FALSE)</f>
        <v>JWDDCD2025072900123</v>
      </c>
      <c r="E2542" s="41" t="str">
        <f>VLOOKUP(F2542,辅助信息!A:B,2,FALSE)</f>
        <v>螺纹钢</v>
      </c>
      <c r="F2542" s="41" t="s">
        <v>205</v>
      </c>
      <c r="G2542" s="37">
        <v>3</v>
      </c>
      <c r="H2542" s="135">
        <f>_xlfn.XLOOKUP(C2542&amp;F2542&amp;I2542&amp;J2542,'[1]2025年已发货'!$F:$F&amp;'[1]2025年已发货'!$C:$C&amp;'[1]2025年已发货'!$G:$G&amp;'[1]2025年已发货'!$H:$H,'[1]2025年已发货'!$E:$E,"未发货")</f>
        <v>2.5</v>
      </c>
      <c r="I2542" s="41" t="str">
        <f>VLOOKUP(B2542,辅助信息!E:I,3,FALSE)</f>
        <v>(乐山市校地共建产教融合基地建设项目二标段)四川省乐山市市中区苏稽镇</v>
      </c>
      <c r="J2542" s="41" t="str">
        <f>VLOOKUP(B2542,辅助信息!E:I,4,FALSE)</f>
        <v>彭江涛</v>
      </c>
      <c r="K2542" s="41">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91</v>
      </c>
      <c r="Q2542" s="30" t="str">
        <f>VLOOKUP(B2542,辅助信息!E:M,9,FALSE)</f>
        <v>ZTWM-CDGS-XS-2025-0126-四川机司-乐山市校地共建产教融合基地配套设施项目施工二标段钢筋采购合同</v>
      </c>
      <c r="R2542" s="30" t="str">
        <f>_xlfn._xlws.FILTER(辅助信息!D:D,辅助信息!E:E=B2542)</f>
        <v>乐山市校地共建产教融合基地建设项目</v>
      </c>
    </row>
    <row r="2543" hidden="1" spans="2:18">
      <c r="B2543" s="41" t="s">
        <v>186</v>
      </c>
      <c r="C2543" s="71">
        <v>45867</v>
      </c>
      <c r="D2543" s="41" t="str">
        <f>VLOOKUP(B2543,辅助信息!E:K,7,FALSE)</f>
        <v>JWDDCD2025072900123</v>
      </c>
      <c r="E2543" s="41" t="str">
        <f>VLOOKUP(F2543,辅助信息!A:B,2,FALSE)</f>
        <v>螺纹钢</v>
      </c>
      <c r="F2543" s="41" t="s">
        <v>140</v>
      </c>
      <c r="G2543" s="37" t="s">
        <v>206</v>
      </c>
      <c r="H2543" s="135">
        <f>_xlfn.XLOOKUP(C2543&amp;F2543&amp;I2543&amp;J2543,'[1]2025年已发货'!$F:$F&amp;'[1]2025年已发货'!$C:$C&amp;'[1]2025年已发货'!$G:$G&amp;'[1]2025年已发货'!$H:$H,'[1]2025年已发货'!$E:$E,"未发货")</f>
        <v>5</v>
      </c>
      <c r="I2543" s="41" t="str">
        <f>VLOOKUP(B2543,辅助信息!E:I,3,FALSE)</f>
        <v>(乐山市校地共建产教融合基地建设项目二标段)四川省乐山市市中区苏稽镇</v>
      </c>
      <c r="J2543" s="41" t="str">
        <f>VLOOKUP(B2543,辅助信息!E:I,4,FALSE)</f>
        <v>彭江涛</v>
      </c>
      <c r="K2543" s="41">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91</v>
      </c>
      <c r="Q2543" s="30" t="str">
        <f>VLOOKUP(B2543,辅助信息!E:M,9,FALSE)</f>
        <v>ZTWM-CDGS-XS-2025-0126-四川机司-乐山市校地共建产教融合基地配套设施项目施工二标段钢筋采购合同</v>
      </c>
      <c r="R2543" s="30" t="str">
        <f>_xlfn._xlws.FILTER(辅助信息!D:D,辅助信息!E:E=B2543)</f>
        <v>乐山市校地共建产教融合基地建设项目</v>
      </c>
    </row>
    <row r="2544" hidden="1" spans="2:18">
      <c r="B2544" s="41" t="s">
        <v>186</v>
      </c>
      <c r="C2544" s="71">
        <v>45867</v>
      </c>
      <c r="D2544" s="41" t="str">
        <f>VLOOKUP(B2544,辅助信息!E:K,7,FALSE)</f>
        <v>JWDDCD2025072900123</v>
      </c>
      <c r="E2544" s="41" t="str">
        <f>VLOOKUP(F2544,辅助信息!A:B,2,FALSE)</f>
        <v>螺纹钢</v>
      </c>
      <c r="F2544" s="41" t="s">
        <v>197</v>
      </c>
      <c r="G2544" s="37">
        <v>2.5</v>
      </c>
      <c r="H2544" s="135">
        <f>_xlfn.XLOOKUP(C2544&amp;F2544&amp;I2544&amp;J2544,'[1]2025年已发货'!$F:$F&amp;'[1]2025年已发货'!$C:$C&amp;'[1]2025年已发货'!$G:$G&amp;'[1]2025年已发货'!$H:$H,'[1]2025年已发货'!$E:$E,"未发货")</f>
        <v>2.5</v>
      </c>
      <c r="I2544" s="41" t="str">
        <f>VLOOKUP(B2544,辅助信息!E:I,3,FALSE)</f>
        <v>(乐山市校地共建产教融合基地建设项目二标段)四川省乐山市市中区苏稽镇</v>
      </c>
      <c r="J2544" s="41" t="str">
        <f>VLOOKUP(B2544,辅助信息!E:I,4,FALSE)</f>
        <v>彭江涛</v>
      </c>
      <c r="K2544" s="41">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91</v>
      </c>
      <c r="Q2544" s="30" t="str">
        <f>VLOOKUP(B2544,辅助信息!E:M,9,FALSE)</f>
        <v>ZTWM-CDGS-XS-2025-0126-四川机司-乐山市校地共建产教融合基地配套设施项目施工二标段钢筋采购合同</v>
      </c>
      <c r="R2544" s="30" t="str">
        <f>_xlfn._xlws.FILTER(辅助信息!D:D,辅助信息!E:E=B2544)</f>
        <v>乐山市校地共建产教融合基地建设项目</v>
      </c>
    </row>
    <row r="2545" hidden="1" spans="2:18">
      <c r="B2545" s="41" t="s">
        <v>186</v>
      </c>
      <c r="C2545" s="71">
        <v>45867</v>
      </c>
      <c r="D2545" s="41" t="str">
        <f>VLOOKUP(B2545,辅助信息!E:K,7,FALSE)</f>
        <v>JWDDCD2025072900123</v>
      </c>
      <c r="E2545" s="41" t="str">
        <f>VLOOKUP(F2545,辅助信息!A:B,2,FALSE)</f>
        <v>螺纹钢</v>
      </c>
      <c r="F2545" s="41" t="s">
        <v>198</v>
      </c>
      <c r="G2545" s="37">
        <v>2.5</v>
      </c>
      <c r="H2545" s="135">
        <f>_xlfn.XLOOKUP(C2545&amp;F2545&amp;I2545&amp;J2545,'[1]2025年已发货'!$F:$F&amp;'[1]2025年已发货'!$C:$C&amp;'[1]2025年已发货'!$G:$G&amp;'[1]2025年已发货'!$H:$H,'[1]2025年已发货'!$E:$E,"未发货")</f>
        <v>2.5</v>
      </c>
      <c r="I2545" s="41" t="str">
        <f>VLOOKUP(B2545,辅助信息!E:I,3,FALSE)</f>
        <v>(乐山市校地共建产教融合基地建设项目二标段)四川省乐山市市中区苏稽镇</v>
      </c>
      <c r="J2545" s="41" t="str">
        <f>VLOOKUP(B2545,辅助信息!E:I,4,FALSE)</f>
        <v>彭江涛</v>
      </c>
      <c r="K2545" s="41">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91</v>
      </c>
      <c r="Q2545" s="30" t="str">
        <f>VLOOKUP(B2545,辅助信息!E:M,9,FALSE)</f>
        <v>ZTWM-CDGS-XS-2025-0126-四川机司-乐山市校地共建产教融合基地配套设施项目施工二标段钢筋采购合同</v>
      </c>
      <c r="R2545" s="30" t="str">
        <f>_xlfn._xlws.FILTER(辅助信息!D:D,辅助信息!E:E=B2545)</f>
        <v>乐山市校地共建产教融合基地建设项目</v>
      </c>
    </row>
    <row r="2546" hidden="1" spans="2:18">
      <c r="B2546" s="41" t="s">
        <v>186</v>
      </c>
      <c r="C2546" s="71">
        <v>45867</v>
      </c>
      <c r="D2546" s="41" t="str">
        <f>VLOOKUP(B2546,辅助信息!E:K,7,FALSE)</f>
        <v>JWDDCD2025072900123</v>
      </c>
      <c r="E2546" s="41" t="str">
        <f>VLOOKUP(F2546,辅助信息!A:B,2,FALSE)</f>
        <v>螺纹钢</v>
      </c>
      <c r="F2546" s="41" t="s">
        <v>199</v>
      </c>
      <c r="G2546" s="37">
        <v>2.5</v>
      </c>
      <c r="H2546" s="135">
        <f>_xlfn.XLOOKUP(C2546&amp;F2546&amp;I2546&amp;J2546,'[1]2025年已发货'!$F:$F&amp;'[1]2025年已发货'!$C:$C&amp;'[1]2025年已发货'!$G:$G&amp;'[1]2025年已发货'!$H:$H,'[1]2025年已发货'!$E:$E,"未发货")</f>
        <v>2.5</v>
      </c>
      <c r="I2546" s="41" t="str">
        <f>VLOOKUP(B2546,辅助信息!E:I,3,FALSE)</f>
        <v>(乐山市校地共建产教融合基地建设项目二标段)四川省乐山市市中区苏稽镇</v>
      </c>
      <c r="J2546" s="41" t="str">
        <f>VLOOKUP(B2546,辅助信息!E:I,4,FALSE)</f>
        <v>彭江涛</v>
      </c>
      <c r="K2546" s="41">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91</v>
      </c>
      <c r="Q2546" s="30" t="str">
        <f>VLOOKUP(B2546,辅助信息!E:M,9,FALSE)</f>
        <v>ZTWM-CDGS-XS-2025-0126-四川机司-乐山市校地共建产教融合基地配套设施项目施工二标段钢筋采购合同</v>
      </c>
      <c r="R2546" s="30" t="str">
        <f>_xlfn._xlws.FILTER(辅助信息!D:D,辅助信息!E:E=B2546)</f>
        <v>乐山市校地共建产教融合基地建设项目</v>
      </c>
    </row>
    <row r="2547" hidden="1" spans="2:18">
      <c r="B2547" s="41" t="s">
        <v>186</v>
      </c>
      <c r="C2547" s="71">
        <v>45867</v>
      </c>
      <c r="D2547" s="41" t="str">
        <f>VLOOKUP(B2547,辅助信息!E:K,7,FALSE)</f>
        <v>JWDDCD2025072900123</v>
      </c>
      <c r="E2547" s="41" t="str">
        <f>VLOOKUP(F2547,辅助信息!A:B,2,FALSE)</f>
        <v>螺纹钢</v>
      </c>
      <c r="F2547" s="41" t="s">
        <v>141</v>
      </c>
      <c r="G2547" s="37">
        <v>7</v>
      </c>
      <c r="H2547" s="135">
        <f>_xlfn.XLOOKUP(C2547&amp;F2547&amp;I2547&amp;J2547,'[1]2025年已发货'!$F:$F&amp;'[1]2025年已发货'!$C:$C&amp;'[1]2025年已发货'!$G:$G&amp;'[1]2025年已发货'!$H:$H,'[1]2025年已发货'!$E:$E,"未发货")</f>
        <v>7.5</v>
      </c>
      <c r="I2547" s="41" t="str">
        <f>VLOOKUP(B2547,辅助信息!E:I,3,FALSE)</f>
        <v>(乐山市校地共建产教融合基地建设项目二标段)四川省乐山市市中区苏稽镇</v>
      </c>
      <c r="J2547" s="41" t="str">
        <f>VLOOKUP(B2547,辅助信息!E:I,4,FALSE)</f>
        <v>彭江涛</v>
      </c>
      <c r="K2547" s="41">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91</v>
      </c>
      <c r="Q2547" s="30" t="str">
        <f>VLOOKUP(B2547,辅助信息!E:M,9,FALSE)</f>
        <v>ZTWM-CDGS-XS-2025-0126-四川机司-乐山市校地共建产教融合基地配套设施项目施工二标段钢筋采购合同</v>
      </c>
      <c r="R2547" s="30" t="str">
        <f>_xlfn._xlws.FILTER(辅助信息!D:D,辅助信息!E:E=B2547)</f>
        <v>乐山市校地共建产教融合基地建设项目</v>
      </c>
    </row>
    <row r="2548" hidden="1" spans="2:18">
      <c r="B2548" s="41" t="s">
        <v>186</v>
      </c>
      <c r="C2548" s="71">
        <v>45867</v>
      </c>
      <c r="D2548" s="41" t="str">
        <f>VLOOKUP(B2548,辅助信息!E:K,7,FALSE)</f>
        <v>JWDDCD2025072900123</v>
      </c>
      <c r="E2548" s="41" t="str">
        <f>VLOOKUP(F2548,辅助信息!A:B,2,FALSE)</f>
        <v>螺纹钢</v>
      </c>
      <c r="F2548" s="41" t="s">
        <v>142</v>
      </c>
      <c r="G2548" s="37">
        <v>13</v>
      </c>
      <c r="H2548" s="135">
        <f>_xlfn.XLOOKUP(C2548&amp;F2548&amp;I2548&amp;J2548,'[1]2025年已发货'!$F:$F&amp;'[1]2025年已发货'!$C:$C&amp;'[1]2025年已发货'!$G:$G&amp;'[1]2025年已发货'!$H:$H,'[1]2025年已发货'!$E:$E,"未发货")</f>
        <v>12.5</v>
      </c>
      <c r="I2548" s="41" t="str">
        <f>VLOOKUP(B2548,辅助信息!E:I,3,FALSE)</f>
        <v>(乐山市校地共建产教融合基地建设项目二标段)四川省乐山市市中区苏稽镇</v>
      </c>
      <c r="J2548" s="41" t="str">
        <f>VLOOKUP(B2548,辅助信息!E:I,4,FALSE)</f>
        <v>彭江涛</v>
      </c>
      <c r="K2548" s="41">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91</v>
      </c>
      <c r="Q2548" s="30" t="str">
        <f>VLOOKUP(B2548,辅助信息!E:M,9,FALSE)</f>
        <v>ZTWM-CDGS-XS-2025-0126-四川机司-乐山市校地共建产教融合基地配套设施项目施工二标段钢筋采购合同</v>
      </c>
      <c r="R2548" s="30"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89</v>
      </c>
      <c r="Q2549" s="30" t="str">
        <f>VLOOKUP(B2549,辅助信息!E:M,9,FALSE)</f>
        <v>ZTWM-CDGS-XS-2024-0030-华西集采-简州大道</v>
      </c>
      <c r="R2549" s="30"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89</v>
      </c>
      <c r="Q2550" s="30" t="str">
        <f>VLOOKUP(B2550,辅助信息!E:M,9,FALSE)</f>
        <v>ZTWM-CDGS-XS-2024-0030-华西集采-简州大道</v>
      </c>
      <c r="R2550" s="30"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89</v>
      </c>
      <c r="Q2551" s="30" t="str">
        <f>VLOOKUP(B2551,辅助信息!E:M,9,FALSE)</f>
        <v>ZTWM-CDGS-XS-2024-0030-华西集采-简州大道</v>
      </c>
      <c r="R2551" s="30"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89</v>
      </c>
      <c r="Q2552" s="30" t="str">
        <f>VLOOKUP(B2552,辅助信息!E:M,9,FALSE)</f>
        <v>ZTWM-CDGS-XS-2024-0030-华西集采-简州大道</v>
      </c>
      <c r="R2552" s="30"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89</v>
      </c>
      <c r="Q2553" s="30" t="str">
        <f>VLOOKUP(B2553,辅助信息!E:M,9,FALSE)</f>
        <v>ZTWM-CDGS-XS-2024-0030-华西集采-简州大道</v>
      </c>
      <c r="R2553" s="30"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89</v>
      </c>
      <c r="Q2554" s="30" t="str">
        <f>VLOOKUP(B2554,辅助信息!E:M,9,FALSE)</f>
        <v>ZTWM-CDGS-XS-2024-0030-华西集采-简州大道</v>
      </c>
      <c r="R2554" s="30"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89</v>
      </c>
      <c r="Q2555" s="30" t="str">
        <f>VLOOKUP(B2555,辅助信息!E:M,9,FALSE)</f>
        <v>ZTWM-CDGS-XS-2024-0030-华西集采-简州大道</v>
      </c>
      <c r="R2555" s="30"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89</v>
      </c>
      <c r="Q2556" s="30" t="str">
        <f>VLOOKUP(B2556,辅助信息!E:M,9,FALSE)</f>
        <v>ZTWM-CDGS-XS-2024-0030-华西集采-简州大道</v>
      </c>
      <c r="R2556" s="30"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89</v>
      </c>
      <c r="Q2557" s="30" t="str">
        <f>VLOOKUP(B2557,辅助信息!E:M,9,FALSE)</f>
        <v>ZTWM-CDGS-XS-2024-0030-华西集采-简州大道</v>
      </c>
      <c r="R2557" s="30" t="str">
        <f>_xlfn._xlws.FILTER(辅助信息!D:D,辅助信息!E:E=B2557)</f>
        <v>华西简阳西城嘉苑</v>
      </c>
    </row>
    <row r="2558" hidden="1" spans="2:18">
      <c r="B2558" s="41" t="s">
        <v>180</v>
      </c>
      <c r="C2558" s="71">
        <v>45869</v>
      </c>
      <c r="D2558" s="41" t="str">
        <f>VLOOKUP(B2558,辅助信息!E:K,7,FALSE)</f>
        <v>JWDDCD2025052800131</v>
      </c>
      <c r="E2558" s="121" t="str">
        <f>VLOOKUP(F2558,辅助信息!A:B,2,FALSE)</f>
        <v>螺纹钢</v>
      </c>
      <c r="F2558" s="41" t="s">
        <v>205</v>
      </c>
      <c r="G2558" s="37">
        <v>15</v>
      </c>
      <c r="H2558" s="135">
        <f>_xlfn.XLOOKUP(C2558&amp;F2558&amp;I2558&amp;J2558,'[1]2025年已发货'!$F:$F&amp;'[1]2025年已发货'!$C:$C&amp;'[1]2025年已发货'!$G:$G&amp;'[1]2025年已发货'!$H:$H,'[1]2025年已发货'!$E:$E,"未发货")</f>
        <v>15</v>
      </c>
      <c r="I2558" s="41" t="str">
        <f>VLOOKUP(B2558,辅助信息!E:I,3,FALSE)</f>
        <v>（商投建工达州中医药科技园-4工区-8号楼）达州市通川区达州中医药职业学院犀牛大道北段</v>
      </c>
      <c r="J2558" s="41" t="str">
        <f>VLOOKUP(B2558,辅助信息!E:I,4,FALSE)</f>
        <v>张扬</v>
      </c>
      <c r="K2558" s="41">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89</v>
      </c>
      <c r="Q2558" s="30" t="str">
        <f>VLOOKUP(B2558,辅助信息!E:M,9,FALSE)</f>
        <v>ZTWM-CDGS-XS-2024-0134-商投建工达州中医药科技成果示范园项目</v>
      </c>
      <c r="R2558" s="30" t="str">
        <f>_xlfn._xlws.FILTER(辅助信息!D:D,辅助信息!E:E=B2558)</f>
        <v>商投建工达州中医药科技园</v>
      </c>
    </row>
    <row r="2559" hidden="1" spans="2:18">
      <c r="B2559" s="41" t="s">
        <v>180</v>
      </c>
      <c r="C2559" s="71">
        <v>45869</v>
      </c>
      <c r="D2559" s="41" t="str">
        <f>VLOOKUP(B2559,辅助信息!E:K,7,FALSE)</f>
        <v>JWDDCD2025052800131</v>
      </c>
      <c r="E2559" s="121" t="str">
        <f>VLOOKUP(F2559,辅助信息!A:B,2,FALSE)</f>
        <v>螺纹钢</v>
      </c>
      <c r="F2559" s="41" t="s">
        <v>141</v>
      </c>
      <c r="G2559" s="37">
        <v>6</v>
      </c>
      <c r="H2559" s="135">
        <f>_xlfn.XLOOKUP(C2559&amp;F2559&amp;I2559&amp;J2559,'[1]2025年已发货'!$F:$F&amp;'[1]2025年已发货'!$C:$C&amp;'[1]2025年已发货'!$G:$G&amp;'[1]2025年已发货'!$H:$H,'[1]2025年已发货'!$E:$E,"未发货")</f>
        <v>6</v>
      </c>
      <c r="I2559" s="41" t="str">
        <f>VLOOKUP(B2559,辅助信息!E:I,3,FALSE)</f>
        <v>（商投建工达州中医药科技园-4工区-8号楼）达州市通川区达州中医药职业学院犀牛大道北段</v>
      </c>
      <c r="J2559" s="41" t="str">
        <f>VLOOKUP(B2559,辅助信息!E:I,4,FALSE)</f>
        <v>张扬</v>
      </c>
      <c r="K2559" s="41">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89</v>
      </c>
      <c r="Q2559" s="30" t="str">
        <f>VLOOKUP(B2559,辅助信息!E:M,9,FALSE)</f>
        <v>ZTWM-CDGS-XS-2024-0134-商投建工达州中医药科技成果示范园项目</v>
      </c>
      <c r="R2559" s="30" t="str">
        <f>_xlfn._xlws.FILTER(辅助信息!D:D,辅助信息!E:E=B2559)</f>
        <v>商投建工达州中医药科技园</v>
      </c>
    </row>
    <row r="2560" hidden="1" spans="2:18">
      <c r="B2560" s="41" t="s">
        <v>180</v>
      </c>
      <c r="C2560" s="71">
        <v>45869</v>
      </c>
      <c r="D2560" s="41" t="str">
        <f>VLOOKUP(B2560,辅助信息!E:K,7,FALSE)</f>
        <v>JWDDCD2025052800131</v>
      </c>
      <c r="E2560" s="121" t="str">
        <f>VLOOKUP(F2560,辅助信息!A:B,2,FALSE)</f>
        <v>螺纹钢</v>
      </c>
      <c r="F2560" s="41" t="s">
        <v>142</v>
      </c>
      <c r="G2560" s="37">
        <v>15</v>
      </c>
      <c r="H2560" s="135">
        <f>_xlfn.XLOOKUP(C2560&amp;F2560&amp;I2560&amp;J2560,'[1]2025年已发货'!$F:$F&amp;'[1]2025年已发货'!$C:$C&amp;'[1]2025年已发货'!$G:$G&amp;'[1]2025年已发货'!$H:$H,'[1]2025年已发货'!$E:$E,"未发货")</f>
        <v>15</v>
      </c>
      <c r="I2560" s="41" t="str">
        <f>VLOOKUP(B2560,辅助信息!E:I,3,FALSE)</f>
        <v>（商投建工达州中医药科技园-4工区-8号楼）达州市通川区达州中医药职业学院犀牛大道北段</v>
      </c>
      <c r="J2560" s="41" t="str">
        <f>VLOOKUP(B2560,辅助信息!E:I,4,FALSE)</f>
        <v>张扬</v>
      </c>
      <c r="K2560" s="41">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89</v>
      </c>
      <c r="Q2560" s="30" t="str">
        <f>VLOOKUP(B2560,辅助信息!E:M,9,FALSE)</f>
        <v>ZTWM-CDGS-XS-2024-0134-商投建工达州中医药科技成果示范园项目</v>
      </c>
      <c r="R2560" s="30" t="str">
        <f>_xlfn._xlws.FILTER(辅助信息!D:D,辅助信息!E:E=B2560)</f>
        <v>商投建工达州中医药科技园</v>
      </c>
    </row>
    <row r="2561" hidden="1" spans="2:18">
      <c r="B2561" s="41" t="s">
        <v>180</v>
      </c>
      <c r="C2561" s="71">
        <v>45869</v>
      </c>
      <c r="D2561" s="41" t="str">
        <f>VLOOKUP(B2561,辅助信息!E:K,7,FALSE)</f>
        <v>JWDDCD2025052800131</v>
      </c>
      <c r="E2561" s="121" t="str">
        <f>VLOOKUP(F2561,辅助信息!A:B,2,FALSE)</f>
        <v>盘螺</v>
      </c>
      <c r="F2561" s="41" t="s">
        <v>40</v>
      </c>
      <c r="G2561" s="37">
        <v>18</v>
      </c>
      <c r="H2561" s="135">
        <f>_xlfn.XLOOKUP(C2561&amp;F2561&amp;I2561&amp;J2561,'[1]2025年已发货'!$F:$F&amp;'[1]2025年已发货'!$C:$C&amp;'[1]2025年已发货'!$G:$G&amp;'[1]2025年已发货'!$H:$H,'[1]2025年已发货'!$E:$E,"未发货")</f>
        <v>18</v>
      </c>
      <c r="I2561" s="41" t="str">
        <f>VLOOKUP(B2561,辅助信息!E:I,3,FALSE)</f>
        <v>（商投建工达州中医药科技园-4工区-8号楼）达州市通川区达州中医药职业学院犀牛大道北段</v>
      </c>
      <c r="J2561" s="41" t="str">
        <f>VLOOKUP(B2561,辅助信息!E:I,4,FALSE)</f>
        <v>张扬</v>
      </c>
      <c r="K2561" s="41">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89</v>
      </c>
      <c r="Q2561" s="30" t="str">
        <f>VLOOKUP(B2561,辅助信息!E:M,9,FALSE)</f>
        <v>ZTWM-CDGS-XS-2024-0134-商投建工达州中医药科技成果示范园项目</v>
      </c>
      <c r="R2561" s="30" t="str">
        <f>_xlfn._xlws.FILTER(辅助信息!D:D,辅助信息!E:E=B2561)</f>
        <v>商投建工达州中医药科技园</v>
      </c>
    </row>
    <row r="2562" hidden="1" spans="2:18">
      <c r="B2562" s="41" t="s">
        <v>180</v>
      </c>
      <c r="C2562" s="71">
        <v>45869</v>
      </c>
      <c r="D2562" s="41" t="str">
        <f>VLOOKUP(B2562,辅助信息!E:K,7,FALSE)</f>
        <v>JWDDCD2025052800131</v>
      </c>
      <c r="E2562" s="121" t="str">
        <f>VLOOKUP(F2562,辅助信息!A:B,2,FALSE)</f>
        <v>盘螺</v>
      </c>
      <c r="F2562" s="41" t="s">
        <v>41</v>
      </c>
      <c r="G2562" s="37">
        <v>9</v>
      </c>
      <c r="H2562" s="135">
        <f>_xlfn.XLOOKUP(C2562&amp;F2562&amp;I2562&amp;J2562,'[1]2025年已发货'!$F:$F&amp;'[1]2025年已发货'!$C:$C&amp;'[1]2025年已发货'!$G:$G&amp;'[1]2025年已发货'!$H:$H,'[1]2025年已发货'!$E:$E,"未发货")</f>
        <v>9</v>
      </c>
      <c r="I2562" s="41" t="str">
        <f>VLOOKUP(B2562,辅助信息!E:I,3,FALSE)</f>
        <v>（商投建工达州中医药科技园-4工区-8号楼）达州市通川区达州中医药职业学院犀牛大道北段</v>
      </c>
      <c r="J2562" s="41" t="str">
        <f>VLOOKUP(B2562,辅助信息!E:I,4,FALSE)</f>
        <v>张扬</v>
      </c>
      <c r="K2562" s="41">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89</v>
      </c>
      <c r="Q2562" s="30" t="str">
        <f>VLOOKUP(B2562,辅助信息!E:M,9,FALSE)</f>
        <v>ZTWM-CDGS-XS-2024-0134-商投建工达州中医药科技成果示范园项目</v>
      </c>
      <c r="R2562" s="30" t="str">
        <f>_xlfn._xlws.FILTER(辅助信息!D:D,辅助信息!E:E=B2562)</f>
        <v>商投建工达州中医药科技园</v>
      </c>
    </row>
    <row r="2563" hidden="1" spans="2:18">
      <c r="B2563" s="41" t="s">
        <v>180</v>
      </c>
      <c r="C2563" s="71">
        <v>45869</v>
      </c>
      <c r="D2563" s="41" t="str">
        <f>VLOOKUP(B2563,辅助信息!E:K,7,FALSE)</f>
        <v>JWDDCD2025052800131</v>
      </c>
      <c r="E2563" s="121" t="str">
        <f>VLOOKUP(F2563,辅助信息!A:B,2,FALSE)</f>
        <v>螺纹钢</v>
      </c>
      <c r="F2563" s="41" t="s">
        <v>33</v>
      </c>
      <c r="G2563" s="37">
        <v>9</v>
      </c>
      <c r="H2563" s="135">
        <f>_xlfn.XLOOKUP(C2563&amp;F2563&amp;I2563&amp;J2563,'[1]2025年已发货'!$F:$F&amp;'[1]2025年已发货'!$C:$C&amp;'[1]2025年已发货'!$G:$G&amp;'[1]2025年已发货'!$H:$H,'[1]2025年已发货'!$E:$E,"未发货")</f>
        <v>9</v>
      </c>
      <c r="I2563" s="41" t="str">
        <f>VLOOKUP(B2563,辅助信息!E:I,3,FALSE)</f>
        <v>（商投建工达州中医药科技园-4工区-8号楼）达州市通川区达州中医药职业学院犀牛大道北段</v>
      </c>
      <c r="J2563" s="41" t="str">
        <f>VLOOKUP(B2563,辅助信息!E:I,4,FALSE)</f>
        <v>张扬</v>
      </c>
      <c r="K2563" s="41">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89</v>
      </c>
      <c r="Q2563" s="30" t="str">
        <f>VLOOKUP(B2563,辅助信息!E:M,9,FALSE)</f>
        <v>ZTWM-CDGS-XS-2024-0134-商投建工达州中医药科技成果示范园项目</v>
      </c>
      <c r="R2563" s="30"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7" t="str">
        <f>VLOOKUP(B2564,辅助信息!E:I,4,FALSE)</f>
        <v>张扬</v>
      </c>
      <c r="K2564" s="27">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89</v>
      </c>
      <c r="Q2564" s="30" t="str">
        <f>VLOOKUP(B2564,辅助信息!E:M,9,FALSE)</f>
        <v>ZTWM-CDGS-XS-2024-0134-商投建工达州中医药科技成果示范园项目</v>
      </c>
      <c r="R2564" s="30" t="str">
        <f>_xlfn._xlws.FILTER(辅助信息!D:D,辅助信息!E:E=B2564)</f>
        <v>商投建工达州中医药科技园</v>
      </c>
    </row>
    <row r="2565" hidden="1" spans="2:18">
      <c r="B2565" s="41" t="s">
        <v>194</v>
      </c>
      <c r="C2565" s="71">
        <v>45869</v>
      </c>
      <c r="D2565" s="41" t="str">
        <f>VLOOKUP(B2565,辅助信息!E:K,7,FALSE)</f>
        <v>JWDD2025071500089</v>
      </c>
      <c r="E2565" s="41" t="str">
        <f>VLOOKUP(F2565,辅助信息!A:B,2,FALSE)</f>
        <v>螺纹钢</v>
      </c>
      <c r="F2565" s="41" t="s">
        <v>19</v>
      </c>
      <c r="G2565" s="37">
        <v>16</v>
      </c>
      <c r="H2565" s="135" t="str">
        <f>_xlfn.XLOOKUP(C2565&amp;F2565&amp;I2565&amp;J2565,'[1]2025年已发货'!$F:$F&amp;'[1]2025年已发货'!$C:$C&amp;'[1]2025年已发货'!$G:$G&amp;'[1]2025年已发货'!$H:$H,'[1]2025年已发货'!$E:$E,"未发货")</f>
        <v>未发货</v>
      </c>
      <c r="I2565" s="41" t="str">
        <f>VLOOKUP(B2565,辅助信息!E:I,3,FALSE)</f>
        <v>(宜宾兴港三江新区长江工业园保障性租赁住房建设项目-土建)四川省宜宾市翠屏区永善路南段宜宾市三江新区长江工业园区</v>
      </c>
      <c r="J2565" s="41" t="str">
        <f>VLOOKUP(B2565,辅助信息!E:I,4,FALSE)</f>
        <v>赵元虎</v>
      </c>
      <c r="K2565" s="41">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89</v>
      </c>
      <c r="Q2565" s="30" t="str">
        <f>VLOOKUP(B2565,辅助信息!E:M,9,FALSE)</f>
        <v>ZTWM-CDYXGS-XS-2025-0014-宜宾兴港建材-三江新区长江工业园片区保障性租赁住房建设项目</v>
      </c>
      <c r="R2565" s="30" t="str">
        <f>_xlfn._xlws.FILTER(辅助信息!D:D,辅助信息!E:E=B2565)</f>
        <v>宜宾兴港三江新区长江工业园建设项目</v>
      </c>
    </row>
    <row r="2566" hidden="1" spans="2:18">
      <c r="B2566" s="41" t="s">
        <v>194</v>
      </c>
      <c r="C2566" s="71">
        <v>45869</v>
      </c>
      <c r="D2566" s="41" t="str">
        <f>VLOOKUP(B2566,辅助信息!E:K,7,FALSE)</f>
        <v>JWDD2025071500089</v>
      </c>
      <c r="E2566" s="41" t="str">
        <f>VLOOKUP(F2566,辅助信息!A:B,2,FALSE)</f>
        <v>螺纹钢</v>
      </c>
      <c r="F2566" s="41" t="s">
        <v>32</v>
      </c>
      <c r="G2566" s="37">
        <v>7</v>
      </c>
      <c r="H2566" s="135" t="str">
        <f>_xlfn.XLOOKUP(C2566&amp;F2566&amp;I2566&amp;J2566,'[1]2025年已发货'!$F:$F&amp;'[1]2025年已发货'!$C:$C&amp;'[1]2025年已发货'!$G:$G&amp;'[1]2025年已发货'!$H:$H,'[1]2025年已发货'!$E:$E,"未发货")</f>
        <v>未发货</v>
      </c>
      <c r="I2566" s="41" t="str">
        <f>VLOOKUP(B2566,辅助信息!E:I,3,FALSE)</f>
        <v>(宜宾兴港三江新区长江工业园保障性租赁住房建设项目-土建)四川省宜宾市翠屏区永善路南段宜宾市三江新区长江工业园区</v>
      </c>
      <c r="J2566" s="41" t="str">
        <f>VLOOKUP(B2566,辅助信息!E:I,4,FALSE)</f>
        <v>赵元虎</v>
      </c>
      <c r="K2566" s="41">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89</v>
      </c>
      <c r="Q2566" s="30" t="str">
        <f>VLOOKUP(B2566,辅助信息!E:M,9,FALSE)</f>
        <v>ZTWM-CDYXGS-XS-2025-0014-宜宾兴港建材-三江新区长江工业园片区保障性租赁住房建设项目</v>
      </c>
      <c r="R2566" s="30" t="str">
        <f>_xlfn._xlws.FILTER(辅助信息!D:D,辅助信息!E:E=B2566)</f>
        <v>宜宾兴港三江新区长江工业园建设项目</v>
      </c>
    </row>
    <row r="2567" hidden="1" spans="2:18">
      <c r="B2567" s="41" t="s">
        <v>194</v>
      </c>
      <c r="C2567" s="71">
        <v>45869</v>
      </c>
      <c r="D2567" s="41" t="str">
        <f>VLOOKUP(B2567,辅助信息!E:K,7,FALSE)</f>
        <v>JWDD2025071500089</v>
      </c>
      <c r="E2567" s="41" t="str">
        <f>VLOOKUP(F2567,辅助信息!A:B,2,FALSE)</f>
        <v>螺纹钢</v>
      </c>
      <c r="F2567" s="41" t="s">
        <v>30</v>
      </c>
      <c r="G2567" s="37">
        <v>9</v>
      </c>
      <c r="H2567" s="135" t="str">
        <f>_xlfn.XLOOKUP(C2567&amp;F2567&amp;I2567&amp;J2567,'[1]2025年已发货'!$F:$F&amp;'[1]2025年已发货'!$C:$C&amp;'[1]2025年已发货'!$G:$G&amp;'[1]2025年已发货'!$H:$H,'[1]2025年已发货'!$E:$E,"未发货")</f>
        <v>未发货</v>
      </c>
      <c r="I2567" s="41" t="str">
        <f>VLOOKUP(B2567,辅助信息!E:I,3,FALSE)</f>
        <v>(宜宾兴港三江新区长江工业园保障性租赁住房建设项目-土建)四川省宜宾市翠屏区永善路南段宜宾市三江新区长江工业园区</v>
      </c>
      <c r="J2567" s="41" t="str">
        <f>VLOOKUP(B2567,辅助信息!E:I,4,FALSE)</f>
        <v>赵元虎</v>
      </c>
      <c r="K2567" s="41">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89</v>
      </c>
      <c r="Q2567" s="30" t="str">
        <f>VLOOKUP(B2567,辅助信息!E:M,9,FALSE)</f>
        <v>ZTWM-CDYXGS-XS-2025-0014-宜宾兴港建材-三江新区长江工业园片区保障性租赁住房建设项目</v>
      </c>
      <c r="R2567" s="30" t="str">
        <f>_xlfn._xlws.FILTER(辅助信息!D:D,辅助信息!E:E=B2567)</f>
        <v>宜宾兴港三江新区长江工业园建设项目</v>
      </c>
    </row>
    <row r="2568" hidden="1" spans="2:18">
      <c r="B2568" s="41" t="s">
        <v>194</v>
      </c>
      <c r="C2568" s="71">
        <v>45869</v>
      </c>
      <c r="D2568" s="41" t="str">
        <f>VLOOKUP(B2568,辅助信息!E:K,7,FALSE)</f>
        <v>JWDD2025071500089</v>
      </c>
      <c r="E2568" s="41" t="str">
        <f>VLOOKUP(F2568,辅助信息!A:B,2,FALSE)</f>
        <v>螺纹钢</v>
      </c>
      <c r="F2568" s="41" t="s">
        <v>33</v>
      </c>
      <c r="G2568" s="37">
        <v>3</v>
      </c>
      <c r="H2568" s="135" t="str">
        <f>_xlfn.XLOOKUP(C2568&amp;F2568&amp;I2568&amp;J2568,'[1]2025年已发货'!$F:$F&amp;'[1]2025年已发货'!$C:$C&amp;'[1]2025年已发货'!$G:$G&amp;'[1]2025年已发货'!$H:$H,'[1]2025年已发货'!$E:$E,"未发货")</f>
        <v>未发货</v>
      </c>
      <c r="I2568" s="41" t="str">
        <f>VLOOKUP(B2568,辅助信息!E:I,3,FALSE)</f>
        <v>(宜宾兴港三江新区长江工业园保障性租赁住房建设项目-土建)四川省宜宾市翠屏区永善路南段宜宾市三江新区长江工业园区</v>
      </c>
      <c r="J2568" s="41" t="str">
        <f>VLOOKUP(B2568,辅助信息!E:I,4,FALSE)</f>
        <v>赵元虎</v>
      </c>
      <c r="K2568" s="41">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89</v>
      </c>
      <c r="Q2568" s="30" t="str">
        <f>VLOOKUP(B2568,辅助信息!E:M,9,FALSE)</f>
        <v>ZTWM-CDYXGS-XS-2025-0014-宜宾兴港建材-三江新区长江工业园片区保障性租赁住房建设项目</v>
      </c>
      <c r="R2568" s="30" t="str">
        <f>_xlfn._xlws.FILTER(辅助信息!D:D,辅助信息!E:E=B2568)</f>
        <v>宜宾兴港三江新区长江工业园建设项目</v>
      </c>
    </row>
    <row r="2569" hidden="1" spans="2:18">
      <c r="B2569" s="41" t="s">
        <v>106</v>
      </c>
      <c r="C2569" s="71">
        <v>45869</v>
      </c>
      <c r="D2569" s="41" t="str">
        <f>VLOOKUP(B2569,辅助信息!E:K,7,FALSE)</f>
        <v>JWDDCD2024101600133</v>
      </c>
      <c r="E2569" s="41" t="str">
        <f>VLOOKUP(F2569,辅助信息!A:B,2,FALSE)</f>
        <v>盘螺</v>
      </c>
      <c r="F2569" s="41" t="s">
        <v>41</v>
      </c>
      <c r="G2569" s="37">
        <v>10</v>
      </c>
      <c r="H2569" s="135">
        <f>_xlfn.XLOOKUP(C2569&amp;F2569&amp;I2569&amp;J2569,'[1]2025年已发货'!$F:$F&amp;'[1]2025年已发货'!$C:$C&amp;'[1]2025年已发货'!$G:$G&amp;'[1]2025年已发货'!$H:$H,'[1]2025年已发货'!$E:$E,"未发货")</f>
        <v>10</v>
      </c>
      <c r="I2569" s="41" t="str">
        <f>VLOOKUP(B2569,辅助信息!E:I,3,FALSE)</f>
        <v>（五冶钢构宜宾高县月江镇建设项目）  四川省宜宾市高县月江镇刚记超市斜对面(还阳组团沪碳二期项目)</v>
      </c>
      <c r="J2569" s="41" t="str">
        <f>VLOOKUP(B2569,辅助信息!E:I,4,FALSE)</f>
        <v>张朝亮</v>
      </c>
      <c r="K2569" s="41">
        <f>VLOOKUP(J2569,辅助信息!H:I,2,FALSE)</f>
        <v>15228205853</v>
      </c>
      <c r="L2569" s="110" t="str">
        <f>VLOOKUP(B2569,辅助信息!E:J,6,FALSE)</f>
        <v>提前联系到场规格</v>
      </c>
      <c r="M2569" s="92">
        <v>45870</v>
      </c>
      <c r="O2569" s="63">
        <f ca="1" t="shared" si="159"/>
        <v>0</v>
      </c>
      <c r="P2569" s="63">
        <f ca="1" t="shared" si="160"/>
        <v>89</v>
      </c>
      <c r="Q2569" s="30" t="str">
        <f>VLOOKUP(B2569,辅助信息!E:M,9,FALSE)</f>
        <v>ZTWM-CDGS-XS-2024-0169-中冶西部钢构-宜宾市南溪区幸福路东路,高县月江镇建设项目</v>
      </c>
      <c r="R2569" s="30" t="str">
        <f>_xlfn._xlws.FILTER(辅助信息!D:D,辅助信息!E:E=B2569)</f>
        <v>五冶钢构-宜宾市南溪区高县月江镇建设项目</v>
      </c>
    </row>
    <row r="2570" hidden="1" spans="2:18">
      <c r="B2570" s="41" t="s">
        <v>106</v>
      </c>
      <c r="C2570" s="71">
        <v>45869</v>
      </c>
      <c r="D2570" s="41" t="str">
        <f>VLOOKUP(B2570,辅助信息!E:K,7,FALSE)</f>
        <v>JWDDCD2024101600133</v>
      </c>
      <c r="E2570" s="41" t="str">
        <f>VLOOKUP(F2570,辅助信息!A:B,2,FALSE)</f>
        <v>螺纹钢</v>
      </c>
      <c r="F2570" s="41" t="s">
        <v>27</v>
      </c>
      <c r="G2570" s="37">
        <v>15</v>
      </c>
      <c r="H2570" s="135">
        <f>_xlfn.XLOOKUP(C2570&amp;F2570&amp;I2570&amp;J2570,'[1]2025年已发货'!$F:$F&amp;'[1]2025年已发货'!$C:$C&amp;'[1]2025年已发货'!$G:$G&amp;'[1]2025年已发货'!$H:$H,'[1]2025年已发货'!$E:$E,"未发货")</f>
        <v>15</v>
      </c>
      <c r="I2570" s="41" t="str">
        <f>VLOOKUP(B2570,辅助信息!E:I,3,FALSE)</f>
        <v>（五冶钢构宜宾高县月江镇建设项目）  四川省宜宾市高县月江镇刚记超市斜对面(还阳组团沪碳二期项目)</v>
      </c>
      <c r="J2570" s="41" t="str">
        <f>VLOOKUP(B2570,辅助信息!E:I,4,FALSE)</f>
        <v>张朝亮</v>
      </c>
      <c r="K2570" s="41">
        <f>VLOOKUP(J2570,辅助信息!H:I,2,FALSE)</f>
        <v>15228205853</v>
      </c>
      <c r="L2570" s="110" t="str">
        <f>VLOOKUP(B2570,辅助信息!E:J,6,FALSE)</f>
        <v>提前联系到场规格</v>
      </c>
      <c r="M2570" s="92">
        <v>45870</v>
      </c>
      <c r="O2570" s="63">
        <f ca="1" t="shared" si="159"/>
        <v>0</v>
      </c>
      <c r="P2570" s="63">
        <f ca="1" t="shared" si="160"/>
        <v>89</v>
      </c>
      <c r="Q2570" s="30" t="str">
        <f>VLOOKUP(B2570,辅助信息!E:M,9,FALSE)</f>
        <v>ZTWM-CDGS-XS-2024-0169-中冶西部钢构-宜宾市南溪区幸福路东路,高县月江镇建设项目</v>
      </c>
      <c r="R2570" s="30" t="str">
        <f>_xlfn._xlws.FILTER(辅助信息!D:D,辅助信息!E:E=B2570)</f>
        <v>五冶钢构-宜宾市南溪区高县月江镇建设项目</v>
      </c>
    </row>
    <row r="2571" hidden="1" spans="2:18">
      <c r="B2571" s="41" t="s">
        <v>106</v>
      </c>
      <c r="C2571" s="71">
        <v>45869</v>
      </c>
      <c r="D2571" s="41" t="str">
        <f>VLOOKUP(B2571,辅助信息!E:K,7,FALSE)</f>
        <v>JWDDCD2024101600133</v>
      </c>
      <c r="E2571" s="41" t="str">
        <f>VLOOKUP(F2571,辅助信息!A:B,2,FALSE)</f>
        <v>螺纹钢</v>
      </c>
      <c r="F2571" s="41" t="s">
        <v>19</v>
      </c>
      <c r="G2571" s="37">
        <v>3</v>
      </c>
      <c r="H2571" s="135">
        <f>_xlfn.XLOOKUP(C2571&amp;F2571&amp;I2571&amp;J2571,'[1]2025年已发货'!$F:$F&amp;'[1]2025年已发货'!$C:$C&amp;'[1]2025年已发货'!$G:$G&amp;'[1]2025年已发货'!$H:$H,'[1]2025年已发货'!$E:$E,"未发货")</f>
        <v>3</v>
      </c>
      <c r="I2571" s="41" t="str">
        <f>VLOOKUP(B2571,辅助信息!E:I,3,FALSE)</f>
        <v>（五冶钢构宜宾高县月江镇建设项目）  四川省宜宾市高县月江镇刚记超市斜对面(还阳组团沪碳二期项目)</v>
      </c>
      <c r="J2571" s="41" t="str">
        <f>VLOOKUP(B2571,辅助信息!E:I,4,FALSE)</f>
        <v>张朝亮</v>
      </c>
      <c r="K2571" s="41">
        <f>VLOOKUP(J2571,辅助信息!H:I,2,FALSE)</f>
        <v>15228205853</v>
      </c>
      <c r="L2571" s="110" t="str">
        <f>VLOOKUP(B2571,辅助信息!E:J,6,FALSE)</f>
        <v>提前联系到场规格</v>
      </c>
      <c r="M2571" s="92">
        <v>45870</v>
      </c>
      <c r="O2571" s="63">
        <f ca="1" t="shared" si="159"/>
        <v>0</v>
      </c>
      <c r="P2571" s="63">
        <f ca="1" t="shared" si="160"/>
        <v>89</v>
      </c>
      <c r="Q2571" s="30" t="str">
        <f>VLOOKUP(B2571,辅助信息!E:M,9,FALSE)</f>
        <v>ZTWM-CDGS-XS-2024-0169-中冶西部钢构-宜宾市南溪区幸福路东路,高县月江镇建设项目</v>
      </c>
      <c r="R2571" s="30" t="str">
        <f>_xlfn._xlws.FILTER(辅助信息!D:D,辅助信息!E:E=B2571)</f>
        <v>五冶钢构-宜宾市南溪区高县月江镇建设项目</v>
      </c>
    </row>
    <row r="2572" hidden="1" spans="2:18">
      <c r="B2572" s="41" t="s">
        <v>106</v>
      </c>
      <c r="C2572" s="71">
        <v>45869</v>
      </c>
      <c r="D2572" s="41" t="str">
        <f>VLOOKUP(B2572,辅助信息!E:K,7,FALSE)</f>
        <v>JWDDCD2024101600133</v>
      </c>
      <c r="E2572" s="41" t="str">
        <f>VLOOKUP(F2572,辅助信息!A:B,2,FALSE)</f>
        <v>螺纹钢</v>
      </c>
      <c r="F2572" s="41" t="s">
        <v>32</v>
      </c>
      <c r="G2572" s="37">
        <v>12</v>
      </c>
      <c r="H2572" s="135">
        <f>_xlfn.XLOOKUP(C2572&amp;F2572&amp;I2572&amp;J2572,'[1]2025年已发货'!$F:$F&amp;'[1]2025年已发货'!$C:$C&amp;'[1]2025年已发货'!$G:$G&amp;'[1]2025年已发货'!$H:$H,'[1]2025年已发货'!$E:$E,"未发货")</f>
        <v>12</v>
      </c>
      <c r="I2572" s="41" t="str">
        <f>VLOOKUP(B2572,辅助信息!E:I,3,FALSE)</f>
        <v>（五冶钢构宜宾高县月江镇建设项目）  四川省宜宾市高县月江镇刚记超市斜对面(还阳组团沪碳二期项目)</v>
      </c>
      <c r="J2572" s="41" t="str">
        <f>VLOOKUP(B2572,辅助信息!E:I,4,FALSE)</f>
        <v>张朝亮</v>
      </c>
      <c r="K2572" s="41">
        <f>VLOOKUP(J2572,辅助信息!H:I,2,FALSE)</f>
        <v>15228205853</v>
      </c>
      <c r="L2572" s="110" t="str">
        <f>VLOOKUP(B2572,辅助信息!E:J,6,FALSE)</f>
        <v>提前联系到场规格</v>
      </c>
      <c r="M2572" s="92">
        <v>45870</v>
      </c>
      <c r="O2572" s="63">
        <f ca="1" t="shared" si="159"/>
        <v>0</v>
      </c>
      <c r="P2572" s="63">
        <f ca="1" t="shared" si="160"/>
        <v>89</v>
      </c>
      <c r="Q2572" s="30" t="str">
        <f>VLOOKUP(B2572,辅助信息!E:M,9,FALSE)</f>
        <v>ZTWM-CDGS-XS-2024-0169-中冶西部钢构-宜宾市南溪区幸福路东路,高县月江镇建设项目</v>
      </c>
      <c r="R2572" s="30" t="str">
        <f>_xlfn._xlws.FILTER(辅助信息!D:D,辅助信息!E:E=B2572)</f>
        <v>五冶钢构-宜宾市南溪区高县月江镇建设项目</v>
      </c>
    </row>
    <row r="2573" hidden="1" spans="2:18">
      <c r="B2573" s="41" t="s">
        <v>106</v>
      </c>
      <c r="C2573" s="71">
        <v>45869</v>
      </c>
      <c r="D2573" s="41" t="str">
        <f>VLOOKUP(B2573,辅助信息!E:K,7,FALSE)</f>
        <v>JWDDCD2024101600133</v>
      </c>
      <c r="E2573" s="41" t="str">
        <f>VLOOKUP(F2573,辅助信息!A:B,2,FALSE)</f>
        <v>螺纹钢</v>
      </c>
      <c r="F2573" s="41" t="s">
        <v>30</v>
      </c>
      <c r="G2573" s="37">
        <v>6</v>
      </c>
      <c r="H2573" s="135">
        <f>_xlfn.XLOOKUP(C2573&amp;F2573&amp;I2573&amp;J2573,'[1]2025年已发货'!$F:$F&amp;'[1]2025年已发货'!$C:$C&amp;'[1]2025年已发货'!$G:$G&amp;'[1]2025年已发货'!$H:$H,'[1]2025年已发货'!$E:$E,"未发货")</f>
        <v>6</v>
      </c>
      <c r="I2573" s="41" t="str">
        <f>VLOOKUP(B2573,辅助信息!E:I,3,FALSE)</f>
        <v>（五冶钢构宜宾高县月江镇建设项目）  四川省宜宾市高县月江镇刚记超市斜对面(还阳组团沪碳二期项目)</v>
      </c>
      <c r="J2573" s="41" t="str">
        <f>VLOOKUP(B2573,辅助信息!E:I,4,FALSE)</f>
        <v>张朝亮</v>
      </c>
      <c r="K2573" s="41">
        <f>VLOOKUP(J2573,辅助信息!H:I,2,FALSE)</f>
        <v>15228205853</v>
      </c>
      <c r="L2573" s="110" t="str">
        <f>VLOOKUP(B2573,辅助信息!E:J,6,FALSE)</f>
        <v>提前联系到场规格</v>
      </c>
      <c r="M2573" s="92">
        <v>45870</v>
      </c>
      <c r="O2573" s="63">
        <f ca="1" t="shared" si="159"/>
        <v>0</v>
      </c>
      <c r="P2573" s="63">
        <f ca="1" t="shared" si="160"/>
        <v>89</v>
      </c>
      <c r="Q2573" s="30" t="str">
        <f>VLOOKUP(B2573,辅助信息!E:M,9,FALSE)</f>
        <v>ZTWM-CDGS-XS-2024-0169-中冶西部钢构-宜宾市南溪区幸福路东路,高县月江镇建设项目</v>
      </c>
      <c r="R2573" s="30" t="str">
        <f>_xlfn._xlws.FILTER(辅助信息!D:D,辅助信息!E:E=B2573)</f>
        <v>五冶钢构-宜宾市南溪区高县月江镇建设项目</v>
      </c>
    </row>
    <row r="2574" hidden="1" spans="2:18">
      <c r="B2574" s="41" t="s">
        <v>106</v>
      </c>
      <c r="C2574" s="71">
        <v>45869</v>
      </c>
      <c r="D2574" s="41" t="str">
        <f>VLOOKUP(B2574,辅助信息!E:K,7,FALSE)</f>
        <v>JWDDCD2024101600133</v>
      </c>
      <c r="E2574" s="41" t="str">
        <f>VLOOKUP(F2574,辅助信息!A:B,2,FALSE)</f>
        <v>螺纹钢</v>
      </c>
      <c r="F2574" s="41" t="s">
        <v>33</v>
      </c>
      <c r="G2574" s="37">
        <v>12</v>
      </c>
      <c r="H2574" s="135">
        <f>_xlfn.XLOOKUP(C2574&amp;F2574&amp;I2574&amp;J2574,'[1]2025年已发货'!$F:$F&amp;'[1]2025年已发货'!$C:$C&amp;'[1]2025年已发货'!$G:$G&amp;'[1]2025年已发货'!$H:$H,'[1]2025年已发货'!$E:$E,"未发货")</f>
        <v>12</v>
      </c>
      <c r="I2574" s="41" t="str">
        <f>VLOOKUP(B2574,辅助信息!E:I,3,FALSE)</f>
        <v>（五冶钢构宜宾高县月江镇建设项目）  四川省宜宾市高县月江镇刚记超市斜对面(还阳组团沪碳二期项目)</v>
      </c>
      <c r="J2574" s="41" t="str">
        <f>VLOOKUP(B2574,辅助信息!E:I,4,FALSE)</f>
        <v>张朝亮</v>
      </c>
      <c r="K2574" s="41">
        <f>VLOOKUP(J2574,辅助信息!H:I,2,FALSE)</f>
        <v>15228205853</v>
      </c>
      <c r="L2574" s="110" t="str">
        <f>VLOOKUP(B2574,辅助信息!E:J,6,FALSE)</f>
        <v>提前联系到场规格</v>
      </c>
      <c r="M2574" s="92">
        <v>45870</v>
      </c>
      <c r="O2574" s="63">
        <f ca="1" t="shared" si="159"/>
        <v>0</v>
      </c>
      <c r="P2574" s="63">
        <f ca="1" t="shared" si="160"/>
        <v>89</v>
      </c>
      <c r="Q2574" s="30" t="str">
        <f>VLOOKUP(B2574,辅助信息!E:M,9,FALSE)</f>
        <v>ZTWM-CDGS-XS-2024-0169-中冶西部钢构-宜宾市南溪区幸福路东路,高县月江镇建设项目</v>
      </c>
      <c r="R2574" s="30" t="str">
        <f>_xlfn._xlws.FILTER(辅助信息!D:D,辅助信息!E:E=B2574)</f>
        <v>五冶钢构-宜宾市南溪区高县月江镇建设项目</v>
      </c>
    </row>
    <row r="2575" hidden="1" spans="2:18">
      <c r="B2575" s="41" t="s">
        <v>106</v>
      </c>
      <c r="C2575" s="71">
        <v>45869</v>
      </c>
      <c r="D2575" s="41" t="str">
        <f>VLOOKUP(B2575,辅助信息!E:K,7,FALSE)</f>
        <v>JWDDCD2024101600133</v>
      </c>
      <c r="E2575" s="41" t="str">
        <f>VLOOKUP(F2575,辅助信息!A:B,2,FALSE)</f>
        <v>螺纹钢</v>
      </c>
      <c r="F2575" s="41" t="s">
        <v>18</v>
      </c>
      <c r="G2575" s="37">
        <v>12</v>
      </c>
      <c r="H2575" s="135">
        <f>_xlfn.XLOOKUP(C2575&amp;F2575&amp;I2575&amp;J2575,'[1]2025年已发货'!$F:$F&amp;'[1]2025年已发货'!$C:$C&amp;'[1]2025年已发货'!$G:$G&amp;'[1]2025年已发货'!$H:$H,'[1]2025年已发货'!$E:$E,"未发货")</f>
        <v>12</v>
      </c>
      <c r="I2575" s="41" t="str">
        <f>VLOOKUP(B2575,辅助信息!E:I,3,FALSE)</f>
        <v>（五冶钢构宜宾高县月江镇建设项目）  四川省宜宾市高县月江镇刚记超市斜对面(还阳组团沪碳二期项目)</v>
      </c>
      <c r="J2575" s="41" t="str">
        <f>VLOOKUP(B2575,辅助信息!E:I,4,FALSE)</f>
        <v>张朝亮</v>
      </c>
      <c r="K2575" s="41">
        <f>VLOOKUP(J2575,辅助信息!H:I,2,FALSE)</f>
        <v>15228205853</v>
      </c>
      <c r="L2575" s="110" t="str">
        <f>VLOOKUP(B2575,辅助信息!E:J,6,FALSE)</f>
        <v>提前联系到场规格</v>
      </c>
      <c r="M2575" s="92">
        <v>45870</v>
      </c>
      <c r="O2575" s="63">
        <f ca="1" t="shared" si="159"/>
        <v>0</v>
      </c>
      <c r="P2575" s="63">
        <f ca="1" t="shared" si="160"/>
        <v>89</v>
      </c>
      <c r="Q2575" s="30" t="str">
        <f>VLOOKUP(B2575,辅助信息!E:M,9,FALSE)</f>
        <v>ZTWM-CDGS-XS-2024-0169-中冶西部钢构-宜宾市南溪区幸福路东路,高县月江镇建设项目</v>
      </c>
      <c r="R2575" s="30" t="str">
        <f>_xlfn._xlws.FILTER(辅助信息!D:D,辅助信息!E:E=B2575)</f>
        <v>五冶钢构-宜宾市南溪区高县月江镇建设项目</v>
      </c>
    </row>
    <row r="2576" hidden="1" spans="2:18">
      <c r="B2576" s="41" t="s">
        <v>147</v>
      </c>
      <c r="C2576" s="71">
        <v>45870</v>
      </c>
      <c r="D2576" s="41" t="str">
        <f>VLOOKUP(B2576,辅助信息!E:K,7,FALSE)</f>
        <v>JWDDCD2025052800131</v>
      </c>
      <c r="E2576" s="41" t="str">
        <f>VLOOKUP(F2576,辅助信息!A:B,2,FALSE)</f>
        <v>盘螺</v>
      </c>
      <c r="F2576" s="41" t="s">
        <v>40</v>
      </c>
      <c r="G2576" s="37">
        <v>22</v>
      </c>
      <c r="H2576" s="135" t="str">
        <f>_xlfn.XLOOKUP(C2576&amp;F2576&amp;I2576&amp;J2576,'[1]2025年已发货'!$F:$F&amp;'[1]2025年已发货'!$C:$C&amp;'[1]2025年已发货'!$G:$G&amp;'[1]2025年已发货'!$H:$H,'[1]2025年已发货'!$E:$E,"未发货")</f>
        <v>未发货</v>
      </c>
      <c r="I2576" s="41" t="str">
        <f>VLOOKUP(B2576,辅助信息!E:I,3,FALSE)</f>
        <v>（商投建工达州中医药科技园-4工区-11号楼）达州市通川区达州中医药职业学院犀牛大道北段</v>
      </c>
      <c r="J2576" s="41" t="str">
        <f>VLOOKUP(B2576,辅助信息!E:I,4,FALSE)</f>
        <v>张扬</v>
      </c>
      <c r="K2576" s="41">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89</v>
      </c>
      <c r="Q2576" s="30" t="str">
        <f>VLOOKUP(B2576,辅助信息!E:M,9,FALSE)</f>
        <v>ZTWM-CDGS-XS-2024-0134-商投建工达州中医药科技成果示范园项目</v>
      </c>
      <c r="R2576" s="30" t="str">
        <f>_xlfn._xlws.FILTER(辅助信息!D:D,辅助信息!E:E=B2576)</f>
        <v>商投建工达州中医药科技园</v>
      </c>
    </row>
    <row r="2577" hidden="1" spans="2:18">
      <c r="B2577" s="41" t="s">
        <v>147</v>
      </c>
      <c r="C2577" s="71">
        <v>45870</v>
      </c>
      <c r="D2577" s="41" t="str">
        <f>VLOOKUP(B2577,辅助信息!E:K,7,FALSE)</f>
        <v>JWDDCD2025052800131</v>
      </c>
      <c r="E2577" s="41" t="str">
        <f>VLOOKUP(F2577,辅助信息!A:B,2,FALSE)</f>
        <v>螺纹钢</v>
      </c>
      <c r="F2577" s="41" t="s">
        <v>21</v>
      </c>
      <c r="G2577" s="37">
        <v>9</v>
      </c>
      <c r="H2577" s="135" t="str">
        <f>_xlfn.XLOOKUP(C2577&amp;F2577&amp;I2577&amp;J2577,'[1]2025年已发货'!$F:$F&amp;'[1]2025年已发货'!$C:$C&amp;'[1]2025年已发货'!$G:$G&amp;'[1]2025年已发货'!$H:$H,'[1]2025年已发货'!$E:$E,"未发货")</f>
        <v>未发货</v>
      </c>
      <c r="I2577" s="41" t="str">
        <f>VLOOKUP(B2577,辅助信息!E:I,3,FALSE)</f>
        <v>（商投建工达州中医药科技园-4工区-11号楼）达州市通川区达州中医药职业学院犀牛大道北段</v>
      </c>
      <c r="J2577" s="41" t="str">
        <f>VLOOKUP(B2577,辅助信息!E:I,4,FALSE)</f>
        <v>张扬</v>
      </c>
      <c r="K2577" s="41">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30" t="str">
        <f>VLOOKUP(B2577,辅助信息!E:M,9,FALSE)</f>
        <v>ZTWM-CDGS-XS-2024-0134-商投建工达州中医药科技成果示范园项目</v>
      </c>
      <c r="R2577" s="30" t="str">
        <f>_xlfn._xlws.FILTER(辅助信息!D:D,辅助信息!E:E=B2577)</f>
        <v>商投建工达州中医药科技园</v>
      </c>
    </row>
    <row r="2578" hidden="1" spans="2:18">
      <c r="B2578" s="41" t="s">
        <v>147</v>
      </c>
      <c r="C2578" s="71">
        <v>45870</v>
      </c>
      <c r="D2578" s="41" t="str">
        <f>VLOOKUP(B2578,辅助信息!E:K,7,FALSE)</f>
        <v>JWDDCD2025052800131</v>
      </c>
      <c r="E2578" s="41" t="str">
        <f>VLOOKUP(F2578,辅助信息!A:B,2,FALSE)</f>
        <v>螺纹钢</v>
      </c>
      <c r="F2578" s="41" t="s">
        <v>58</v>
      </c>
      <c r="G2578" s="37">
        <v>9</v>
      </c>
      <c r="H2578" s="135" t="str">
        <f>_xlfn.XLOOKUP(C2578&amp;F2578&amp;I2578&amp;J2578,'[1]2025年已发货'!$F:$F&amp;'[1]2025年已发货'!$C:$C&amp;'[1]2025年已发货'!$G:$G&amp;'[1]2025年已发货'!$H:$H,'[1]2025年已发货'!$E:$E,"未发货")</f>
        <v>未发货</v>
      </c>
      <c r="I2578" s="41" t="str">
        <f>VLOOKUP(B2578,辅助信息!E:I,3,FALSE)</f>
        <v>（商投建工达州中医药科技园-4工区-11号楼）达州市通川区达州中医药职业学院犀牛大道北段</v>
      </c>
      <c r="J2578" s="41" t="str">
        <f>VLOOKUP(B2578,辅助信息!E:I,4,FALSE)</f>
        <v>张扬</v>
      </c>
      <c r="K2578" s="41">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30" t="str">
        <f>VLOOKUP(B2578,辅助信息!E:M,9,FALSE)</f>
        <v>ZTWM-CDGS-XS-2024-0134-商投建工达州中医药科技成果示范园项目</v>
      </c>
      <c r="R2578" s="30" t="str">
        <f>_xlfn._xlws.FILTER(辅助信息!D:D,辅助信息!E:E=B2578)</f>
        <v>商投建工达州中医药科技园</v>
      </c>
    </row>
    <row r="2579" hidden="1" spans="2:18">
      <c r="B2579" s="41" t="s">
        <v>147</v>
      </c>
      <c r="C2579" s="71">
        <v>45870</v>
      </c>
      <c r="D2579" s="41" t="str">
        <f>VLOOKUP(B2579,辅助信息!E:K,7,FALSE)</f>
        <v>JWDDCD2025052800131</v>
      </c>
      <c r="E2579" s="41" t="str">
        <f>VLOOKUP(F2579,辅助信息!A:B,2,FALSE)</f>
        <v>螺纹钢</v>
      </c>
      <c r="F2579" s="41" t="s">
        <v>46</v>
      </c>
      <c r="G2579" s="37">
        <v>9</v>
      </c>
      <c r="H2579" s="135" t="str">
        <f>_xlfn.XLOOKUP(C2579&amp;F2579&amp;I2579&amp;J2579,'[1]2025年已发货'!$F:$F&amp;'[1]2025年已发货'!$C:$C&amp;'[1]2025年已发货'!$G:$G&amp;'[1]2025年已发货'!$H:$H,'[1]2025年已发货'!$E:$E,"未发货")</f>
        <v>未发货</v>
      </c>
      <c r="I2579" s="41" t="str">
        <f>VLOOKUP(B2579,辅助信息!E:I,3,FALSE)</f>
        <v>（商投建工达州中医药科技园-4工区-11号楼）达州市通川区达州中医药职业学院犀牛大道北段</v>
      </c>
      <c r="J2579" s="41" t="str">
        <f>VLOOKUP(B2579,辅助信息!E:I,4,FALSE)</f>
        <v>张扬</v>
      </c>
      <c r="K2579" s="41">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30" t="str">
        <f>VLOOKUP(B2579,辅助信息!E:M,9,FALSE)</f>
        <v>ZTWM-CDGS-XS-2024-0134-商投建工达州中医药科技成果示范园项目</v>
      </c>
      <c r="R2579" s="30" t="str">
        <f>_xlfn._xlws.FILTER(辅助信息!D:D,辅助信息!E:E=B2579)</f>
        <v>商投建工达州中医药科技园</v>
      </c>
    </row>
    <row r="2580" hidden="1" spans="2:18">
      <c r="B2580" s="41" t="s">
        <v>147</v>
      </c>
      <c r="C2580" s="71">
        <v>45870</v>
      </c>
      <c r="D2580" s="41" t="str">
        <f>VLOOKUP(B2580,辅助信息!E:K,7,FALSE)</f>
        <v>JWDDCD2025052800131</v>
      </c>
      <c r="E2580" s="41" t="str">
        <f>VLOOKUP(F2580,辅助信息!A:B,2,FALSE)</f>
        <v>螺纹钢</v>
      </c>
      <c r="F2580" s="41" t="s">
        <v>22</v>
      </c>
      <c r="G2580" s="37">
        <v>15</v>
      </c>
      <c r="H2580" s="135" t="str">
        <f>_xlfn.XLOOKUP(C2580&amp;F2580&amp;I2580&amp;J2580,'[1]2025年已发货'!$F:$F&amp;'[1]2025年已发货'!$C:$C&amp;'[1]2025年已发货'!$G:$G&amp;'[1]2025年已发货'!$H:$H,'[1]2025年已发货'!$E:$E,"未发货")</f>
        <v>未发货</v>
      </c>
      <c r="I2580" s="41" t="str">
        <f>VLOOKUP(B2580,辅助信息!E:I,3,FALSE)</f>
        <v>（商投建工达州中医药科技园-4工区-11号楼）达州市通川区达州中医药职业学院犀牛大道北段</v>
      </c>
      <c r="J2580" s="41" t="str">
        <f>VLOOKUP(B2580,辅助信息!E:I,4,FALSE)</f>
        <v>张扬</v>
      </c>
      <c r="K2580" s="41">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30" t="str">
        <f>VLOOKUP(B2580,辅助信息!E:M,9,FALSE)</f>
        <v>ZTWM-CDGS-XS-2024-0134-商投建工达州中医药科技成果示范园项目</v>
      </c>
      <c r="R2580" s="30" t="str">
        <f>_xlfn._xlws.FILTER(辅助信息!D:D,辅助信息!E:E=B2580)</f>
        <v>商投建工达州中医药科技园</v>
      </c>
    </row>
    <row r="2581" hidden="1" spans="2:18">
      <c r="B2581" s="41" t="s">
        <v>147</v>
      </c>
      <c r="C2581" s="71">
        <v>45870</v>
      </c>
      <c r="D2581" s="41" t="str">
        <f>VLOOKUP(B2581,辅助信息!E:K,7,FALSE)</f>
        <v>JWDDCD2025052800131</v>
      </c>
      <c r="E2581" s="41" t="str">
        <f>VLOOKUP(F2581,辅助信息!A:B,2,FALSE)</f>
        <v>螺纹钢</v>
      </c>
      <c r="F2581" s="41" t="s">
        <v>28</v>
      </c>
      <c r="G2581" s="37">
        <v>6</v>
      </c>
      <c r="H2581" s="135" t="str">
        <f>_xlfn.XLOOKUP(C2581&amp;F2581&amp;I2581&amp;J2581,'[1]2025年已发货'!$F:$F&amp;'[1]2025年已发货'!$C:$C&amp;'[1]2025年已发货'!$G:$G&amp;'[1]2025年已发货'!$H:$H,'[1]2025年已发货'!$E:$E,"未发货")</f>
        <v>未发货</v>
      </c>
      <c r="I2581" s="41" t="str">
        <f>VLOOKUP(B2581,辅助信息!E:I,3,FALSE)</f>
        <v>（商投建工达州中医药科技园-4工区-11号楼）达州市通川区达州中医药职业学院犀牛大道北段</v>
      </c>
      <c r="J2581" s="41" t="str">
        <f>VLOOKUP(B2581,辅助信息!E:I,4,FALSE)</f>
        <v>张扬</v>
      </c>
      <c r="K2581" s="41">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30" t="str">
        <f>VLOOKUP(B2581,辅助信息!E:M,9,FALSE)</f>
        <v>ZTWM-CDGS-XS-2024-0134-商投建工达州中医药科技成果示范园项目</v>
      </c>
      <c r="R2581" s="30" t="str">
        <f>_xlfn._xlws.FILTER(辅助信息!D:D,辅助信息!E:E=B2581)</f>
        <v>商投建工达州中医药科技园</v>
      </c>
    </row>
    <row r="2582" hidden="1" spans="2:18">
      <c r="B2582" s="41" t="s">
        <v>186</v>
      </c>
      <c r="C2582" s="71">
        <v>45873</v>
      </c>
      <c r="D2582" s="41" t="str">
        <f>VLOOKUP(B2582,辅助信息!E:K,7,FALSE)</f>
        <v>JWDDCD2025072900123</v>
      </c>
      <c r="E2582" s="41" t="str">
        <f>VLOOKUP(F2582,辅助信息!A:B,2,FALSE)</f>
        <v>螺纹钢</v>
      </c>
      <c r="F2582" s="41" t="s">
        <v>28</v>
      </c>
      <c r="G2582" s="37">
        <v>18</v>
      </c>
      <c r="H2582" s="135">
        <f>_xlfn.XLOOKUP(C2582&amp;F2582&amp;I2582&amp;J2582,'[1]2025年已发货'!$F:$F&amp;'[1]2025年已发货'!$C:$C&amp;'[1]2025年已发货'!$G:$G&amp;'[1]2025年已发货'!$H:$H,'[1]2025年已发货'!$E:$E,"未发货")</f>
        <v>18</v>
      </c>
      <c r="I2582" s="41" t="str">
        <f>VLOOKUP(B2582,辅助信息!E:I,3,FALSE)</f>
        <v>(乐山市校地共建产教融合基地建设项目二标段)四川省乐山市市中区苏稽镇</v>
      </c>
      <c r="J2582" s="41" t="str">
        <f>VLOOKUP(B2582,辅助信息!E:I,4,FALSE)</f>
        <v>彭江涛</v>
      </c>
      <c r="K2582" s="41">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85</v>
      </c>
      <c r="Q2582" s="30" t="str">
        <f>VLOOKUP(B2582,辅助信息!E:M,9,FALSE)</f>
        <v>ZTWM-CDGS-XS-2025-0126-四川机司-乐山市校地共建产教融合基地配套设施项目施工二标段钢筋采购合同</v>
      </c>
      <c r="R2582" s="30" t="str">
        <f>_xlfn._xlws.FILTER(辅助信息!D:D,辅助信息!E:E=B2582)</f>
        <v>乐山市校地共建产教融合基地建设项目</v>
      </c>
    </row>
    <row r="2583" hidden="1" spans="2:18">
      <c r="B2583" s="41" t="s">
        <v>186</v>
      </c>
      <c r="C2583" s="71">
        <v>45873</v>
      </c>
      <c r="D2583" s="41" t="str">
        <f>VLOOKUP(B2583,辅助信息!E:K,7,FALSE)</f>
        <v>JWDDCD2025072900123</v>
      </c>
      <c r="E2583" s="41" t="str">
        <f>VLOOKUP(F2583,辅助信息!A:B,2,FALSE)</f>
        <v>螺纹钢</v>
      </c>
      <c r="F2583" s="41" t="s">
        <v>18</v>
      </c>
      <c r="G2583" s="37">
        <v>18</v>
      </c>
      <c r="H2583" s="135">
        <f>_xlfn.XLOOKUP(C2583&amp;F2583&amp;I2583&amp;J2583,'[1]2025年已发货'!$F:$F&amp;'[1]2025年已发货'!$C:$C&amp;'[1]2025年已发货'!$G:$G&amp;'[1]2025年已发货'!$H:$H,'[1]2025年已发货'!$E:$E,"未发货")</f>
        <v>18</v>
      </c>
      <c r="I2583" s="41" t="str">
        <f>VLOOKUP(B2583,辅助信息!E:I,3,FALSE)</f>
        <v>(乐山市校地共建产教融合基地建设项目二标段)四川省乐山市市中区苏稽镇</v>
      </c>
      <c r="J2583" s="41" t="str">
        <f>VLOOKUP(B2583,辅助信息!E:I,4,FALSE)</f>
        <v>彭江涛</v>
      </c>
      <c r="K2583" s="41">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85</v>
      </c>
      <c r="Q2583" s="30" t="str">
        <f>VLOOKUP(B2583,辅助信息!E:M,9,FALSE)</f>
        <v>ZTWM-CDGS-XS-2025-0126-四川机司-乐山市校地共建产教融合基地配套设施项目施工二标段钢筋采购合同</v>
      </c>
      <c r="R2583" s="30" t="str">
        <f>_xlfn._xlws.FILTER(辅助信息!D:D,辅助信息!E:E=B2583)</f>
        <v>乐山市校地共建产教融合基地建设项目</v>
      </c>
    </row>
    <row r="2584" hidden="1" spans="2:18">
      <c r="B2584" s="41" t="s">
        <v>186</v>
      </c>
      <c r="C2584" s="71">
        <v>45873</v>
      </c>
      <c r="D2584" s="41" t="str">
        <f>VLOOKUP(B2584,辅助信息!E:K,7,FALSE)</f>
        <v>JWDDCD2025072900123</v>
      </c>
      <c r="E2584" s="41" t="str">
        <f>VLOOKUP(F2584,辅助信息!A:B,2,FALSE)</f>
        <v>盘螺</v>
      </c>
      <c r="F2584" s="41" t="s">
        <v>40</v>
      </c>
      <c r="G2584" s="37">
        <v>3</v>
      </c>
      <c r="H2584" s="135">
        <f>_xlfn.XLOOKUP(C2584&amp;F2584&amp;I2584&amp;J2584,'[1]2025年已发货'!$F:$F&amp;'[1]2025年已发货'!$C:$C&amp;'[1]2025年已发货'!$G:$G&amp;'[1]2025年已发货'!$H:$H,'[1]2025年已发货'!$E:$E,"未发货")</f>
        <v>3</v>
      </c>
      <c r="I2584" s="41" t="str">
        <f>VLOOKUP(B2584,辅助信息!E:I,3,FALSE)</f>
        <v>(乐山市校地共建产教融合基地建设项目二标段)四川省乐山市市中区苏稽镇</v>
      </c>
      <c r="J2584" s="41" t="str">
        <f>VLOOKUP(B2584,辅助信息!E:I,4,FALSE)</f>
        <v>彭江涛</v>
      </c>
      <c r="K2584" s="41">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85</v>
      </c>
      <c r="Q2584" s="30" t="str">
        <f>VLOOKUP(B2584,辅助信息!E:M,9,FALSE)</f>
        <v>ZTWM-CDGS-XS-2025-0126-四川机司-乐山市校地共建产教融合基地配套设施项目施工二标段钢筋采购合同</v>
      </c>
      <c r="R2584" s="30" t="str">
        <f>_xlfn._xlws.FILTER(辅助信息!D:D,辅助信息!E:E=B2584)</f>
        <v>乐山市校地共建产教融合基地建设项目</v>
      </c>
    </row>
    <row r="2585" hidden="1" spans="2:18">
      <c r="B2585" s="41" t="s">
        <v>186</v>
      </c>
      <c r="C2585" s="71">
        <v>45873</v>
      </c>
      <c r="D2585" s="41" t="str">
        <f>VLOOKUP(B2585,辅助信息!E:K,7,FALSE)</f>
        <v>JWDDCD2025072900123</v>
      </c>
      <c r="E2585" s="41" t="str">
        <f>VLOOKUP(F2585,辅助信息!A:B,2,FALSE)</f>
        <v>盘螺</v>
      </c>
      <c r="F2585" s="41" t="s">
        <v>41</v>
      </c>
      <c r="G2585" s="37">
        <v>10</v>
      </c>
      <c r="H2585" s="135">
        <f>_xlfn.XLOOKUP(C2585&amp;F2585&amp;I2585&amp;J2585,'[1]2025年已发货'!$F:$F&amp;'[1]2025年已发货'!$C:$C&amp;'[1]2025年已发货'!$G:$G&amp;'[1]2025年已发货'!$H:$H,'[1]2025年已发货'!$E:$E,"未发货")</f>
        <v>10</v>
      </c>
      <c r="I2585" s="41" t="str">
        <f>VLOOKUP(B2585,辅助信息!E:I,3,FALSE)</f>
        <v>(乐山市校地共建产教融合基地建设项目二标段)四川省乐山市市中区苏稽镇</v>
      </c>
      <c r="J2585" s="41" t="str">
        <f>VLOOKUP(B2585,辅助信息!E:I,4,FALSE)</f>
        <v>彭江涛</v>
      </c>
      <c r="K2585" s="41">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85</v>
      </c>
      <c r="Q2585" s="30" t="str">
        <f>VLOOKUP(B2585,辅助信息!E:M,9,FALSE)</f>
        <v>ZTWM-CDGS-XS-2025-0126-四川机司-乐山市校地共建产教融合基地配套设施项目施工二标段钢筋采购合同</v>
      </c>
      <c r="R2585" s="30" t="str">
        <f>_xlfn._xlws.FILTER(辅助信息!D:D,辅助信息!E:E=B2585)</f>
        <v>乐山市校地共建产教融合基地建设项目</v>
      </c>
    </row>
    <row r="2586" hidden="1" spans="2:18">
      <c r="B2586" s="41" t="s">
        <v>186</v>
      </c>
      <c r="C2586" s="71">
        <v>45873</v>
      </c>
      <c r="D2586" s="41" t="str">
        <f>VLOOKUP(B2586,辅助信息!E:K,7,FALSE)</f>
        <v>JWDDCD2025072900123</v>
      </c>
      <c r="E2586" s="41" t="str">
        <f>VLOOKUP(F2586,辅助信息!A:B,2,FALSE)</f>
        <v>盘螺</v>
      </c>
      <c r="F2586" s="41" t="s">
        <v>26</v>
      </c>
      <c r="G2586" s="37">
        <v>17</v>
      </c>
      <c r="H2586" s="135">
        <f>_xlfn.XLOOKUP(C2586&amp;F2586&amp;I2586&amp;J2586,'[1]2025年已发货'!$F:$F&amp;'[1]2025年已发货'!$C:$C&amp;'[1]2025年已发货'!$G:$G&amp;'[1]2025年已发货'!$H:$H,'[1]2025年已发货'!$E:$E,"未发货")</f>
        <v>17</v>
      </c>
      <c r="I2586" s="41" t="str">
        <f>VLOOKUP(B2586,辅助信息!E:I,3,FALSE)</f>
        <v>(乐山市校地共建产教融合基地建设项目二标段)四川省乐山市市中区苏稽镇</v>
      </c>
      <c r="J2586" s="41" t="str">
        <f>VLOOKUP(B2586,辅助信息!E:I,4,FALSE)</f>
        <v>彭江涛</v>
      </c>
      <c r="K2586" s="41">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85</v>
      </c>
      <c r="Q2586" s="30" t="str">
        <f>VLOOKUP(B2586,辅助信息!E:M,9,FALSE)</f>
        <v>ZTWM-CDGS-XS-2025-0126-四川机司-乐山市校地共建产教融合基地配套设施项目施工二标段钢筋采购合同</v>
      </c>
      <c r="R2586" s="30" t="str">
        <f>_xlfn._xlws.FILTER(辅助信息!D:D,辅助信息!E:E=B2586)</f>
        <v>乐山市校地共建产教融合基地建设项目</v>
      </c>
    </row>
    <row r="2587" hidden="1" spans="2:18">
      <c r="B2587" s="41" t="s">
        <v>186</v>
      </c>
      <c r="C2587" s="71">
        <v>45873</v>
      </c>
      <c r="D2587" s="41" t="str">
        <f>VLOOKUP(B2587,辅助信息!E:K,7,FALSE)</f>
        <v>JWDDCD2025072900123</v>
      </c>
      <c r="E2587" s="41" t="str">
        <f>VLOOKUP(F2587,辅助信息!A:B,2,FALSE)</f>
        <v>螺纹钢</v>
      </c>
      <c r="F2587" s="41" t="s">
        <v>76</v>
      </c>
      <c r="G2587" s="37">
        <v>8</v>
      </c>
      <c r="H2587" s="135">
        <f>_xlfn.XLOOKUP(C2587&amp;F2587&amp;I2587&amp;J2587,'[1]2025年已发货'!$F:$F&amp;'[1]2025年已发货'!$C:$C&amp;'[1]2025年已发货'!$G:$G&amp;'[1]2025年已发货'!$H:$H,'[1]2025年已发货'!$E:$E,"未发货")</f>
        <v>8</v>
      </c>
      <c r="I2587" s="41" t="str">
        <f>VLOOKUP(B2587,辅助信息!E:I,3,FALSE)</f>
        <v>(乐山市校地共建产教融合基地建设项目二标段)四川省乐山市市中区苏稽镇</v>
      </c>
      <c r="J2587" s="41" t="str">
        <f>VLOOKUP(B2587,辅助信息!E:I,4,FALSE)</f>
        <v>彭江涛</v>
      </c>
      <c r="K2587" s="41">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85</v>
      </c>
      <c r="Q2587" s="30" t="str">
        <f>VLOOKUP(B2587,辅助信息!E:M,9,FALSE)</f>
        <v>ZTWM-CDGS-XS-2025-0126-四川机司-乐山市校地共建产教融合基地配套设施项目施工二标段钢筋采购合同</v>
      </c>
      <c r="R2587" s="30" t="str">
        <f>_xlfn._xlws.FILTER(辅助信息!D:D,辅助信息!E:E=B2587)</f>
        <v>乐山市校地共建产教融合基地建设项目</v>
      </c>
    </row>
    <row r="2588" hidden="1" spans="2:18">
      <c r="B2588" s="41" t="s">
        <v>186</v>
      </c>
      <c r="C2588" s="71">
        <v>45873</v>
      </c>
      <c r="D2588" s="41" t="str">
        <f>VLOOKUP(B2588,辅助信息!E:K,7,FALSE)</f>
        <v>JWDDCD2025072900123</v>
      </c>
      <c r="E2588" s="41" t="str">
        <f>VLOOKUP(F2588,辅助信息!A:B,2,FALSE)</f>
        <v>螺纹钢</v>
      </c>
      <c r="F2588" s="41" t="s">
        <v>90</v>
      </c>
      <c r="G2588" s="37">
        <v>3</v>
      </c>
      <c r="H2588" s="135">
        <f>_xlfn.XLOOKUP(C2588&amp;F2588&amp;I2588&amp;J2588,'[1]2025年已发货'!$F:$F&amp;'[1]2025年已发货'!$C:$C&amp;'[1]2025年已发货'!$G:$G&amp;'[1]2025年已发货'!$H:$H,'[1]2025年已发货'!$E:$E,"未发货")</f>
        <v>3</v>
      </c>
      <c r="I2588" s="41" t="str">
        <f>VLOOKUP(B2588,辅助信息!E:I,3,FALSE)</f>
        <v>(乐山市校地共建产教融合基地建设项目二标段)四川省乐山市市中区苏稽镇</v>
      </c>
      <c r="J2588" s="41" t="str">
        <f>VLOOKUP(B2588,辅助信息!E:I,4,FALSE)</f>
        <v>彭江涛</v>
      </c>
      <c r="K2588" s="41">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85</v>
      </c>
      <c r="Q2588" s="30" t="str">
        <f>VLOOKUP(B2588,辅助信息!E:M,9,FALSE)</f>
        <v>ZTWM-CDGS-XS-2025-0126-四川机司-乐山市校地共建产教融合基地配套设施项目施工二标段钢筋采购合同</v>
      </c>
      <c r="R2588" s="30" t="str">
        <f>_xlfn._xlws.FILTER(辅助信息!D:D,辅助信息!E:E=B2588)</f>
        <v>乐山市校地共建产教融合基地建设项目</v>
      </c>
    </row>
    <row r="2589" hidden="1" spans="2:18">
      <c r="B2589" s="41" t="s">
        <v>186</v>
      </c>
      <c r="C2589" s="71">
        <v>45873</v>
      </c>
      <c r="D2589" s="41" t="str">
        <f>VLOOKUP(B2589,辅助信息!E:K,7,FALSE)</f>
        <v>JWDDCD2025072900123</v>
      </c>
      <c r="E2589" s="41" t="str">
        <f>VLOOKUP(F2589,辅助信息!A:B,2,FALSE)</f>
        <v>螺纹钢</v>
      </c>
      <c r="F2589" s="41" t="s">
        <v>133</v>
      </c>
      <c r="G2589" s="37">
        <v>67</v>
      </c>
      <c r="H2589" s="135">
        <f>_xlfn.XLOOKUP(C2589&amp;F2589&amp;I2589&amp;J2589,'[1]2025年已发货'!$F:$F&amp;'[1]2025年已发货'!$C:$C&amp;'[1]2025年已发货'!$G:$G&amp;'[1]2025年已发货'!$H:$H,'[1]2025年已发货'!$E:$E,"未发货")</f>
        <v>30</v>
      </c>
      <c r="I2589" s="41" t="str">
        <f>VLOOKUP(B2589,辅助信息!E:I,3,FALSE)</f>
        <v>(乐山市校地共建产教融合基地建设项目二标段)四川省乐山市市中区苏稽镇</v>
      </c>
      <c r="J2589" s="41" t="str">
        <f>VLOOKUP(B2589,辅助信息!E:I,4,FALSE)</f>
        <v>彭江涛</v>
      </c>
      <c r="K2589" s="41">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85</v>
      </c>
      <c r="Q2589" s="30" t="str">
        <f>VLOOKUP(B2589,辅助信息!E:M,9,FALSE)</f>
        <v>ZTWM-CDGS-XS-2025-0126-四川机司-乐山市校地共建产教融合基地配套设施项目施工二标段钢筋采购合同</v>
      </c>
      <c r="R2589" s="30" t="str">
        <f>_xlfn._xlws.FILTER(辅助信息!D:D,辅助信息!E:E=B2589)</f>
        <v>乐山市校地共建产教融合基地建设项目</v>
      </c>
    </row>
    <row r="2590" hidden="1" spans="2:18">
      <c r="B2590" s="41" t="s">
        <v>186</v>
      </c>
      <c r="C2590" s="71">
        <v>45873</v>
      </c>
      <c r="D2590" s="41" t="str">
        <f>VLOOKUP(B2590,辅助信息!E:K,7,FALSE)</f>
        <v>JWDDCD2025072900123</v>
      </c>
      <c r="E2590" s="41" t="str">
        <f>VLOOKUP(F2590,辅助信息!A:B,2,FALSE)</f>
        <v>螺纹钢</v>
      </c>
      <c r="F2590" s="41" t="s">
        <v>91</v>
      </c>
      <c r="G2590" s="37">
        <v>192</v>
      </c>
      <c r="H2590" s="135">
        <f>_xlfn.XLOOKUP(C2590&amp;F2590&amp;I2590&amp;J2590,'[1]2025年已发货'!$F:$F&amp;'[1]2025年已发货'!$C:$C&amp;'[1]2025年已发货'!$G:$G&amp;'[1]2025年已发货'!$H:$H,'[1]2025年已发货'!$E:$E,"未发货")</f>
        <v>35</v>
      </c>
      <c r="I2590" s="41" t="str">
        <f>VLOOKUP(B2590,辅助信息!E:I,3,FALSE)</f>
        <v>(乐山市校地共建产教融合基地建设项目二标段)四川省乐山市市中区苏稽镇</v>
      </c>
      <c r="J2590" s="41" t="str">
        <f>VLOOKUP(B2590,辅助信息!E:I,4,FALSE)</f>
        <v>彭江涛</v>
      </c>
      <c r="K2590" s="41">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85</v>
      </c>
      <c r="Q2590" s="30" t="str">
        <f>VLOOKUP(B2590,辅助信息!E:M,9,FALSE)</f>
        <v>ZTWM-CDGS-XS-2025-0126-四川机司-乐山市校地共建产教融合基地配套设施项目施工二标段钢筋采购合同</v>
      </c>
      <c r="R2590" s="30" t="str">
        <f>_xlfn._xlws.FILTER(辅助信息!D:D,辅助信息!E:E=B2590)</f>
        <v>乐山市校地共建产教融合基地建设项目</v>
      </c>
    </row>
    <row r="2591" hidden="1" spans="2:18">
      <c r="B2591" s="41" t="s">
        <v>47</v>
      </c>
      <c r="C2591" s="71">
        <v>45873</v>
      </c>
      <c r="D2591" s="41" t="str">
        <f>VLOOKUP(B2591,辅助信息!E:K,7,FALSE)</f>
        <v>JWDDCD2025052800131</v>
      </c>
      <c r="E2591" s="41" t="str">
        <f>VLOOKUP(F2591,辅助信息!A:B,2,FALSE)</f>
        <v>盘螺</v>
      </c>
      <c r="F2591" s="41" t="s">
        <v>49</v>
      </c>
      <c r="G2591" s="37">
        <v>3</v>
      </c>
      <c r="H2591" s="135">
        <f>_xlfn.XLOOKUP(C2591&amp;F2591&amp;I2591&amp;J2591,'[1]2025年已发货'!$F:$F&amp;'[1]2025年已发货'!$C:$C&amp;'[1]2025年已发货'!$G:$G&amp;'[1]2025年已发货'!$H:$H,'[1]2025年已发货'!$E:$E,"未发货")</f>
        <v>3</v>
      </c>
      <c r="I2591" s="41" t="str">
        <f>VLOOKUP(B2591,辅助信息!E:I,3,FALSE)</f>
        <v>（商投建工达州中医药科技园-1工区）达州市通川区达州中医药职业学院犀牛大道北段</v>
      </c>
      <c r="J2591" s="41" t="str">
        <f>VLOOKUP(B2591,辅助信息!E:I,4,FALSE)</f>
        <v>程黄刚</v>
      </c>
      <c r="K2591" s="41">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85</v>
      </c>
      <c r="Q2591" s="30" t="str">
        <f>VLOOKUP(B2591,辅助信息!E:M,9,FALSE)</f>
        <v>ZTWM-CDGS-XS-2024-0134-商投建工达州中医药科技成果示范园项目</v>
      </c>
      <c r="R2591" s="30" t="str">
        <f>_xlfn._xlws.FILTER(辅助信息!D:D,辅助信息!E:E=B2591)</f>
        <v>商投建工达州中医药科技园</v>
      </c>
    </row>
    <row r="2592" hidden="1" spans="2:18">
      <c r="B2592" s="41" t="s">
        <v>47</v>
      </c>
      <c r="C2592" s="71">
        <v>45873</v>
      </c>
      <c r="D2592" s="41" t="str">
        <f>VLOOKUP(B2592,辅助信息!E:K,7,FALSE)</f>
        <v>JWDDCD2025052800131</v>
      </c>
      <c r="E2592" s="41" t="str">
        <f>VLOOKUP(F2592,辅助信息!A:B,2,FALSE)</f>
        <v>盘螺</v>
      </c>
      <c r="F2592" s="41" t="s">
        <v>40</v>
      </c>
      <c r="G2592" s="37">
        <v>21</v>
      </c>
      <c r="H2592" s="135">
        <f>_xlfn.XLOOKUP(C2592&amp;F2592&amp;I2592&amp;J2592,'[1]2025年已发货'!$F:$F&amp;'[1]2025年已发货'!$C:$C&amp;'[1]2025年已发货'!$G:$G&amp;'[1]2025年已发货'!$H:$H,'[1]2025年已发货'!$E:$E,"未发货")</f>
        <v>21</v>
      </c>
      <c r="I2592" s="41" t="str">
        <f>VLOOKUP(B2592,辅助信息!E:I,3,FALSE)</f>
        <v>（商投建工达州中医药科技园-1工区）达州市通川区达州中医药职业学院犀牛大道北段</v>
      </c>
      <c r="J2592" s="41" t="str">
        <f>VLOOKUP(B2592,辅助信息!E:I,4,FALSE)</f>
        <v>程黄刚</v>
      </c>
      <c r="K2592" s="41">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85</v>
      </c>
      <c r="Q2592" s="30" t="str">
        <f>VLOOKUP(B2592,辅助信息!E:M,9,FALSE)</f>
        <v>ZTWM-CDGS-XS-2024-0134-商投建工达州中医药科技成果示范园项目</v>
      </c>
      <c r="R2592" s="30" t="str">
        <f>_xlfn._xlws.FILTER(辅助信息!D:D,辅助信息!E:E=B2592)</f>
        <v>商投建工达州中医药科技园</v>
      </c>
    </row>
    <row r="2593" hidden="1" spans="2:18">
      <c r="B2593" s="41" t="s">
        <v>47</v>
      </c>
      <c r="C2593" s="71">
        <v>45873</v>
      </c>
      <c r="D2593" s="41" t="str">
        <f>VLOOKUP(B2593,辅助信息!E:K,7,FALSE)</f>
        <v>JWDDCD2025052800131</v>
      </c>
      <c r="E2593" s="41" t="str">
        <f>VLOOKUP(F2593,辅助信息!A:B,2,FALSE)</f>
        <v>盘螺</v>
      </c>
      <c r="F2593" s="41" t="s">
        <v>41</v>
      </c>
      <c r="G2593" s="37">
        <v>6</v>
      </c>
      <c r="H2593" s="135">
        <f>_xlfn.XLOOKUP(C2593&amp;F2593&amp;I2593&amp;J2593,'[1]2025年已发货'!$F:$F&amp;'[1]2025年已发货'!$C:$C&amp;'[1]2025年已发货'!$G:$G&amp;'[1]2025年已发货'!$H:$H,'[1]2025年已发货'!$E:$E,"未发货")</f>
        <v>6</v>
      </c>
      <c r="I2593" s="41" t="str">
        <f>VLOOKUP(B2593,辅助信息!E:I,3,FALSE)</f>
        <v>（商投建工达州中医药科技园-1工区）达州市通川区达州中医药职业学院犀牛大道北段</v>
      </c>
      <c r="J2593" s="41" t="str">
        <f>VLOOKUP(B2593,辅助信息!E:I,4,FALSE)</f>
        <v>程黄刚</v>
      </c>
      <c r="K2593" s="41">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85</v>
      </c>
      <c r="Q2593" s="30" t="str">
        <f>VLOOKUP(B2593,辅助信息!E:M,9,FALSE)</f>
        <v>ZTWM-CDGS-XS-2024-0134-商投建工达州中医药科技成果示范园项目</v>
      </c>
      <c r="R2593" s="30" t="str">
        <f>_xlfn._xlws.FILTER(辅助信息!D:D,辅助信息!E:E=B2593)</f>
        <v>商投建工达州中医药科技园</v>
      </c>
    </row>
    <row r="2594" hidden="1" spans="2:18">
      <c r="B2594" s="41" t="s">
        <v>47</v>
      </c>
      <c r="C2594" s="71">
        <v>45873</v>
      </c>
      <c r="D2594" s="41" t="str">
        <f>VLOOKUP(B2594,辅助信息!E:K,7,FALSE)</f>
        <v>JWDDCD2025052800131</v>
      </c>
      <c r="E2594" s="41" t="str">
        <f>VLOOKUP(F2594,辅助信息!A:B,2,FALSE)</f>
        <v>螺纹钢</v>
      </c>
      <c r="F2594" s="41" t="s">
        <v>27</v>
      </c>
      <c r="G2594" s="37">
        <v>9</v>
      </c>
      <c r="H2594" s="135">
        <f>_xlfn.XLOOKUP(C2594&amp;F2594&amp;I2594&amp;J2594,'[1]2025年已发货'!$F:$F&amp;'[1]2025年已发货'!$C:$C&amp;'[1]2025年已发货'!$G:$G&amp;'[1]2025年已发货'!$H:$H,'[1]2025年已发货'!$E:$E,"未发货")</f>
        <v>9</v>
      </c>
      <c r="I2594" s="41" t="str">
        <f>VLOOKUP(B2594,辅助信息!E:I,3,FALSE)</f>
        <v>（商投建工达州中医药科技园-1工区）达州市通川区达州中医药职业学院犀牛大道北段</v>
      </c>
      <c r="J2594" s="41" t="str">
        <f>VLOOKUP(B2594,辅助信息!E:I,4,FALSE)</f>
        <v>程黄刚</v>
      </c>
      <c r="K2594" s="41">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85</v>
      </c>
      <c r="Q2594" s="30" t="str">
        <f>VLOOKUP(B2594,辅助信息!E:M,9,FALSE)</f>
        <v>ZTWM-CDGS-XS-2024-0134-商投建工达州中医药科技成果示范园项目</v>
      </c>
      <c r="R2594" s="30" t="str">
        <f>_xlfn._xlws.FILTER(辅助信息!D:D,辅助信息!E:E=B2594)</f>
        <v>商投建工达州中医药科技园</v>
      </c>
    </row>
    <row r="2595" hidden="1" spans="2:18">
      <c r="B2595" s="41" t="s">
        <v>47</v>
      </c>
      <c r="C2595" s="71">
        <v>45873</v>
      </c>
      <c r="D2595" s="41" t="str">
        <f>VLOOKUP(B2595,辅助信息!E:K,7,FALSE)</f>
        <v>JWDDCD2025052800131</v>
      </c>
      <c r="E2595" s="41" t="str">
        <f>VLOOKUP(F2595,辅助信息!A:B,2,FALSE)</f>
        <v>螺纹钢</v>
      </c>
      <c r="F2595" s="41" t="s">
        <v>32</v>
      </c>
      <c r="G2595" s="37">
        <v>3</v>
      </c>
      <c r="H2595" s="135">
        <f>_xlfn.XLOOKUP(C2595&amp;F2595&amp;I2595&amp;J2595,'[1]2025年已发货'!$F:$F&amp;'[1]2025年已发货'!$C:$C&amp;'[1]2025年已发货'!$G:$G&amp;'[1]2025年已发货'!$H:$H,'[1]2025年已发货'!$E:$E,"未发货")</f>
        <v>3</v>
      </c>
      <c r="I2595" s="41" t="str">
        <f>VLOOKUP(B2595,辅助信息!E:I,3,FALSE)</f>
        <v>（商投建工达州中医药科技园-1工区）达州市通川区达州中医药职业学院犀牛大道北段</v>
      </c>
      <c r="J2595" s="41" t="str">
        <f>VLOOKUP(B2595,辅助信息!E:I,4,FALSE)</f>
        <v>程黄刚</v>
      </c>
      <c r="K2595" s="41">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85</v>
      </c>
      <c r="Q2595" s="30" t="str">
        <f>VLOOKUP(B2595,辅助信息!E:M,9,FALSE)</f>
        <v>ZTWM-CDGS-XS-2024-0134-商投建工达州中医药科技成果示范园项目</v>
      </c>
      <c r="R2595" s="30" t="str">
        <f>_xlfn._xlws.FILTER(辅助信息!D:D,辅助信息!E:E=B2595)</f>
        <v>商投建工达州中医药科技园</v>
      </c>
    </row>
    <row r="2596" hidden="1" spans="2:18">
      <c r="B2596" s="41" t="s">
        <v>47</v>
      </c>
      <c r="C2596" s="71">
        <v>45873</v>
      </c>
      <c r="D2596" s="41" t="str">
        <f>VLOOKUP(B2596,辅助信息!E:K,7,FALSE)</f>
        <v>JWDDCD2025052800131</v>
      </c>
      <c r="E2596" s="41" t="str">
        <f>VLOOKUP(F2596,辅助信息!A:B,2,FALSE)</f>
        <v>螺纹钢</v>
      </c>
      <c r="F2596" s="41" t="s">
        <v>205</v>
      </c>
      <c r="G2596" s="37">
        <v>3</v>
      </c>
      <c r="H2596" s="135" t="str">
        <f>_xlfn.XLOOKUP(C2596&amp;F2596&amp;I2596&amp;J2596,'[1]2025年已发货'!$F:$F&amp;'[1]2025年已发货'!$C:$C&amp;'[1]2025年已发货'!$G:$G&amp;'[1]2025年已发货'!$H:$H,'[1]2025年已发货'!$E:$E,"未发货")</f>
        <v>未发货</v>
      </c>
      <c r="I2596" s="41" t="str">
        <f>VLOOKUP(B2596,辅助信息!E:I,3,FALSE)</f>
        <v>（商投建工达州中医药科技园-1工区）达州市通川区达州中医药职业学院犀牛大道北段</v>
      </c>
      <c r="J2596" s="41" t="str">
        <f>VLOOKUP(B2596,辅助信息!E:I,4,FALSE)</f>
        <v>程黄刚</v>
      </c>
      <c r="K2596" s="41">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85</v>
      </c>
      <c r="Q2596" s="30" t="str">
        <f>VLOOKUP(B2596,辅助信息!E:M,9,FALSE)</f>
        <v>ZTWM-CDGS-XS-2024-0134-商投建工达州中医药科技成果示范园项目</v>
      </c>
      <c r="R2596" s="30" t="str">
        <f>_xlfn._xlws.FILTER(辅助信息!D:D,辅助信息!E:E=B2596)</f>
        <v>商投建工达州中医药科技园</v>
      </c>
    </row>
    <row r="2597" hidden="1" spans="2:18">
      <c r="B2597" s="41" t="s">
        <v>47</v>
      </c>
      <c r="C2597" s="71">
        <v>45873</v>
      </c>
      <c r="D2597" s="41" t="str">
        <f>VLOOKUP(B2597,辅助信息!E:K,7,FALSE)</f>
        <v>JWDDCD2025052800131</v>
      </c>
      <c r="E2597" s="41" t="str">
        <f>VLOOKUP(F2597,辅助信息!A:B,2,FALSE)</f>
        <v>螺纹钢</v>
      </c>
      <c r="F2597" s="41" t="s">
        <v>198</v>
      </c>
      <c r="G2597" s="37">
        <v>3</v>
      </c>
      <c r="H2597" s="135" t="str">
        <f>_xlfn.XLOOKUP(C2597&amp;F2597&amp;I2597&amp;J2597,'[1]2025年已发货'!$F:$F&amp;'[1]2025年已发货'!$C:$C&amp;'[1]2025年已发货'!$G:$G&amp;'[1]2025年已发货'!$H:$H,'[1]2025年已发货'!$E:$E,"未发货")</f>
        <v>未发货</v>
      </c>
      <c r="I2597" s="41" t="str">
        <f>VLOOKUP(B2597,辅助信息!E:I,3,FALSE)</f>
        <v>（商投建工达州中医药科技园-1工区）达州市通川区达州中医药职业学院犀牛大道北段</v>
      </c>
      <c r="J2597" s="41" t="str">
        <f>VLOOKUP(B2597,辅助信息!E:I,4,FALSE)</f>
        <v>程黄刚</v>
      </c>
      <c r="K2597" s="41">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85</v>
      </c>
      <c r="Q2597" s="30" t="str">
        <f>VLOOKUP(B2597,辅助信息!E:M,9,FALSE)</f>
        <v>ZTWM-CDGS-XS-2024-0134-商投建工达州中医药科技成果示范园项目</v>
      </c>
      <c r="R2597" s="30" t="str">
        <f>_xlfn._xlws.FILTER(辅助信息!D:D,辅助信息!E:E=B2597)</f>
        <v>商投建工达州中医药科技园</v>
      </c>
    </row>
    <row r="2598" hidden="1" spans="2:18">
      <c r="B2598" s="41" t="s">
        <v>47</v>
      </c>
      <c r="C2598" s="71">
        <v>45873</v>
      </c>
      <c r="D2598" s="41" t="str">
        <f>VLOOKUP(B2598,辅助信息!E:K,7,FALSE)</f>
        <v>JWDDCD2025052800131</v>
      </c>
      <c r="E2598" s="41" t="str">
        <f>VLOOKUP(F2598,辅助信息!A:B,2,FALSE)</f>
        <v>螺纹钢</v>
      </c>
      <c r="F2598" s="41" t="s">
        <v>199</v>
      </c>
      <c r="G2598" s="37">
        <v>3</v>
      </c>
      <c r="H2598" s="135" t="str">
        <f>_xlfn.XLOOKUP(C2598&amp;F2598&amp;I2598&amp;J2598,'[1]2025年已发货'!$F:$F&amp;'[1]2025年已发货'!$C:$C&amp;'[1]2025年已发货'!$G:$G&amp;'[1]2025年已发货'!$H:$H,'[1]2025年已发货'!$E:$E,"未发货")</f>
        <v>未发货</v>
      </c>
      <c r="I2598" s="41" t="str">
        <f>VLOOKUP(B2598,辅助信息!E:I,3,FALSE)</f>
        <v>（商投建工达州中医药科技园-1工区）达州市通川区达州中医药职业学院犀牛大道北段</v>
      </c>
      <c r="J2598" s="41" t="str">
        <f>VLOOKUP(B2598,辅助信息!E:I,4,FALSE)</f>
        <v>程黄刚</v>
      </c>
      <c r="K2598" s="41">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85</v>
      </c>
      <c r="Q2598" s="30" t="str">
        <f>VLOOKUP(B2598,辅助信息!E:M,9,FALSE)</f>
        <v>ZTWM-CDGS-XS-2024-0134-商投建工达州中医药科技成果示范园项目</v>
      </c>
      <c r="R2598" s="30" t="str">
        <f>_xlfn._xlws.FILTER(辅助信息!D:D,辅助信息!E:E=B2598)</f>
        <v>商投建工达州中医药科技园</v>
      </c>
    </row>
    <row r="2599" hidden="1" spans="2:18">
      <c r="B2599" s="41" t="s">
        <v>169</v>
      </c>
      <c r="C2599" s="71">
        <v>45873</v>
      </c>
      <c r="D2599" s="41" t="str">
        <f>VLOOKUP(B2599,辅助信息!E:K,7,FALSE)</f>
        <v>JWDDCD2025051800044</v>
      </c>
      <c r="E2599" s="41" t="str">
        <f>VLOOKUP(F2599,辅助信息!A:B,2,FALSE)</f>
        <v>螺纹钢</v>
      </c>
      <c r="F2599" s="41" t="s">
        <v>28</v>
      </c>
      <c r="G2599" s="37">
        <v>35</v>
      </c>
      <c r="H2599" s="135" t="str">
        <f>_xlfn.XLOOKUP(C2599&amp;F2599&amp;I2599&amp;J2599,'[1]2025年已发货'!$F:$F&amp;'[1]2025年已发货'!$C:$C&amp;'[1]2025年已发货'!$G:$G&amp;'[1]2025年已发货'!$H:$H,'[1]2025年已发货'!$E:$E,"未发货")</f>
        <v>未发货</v>
      </c>
      <c r="I2599" s="41" t="str">
        <f>VLOOKUP(B2599,辅助信息!E:I,3,FALSE)</f>
        <v>(五冶建设龙泉芙蓉花语项目-1,3地块)龙泉驿区北川路双堰塘钓鱼东100米(北川路)</v>
      </c>
      <c r="J2599" s="41" t="str">
        <f>VLOOKUP(B2599,辅助信息!E:I,4,FALSE)</f>
        <v>祝斯阳</v>
      </c>
      <c r="K2599" s="41">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85</v>
      </c>
      <c r="Q2599" s="30" t="str">
        <f>VLOOKUP(B2599,辅助信息!E:M,9,FALSE)</f>
        <v>ZTWM-CDGS-XS-2025-0073-五冶天府-成都怡心湖片区及龙泉驿医院等项目</v>
      </c>
      <c r="R2599" s="30" t="str">
        <f>_xlfn._xlws.FILTER(辅助信息!D:D,辅助信息!E:E=B2599)</f>
        <v>五冶建设龙泉芙蓉花语项目</v>
      </c>
    </row>
    <row r="2600" hidden="1" spans="2:18">
      <c r="B2600" s="41" t="s">
        <v>31</v>
      </c>
      <c r="C2600" s="71">
        <v>45873</v>
      </c>
      <c r="D2600" s="41" t="str">
        <f>VLOOKUP(B2600,辅助信息!E:K,7,FALSE)</f>
        <v>JWDDCD2024121000136</v>
      </c>
      <c r="E2600" s="41" t="str">
        <f>VLOOKUP(F2600,辅助信息!A:B,2,FALSE)</f>
        <v>盘螺</v>
      </c>
      <c r="F2600" s="41" t="s">
        <v>49</v>
      </c>
      <c r="G2600" s="37">
        <v>32.5</v>
      </c>
      <c r="H2600" s="135">
        <f>_xlfn.XLOOKUP(C2600&amp;F2600&amp;I2600&amp;J2600,'[1]2025年已发货'!$F:$F&amp;'[1]2025年已发货'!$C:$C&amp;'[1]2025年已发货'!$G:$G&amp;'[1]2025年已发货'!$H:$H,'[1]2025年已发货'!$E:$E,"未发货")</f>
        <v>32.5</v>
      </c>
      <c r="I2600" s="41" t="str">
        <f>VLOOKUP(B2600,辅助信息!E:I,3,FALSE)</f>
        <v>（四川商建-射洪城乡一体化项目）遂宁市射洪市忠新幼儿园北侧约220米新溪小区</v>
      </c>
      <c r="J2600" s="41" t="str">
        <f>VLOOKUP(B2600,辅助信息!E:I,4,FALSE)</f>
        <v>柏子刚</v>
      </c>
      <c r="K2600" s="41">
        <f>VLOOKUP(J2600,辅助信息!H:I,2,FALSE)</f>
        <v>15692885305</v>
      </c>
      <c r="L2600" s="110" t="str">
        <f>VLOOKUP(B2600,辅助信息!E:J,6,FALSE)</f>
        <v>提前联系到场规格及数量</v>
      </c>
      <c r="M2600" s="92">
        <v>45874</v>
      </c>
      <c r="O2600" s="63">
        <f ca="1" t="shared" si="161"/>
        <v>0</v>
      </c>
      <c r="P2600" s="63">
        <f ca="1" t="shared" si="162"/>
        <v>85</v>
      </c>
      <c r="Q2600" s="30" t="str">
        <f>VLOOKUP(B2600,辅助信息!E:M,9,FALSE)</f>
        <v>ZTWM-CDGS-XS-2024-0179-四川商投-射洪城乡一体化建设项目</v>
      </c>
      <c r="R2600" s="30" t="str">
        <f>_xlfn._xlws.FILTER(辅助信息!D:D,辅助信息!E:E=B2600)</f>
        <v>四川商建
射洪城乡一体化项目</v>
      </c>
    </row>
    <row r="2601" hidden="1" spans="2:18">
      <c r="B2601" s="41" t="s">
        <v>31</v>
      </c>
      <c r="C2601" s="71">
        <v>45873</v>
      </c>
      <c r="D2601" s="41" t="str">
        <f>VLOOKUP(B2601,辅助信息!E:K,7,FALSE)</f>
        <v>JWDDCD2024121000136</v>
      </c>
      <c r="E2601" s="41" t="str">
        <f>VLOOKUP(F2601,辅助信息!A:B,2,FALSE)</f>
        <v>螺纹钢</v>
      </c>
      <c r="F2601" s="41" t="s">
        <v>18</v>
      </c>
      <c r="G2601" s="37">
        <v>2.5</v>
      </c>
      <c r="H2601" s="135">
        <f>_xlfn.XLOOKUP(C2601&amp;F2601&amp;I2601&amp;J2601,'[1]2025年已发货'!$F:$F&amp;'[1]2025年已发货'!$C:$C&amp;'[1]2025年已发货'!$G:$G&amp;'[1]2025年已发货'!$H:$H,'[1]2025年已发货'!$E:$E,"未发货")</f>
        <v>2.5</v>
      </c>
      <c r="I2601" s="41" t="str">
        <f>VLOOKUP(B2601,辅助信息!E:I,3,FALSE)</f>
        <v>（四川商建-射洪城乡一体化项目）遂宁市射洪市忠新幼儿园北侧约220米新溪小区</v>
      </c>
      <c r="J2601" s="41" t="str">
        <f>VLOOKUP(B2601,辅助信息!E:I,4,FALSE)</f>
        <v>柏子刚</v>
      </c>
      <c r="K2601" s="41">
        <f>VLOOKUP(J2601,辅助信息!H:I,2,FALSE)</f>
        <v>15692885305</v>
      </c>
      <c r="L2601" s="110" t="str">
        <f>VLOOKUP(B2601,辅助信息!E:J,6,FALSE)</f>
        <v>提前联系到场规格及数量</v>
      </c>
      <c r="M2601" s="92">
        <v>45874</v>
      </c>
      <c r="O2601" s="63">
        <f ca="1" t="shared" si="161"/>
        <v>0</v>
      </c>
      <c r="P2601" s="63">
        <f ca="1" t="shared" si="162"/>
        <v>85</v>
      </c>
      <c r="Q2601" s="30" t="str">
        <f>VLOOKUP(B2601,辅助信息!E:M,9,FALSE)</f>
        <v>ZTWM-CDGS-XS-2024-0179-四川商投-射洪城乡一体化建设项目</v>
      </c>
      <c r="R2601" s="30" t="str">
        <f>_xlfn._xlws.FILTER(辅助信息!D:D,辅助信息!E:E=B2601)</f>
        <v>四川商建
射洪城乡一体化项目</v>
      </c>
    </row>
    <row r="2602" hidden="1" spans="2:18">
      <c r="B2602" s="41" t="s">
        <v>147</v>
      </c>
      <c r="C2602" s="71">
        <v>45873</v>
      </c>
      <c r="D2602" s="41" t="str">
        <f>VLOOKUP(B2602,辅助信息!E:K,7,FALSE)</f>
        <v>JWDDCD2025052800131</v>
      </c>
      <c r="E2602" s="41" t="str">
        <f>VLOOKUP(F2602,辅助信息!A:B,2,FALSE)</f>
        <v>盘螺</v>
      </c>
      <c r="F2602" s="41" t="s">
        <v>49</v>
      </c>
      <c r="G2602" s="37">
        <v>5</v>
      </c>
      <c r="H2602" s="135">
        <f>_xlfn.XLOOKUP(C2602&amp;F2602&amp;I2602&amp;J2602,'[1]2025年已发货'!$F:$F&amp;'[1]2025年已发货'!$C:$C&amp;'[1]2025年已发货'!$G:$G&amp;'[1]2025年已发货'!$H:$H,'[1]2025年已发货'!$E:$E,"未发货")</f>
        <v>5</v>
      </c>
      <c r="I2602" s="41" t="str">
        <f>VLOOKUP(B2602,辅助信息!E:I,3,FALSE)</f>
        <v>（商投建工达州中医药科技园-4工区-11号楼）达州市通川区达州中医药职业学院犀牛大道北段</v>
      </c>
      <c r="J2602" s="41" t="str">
        <f>VLOOKUP(B2602,辅助信息!E:I,4,FALSE)</f>
        <v>张扬</v>
      </c>
      <c r="K2602" s="41">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85</v>
      </c>
      <c r="Q2602" s="30" t="str">
        <f>VLOOKUP(B2602,辅助信息!E:M,9,FALSE)</f>
        <v>ZTWM-CDGS-XS-2024-0134-商投建工达州中医药科技成果示范园项目</v>
      </c>
      <c r="R2602" s="30" t="str">
        <f>_xlfn._xlws.FILTER(辅助信息!D:D,辅助信息!E:E=B2602)</f>
        <v>商投建工达州中医药科技园</v>
      </c>
    </row>
    <row r="2603" hidden="1" spans="2:18">
      <c r="B2603" s="41" t="s">
        <v>147</v>
      </c>
      <c r="C2603" s="71">
        <v>45873</v>
      </c>
      <c r="D2603" s="41" t="str">
        <f>VLOOKUP(B2603,辅助信息!E:K,7,FALSE)</f>
        <v>JWDDCD2025052800131</v>
      </c>
      <c r="E2603" s="41" t="str">
        <f>VLOOKUP(F2603,辅助信息!A:B,2,FALSE)</f>
        <v>盘螺</v>
      </c>
      <c r="F2603" s="41" t="s">
        <v>40</v>
      </c>
      <c r="G2603" s="37">
        <v>9</v>
      </c>
      <c r="H2603" s="135">
        <f>_xlfn.XLOOKUP(C2603&amp;F2603&amp;I2603&amp;J2603,'[1]2025年已发货'!$F:$F&amp;'[1]2025年已发货'!$C:$C&amp;'[1]2025年已发货'!$G:$G&amp;'[1]2025年已发货'!$H:$H,'[1]2025年已发货'!$E:$E,"未发货")</f>
        <v>9</v>
      </c>
      <c r="I2603" s="41" t="str">
        <f>VLOOKUP(B2603,辅助信息!E:I,3,FALSE)</f>
        <v>（商投建工达州中医药科技园-4工区-11号楼）达州市通川区达州中医药职业学院犀牛大道北段</v>
      </c>
      <c r="J2603" s="41" t="str">
        <f>VLOOKUP(B2603,辅助信息!E:I,4,FALSE)</f>
        <v>张扬</v>
      </c>
      <c r="K2603" s="41">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85</v>
      </c>
      <c r="Q2603" s="30" t="str">
        <f>VLOOKUP(B2603,辅助信息!E:M,9,FALSE)</f>
        <v>ZTWM-CDGS-XS-2024-0134-商投建工达州中医药科技成果示范园项目</v>
      </c>
      <c r="R2603" s="30" t="str">
        <f>_xlfn._xlws.FILTER(辅助信息!D:D,辅助信息!E:E=B2603)</f>
        <v>商投建工达州中医药科技园</v>
      </c>
    </row>
    <row r="2604" hidden="1" spans="2:18">
      <c r="B2604" s="41" t="s">
        <v>147</v>
      </c>
      <c r="C2604" s="71">
        <v>45873</v>
      </c>
      <c r="D2604" s="41" t="str">
        <f>VLOOKUP(B2604,辅助信息!E:K,7,FALSE)</f>
        <v>JWDDCD2025052800131</v>
      </c>
      <c r="E2604" s="41" t="str">
        <f>VLOOKUP(F2604,辅助信息!A:B,2,FALSE)</f>
        <v>盘螺</v>
      </c>
      <c r="F2604" s="41" t="s">
        <v>41</v>
      </c>
      <c r="G2604" s="37">
        <f>6*2.5</f>
        <v>15</v>
      </c>
      <c r="H2604" s="135">
        <f>_xlfn.XLOOKUP(C2604&amp;F2604&amp;I2604&amp;J2604,'[1]2025年已发货'!$F:$F&amp;'[1]2025年已发货'!$C:$C&amp;'[1]2025年已发货'!$G:$G&amp;'[1]2025年已发货'!$H:$H,'[1]2025年已发货'!$E:$E,"未发货")</f>
        <v>15</v>
      </c>
      <c r="I2604" s="41" t="str">
        <f>VLOOKUP(B2604,辅助信息!E:I,3,FALSE)</f>
        <v>（商投建工达州中医药科技园-4工区-11号楼）达州市通川区达州中医药职业学院犀牛大道北段</v>
      </c>
      <c r="J2604" s="41" t="str">
        <f>VLOOKUP(B2604,辅助信息!E:I,4,FALSE)</f>
        <v>张扬</v>
      </c>
      <c r="K2604" s="41">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85</v>
      </c>
      <c r="Q2604" s="30" t="str">
        <f>VLOOKUP(B2604,辅助信息!E:M,9,FALSE)</f>
        <v>ZTWM-CDGS-XS-2024-0134-商投建工达州中医药科技成果示范园项目</v>
      </c>
      <c r="R2604" s="30" t="str">
        <f>_xlfn._xlws.FILTER(辅助信息!D:D,辅助信息!E:E=B2604)</f>
        <v>商投建工达州中医药科技园</v>
      </c>
    </row>
    <row r="2605" hidden="1" spans="1:18">
      <c r="A2605" s="58" t="s">
        <v>207</v>
      </c>
      <c r="B2605" s="41" t="s">
        <v>147</v>
      </c>
      <c r="C2605" s="71">
        <v>45873</v>
      </c>
      <c r="D2605" s="41" t="str">
        <f>VLOOKUP(B2605,辅助信息!E:K,7,FALSE)</f>
        <v>JWDDCD2025052800131</v>
      </c>
      <c r="E2605" s="41" t="str">
        <f>VLOOKUP(F2605,辅助信息!A:B,2,FALSE)</f>
        <v>螺纹钢</v>
      </c>
      <c r="F2605" s="41" t="s">
        <v>28</v>
      </c>
      <c r="G2605" s="37">
        <v>6</v>
      </c>
      <c r="H2605" s="135">
        <f>_xlfn.XLOOKUP(C2605&amp;F2605&amp;I2605&amp;J2605,'[1]2025年已发货'!$F:$F&amp;'[1]2025年已发货'!$C:$C&amp;'[1]2025年已发货'!$G:$G&amp;'[1]2025年已发货'!$H:$H,'[1]2025年已发货'!$E:$E,"未发货")</f>
        <v>6</v>
      </c>
      <c r="I2605" s="41" t="str">
        <f>VLOOKUP(B2605,辅助信息!E:I,3,FALSE)</f>
        <v>（商投建工达州中医药科技园-4工区-11号楼）达州市通川区达州中医药职业学院犀牛大道北段</v>
      </c>
      <c r="J2605" s="41" t="str">
        <f>VLOOKUP(B2605,辅助信息!E:I,4,FALSE)</f>
        <v>张扬</v>
      </c>
      <c r="K2605" s="41">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85</v>
      </c>
      <c r="Q2605" s="30" t="str">
        <f>VLOOKUP(B2605,辅助信息!E:M,9,FALSE)</f>
        <v>ZTWM-CDGS-XS-2024-0134-商投建工达州中医药科技成果示范园项目</v>
      </c>
      <c r="R2605" s="30" t="str">
        <f>_xlfn._xlws.FILTER(辅助信息!D:D,辅助信息!E:E=B2605)</f>
        <v>商投建工达州中医药科技园</v>
      </c>
    </row>
    <row r="2606" hidden="1" spans="2:18">
      <c r="B2606" s="41" t="s">
        <v>147</v>
      </c>
      <c r="C2606" s="71">
        <v>45874</v>
      </c>
      <c r="D2606" s="41" t="str">
        <f>VLOOKUP(B2606,辅助信息!E:K,7,FALSE)</f>
        <v>JWDDCD2025052800131</v>
      </c>
      <c r="E2606" s="41" t="str">
        <f>VLOOKUP(F2606,辅助信息!A:B,2,FALSE)</f>
        <v>螺纹钢</v>
      </c>
      <c r="F2606" s="41" t="s">
        <v>21</v>
      </c>
      <c r="G2606" s="37">
        <v>9</v>
      </c>
      <c r="H2606" s="135">
        <f>_xlfn.XLOOKUP(C2606&amp;F2606&amp;I2606&amp;J2606,'[1]2025年已发货'!$F:$F&amp;'[1]2025年已发货'!$C:$C&amp;'[1]2025年已发货'!$G:$G&amp;'[1]2025年已发货'!$H:$H,'[1]2025年已发货'!$E:$E,"未发货")</f>
        <v>7.5</v>
      </c>
      <c r="I2606" s="41" t="str">
        <f>VLOOKUP(B2606,辅助信息!E:I,3,FALSE)</f>
        <v>（商投建工达州中医药科技园-4工区-11号楼）达州市通川区达州中医药职业学院犀牛大道北段</v>
      </c>
      <c r="J2606" s="41" t="str">
        <f>VLOOKUP(B2606,辅助信息!E:I,4,FALSE)</f>
        <v>张扬</v>
      </c>
      <c r="K2606" s="41">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30" t="str">
        <f>VLOOKUP(B2606,辅助信息!E:M,9,FALSE)</f>
        <v>ZTWM-CDGS-XS-2024-0134-商投建工达州中医药科技成果示范园项目</v>
      </c>
      <c r="R2606" s="30" t="str">
        <f>_xlfn._xlws.FILTER(辅助信息!D:D,辅助信息!E:E=B2606)</f>
        <v>商投建工达州中医药科技园</v>
      </c>
    </row>
    <row r="2607" hidden="1" spans="2:18">
      <c r="B2607" s="41" t="s">
        <v>147</v>
      </c>
      <c r="C2607" s="71">
        <v>45874</v>
      </c>
      <c r="D2607" s="41" t="str">
        <f>VLOOKUP(B2607,辅助信息!E:K,7,FALSE)</f>
        <v>JWDDCD2025052800131</v>
      </c>
      <c r="E2607" s="41" t="str">
        <f>VLOOKUP(F2607,辅助信息!A:B,2,FALSE)</f>
        <v>螺纹钢</v>
      </c>
      <c r="F2607" s="41" t="s">
        <v>58</v>
      </c>
      <c r="G2607" s="37">
        <v>9</v>
      </c>
      <c r="H2607" s="135">
        <f>_xlfn.XLOOKUP(C2607&amp;F2607&amp;I2607&amp;J2607,'[1]2025年已发货'!$F:$F&amp;'[1]2025年已发货'!$C:$C&amp;'[1]2025年已发货'!$G:$G&amp;'[1]2025年已发货'!$H:$H,'[1]2025年已发货'!$E:$E,"未发货")</f>
        <v>7.5</v>
      </c>
      <c r="I2607" s="41" t="str">
        <f>VLOOKUP(B2607,辅助信息!E:I,3,FALSE)</f>
        <v>（商投建工达州中医药科技园-4工区-11号楼）达州市通川区达州中医药职业学院犀牛大道北段</v>
      </c>
      <c r="J2607" s="41" t="str">
        <f>VLOOKUP(B2607,辅助信息!E:I,4,FALSE)</f>
        <v>张扬</v>
      </c>
      <c r="K2607" s="41">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30" t="str">
        <f>VLOOKUP(B2607,辅助信息!E:M,9,FALSE)</f>
        <v>ZTWM-CDGS-XS-2024-0134-商投建工达州中医药科技成果示范园项目</v>
      </c>
      <c r="R2607" s="30" t="str">
        <f>_xlfn._xlws.FILTER(辅助信息!D:D,辅助信息!E:E=B2607)</f>
        <v>商投建工达州中医药科技园</v>
      </c>
    </row>
    <row r="2608" hidden="1" spans="2:18">
      <c r="B2608" s="41" t="s">
        <v>147</v>
      </c>
      <c r="C2608" s="71">
        <v>45874</v>
      </c>
      <c r="D2608" s="41" t="str">
        <f>VLOOKUP(B2608,辅助信息!E:K,7,FALSE)</f>
        <v>JWDDCD2025052800131</v>
      </c>
      <c r="E2608" s="41" t="str">
        <f>VLOOKUP(F2608,辅助信息!A:B,2,FALSE)</f>
        <v>螺纹钢</v>
      </c>
      <c r="F2608" s="41" t="s">
        <v>46</v>
      </c>
      <c r="G2608" s="37">
        <v>9</v>
      </c>
      <c r="H2608" s="135">
        <f>_xlfn.XLOOKUP(C2608&amp;F2608&amp;I2608&amp;J2608,'[1]2025年已发货'!$F:$F&amp;'[1]2025年已发货'!$C:$C&amp;'[1]2025年已发货'!$G:$G&amp;'[1]2025年已发货'!$H:$H,'[1]2025年已发货'!$E:$E,"未发货")</f>
        <v>7.5</v>
      </c>
      <c r="I2608" s="41" t="str">
        <f>VLOOKUP(B2608,辅助信息!E:I,3,FALSE)</f>
        <v>（商投建工达州中医药科技园-4工区-11号楼）达州市通川区达州中医药职业学院犀牛大道北段</v>
      </c>
      <c r="J2608" s="41" t="str">
        <f>VLOOKUP(B2608,辅助信息!E:I,4,FALSE)</f>
        <v>张扬</v>
      </c>
      <c r="K2608" s="41">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30" t="str">
        <f>VLOOKUP(B2608,辅助信息!E:M,9,FALSE)</f>
        <v>ZTWM-CDGS-XS-2024-0134-商投建工达州中医药科技成果示范园项目</v>
      </c>
      <c r="R2608" s="30" t="str">
        <f>_xlfn._xlws.FILTER(辅助信息!D:D,辅助信息!E:E=B2608)</f>
        <v>商投建工达州中医药科技园</v>
      </c>
    </row>
    <row r="2609" hidden="1" spans="2:18">
      <c r="B2609" s="41" t="s">
        <v>147</v>
      </c>
      <c r="C2609" s="71">
        <v>45874</v>
      </c>
      <c r="D2609" s="41" t="str">
        <f>VLOOKUP(B2609,辅助信息!E:K,7,FALSE)</f>
        <v>JWDDCD2025052800131</v>
      </c>
      <c r="E2609" s="41" t="str">
        <f>VLOOKUP(F2609,辅助信息!A:B,2,FALSE)</f>
        <v>螺纹钢</v>
      </c>
      <c r="F2609" s="41" t="s">
        <v>22</v>
      </c>
      <c r="G2609" s="37">
        <v>15</v>
      </c>
      <c r="H2609" s="135">
        <f>_xlfn.XLOOKUP(C2609&amp;F2609&amp;I2609&amp;J2609,'[1]2025年已发货'!$F:$F&amp;'[1]2025年已发货'!$C:$C&amp;'[1]2025年已发货'!$G:$G&amp;'[1]2025年已发货'!$H:$H,'[1]2025年已发货'!$E:$E,"未发货")</f>
        <v>12.5</v>
      </c>
      <c r="I2609" s="41" t="str">
        <f>VLOOKUP(B2609,辅助信息!E:I,3,FALSE)</f>
        <v>（商投建工达州中医药科技园-4工区-11号楼）达州市通川区达州中医药职业学院犀牛大道北段</v>
      </c>
      <c r="J2609" s="41" t="str">
        <f>VLOOKUP(B2609,辅助信息!E:I,4,FALSE)</f>
        <v>张扬</v>
      </c>
      <c r="K2609" s="41">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30" t="str">
        <f>VLOOKUP(B2609,辅助信息!E:M,9,FALSE)</f>
        <v>ZTWM-CDGS-XS-2024-0134-商投建工达州中医药科技成果示范园项目</v>
      </c>
      <c r="R2609" s="30"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84</v>
      </c>
      <c r="Q2610" s="30" t="str">
        <f>VLOOKUP(B2610,辅助信息!E:M,9,FALSE)</f>
        <v>ZTWM-CDGS-XS-2025-0126-四川机司-乐山市校地共建产教融合基地配套设施项目施工二标段钢筋采购合同</v>
      </c>
      <c r="R2610" s="30"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84</v>
      </c>
      <c r="Q2611" s="30" t="str">
        <f>VLOOKUP(B2611,辅助信息!E:M,9,FALSE)</f>
        <v>ZTWM-CDGS-XS-2025-0126-四川机司-乐山市校地共建产教融合基地配套设施项目施工二标段钢筋采购合同</v>
      </c>
      <c r="R2611" s="30" t="str">
        <f>_xlfn._xlws.FILTER(辅助信息!D:D,辅助信息!E:E=B2611)</f>
        <v>乐山市校地共建产教融合基地建设项目</v>
      </c>
    </row>
    <row r="2612" hidden="1" spans="2:18">
      <c r="B2612" s="41" t="s">
        <v>194</v>
      </c>
      <c r="C2612" s="71">
        <v>45875</v>
      </c>
      <c r="D2612" s="41" t="str">
        <f>VLOOKUP(B2612,辅助信息!E:K,7,FALSE)</f>
        <v>JWDD2025071500089</v>
      </c>
      <c r="E2612" s="41" t="str">
        <f>VLOOKUP(F2612,辅助信息!A:B,2,FALSE)</f>
        <v>盘螺</v>
      </c>
      <c r="F2612" s="41" t="s">
        <v>40</v>
      </c>
      <c r="G2612" s="37">
        <v>10</v>
      </c>
      <c r="H2612" s="135" t="str">
        <f>_xlfn.XLOOKUP(C2612&amp;F2612&amp;I2612&amp;J2612,'[1]2025年已发货'!$F:$F&amp;'[1]2025年已发货'!$C:$C&amp;'[1]2025年已发货'!$G:$G&amp;'[1]2025年已发货'!$H:$H,'[1]2025年已发货'!$E:$E,"未发货")</f>
        <v>未发货</v>
      </c>
      <c r="I2612" s="41" t="str">
        <f>VLOOKUP(B2612,辅助信息!E:I,3,FALSE)</f>
        <v>(宜宾兴港三江新区长江工业园保障性租赁住房建设项目-土建)四川省宜宾市翠屏区永善路南段宜宾市三江新区长江工业园区</v>
      </c>
      <c r="J2612" s="41" t="str">
        <f>VLOOKUP(B2612,辅助信息!E:I,4,FALSE)</f>
        <v>赵元虎</v>
      </c>
      <c r="K2612" s="41">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84</v>
      </c>
      <c r="Q2612" s="30" t="str">
        <f>VLOOKUP(B2612,辅助信息!E:M,9,FALSE)</f>
        <v>ZTWM-CDYXGS-XS-2025-0014-宜宾兴港建材-三江新区长江工业园片区保障性租赁住房建设项目</v>
      </c>
      <c r="R2612" s="30" t="str">
        <f>_xlfn._xlws.FILTER(辅助信息!D:D,辅助信息!E:E=B2612)</f>
        <v>宜宾兴港三江新区长江工业园建设项目</v>
      </c>
    </row>
    <row r="2613" hidden="1" spans="2:18">
      <c r="B2613" s="41" t="s">
        <v>194</v>
      </c>
      <c r="C2613" s="71">
        <v>45875</v>
      </c>
      <c r="D2613" s="41" t="str">
        <f>VLOOKUP(B2613,辅助信息!E:K,7,FALSE)</f>
        <v>JWDD2025071500089</v>
      </c>
      <c r="E2613" s="41" t="str">
        <f>VLOOKUP(F2613,辅助信息!A:B,2,FALSE)</f>
        <v>盘螺</v>
      </c>
      <c r="F2613" s="41" t="s">
        <v>41</v>
      </c>
      <c r="G2613" s="37">
        <v>15</v>
      </c>
      <c r="H2613" s="135" t="str">
        <f>_xlfn.XLOOKUP(C2613&amp;F2613&amp;I2613&amp;J2613,'[1]2025年已发货'!$F:$F&amp;'[1]2025年已发货'!$C:$C&amp;'[1]2025年已发货'!$G:$G&amp;'[1]2025年已发货'!$H:$H,'[1]2025年已发货'!$E:$E,"未发货")</f>
        <v>未发货</v>
      </c>
      <c r="I2613" s="41" t="str">
        <f>VLOOKUP(B2613,辅助信息!E:I,3,FALSE)</f>
        <v>(宜宾兴港三江新区长江工业园保障性租赁住房建设项目-土建)四川省宜宾市翠屏区永善路南段宜宾市三江新区长江工业园区</v>
      </c>
      <c r="J2613" s="41" t="str">
        <f>VLOOKUP(B2613,辅助信息!E:I,4,FALSE)</f>
        <v>赵元虎</v>
      </c>
      <c r="K2613" s="41">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84</v>
      </c>
      <c r="Q2613" s="30" t="str">
        <f>VLOOKUP(B2613,辅助信息!E:M,9,FALSE)</f>
        <v>ZTWM-CDYXGS-XS-2025-0014-宜宾兴港建材-三江新区长江工业园片区保障性租赁住房建设项目</v>
      </c>
      <c r="R2613" s="30" t="str">
        <f>_xlfn._xlws.FILTER(辅助信息!D:D,辅助信息!E:E=B2613)</f>
        <v>宜宾兴港三江新区长江工业园建设项目</v>
      </c>
    </row>
    <row r="2614" hidden="1" spans="2:18">
      <c r="B2614" s="41" t="s">
        <v>194</v>
      </c>
      <c r="C2614" s="71">
        <v>45875</v>
      </c>
      <c r="D2614" s="41" t="str">
        <f>VLOOKUP(B2614,辅助信息!E:K,7,FALSE)</f>
        <v>JWDD2025071500089</v>
      </c>
      <c r="E2614" s="41" t="str">
        <f>VLOOKUP(F2614,辅助信息!A:B,2,FALSE)</f>
        <v>螺纹钢</v>
      </c>
      <c r="F2614" s="41" t="s">
        <v>19</v>
      </c>
      <c r="G2614" s="37">
        <v>70</v>
      </c>
      <c r="H2614" s="135">
        <v>70</v>
      </c>
      <c r="I2614" s="41" t="str">
        <f>VLOOKUP(B2614,辅助信息!E:I,3,FALSE)</f>
        <v>(宜宾兴港三江新区长江工业园保障性租赁住房建设项目-土建)四川省宜宾市翠屏区永善路南段宜宾市三江新区长江工业园区</v>
      </c>
      <c r="J2614" s="41" t="str">
        <f>VLOOKUP(B2614,辅助信息!E:I,4,FALSE)</f>
        <v>赵元虎</v>
      </c>
      <c r="K2614" s="41">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84</v>
      </c>
      <c r="Q2614" s="30" t="str">
        <f>VLOOKUP(B2614,辅助信息!E:M,9,FALSE)</f>
        <v>ZTWM-CDYXGS-XS-2025-0014-宜宾兴港建材-三江新区长江工业园片区保障性租赁住房建设项目</v>
      </c>
      <c r="R2614" s="30" t="str">
        <f>_xlfn._xlws.FILTER(辅助信息!D:D,辅助信息!E:E=B2614)</f>
        <v>宜宾兴港三江新区长江工业园建设项目</v>
      </c>
    </row>
    <row r="2615" hidden="1" spans="2:18">
      <c r="B2615" s="41" t="s">
        <v>194</v>
      </c>
      <c r="C2615" s="71">
        <v>45875</v>
      </c>
      <c r="D2615" s="41" t="str">
        <f>VLOOKUP(B2615,辅助信息!E:K,7,FALSE)</f>
        <v>JWDD2025071500089</v>
      </c>
      <c r="E2615" s="41" t="str">
        <f>VLOOKUP(F2615,辅助信息!A:B,2,FALSE)</f>
        <v>螺纹钢</v>
      </c>
      <c r="F2615" s="41" t="s">
        <v>32</v>
      </c>
      <c r="G2615" s="37">
        <v>35</v>
      </c>
      <c r="H2615" s="135">
        <v>35</v>
      </c>
      <c r="I2615" s="41" t="str">
        <f>VLOOKUP(B2615,辅助信息!E:I,3,FALSE)</f>
        <v>(宜宾兴港三江新区长江工业园保障性租赁住房建设项目-土建)四川省宜宾市翠屏区永善路南段宜宾市三江新区长江工业园区</v>
      </c>
      <c r="J2615" s="41" t="str">
        <f>VLOOKUP(B2615,辅助信息!E:I,4,FALSE)</f>
        <v>赵元虎</v>
      </c>
      <c r="K2615" s="41">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84</v>
      </c>
      <c r="Q2615" s="30" t="str">
        <f>VLOOKUP(B2615,辅助信息!E:M,9,FALSE)</f>
        <v>ZTWM-CDYXGS-XS-2025-0014-宜宾兴港建材-三江新区长江工业园片区保障性租赁住房建设项目</v>
      </c>
      <c r="R2615" s="30" t="str">
        <f>_xlfn._xlws.FILTER(辅助信息!D:D,辅助信息!E:E=B2615)</f>
        <v>宜宾兴港三江新区长江工业园建设项目</v>
      </c>
    </row>
    <row r="2616" hidden="1" spans="2:18">
      <c r="B2616" s="41" t="s">
        <v>194</v>
      </c>
      <c r="C2616" s="71">
        <v>45875</v>
      </c>
      <c r="D2616" s="41" t="str">
        <f>VLOOKUP(B2616,辅助信息!E:K,7,FALSE)</f>
        <v>JWDD2025071500089</v>
      </c>
      <c r="E2616" s="41" t="str">
        <f>VLOOKUP(F2616,辅助信息!A:B,2,FALSE)</f>
        <v>螺纹钢</v>
      </c>
      <c r="F2616" s="41" t="s">
        <v>30</v>
      </c>
      <c r="G2616" s="37">
        <v>20</v>
      </c>
      <c r="H2616" s="135">
        <v>20</v>
      </c>
      <c r="I2616" s="41" t="str">
        <f>VLOOKUP(B2616,辅助信息!E:I,3,FALSE)</f>
        <v>(宜宾兴港三江新区长江工业园保障性租赁住房建设项目-土建)四川省宜宾市翠屏区永善路南段宜宾市三江新区长江工业园区</v>
      </c>
      <c r="J2616" s="41" t="str">
        <f>VLOOKUP(B2616,辅助信息!E:I,4,FALSE)</f>
        <v>赵元虎</v>
      </c>
      <c r="K2616" s="41">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84</v>
      </c>
      <c r="Q2616" s="30" t="str">
        <f>VLOOKUP(B2616,辅助信息!E:M,9,FALSE)</f>
        <v>ZTWM-CDYXGS-XS-2025-0014-宜宾兴港建材-三江新区长江工业园片区保障性租赁住房建设项目</v>
      </c>
      <c r="R2616" s="30" t="str">
        <f>_xlfn._xlws.FILTER(辅助信息!D:D,辅助信息!E:E=B2616)</f>
        <v>宜宾兴港三江新区长江工业园建设项目</v>
      </c>
    </row>
    <row r="2617" hidden="1" spans="2:18">
      <c r="B2617" s="41" t="s">
        <v>194</v>
      </c>
      <c r="C2617" s="71">
        <v>45875</v>
      </c>
      <c r="D2617" s="41" t="str">
        <f>VLOOKUP(B2617,辅助信息!E:K,7,FALSE)</f>
        <v>JWDD2025071500089</v>
      </c>
      <c r="E2617" s="41" t="str">
        <f>VLOOKUP(F2617,辅助信息!A:B,2,FALSE)</f>
        <v>螺纹钢</v>
      </c>
      <c r="F2617" s="41" t="s">
        <v>33</v>
      </c>
      <c r="G2617" s="37">
        <v>5</v>
      </c>
      <c r="H2617" s="135">
        <v>5</v>
      </c>
      <c r="I2617" s="41" t="str">
        <f>VLOOKUP(B2617,辅助信息!E:I,3,FALSE)</f>
        <v>(宜宾兴港三江新区长江工业园保障性租赁住房建设项目-土建)四川省宜宾市翠屏区永善路南段宜宾市三江新区长江工业园区</v>
      </c>
      <c r="J2617" s="41" t="str">
        <f>VLOOKUP(B2617,辅助信息!E:I,4,FALSE)</f>
        <v>赵元虎</v>
      </c>
      <c r="K2617" s="41">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84</v>
      </c>
      <c r="Q2617" s="30" t="str">
        <f>VLOOKUP(B2617,辅助信息!E:M,9,FALSE)</f>
        <v>ZTWM-CDYXGS-XS-2025-0014-宜宾兴港建材-三江新区长江工业园片区保障性租赁住房建设项目</v>
      </c>
      <c r="R2617" s="30" t="str">
        <f>_xlfn._xlws.FILTER(辅助信息!D:D,辅助信息!E:E=B2617)</f>
        <v>宜宾兴港三江新区长江工业园建设项目</v>
      </c>
    </row>
    <row r="2618" hidden="1" spans="2:18">
      <c r="B2618" s="41" t="s">
        <v>194</v>
      </c>
      <c r="C2618" s="71">
        <v>45875</v>
      </c>
      <c r="D2618" s="41" t="str">
        <f>VLOOKUP(B2618,辅助信息!E:K,7,FALSE)</f>
        <v>JWDD2025071500089</v>
      </c>
      <c r="E2618" s="41" t="str">
        <f>VLOOKUP(F2618,辅助信息!A:B,2,FALSE)</f>
        <v>螺纹钢</v>
      </c>
      <c r="F2618" s="41" t="s">
        <v>28</v>
      </c>
      <c r="G2618" s="37">
        <v>20</v>
      </c>
      <c r="H2618" s="135">
        <v>20</v>
      </c>
      <c r="I2618" s="41" t="str">
        <f>VLOOKUP(B2618,辅助信息!E:I,3,FALSE)</f>
        <v>(宜宾兴港三江新区长江工业园保障性租赁住房建设项目-土建)四川省宜宾市翠屏区永善路南段宜宾市三江新区长江工业园区</v>
      </c>
      <c r="J2618" s="41" t="str">
        <f>VLOOKUP(B2618,辅助信息!E:I,4,FALSE)</f>
        <v>赵元虎</v>
      </c>
      <c r="K2618" s="41">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84</v>
      </c>
      <c r="Q2618" s="30" t="str">
        <f>VLOOKUP(B2618,辅助信息!E:M,9,FALSE)</f>
        <v>ZTWM-CDYXGS-XS-2025-0014-宜宾兴港建材-三江新区长江工业园片区保障性租赁住房建设项目</v>
      </c>
      <c r="R2618" s="30" t="str">
        <f>_xlfn._xlws.FILTER(辅助信息!D:D,辅助信息!E:E=B2618)</f>
        <v>宜宾兴港三江新区长江工业园建设项目</v>
      </c>
    </row>
    <row r="2619" hidden="1" spans="2:18">
      <c r="B2619" s="41" t="s">
        <v>194</v>
      </c>
      <c r="C2619" s="71">
        <v>45875</v>
      </c>
      <c r="D2619" s="41" t="str">
        <f>VLOOKUP(B2619,辅助信息!E:K,7,FALSE)</f>
        <v>JWDD2025071500089</v>
      </c>
      <c r="E2619" s="41" t="str">
        <f>VLOOKUP(F2619,辅助信息!A:B,2,FALSE)</f>
        <v>螺纹钢</v>
      </c>
      <c r="F2619" s="41" t="s">
        <v>18</v>
      </c>
      <c r="G2619" s="37">
        <v>35</v>
      </c>
      <c r="H2619" s="135">
        <v>25</v>
      </c>
      <c r="I2619" s="41" t="str">
        <f>VLOOKUP(B2619,辅助信息!E:I,3,FALSE)</f>
        <v>(宜宾兴港三江新区长江工业园保障性租赁住房建设项目-土建)四川省宜宾市翠屏区永善路南段宜宾市三江新区长江工业园区</v>
      </c>
      <c r="J2619" s="41" t="str">
        <f>VLOOKUP(B2619,辅助信息!E:I,4,FALSE)</f>
        <v>赵元虎</v>
      </c>
      <c r="K2619" s="41">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84</v>
      </c>
      <c r="Q2619" s="30" t="str">
        <f>VLOOKUP(B2619,辅助信息!E:M,9,FALSE)</f>
        <v>ZTWM-CDYXGS-XS-2025-0014-宜宾兴港建材-三江新区长江工业园片区保障性租赁住房建设项目</v>
      </c>
      <c r="R2619" s="30" t="str">
        <f>_xlfn._xlws.FILTER(辅助信息!D:D,辅助信息!E:E=B2619)</f>
        <v>宜宾兴港三江新区长江工业园建设项目</v>
      </c>
    </row>
    <row r="2620" hidden="1" spans="2:18">
      <c r="B2620" s="41" t="s">
        <v>81</v>
      </c>
      <c r="C2620" s="71">
        <v>45875</v>
      </c>
      <c r="D2620" s="41" t="str">
        <f>VLOOKUP(B2620,辅助信息!E:K,7,FALSE)</f>
        <v>JWDDCD2025060900080</v>
      </c>
      <c r="E2620" s="41" t="str">
        <f>VLOOKUP(F2620,辅助信息!A:B,2,FALSE)</f>
        <v>盘螺</v>
      </c>
      <c r="F2620" s="41" t="s">
        <v>49</v>
      </c>
      <c r="G2620" s="37">
        <v>2.5</v>
      </c>
      <c r="H2620" s="135">
        <f>_xlfn.XLOOKUP(C2620&amp;F2620&amp;I2620&amp;J2620,'[1]2025年已发货'!$F:$F&amp;'[1]2025年已发货'!$C:$C&amp;'[1]2025年已发货'!$G:$G&amp;'[1]2025年已发货'!$H:$H,'[1]2025年已发货'!$E:$E,"未发货")</f>
        <v>2.5</v>
      </c>
      <c r="I2620" s="41" t="str">
        <f>VLOOKUP(B2620,辅助信息!E:I,3,FALSE)</f>
        <v>（华西简阳西城嘉苑）四川省成都市简阳市简城街道高屋村</v>
      </c>
      <c r="J2620" s="41" t="str">
        <f>VLOOKUP(B2620,辅助信息!E:I,4,FALSE)</f>
        <v>张瀚镭</v>
      </c>
      <c r="K2620" s="41">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84</v>
      </c>
      <c r="Q2620" s="30" t="str">
        <f>VLOOKUP(B2620,辅助信息!E:M,9,FALSE)</f>
        <v>ZTWM-CDGS-XS-2024-0030-华西集采-简州大道</v>
      </c>
      <c r="R2620" s="30" t="str">
        <f>_xlfn._xlws.FILTER(辅助信息!D:D,辅助信息!E:E=B2620)</f>
        <v>华西简阳西城嘉苑</v>
      </c>
    </row>
    <row r="2621" hidden="1" spans="2:18">
      <c r="B2621" s="41" t="s">
        <v>81</v>
      </c>
      <c r="C2621" s="71">
        <v>45875</v>
      </c>
      <c r="D2621" s="41" t="str">
        <f>VLOOKUP(B2621,辅助信息!E:K,7,FALSE)</f>
        <v>JWDDCD2025060900080</v>
      </c>
      <c r="E2621" s="41" t="str">
        <f>VLOOKUP(F2621,辅助信息!A:B,2,FALSE)</f>
        <v>盘螺</v>
      </c>
      <c r="F2621" s="41" t="s">
        <v>40</v>
      </c>
      <c r="G2621" s="37">
        <v>49</v>
      </c>
      <c r="H2621" s="135">
        <f>_xlfn.XLOOKUP(C2621&amp;F2621&amp;I2621&amp;J2621,'[1]2025年已发货'!$F:$F&amp;'[1]2025年已发货'!$C:$C&amp;'[1]2025年已发货'!$G:$G&amp;'[1]2025年已发货'!$H:$H,'[1]2025年已发货'!$E:$E,"未发货")</f>
        <v>32</v>
      </c>
      <c r="I2621" s="41" t="str">
        <f>VLOOKUP(B2621,辅助信息!E:I,3,FALSE)</f>
        <v>（华西简阳西城嘉苑）四川省成都市简阳市简城街道高屋村</v>
      </c>
      <c r="J2621" s="41" t="str">
        <f>VLOOKUP(B2621,辅助信息!E:I,4,FALSE)</f>
        <v>张瀚镭</v>
      </c>
      <c r="K2621" s="41">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84</v>
      </c>
      <c r="Q2621" s="30" t="str">
        <f>VLOOKUP(B2621,辅助信息!E:M,9,FALSE)</f>
        <v>ZTWM-CDGS-XS-2024-0030-华西集采-简州大道</v>
      </c>
      <c r="R2621" s="30" t="str">
        <f>_xlfn._xlws.FILTER(辅助信息!D:D,辅助信息!E:E=B2621)</f>
        <v>华西简阳西城嘉苑</v>
      </c>
    </row>
    <row r="2622" hidden="1" spans="2:18">
      <c r="B2622" s="41" t="s">
        <v>81</v>
      </c>
      <c r="C2622" s="71">
        <v>45875</v>
      </c>
      <c r="D2622" s="41" t="str">
        <f>VLOOKUP(B2622,辅助信息!E:K,7,FALSE)</f>
        <v>JWDDCD2025060900080</v>
      </c>
      <c r="E2622" s="41" t="str">
        <f>VLOOKUP(F2622,辅助信息!A:B,2,FALSE)</f>
        <v>盘螺</v>
      </c>
      <c r="F2622" s="41" t="s">
        <v>41</v>
      </c>
      <c r="G2622" s="37">
        <v>12.5</v>
      </c>
      <c r="H2622" s="135">
        <f>_xlfn.XLOOKUP(C2622&amp;F2622&amp;I2622&amp;J2622,'[1]2025年已发货'!$F:$F&amp;'[1]2025年已发货'!$C:$C&amp;'[1]2025年已发货'!$G:$G&amp;'[1]2025年已发货'!$H:$H,'[1]2025年已发货'!$E:$E,"未发货")</f>
        <v>12.5</v>
      </c>
      <c r="I2622" s="41" t="str">
        <f>VLOOKUP(B2622,辅助信息!E:I,3,FALSE)</f>
        <v>（华西简阳西城嘉苑）四川省成都市简阳市简城街道高屋村</v>
      </c>
      <c r="J2622" s="41" t="str">
        <f>VLOOKUP(B2622,辅助信息!E:I,4,FALSE)</f>
        <v>张瀚镭</v>
      </c>
      <c r="K2622" s="41">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84</v>
      </c>
      <c r="Q2622" s="30" t="str">
        <f>VLOOKUP(B2622,辅助信息!E:M,9,FALSE)</f>
        <v>ZTWM-CDGS-XS-2024-0030-华西集采-简州大道</v>
      </c>
      <c r="R2622" s="30" t="str">
        <f>_xlfn._xlws.FILTER(辅助信息!D:D,辅助信息!E:E=B2622)</f>
        <v>华西简阳西城嘉苑</v>
      </c>
    </row>
    <row r="2623" hidden="1" spans="2:18">
      <c r="B2623" s="41" t="s">
        <v>81</v>
      </c>
      <c r="C2623" s="71">
        <v>45875</v>
      </c>
      <c r="D2623" s="41" t="str">
        <f>VLOOKUP(B2623,辅助信息!E:K,7,FALSE)</f>
        <v>JWDDCD2025060900080</v>
      </c>
      <c r="E2623" s="41" t="str">
        <f>VLOOKUP(F2623,辅助信息!A:B,2,FALSE)</f>
        <v>盘螺</v>
      </c>
      <c r="F2623" s="41" t="s">
        <v>26</v>
      </c>
      <c r="G2623" s="37">
        <v>24</v>
      </c>
      <c r="H2623" s="135">
        <f>_xlfn.XLOOKUP(C2623&amp;F2623&amp;I2623&amp;J2623,'[1]2025年已发货'!$F:$F&amp;'[1]2025年已发货'!$C:$C&amp;'[1]2025年已发货'!$G:$G&amp;'[1]2025年已发货'!$H:$H,'[1]2025年已发货'!$E:$E,"未发货")</f>
        <v>24</v>
      </c>
      <c r="I2623" s="41" t="str">
        <f>VLOOKUP(B2623,辅助信息!E:I,3,FALSE)</f>
        <v>（华西简阳西城嘉苑）四川省成都市简阳市简城街道高屋村</v>
      </c>
      <c r="J2623" s="41" t="str">
        <f>VLOOKUP(B2623,辅助信息!E:I,4,FALSE)</f>
        <v>张瀚镭</v>
      </c>
      <c r="K2623" s="41">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84</v>
      </c>
      <c r="Q2623" s="30" t="str">
        <f>VLOOKUP(B2623,辅助信息!E:M,9,FALSE)</f>
        <v>ZTWM-CDGS-XS-2024-0030-华西集采-简州大道</v>
      </c>
      <c r="R2623" s="30" t="str">
        <f>_xlfn._xlws.FILTER(辅助信息!D:D,辅助信息!E:E=B2623)</f>
        <v>华西简阳西城嘉苑</v>
      </c>
    </row>
    <row r="2624" hidden="1" spans="2:18">
      <c r="B2624" s="41" t="s">
        <v>81</v>
      </c>
      <c r="C2624" s="71">
        <v>45875</v>
      </c>
      <c r="D2624" s="41" t="str">
        <f>VLOOKUP(B2624,辅助信息!E:K,7,FALSE)</f>
        <v>JWDDCD2025060900080</v>
      </c>
      <c r="E2624" s="41" t="str">
        <f>VLOOKUP(F2624,辅助信息!A:B,2,FALSE)</f>
        <v>螺纹钢</v>
      </c>
      <c r="F2624" s="41" t="s">
        <v>19</v>
      </c>
      <c r="G2624" s="37">
        <v>95</v>
      </c>
      <c r="H2624" s="135">
        <f>_xlfn.XLOOKUP(C2624&amp;F2624&amp;I2624&amp;J2624,'[1]2025年已发货'!$F:$F&amp;'[1]2025年已发货'!$C:$C&amp;'[1]2025年已发货'!$G:$G&amp;'[1]2025年已发货'!$H:$H,'[1]2025年已发货'!$E:$E,"未发货")</f>
        <v>95</v>
      </c>
      <c r="I2624" s="41" t="str">
        <f>VLOOKUP(B2624,辅助信息!E:I,3,FALSE)</f>
        <v>（华西简阳西城嘉苑）四川省成都市简阳市简城街道高屋村</v>
      </c>
      <c r="J2624" s="41" t="str">
        <f>VLOOKUP(B2624,辅助信息!E:I,4,FALSE)</f>
        <v>张瀚镭</v>
      </c>
      <c r="K2624" s="41">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84</v>
      </c>
      <c r="Q2624" s="30" t="str">
        <f>VLOOKUP(B2624,辅助信息!E:M,9,FALSE)</f>
        <v>ZTWM-CDGS-XS-2024-0030-华西集采-简州大道</v>
      </c>
      <c r="R2624" s="30" t="str">
        <f>_xlfn._xlws.FILTER(辅助信息!D:D,辅助信息!E:E=B2624)</f>
        <v>华西简阳西城嘉苑</v>
      </c>
    </row>
    <row r="2625" hidden="1" spans="2:18">
      <c r="B2625" s="41" t="s">
        <v>81</v>
      </c>
      <c r="C2625" s="71">
        <v>45875</v>
      </c>
      <c r="D2625" s="41" t="str">
        <f>VLOOKUP(B2625,辅助信息!E:K,7,FALSE)</f>
        <v>JWDDCD2025060900080</v>
      </c>
      <c r="E2625" s="41" t="str">
        <f>VLOOKUP(F2625,辅助信息!A:B,2,FALSE)</f>
        <v>螺纹钢</v>
      </c>
      <c r="F2625" s="41" t="s">
        <v>32</v>
      </c>
      <c r="G2625" s="37">
        <v>9</v>
      </c>
      <c r="H2625" s="135">
        <f>_xlfn.XLOOKUP(C2625&amp;F2625&amp;I2625&amp;J2625,'[1]2025年已发货'!$F:$F&amp;'[1]2025年已发货'!$C:$C&amp;'[1]2025年已发货'!$G:$G&amp;'[1]2025年已发货'!$H:$H,'[1]2025年已发货'!$E:$E,"未发货")</f>
        <v>9</v>
      </c>
      <c r="I2625" s="41" t="str">
        <f>VLOOKUP(B2625,辅助信息!E:I,3,FALSE)</f>
        <v>（华西简阳西城嘉苑）四川省成都市简阳市简城街道高屋村</v>
      </c>
      <c r="J2625" s="41" t="str">
        <f>VLOOKUP(B2625,辅助信息!E:I,4,FALSE)</f>
        <v>张瀚镭</v>
      </c>
      <c r="K2625" s="41">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84</v>
      </c>
      <c r="Q2625" s="30" t="str">
        <f>VLOOKUP(B2625,辅助信息!E:M,9,FALSE)</f>
        <v>ZTWM-CDGS-XS-2024-0030-华西集采-简州大道</v>
      </c>
      <c r="R2625" s="30" t="str">
        <f>_xlfn._xlws.FILTER(辅助信息!D:D,辅助信息!E:E=B2625)</f>
        <v>华西简阳西城嘉苑</v>
      </c>
    </row>
    <row r="2626" hidden="1" spans="2:18">
      <c r="B2626" s="41" t="s">
        <v>81</v>
      </c>
      <c r="C2626" s="71">
        <v>45875</v>
      </c>
      <c r="D2626" s="41" t="str">
        <f>VLOOKUP(B2626,辅助信息!E:K,7,FALSE)</f>
        <v>JWDDCD2025060900080</v>
      </c>
      <c r="E2626" s="41" t="str">
        <f>VLOOKUP(F2626,辅助信息!A:B,2,FALSE)</f>
        <v>螺纹钢</v>
      </c>
      <c r="F2626" s="41" t="s">
        <v>30</v>
      </c>
      <c r="G2626" s="37">
        <v>21.5</v>
      </c>
      <c r="H2626" s="135">
        <f>_xlfn.XLOOKUP(C2626&amp;F2626&amp;I2626&amp;J2626,'[1]2025年已发货'!$F:$F&amp;'[1]2025年已发货'!$C:$C&amp;'[1]2025年已发货'!$G:$G&amp;'[1]2025年已发货'!$H:$H,'[1]2025年已发货'!$E:$E,"未发货")</f>
        <v>21.5</v>
      </c>
      <c r="I2626" s="41" t="str">
        <f>VLOOKUP(B2626,辅助信息!E:I,3,FALSE)</f>
        <v>（华西简阳西城嘉苑）四川省成都市简阳市简城街道高屋村</v>
      </c>
      <c r="J2626" s="41" t="str">
        <f>VLOOKUP(B2626,辅助信息!E:I,4,FALSE)</f>
        <v>张瀚镭</v>
      </c>
      <c r="K2626" s="41">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84</v>
      </c>
      <c r="Q2626" s="30" t="str">
        <f>VLOOKUP(B2626,辅助信息!E:M,9,FALSE)</f>
        <v>ZTWM-CDGS-XS-2024-0030-华西集采-简州大道</v>
      </c>
      <c r="R2626" s="30" t="str">
        <f>_xlfn._xlws.FILTER(辅助信息!D:D,辅助信息!E:E=B2626)</f>
        <v>华西简阳西城嘉苑</v>
      </c>
    </row>
    <row r="2627" hidden="1" spans="2:18">
      <c r="B2627" s="41" t="s">
        <v>81</v>
      </c>
      <c r="C2627" s="71">
        <v>45875</v>
      </c>
      <c r="D2627" s="41" t="str">
        <f>VLOOKUP(B2627,辅助信息!E:K,7,FALSE)</f>
        <v>JWDDCD2025060900080</v>
      </c>
      <c r="E2627" s="41" t="str">
        <f>VLOOKUP(F2627,辅助信息!A:B,2,FALSE)</f>
        <v>螺纹钢</v>
      </c>
      <c r="F2627" s="41" t="s">
        <v>18</v>
      </c>
      <c r="G2627" s="37">
        <v>10</v>
      </c>
      <c r="H2627" s="135">
        <f>_xlfn.XLOOKUP(C2627&amp;F2627&amp;I2627&amp;J2627,'[1]2025年已发货'!$F:$F&amp;'[1]2025年已发货'!$C:$C&amp;'[1]2025年已发货'!$G:$G&amp;'[1]2025年已发货'!$H:$H,'[1]2025年已发货'!$E:$E,"未发货")</f>
        <v>10</v>
      </c>
      <c r="I2627" s="41" t="str">
        <f>VLOOKUP(B2627,辅助信息!E:I,3,FALSE)</f>
        <v>（华西简阳西城嘉苑）四川省成都市简阳市简城街道高屋村</v>
      </c>
      <c r="J2627" s="41" t="str">
        <f>VLOOKUP(B2627,辅助信息!E:I,4,FALSE)</f>
        <v>张瀚镭</v>
      </c>
      <c r="K2627" s="41">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84</v>
      </c>
      <c r="Q2627" s="30" t="str">
        <f>VLOOKUP(B2627,辅助信息!E:M,9,FALSE)</f>
        <v>ZTWM-CDGS-XS-2024-0030-华西集采-简州大道</v>
      </c>
      <c r="R2627" s="30" t="str">
        <f>_xlfn._xlws.FILTER(辅助信息!D:D,辅助信息!E:E=B2627)</f>
        <v>华西简阳西城嘉苑</v>
      </c>
    </row>
    <row r="2628" hidden="1" spans="2:18">
      <c r="B2628" s="41" t="s">
        <v>81</v>
      </c>
      <c r="C2628" s="71">
        <v>45875</v>
      </c>
      <c r="D2628" s="41" t="str">
        <f>VLOOKUP(B2628,辅助信息!E:K,7,FALSE)</f>
        <v>JWDDCD2025060900080</v>
      </c>
      <c r="E2628" s="41" t="str">
        <f>VLOOKUP(F2628,辅助信息!A:B,2,FALSE)</f>
        <v>螺纹钢</v>
      </c>
      <c r="F2628" s="41" t="s">
        <v>52</v>
      </c>
      <c r="G2628" s="37">
        <v>6</v>
      </c>
      <c r="H2628" s="135">
        <f>_xlfn.XLOOKUP(C2628&amp;F2628&amp;I2628&amp;J2628,'[1]2025年已发货'!$F:$F&amp;'[1]2025年已发货'!$C:$C&amp;'[1]2025年已发货'!$G:$G&amp;'[1]2025年已发货'!$H:$H,'[1]2025年已发货'!$E:$E,"未发货")</f>
        <v>6</v>
      </c>
      <c r="I2628" s="41" t="str">
        <f>VLOOKUP(B2628,辅助信息!E:I,3,FALSE)</f>
        <v>（华西简阳西城嘉苑）四川省成都市简阳市简城街道高屋村</v>
      </c>
      <c r="J2628" s="41" t="str">
        <f>VLOOKUP(B2628,辅助信息!E:I,4,FALSE)</f>
        <v>张瀚镭</v>
      </c>
      <c r="K2628" s="41">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84</v>
      </c>
      <c r="Q2628" s="30" t="str">
        <f>VLOOKUP(B2628,辅助信息!E:M,9,FALSE)</f>
        <v>ZTWM-CDGS-XS-2024-0030-华西集采-简州大道</v>
      </c>
      <c r="R2628" s="30" t="str">
        <f>_xlfn._xlws.FILTER(辅助信息!D:D,辅助信息!E:E=B2628)</f>
        <v>华西简阳西城嘉苑</v>
      </c>
    </row>
    <row r="2629" hidden="1" spans="2:18">
      <c r="B2629" s="41" t="s">
        <v>192</v>
      </c>
      <c r="C2629" s="71">
        <v>45875</v>
      </c>
      <c r="D2629" s="41" t="str">
        <f>VLOOKUP(B2629,辅助信息!E:K,7,FALSE)</f>
        <v>JWDDCD2025102100475</v>
      </c>
      <c r="E2629" s="41" t="str">
        <f>VLOOKUP(F2629,辅助信息!A:B,2,FALSE)</f>
        <v>螺纹钢</v>
      </c>
      <c r="F2629" s="41" t="s">
        <v>27</v>
      </c>
      <c r="G2629" s="37">
        <v>5</v>
      </c>
      <c r="H2629" s="135">
        <f>_xlfn.XLOOKUP(C2629&amp;F2629&amp;I2629&amp;J2629,'[1]2025年已发货'!$F:$F&amp;'[1]2025年已发货'!$C:$C&amp;'[1]2025年已发货'!$G:$G&amp;'[1]2025年已发货'!$H:$H,'[1]2025年已发货'!$E:$E,"未发货")</f>
        <v>5</v>
      </c>
      <c r="I2629" s="41" t="str">
        <f>VLOOKUP(B2629,辅助信息!E:I,3,FALSE)</f>
        <v>(五冶建设成都国际铁路港多式联项目)四川省成都市青白江区桂平大道成都中远海运陆港多式联运有限公司</v>
      </c>
      <c r="J2629" s="41" t="str">
        <f>VLOOKUP(B2629,辅助信息!E:I,4,FALSE)</f>
        <v>黄勇杰</v>
      </c>
      <c r="K2629" s="41">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84</v>
      </c>
      <c r="Q2629" s="30" t="str">
        <f>VLOOKUP(B2629,辅助信息!E:M,9,FALSE)</f>
        <v>ZTWM-CDGS-XS-2025-0073-五冶天府-成都怡心湖片区及龙泉驿医院等项目</v>
      </c>
      <c r="R2629" s="30" t="str">
        <f>_xlfn._xlws.FILTER(辅助信息!D:D,辅助信息!E:E=B2629)</f>
        <v>五冶建设成都国际铁路港多式联项目</v>
      </c>
    </row>
    <row r="2630" hidden="1" spans="2:18">
      <c r="B2630" s="41" t="s">
        <v>192</v>
      </c>
      <c r="C2630" s="71">
        <v>45875</v>
      </c>
      <c r="D2630" s="41" t="str">
        <f>VLOOKUP(B2630,辅助信息!E:K,7,FALSE)</f>
        <v>JWDDCD2025102100475</v>
      </c>
      <c r="E2630" s="41" t="str">
        <f>VLOOKUP(F2630,辅助信息!A:B,2,FALSE)</f>
        <v>螺纹钢</v>
      </c>
      <c r="F2630" s="41" t="s">
        <v>19</v>
      </c>
      <c r="G2630" s="37">
        <v>7</v>
      </c>
      <c r="H2630" s="135">
        <f>_xlfn.XLOOKUP(C2630&amp;F2630&amp;I2630&amp;J2630,'[1]2025年已发货'!$F:$F&amp;'[1]2025年已发货'!$C:$C&amp;'[1]2025年已发货'!$G:$G&amp;'[1]2025年已发货'!$H:$H,'[1]2025年已发货'!$E:$E,"未发货")</f>
        <v>7</v>
      </c>
      <c r="I2630" s="41" t="str">
        <f>VLOOKUP(B2630,辅助信息!E:I,3,FALSE)</f>
        <v>(五冶建设成都国际铁路港多式联项目)四川省成都市青白江区桂平大道成都中远海运陆港多式联运有限公司</v>
      </c>
      <c r="J2630" s="41" t="str">
        <f>VLOOKUP(B2630,辅助信息!E:I,4,FALSE)</f>
        <v>黄勇杰</v>
      </c>
      <c r="K2630" s="41">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84</v>
      </c>
      <c r="Q2630" s="30" t="str">
        <f>VLOOKUP(B2630,辅助信息!E:M,9,FALSE)</f>
        <v>ZTWM-CDGS-XS-2025-0073-五冶天府-成都怡心湖片区及龙泉驿医院等项目</v>
      </c>
      <c r="R2630" s="30" t="str">
        <f>_xlfn._xlws.FILTER(辅助信息!D:D,辅助信息!E:E=B2630)</f>
        <v>五冶建设成都国际铁路港多式联项目</v>
      </c>
    </row>
    <row r="2631" hidden="1" spans="2:18">
      <c r="B2631" s="41" t="s">
        <v>192</v>
      </c>
      <c r="C2631" s="71">
        <v>45875</v>
      </c>
      <c r="D2631" s="41" t="str">
        <f>VLOOKUP(B2631,辅助信息!E:K,7,FALSE)</f>
        <v>JWDDCD2025102100475</v>
      </c>
      <c r="E2631" s="41" t="str">
        <f>VLOOKUP(F2631,辅助信息!A:B,2,FALSE)</f>
        <v>螺纹钢</v>
      </c>
      <c r="F2631" s="41" t="s">
        <v>32</v>
      </c>
      <c r="G2631" s="37">
        <v>7</v>
      </c>
      <c r="H2631" s="135">
        <f>_xlfn.XLOOKUP(C2631&amp;F2631&amp;I2631&amp;J2631,'[1]2025年已发货'!$F:$F&amp;'[1]2025年已发货'!$C:$C&amp;'[1]2025年已发货'!$G:$G&amp;'[1]2025年已发货'!$H:$H,'[1]2025年已发货'!$E:$E,"未发货")</f>
        <v>7</v>
      </c>
      <c r="I2631" s="41" t="str">
        <f>VLOOKUP(B2631,辅助信息!E:I,3,FALSE)</f>
        <v>(五冶建设成都国际铁路港多式联项目)四川省成都市青白江区桂平大道成都中远海运陆港多式联运有限公司</v>
      </c>
      <c r="J2631" s="41" t="str">
        <f>VLOOKUP(B2631,辅助信息!E:I,4,FALSE)</f>
        <v>黄勇杰</v>
      </c>
      <c r="K2631" s="41">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84</v>
      </c>
      <c r="Q2631" s="30" t="str">
        <f>VLOOKUP(B2631,辅助信息!E:M,9,FALSE)</f>
        <v>ZTWM-CDGS-XS-2025-0073-五冶天府-成都怡心湖片区及龙泉驿医院等项目</v>
      </c>
      <c r="R2631" s="30" t="str">
        <f>_xlfn._xlws.FILTER(辅助信息!D:D,辅助信息!E:E=B2631)</f>
        <v>五冶建设成都国际铁路港多式联项目</v>
      </c>
    </row>
    <row r="2632" hidden="1" spans="2:18">
      <c r="B2632" s="41" t="s">
        <v>192</v>
      </c>
      <c r="C2632" s="71">
        <v>45875</v>
      </c>
      <c r="D2632" s="41" t="str">
        <f>VLOOKUP(B2632,辅助信息!E:K,7,FALSE)</f>
        <v>JWDDCD2025102100475</v>
      </c>
      <c r="E2632" s="41" t="str">
        <f>VLOOKUP(F2632,辅助信息!A:B,2,FALSE)</f>
        <v>螺纹钢</v>
      </c>
      <c r="F2632" s="41" t="s">
        <v>30</v>
      </c>
      <c r="G2632" s="37">
        <v>10</v>
      </c>
      <c r="H2632" s="135">
        <f>_xlfn.XLOOKUP(C2632&amp;F2632&amp;I2632&amp;J2632,'[1]2025年已发货'!$F:$F&amp;'[1]2025年已发货'!$C:$C&amp;'[1]2025年已发货'!$G:$G&amp;'[1]2025年已发货'!$H:$H,'[1]2025年已发货'!$E:$E,"未发货")</f>
        <v>10</v>
      </c>
      <c r="I2632" s="41" t="str">
        <f>VLOOKUP(B2632,辅助信息!E:I,3,FALSE)</f>
        <v>(五冶建设成都国际铁路港多式联项目)四川省成都市青白江区桂平大道成都中远海运陆港多式联运有限公司</v>
      </c>
      <c r="J2632" s="41" t="str">
        <f>VLOOKUP(B2632,辅助信息!E:I,4,FALSE)</f>
        <v>黄勇杰</v>
      </c>
      <c r="K2632" s="41">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84</v>
      </c>
      <c r="Q2632" s="30" t="str">
        <f>VLOOKUP(B2632,辅助信息!E:M,9,FALSE)</f>
        <v>ZTWM-CDGS-XS-2025-0073-五冶天府-成都怡心湖片区及龙泉驿医院等项目</v>
      </c>
      <c r="R2632" s="30" t="str">
        <f>_xlfn._xlws.FILTER(辅助信息!D:D,辅助信息!E:E=B2632)</f>
        <v>五冶建设成都国际铁路港多式联项目</v>
      </c>
    </row>
    <row r="2633" hidden="1" spans="2:18">
      <c r="B2633" s="41" t="s">
        <v>192</v>
      </c>
      <c r="C2633" s="71">
        <v>45875</v>
      </c>
      <c r="D2633" s="41" t="str">
        <f>VLOOKUP(B2633,辅助信息!E:K,7,FALSE)</f>
        <v>JWDDCD2025102100475</v>
      </c>
      <c r="E2633" s="41" t="str">
        <f>VLOOKUP(F2633,辅助信息!A:B,2,FALSE)</f>
        <v>螺纹钢</v>
      </c>
      <c r="F2633" s="41" t="s">
        <v>28</v>
      </c>
      <c r="G2633" s="37">
        <v>7</v>
      </c>
      <c r="H2633" s="135">
        <f>_xlfn.XLOOKUP(C2633&amp;F2633&amp;I2633&amp;J2633,'[1]2025年已发货'!$F:$F&amp;'[1]2025年已发货'!$C:$C&amp;'[1]2025年已发货'!$G:$G&amp;'[1]2025年已发货'!$H:$H,'[1]2025年已发货'!$E:$E,"未发货")</f>
        <v>7</v>
      </c>
      <c r="I2633" s="41" t="str">
        <f>VLOOKUP(B2633,辅助信息!E:I,3,FALSE)</f>
        <v>(五冶建设成都国际铁路港多式联项目)四川省成都市青白江区桂平大道成都中远海运陆港多式联运有限公司</v>
      </c>
      <c r="J2633" s="41" t="str">
        <f>VLOOKUP(B2633,辅助信息!E:I,4,FALSE)</f>
        <v>黄勇杰</v>
      </c>
      <c r="K2633" s="41">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84</v>
      </c>
      <c r="Q2633" s="30" t="str">
        <f>VLOOKUP(B2633,辅助信息!E:M,9,FALSE)</f>
        <v>ZTWM-CDGS-XS-2025-0073-五冶天府-成都怡心湖片区及龙泉驿医院等项目</v>
      </c>
      <c r="R2633" s="30" t="str">
        <f>_xlfn._xlws.FILTER(辅助信息!D:D,辅助信息!E:E=B2633)</f>
        <v>五冶建设成都国际铁路港多式联项目</v>
      </c>
    </row>
    <row r="2634" hidden="1" spans="2:18">
      <c r="B2634" s="41" t="s">
        <v>187</v>
      </c>
      <c r="C2634" s="71">
        <v>45875</v>
      </c>
      <c r="D2634" s="41" t="str">
        <f>VLOOKUP(B2634,辅助信息!E:K,7,FALSE)</f>
        <v>JWDDCD2025072900121</v>
      </c>
      <c r="E2634" s="41" t="str">
        <f>VLOOKUP(F2634,辅助信息!A:B,2,FALSE)</f>
        <v>盘螺</v>
      </c>
      <c r="F2634" s="41" t="s">
        <v>41</v>
      </c>
      <c r="G2634" s="37">
        <v>3</v>
      </c>
      <c r="H2634" s="135">
        <f>_xlfn.XLOOKUP(C2634&amp;F2634&amp;I2634&amp;J2634,'[1]2025年已发货'!$F:$F&amp;'[1]2025年已发货'!$C:$C&amp;'[1]2025年已发货'!$G:$G&amp;'[1]2025年已发货'!$H:$H,'[1]2025年已发货'!$E:$E,"未发货")</f>
        <v>2.5</v>
      </c>
      <c r="I2634" s="41" t="str">
        <f>VLOOKUP(B2634,辅助信息!E:I,3,FALSE)</f>
        <v>(乐山市校地共建产教融合基地建设项目一标段)四川省乐山市市中区苏稽镇周山嘴</v>
      </c>
      <c r="J2634" s="41" t="str">
        <f>VLOOKUP(B2634,辅助信息!E:I,4,FALSE)</f>
        <v>范增云</v>
      </c>
      <c r="K2634" s="41">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84</v>
      </c>
      <c r="Q2634" s="30" t="str">
        <f>VLOOKUP(B2634,辅助信息!E:M,9,FALSE)</f>
        <v>ZTWM-CDGS-XS-2025-0125-四川机司-乐山市校地共建产教融合基地配套设施项目施工一标段钢筋采购合同</v>
      </c>
      <c r="R2634" s="30" t="str">
        <f>_xlfn._xlws.FILTER(辅助信息!D:D,辅助信息!E:E=B2634)</f>
        <v>乐山市校地共建产教融合基地建设项目</v>
      </c>
    </row>
    <row r="2635" hidden="1" spans="2:18">
      <c r="B2635" s="41" t="s">
        <v>187</v>
      </c>
      <c r="C2635" s="71">
        <v>45875</v>
      </c>
      <c r="D2635" s="41" t="str">
        <f>VLOOKUP(B2635,辅助信息!E:K,7,FALSE)</f>
        <v>JWDDCD2025072900121</v>
      </c>
      <c r="E2635" s="41" t="str">
        <f>VLOOKUP(F2635,辅助信息!A:B,2,FALSE)</f>
        <v>螺纹钢</v>
      </c>
      <c r="F2635" s="41" t="s">
        <v>27</v>
      </c>
      <c r="G2635" s="37">
        <v>9</v>
      </c>
      <c r="H2635" s="135">
        <f>_xlfn.XLOOKUP(C2635&amp;F2635&amp;I2635&amp;J2635,'[1]2025年已发货'!$F:$F&amp;'[1]2025年已发货'!$C:$C&amp;'[1]2025年已发货'!$G:$G&amp;'[1]2025年已发货'!$H:$H,'[1]2025年已发货'!$E:$E,"未发货")</f>
        <v>10</v>
      </c>
      <c r="I2635" s="41" t="str">
        <f>VLOOKUP(B2635,辅助信息!E:I,3,FALSE)</f>
        <v>(乐山市校地共建产教融合基地建设项目一标段)四川省乐山市市中区苏稽镇周山嘴</v>
      </c>
      <c r="J2635" s="41" t="str">
        <f>VLOOKUP(B2635,辅助信息!E:I,4,FALSE)</f>
        <v>范增云</v>
      </c>
      <c r="K2635" s="41">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84</v>
      </c>
      <c r="Q2635" s="30" t="str">
        <f>VLOOKUP(B2635,辅助信息!E:M,9,FALSE)</f>
        <v>ZTWM-CDGS-XS-2025-0125-四川机司-乐山市校地共建产教融合基地配套设施项目施工一标段钢筋采购合同</v>
      </c>
      <c r="R2635" s="30" t="str">
        <f>_xlfn._xlws.FILTER(辅助信息!D:D,辅助信息!E:E=B2635)</f>
        <v>乐山市校地共建产教融合基地建设项目</v>
      </c>
    </row>
    <row r="2636" hidden="1" spans="2:18">
      <c r="B2636" s="41" t="s">
        <v>187</v>
      </c>
      <c r="C2636" s="71">
        <v>45875</v>
      </c>
      <c r="D2636" s="41" t="str">
        <f>VLOOKUP(B2636,辅助信息!E:K,7,FALSE)</f>
        <v>JWDDCD2025072900121</v>
      </c>
      <c r="E2636" s="41" t="str">
        <f>VLOOKUP(F2636,辅助信息!A:B,2,FALSE)</f>
        <v>螺纹钢</v>
      </c>
      <c r="F2636" s="41" t="s">
        <v>19</v>
      </c>
      <c r="G2636" s="37">
        <v>6</v>
      </c>
      <c r="H2636" s="135">
        <f>_xlfn.XLOOKUP(C2636&amp;F2636&amp;I2636&amp;J2636,'[1]2025年已发货'!$F:$F&amp;'[1]2025年已发货'!$C:$C&amp;'[1]2025年已发货'!$G:$G&amp;'[1]2025年已发货'!$H:$H,'[1]2025年已发货'!$E:$E,"未发货")</f>
        <v>5</v>
      </c>
      <c r="I2636" s="41" t="str">
        <f>VLOOKUP(B2636,辅助信息!E:I,3,FALSE)</f>
        <v>(乐山市校地共建产教融合基地建设项目一标段)四川省乐山市市中区苏稽镇周山嘴</v>
      </c>
      <c r="J2636" s="41" t="str">
        <f>VLOOKUP(B2636,辅助信息!E:I,4,FALSE)</f>
        <v>范增云</v>
      </c>
      <c r="K2636" s="41">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84</v>
      </c>
      <c r="Q2636" s="30" t="str">
        <f>VLOOKUP(B2636,辅助信息!E:M,9,FALSE)</f>
        <v>ZTWM-CDGS-XS-2025-0125-四川机司-乐山市校地共建产教融合基地配套设施项目施工一标段钢筋采购合同</v>
      </c>
      <c r="R2636" s="30" t="str">
        <f>_xlfn._xlws.FILTER(辅助信息!D:D,辅助信息!E:E=B2636)</f>
        <v>乐山市校地共建产教融合基地建设项目</v>
      </c>
    </row>
    <row r="2637" hidden="1" spans="2:18">
      <c r="B2637" s="41" t="s">
        <v>187</v>
      </c>
      <c r="C2637" s="71">
        <v>45875</v>
      </c>
      <c r="D2637" s="41" t="str">
        <f>VLOOKUP(B2637,辅助信息!E:K,7,FALSE)</f>
        <v>JWDDCD2025072900121</v>
      </c>
      <c r="E2637" s="41" t="str">
        <f>VLOOKUP(F2637,辅助信息!A:B,2,FALSE)</f>
        <v>螺纹钢</v>
      </c>
      <c r="F2637" s="41" t="s">
        <v>30</v>
      </c>
      <c r="G2637" s="37">
        <v>3</v>
      </c>
      <c r="H2637" s="135">
        <f>_xlfn.XLOOKUP(C2637&amp;F2637&amp;I2637&amp;J2637,'[1]2025年已发货'!$F:$F&amp;'[1]2025年已发货'!$C:$C&amp;'[1]2025年已发货'!$G:$G&amp;'[1]2025年已发货'!$H:$H,'[1]2025年已发货'!$E:$E,"未发货")</f>
        <v>3</v>
      </c>
      <c r="I2637" s="41" t="str">
        <f>VLOOKUP(B2637,辅助信息!E:I,3,FALSE)</f>
        <v>(乐山市校地共建产教融合基地建设项目一标段)四川省乐山市市中区苏稽镇周山嘴</v>
      </c>
      <c r="J2637" s="41" t="str">
        <f>VLOOKUP(B2637,辅助信息!E:I,4,FALSE)</f>
        <v>范增云</v>
      </c>
      <c r="K2637" s="41">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84</v>
      </c>
      <c r="Q2637" s="30" t="str">
        <f>VLOOKUP(B2637,辅助信息!E:M,9,FALSE)</f>
        <v>ZTWM-CDGS-XS-2025-0125-四川机司-乐山市校地共建产教融合基地配套设施项目施工一标段钢筋采购合同</v>
      </c>
      <c r="R2637" s="30" t="str">
        <f>_xlfn._xlws.FILTER(辅助信息!D:D,辅助信息!E:E=B2637)</f>
        <v>乐山市校地共建产教融合基地建设项目</v>
      </c>
    </row>
    <row r="2638" hidden="1" spans="2:18">
      <c r="B2638" s="41" t="s">
        <v>187</v>
      </c>
      <c r="C2638" s="71">
        <v>45875</v>
      </c>
      <c r="D2638" s="41" t="str">
        <f>VLOOKUP(B2638,辅助信息!E:K,7,FALSE)</f>
        <v>JWDDCD2025072900121</v>
      </c>
      <c r="E2638" s="41" t="str">
        <f>VLOOKUP(F2638,辅助信息!A:B,2,FALSE)</f>
        <v>螺纹钢</v>
      </c>
      <c r="F2638" s="41" t="s">
        <v>33</v>
      </c>
      <c r="G2638" s="37">
        <v>6</v>
      </c>
      <c r="H2638" s="135">
        <f>_xlfn.XLOOKUP(C2638&amp;F2638&amp;I2638&amp;J2638,'[1]2025年已发货'!$F:$F&amp;'[1]2025年已发货'!$C:$C&amp;'[1]2025年已发货'!$G:$G&amp;'[1]2025年已发货'!$H:$H,'[1]2025年已发货'!$E:$E,"未发货")</f>
        <v>5</v>
      </c>
      <c r="I2638" s="41" t="str">
        <f>VLOOKUP(B2638,辅助信息!E:I,3,FALSE)</f>
        <v>(乐山市校地共建产教融合基地建设项目一标段)四川省乐山市市中区苏稽镇周山嘴</v>
      </c>
      <c r="J2638" s="41" t="str">
        <f>VLOOKUP(B2638,辅助信息!E:I,4,FALSE)</f>
        <v>范增云</v>
      </c>
      <c r="K2638" s="41">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84</v>
      </c>
      <c r="Q2638" s="30" t="str">
        <f>VLOOKUP(B2638,辅助信息!E:M,9,FALSE)</f>
        <v>ZTWM-CDGS-XS-2025-0125-四川机司-乐山市校地共建产教融合基地配套设施项目施工一标段钢筋采购合同</v>
      </c>
      <c r="R2638" s="30" t="str">
        <f>_xlfn._xlws.FILTER(辅助信息!D:D,辅助信息!E:E=B2638)</f>
        <v>乐山市校地共建产教融合基地建设项目</v>
      </c>
    </row>
    <row r="2639" hidden="1" spans="2:18">
      <c r="B2639" s="41" t="s">
        <v>187</v>
      </c>
      <c r="C2639" s="71">
        <v>45875</v>
      </c>
      <c r="D2639" s="41" t="str">
        <f>VLOOKUP(B2639,辅助信息!E:K,7,FALSE)</f>
        <v>JWDDCD2025072900121</v>
      </c>
      <c r="E2639" s="41" t="str">
        <f>VLOOKUP(F2639,辅助信息!A:B,2,FALSE)</f>
        <v>螺纹钢</v>
      </c>
      <c r="F2639" s="41" t="s">
        <v>28</v>
      </c>
      <c r="G2639" s="37">
        <v>6</v>
      </c>
      <c r="H2639" s="135">
        <f>_xlfn.XLOOKUP(C2639&amp;F2639&amp;I2639&amp;J2639,'[1]2025年已发货'!$F:$F&amp;'[1]2025年已发货'!$C:$C&amp;'[1]2025年已发货'!$G:$G&amp;'[1]2025年已发货'!$H:$H,'[1]2025年已发货'!$E:$E,"未发货")</f>
        <v>6</v>
      </c>
      <c r="I2639" s="41" t="str">
        <f>VLOOKUP(B2639,辅助信息!E:I,3,FALSE)</f>
        <v>(乐山市校地共建产教融合基地建设项目一标段)四川省乐山市市中区苏稽镇周山嘴</v>
      </c>
      <c r="J2639" s="41" t="str">
        <f>VLOOKUP(B2639,辅助信息!E:I,4,FALSE)</f>
        <v>范增云</v>
      </c>
      <c r="K2639" s="41">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84</v>
      </c>
      <c r="Q2639" s="30" t="str">
        <f>VLOOKUP(B2639,辅助信息!E:M,9,FALSE)</f>
        <v>ZTWM-CDGS-XS-2025-0125-四川机司-乐山市校地共建产教融合基地配套设施项目施工一标段钢筋采购合同</v>
      </c>
      <c r="R2639" s="30" t="str">
        <f>_xlfn._xlws.FILTER(辅助信息!D:D,辅助信息!E:E=B2639)</f>
        <v>乐山市校地共建产教融合基地建设项目</v>
      </c>
    </row>
    <row r="2640" hidden="1" spans="2:18">
      <c r="B2640" s="41" t="s">
        <v>187</v>
      </c>
      <c r="C2640" s="71">
        <v>45875</v>
      </c>
      <c r="D2640" s="41" t="str">
        <f>VLOOKUP(B2640,辅助信息!E:K,7,FALSE)</f>
        <v>JWDDCD2025072900121</v>
      </c>
      <c r="E2640" s="41" t="str">
        <f>VLOOKUP(F2640,辅助信息!A:B,2,FALSE)</f>
        <v>螺纹钢</v>
      </c>
      <c r="F2640" s="41" t="s">
        <v>18</v>
      </c>
      <c r="G2640" s="37">
        <v>54</v>
      </c>
      <c r="H2640" s="135">
        <f>_xlfn.XLOOKUP(C2640&amp;F2640&amp;I2640&amp;J2640,'[1]2025年已发货'!$F:$F&amp;'[1]2025年已发货'!$C:$C&amp;'[1]2025年已发货'!$G:$G&amp;'[1]2025年已发货'!$H:$H,'[1]2025年已发货'!$E:$E,"未发货")</f>
        <v>60</v>
      </c>
      <c r="I2640" s="41" t="str">
        <f>VLOOKUP(B2640,辅助信息!E:I,3,FALSE)</f>
        <v>(乐山市校地共建产教融合基地建设项目一标段)四川省乐山市市中区苏稽镇周山嘴</v>
      </c>
      <c r="J2640" s="41" t="str">
        <f>VLOOKUP(B2640,辅助信息!E:I,4,FALSE)</f>
        <v>范增云</v>
      </c>
      <c r="K2640" s="41">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84</v>
      </c>
      <c r="Q2640" s="30" t="str">
        <f>VLOOKUP(B2640,辅助信息!E:M,9,FALSE)</f>
        <v>ZTWM-CDGS-XS-2025-0125-四川机司-乐山市校地共建产教融合基地配套设施项目施工一标段钢筋采购合同</v>
      </c>
      <c r="R2640" s="30" t="str">
        <f>_xlfn._xlws.FILTER(辅助信息!D:D,辅助信息!E:E=B2640)</f>
        <v>乐山市校地共建产教融合基地建设项目</v>
      </c>
    </row>
    <row r="2641" hidden="1" spans="2:18">
      <c r="B2641" s="41" t="s">
        <v>187</v>
      </c>
      <c r="C2641" s="71">
        <v>45875</v>
      </c>
      <c r="D2641" s="41" t="str">
        <f>VLOOKUP(B2641,辅助信息!E:K,7,FALSE)</f>
        <v>JWDDCD2025072900121</v>
      </c>
      <c r="E2641" s="41" t="str">
        <f>VLOOKUP(F2641,辅助信息!A:B,2,FALSE)</f>
        <v>螺纹钢</v>
      </c>
      <c r="F2641" s="41" t="s">
        <v>142</v>
      </c>
      <c r="G2641" s="37">
        <v>3</v>
      </c>
      <c r="H2641" s="135">
        <f>_xlfn.XLOOKUP(C2641&amp;F2641&amp;I2641&amp;J2641,'[1]2025年已发货'!$F:$F&amp;'[1]2025年已发货'!$C:$C&amp;'[1]2025年已发货'!$G:$G&amp;'[1]2025年已发货'!$H:$H,'[1]2025年已发货'!$E:$E,"未发货")</f>
        <v>2.5</v>
      </c>
      <c r="I2641" s="41" t="str">
        <f>VLOOKUP(B2641,辅助信息!E:I,3,FALSE)</f>
        <v>(乐山市校地共建产教融合基地建设项目一标段)四川省乐山市市中区苏稽镇周山嘴</v>
      </c>
      <c r="J2641" s="41" t="str">
        <f>VLOOKUP(B2641,辅助信息!E:I,4,FALSE)</f>
        <v>范增云</v>
      </c>
      <c r="K2641" s="41">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84</v>
      </c>
      <c r="Q2641" s="30" t="str">
        <f>VLOOKUP(B2641,辅助信息!E:M,9,FALSE)</f>
        <v>ZTWM-CDGS-XS-2025-0125-四川机司-乐山市校地共建产教融合基地配套设施项目施工一标段钢筋采购合同</v>
      </c>
      <c r="R2641" s="30" t="str">
        <f>_xlfn._xlws.FILTER(辅助信息!D:D,辅助信息!E:E=B2641)</f>
        <v>乐山市校地共建产教融合基地建设项目</v>
      </c>
    </row>
    <row r="2642" hidden="1" spans="2:18">
      <c r="B2642" s="41" t="s">
        <v>187</v>
      </c>
      <c r="C2642" s="71">
        <v>45875</v>
      </c>
      <c r="D2642" s="41" t="str">
        <f>VLOOKUP(B2642,辅助信息!E:K,7,FALSE)</f>
        <v>JWDDCD2025072900121</v>
      </c>
      <c r="E2642" s="41" t="str">
        <f>VLOOKUP(F2642,辅助信息!A:B,2,FALSE)</f>
        <v>螺纹钢</v>
      </c>
      <c r="F2642" s="41" t="s">
        <v>200</v>
      </c>
      <c r="G2642" s="37">
        <v>3</v>
      </c>
      <c r="H2642" s="135">
        <f>_xlfn.XLOOKUP(C2642&amp;F2642&amp;I2642&amp;J2642,'[1]2025年已发货'!$F:$F&amp;'[1]2025年已发货'!$C:$C&amp;'[1]2025年已发货'!$G:$G&amp;'[1]2025年已发货'!$H:$H,'[1]2025年已发货'!$E:$E,"未发货")</f>
        <v>2.5</v>
      </c>
      <c r="I2642" s="41" t="str">
        <f>VLOOKUP(B2642,辅助信息!E:I,3,FALSE)</f>
        <v>(乐山市校地共建产教融合基地建设项目一标段)四川省乐山市市中区苏稽镇周山嘴</v>
      </c>
      <c r="J2642" s="41" t="str">
        <f>VLOOKUP(B2642,辅助信息!E:I,4,FALSE)</f>
        <v>范增云</v>
      </c>
      <c r="K2642" s="41">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84</v>
      </c>
      <c r="Q2642" s="30" t="str">
        <f>VLOOKUP(B2642,辅助信息!E:M,9,FALSE)</f>
        <v>ZTWM-CDGS-XS-2025-0125-四川机司-乐山市校地共建产教融合基地配套设施项目施工一标段钢筋采购合同</v>
      </c>
      <c r="R2642" s="30" t="str">
        <f>_xlfn._xlws.FILTER(辅助信息!D:D,辅助信息!E:E=B2642)</f>
        <v>乐山市校地共建产教融合基地建设项目</v>
      </c>
    </row>
    <row r="2643" hidden="1" spans="2:18">
      <c r="B2643" s="41" t="s">
        <v>187</v>
      </c>
      <c r="C2643" s="71">
        <v>45875</v>
      </c>
      <c r="D2643" s="41" t="str">
        <f>VLOOKUP(B2643,辅助信息!E:K,7,FALSE)</f>
        <v>JWDDCD2025072900121</v>
      </c>
      <c r="E2643" s="41" t="str">
        <f>VLOOKUP(F2643,辅助信息!A:B,2,FALSE)</f>
        <v>螺纹钢</v>
      </c>
      <c r="F2643" s="41" t="s">
        <v>201</v>
      </c>
      <c r="G2643" s="37">
        <v>6</v>
      </c>
      <c r="H2643" s="135">
        <f>_xlfn.XLOOKUP(C2643&amp;F2643&amp;I2643&amp;J2643,'[1]2025年已发货'!$F:$F&amp;'[1]2025年已发货'!$C:$C&amp;'[1]2025年已发货'!$G:$G&amp;'[1]2025年已发货'!$H:$H,'[1]2025年已发货'!$E:$E,"未发货")</f>
        <v>5</v>
      </c>
      <c r="I2643" s="41" t="str">
        <f>VLOOKUP(B2643,辅助信息!E:I,3,FALSE)</f>
        <v>(乐山市校地共建产教融合基地建设项目一标段)四川省乐山市市中区苏稽镇周山嘴</v>
      </c>
      <c r="J2643" s="41" t="str">
        <f>VLOOKUP(B2643,辅助信息!E:I,4,FALSE)</f>
        <v>范增云</v>
      </c>
      <c r="K2643" s="41">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84</v>
      </c>
      <c r="Q2643" s="30" t="str">
        <f>VLOOKUP(B2643,辅助信息!E:M,9,FALSE)</f>
        <v>ZTWM-CDGS-XS-2025-0125-四川机司-乐山市校地共建产教融合基地配套设施项目施工一标段钢筋采购合同</v>
      </c>
      <c r="R2643" s="30"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84</v>
      </c>
      <c r="Q2644" s="30" t="str">
        <f>VLOOKUP(B2644,辅助信息!E:M,9,FALSE)</f>
        <v>ZTWM-CDYXGS-XS-2025-0014-宜宾兴港建材-三江新区长江工业园片区保障性租赁住房建设项目</v>
      </c>
      <c r="R2644" s="30"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84</v>
      </c>
      <c r="Q2645" s="30" t="str">
        <f>VLOOKUP(B2645,辅助信息!E:M,9,FALSE)</f>
        <v>ZTWM-CDYXGS-XS-2025-0014-宜宾兴港建材-三江新区长江工业园片区保障性租赁住房建设项目</v>
      </c>
      <c r="R2645" s="30"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84</v>
      </c>
      <c r="Q2646" s="30" t="str">
        <f>VLOOKUP(B2646,辅助信息!E:M,9,FALSE)</f>
        <v>ZTWM-CDYXGS-XS-2025-0014-宜宾兴港建材-三江新区长江工业园片区保障性租赁住房建设项目</v>
      </c>
      <c r="R2646" s="30" t="str">
        <f>_xlfn._xlws.FILTER(辅助信息!D:D,辅助信息!E:E=B2646)</f>
        <v>宜宾兴港三江新区长江工业园建设项目</v>
      </c>
    </row>
    <row r="2647" hidden="1" spans="2:18">
      <c r="B2647" s="41" t="s">
        <v>186</v>
      </c>
      <c r="C2647" s="71">
        <v>45877</v>
      </c>
      <c r="D2647" s="41" t="str">
        <f>VLOOKUP(B2647,辅助信息!E:K,7,FALSE)</f>
        <v>JWDDCD2025072900123</v>
      </c>
      <c r="E2647" s="41" t="str">
        <f>VLOOKUP(F2647,辅助信息!A:B,2,FALSE)</f>
        <v>盘螺</v>
      </c>
      <c r="F2647" s="41" t="s">
        <v>40</v>
      </c>
      <c r="G2647" s="140">
        <v>22.5</v>
      </c>
      <c r="H2647" s="135">
        <f>_xlfn.XLOOKUP(C2647&amp;F2647&amp;I2647&amp;J2647,'[1]2025年已发货'!$F:$F&amp;'[1]2025年已发货'!$C:$C&amp;'[1]2025年已发货'!$G:$G&amp;'[1]2025年已发货'!$H:$H,'[1]2025年已发货'!$E:$E,"未发货")</f>
        <v>22.5</v>
      </c>
      <c r="I2647" s="41" t="str">
        <f>VLOOKUP(B2647,辅助信息!E:I,3,FALSE)</f>
        <v>(乐山市校地共建产教融合基地建设项目二标段)四川省乐山市市中区苏稽镇</v>
      </c>
      <c r="J2647" s="41" t="str">
        <f>VLOOKUP(B2647,辅助信息!E:I,4,FALSE)</f>
        <v>彭江涛</v>
      </c>
      <c r="K2647" s="41">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30" t="str">
        <f>VLOOKUP(B2647,辅助信息!E:M,9,FALSE)</f>
        <v>ZTWM-CDGS-XS-2025-0126-四川机司-乐山市校地共建产教融合基地配套设施项目施工二标段钢筋采购合同</v>
      </c>
      <c r="R2647" s="30" t="str">
        <f>_xlfn._xlws.FILTER(辅助信息!D:D,辅助信息!E:E=B2647)</f>
        <v>乐山市校地共建产教融合基地建设项目</v>
      </c>
    </row>
    <row r="2648" hidden="1" spans="2:18">
      <c r="B2648" s="41" t="s">
        <v>186</v>
      </c>
      <c r="C2648" s="71">
        <v>45877</v>
      </c>
      <c r="D2648" s="41" t="str">
        <f>VLOOKUP(B2648,辅助信息!E:K,7,FALSE)</f>
        <v>JWDDCD2025072900123</v>
      </c>
      <c r="E2648" s="41" t="str">
        <f>VLOOKUP(F2648,辅助信息!A:B,2,FALSE)</f>
        <v>盘螺</v>
      </c>
      <c r="F2648" s="41" t="s">
        <v>41</v>
      </c>
      <c r="G2648" s="140">
        <v>29</v>
      </c>
      <c r="H2648" s="135">
        <f>_xlfn.XLOOKUP(C2648&amp;F2648&amp;I2648&amp;J2648,'[1]2025年已发货'!$F:$F&amp;'[1]2025年已发货'!$C:$C&amp;'[1]2025年已发货'!$G:$G&amp;'[1]2025年已发货'!$H:$H,'[1]2025年已发货'!$E:$E,"未发货")</f>
        <v>29</v>
      </c>
      <c r="I2648" s="41" t="str">
        <f>VLOOKUP(B2648,辅助信息!E:I,3,FALSE)</f>
        <v>(乐山市校地共建产教融合基地建设项目二标段)四川省乐山市市中区苏稽镇</v>
      </c>
      <c r="J2648" s="41" t="str">
        <f>VLOOKUP(B2648,辅助信息!E:I,4,FALSE)</f>
        <v>彭江涛</v>
      </c>
      <c r="K2648" s="41">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30" t="str">
        <f>VLOOKUP(B2648,辅助信息!E:M,9,FALSE)</f>
        <v>ZTWM-CDGS-XS-2025-0126-四川机司-乐山市校地共建产教融合基地配套设施项目施工二标段钢筋采购合同</v>
      </c>
      <c r="R2648" s="30" t="str">
        <f>_xlfn._xlws.FILTER(辅助信息!D:D,辅助信息!E:E=B2648)</f>
        <v>乐山市校地共建产教融合基地建设项目</v>
      </c>
    </row>
    <row r="2649" hidden="1" spans="2:18">
      <c r="B2649" s="41" t="s">
        <v>186</v>
      </c>
      <c r="C2649" s="71">
        <v>45877</v>
      </c>
      <c r="D2649" s="41" t="str">
        <f>VLOOKUP(B2649,辅助信息!E:K,7,FALSE)</f>
        <v>JWDDCD2025072900123</v>
      </c>
      <c r="E2649" s="41" t="str">
        <f>VLOOKUP(F2649,辅助信息!A:B,2,FALSE)</f>
        <v>盘螺</v>
      </c>
      <c r="F2649" s="41" t="s">
        <v>26</v>
      </c>
      <c r="G2649" s="140">
        <v>10.6</v>
      </c>
      <c r="H2649" s="135">
        <f>_xlfn.XLOOKUP(C2649&amp;F2649&amp;I2649&amp;J2649,'[1]2025年已发货'!$F:$F&amp;'[1]2025年已发货'!$C:$C&amp;'[1]2025年已发货'!$G:$G&amp;'[1]2025年已发货'!$H:$H,'[1]2025年已发货'!$E:$E,"未发货")</f>
        <v>10.6</v>
      </c>
      <c r="I2649" s="41" t="str">
        <f>VLOOKUP(B2649,辅助信息!E:I,3,FALSE)</f>
        <v>(乐山市校地共建产教融合基地建设项目二标段)四川省乐山市市中区苏稽镇</v>
      </c>
      <c r="J2649" s="41" t="str">
        <f>VLOOKUP(B2649,辅助信息!E:I,4,FALSE)</f>
        <v>彭江涛</v>
      </c>
      <c r="K2649" s="41">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30" t="str">
        <f>VLOOKUP(B2649,辅助信息!E:M,9,FALSE)</f>
        <v>ZTWM-CDGS-XS-2025-0126-四川机司-乐山市校地共建产教融合基地配套设施项目施工二标段钢筋采购合同</v>
      </c>
      <c r="R2649" s="30" t="str">
        <f>_xlfn._xlws.FILTER(辅助信息!D:D,辅助信息!E:E=B2649)</f>
        <v>乐山市校地共建产教融合基地建设项目</v>
      </c>
    </row>
    <row r="2650" hidden="1" spans="2:18">
      <c r="B2650" s="41" t="s">
        <v>186</v>
      </c>
      <c r="C2650" s="71">
        <v>45877</v>
      </c>
      <c r="D2650" s="41" t="str">
        <f>VLOOKUP(B2650,辅助信息!E:K,7,FALSE)</f>
        <v>JWDDCD2025072900123</v>
      </c>
      <c r="E2650" s="41" t="str">
        <f>VLOOKUP(F2650,辅助信息!A:B,2,FALSE)</f>
        <v>螺纹钢</v>
      </c>
      <c r="F2650" s="41" t="s">
        <v>111</v>
      </c>
      <c r="G2650" s="140">
        <v>10</v>
      </c>
      <c r="H2650" s="135">
        <f>_xlfn.XLOOKUP(C2650&amp;F2650&amp;I2650&amp;J2650,'[1]2025年已发货'!$F:$F&amp;'[1]2025年已发货'!$C:$C&amp;'[1]2025年已发货'!$G:$G&amp;'[1]2025年已发货'!$H:$H,'[1]2025年已发货'!$E:$E,"未发货")</f>
        <v>10</v>
      </c>
      <c r="I2650" s="41" t="str">
        <f>VLOOKUP(B2650,辅助信息!E:I,3,FALSE)</f>
        <v>(乐山市校地共建产教融合基地建设项目二标段)四川省乐山市市中区苏稽镇</v>
      </c>
      <c r="J2650" s="41" t="str">
        <f>VLOOKUP(B2650,辅助信息!E:I,4,FALSE)</f>
        <v>彭江涛</v>
      </c>
      <c r="K2650" s="41">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30" t="str">
        <f>VLOOKUP(B2650,辅助信息!E:M,9,FALSE)</f>
        <v>ZTWM-CDGS-XS-2025-0126-四川机司-乐山市校地共建产教融合基地配套设施项目施工二标段钢筋采购合同</v>
      </c>
      <c r="R2650" s="30" t="str">
        <f>_xlfn._xlws.FILTER(辅助信息!D:D,辅助信息!E:E=B2650)</f>
        <v>乐山市校地共建产教融合基地建设项目</v>
      </c>
    </row>
    <row r="2651" hidden="1" spans="2:18">
      <c r="B2651" s="41" t="s">
        <v>186</v>
      </c>
      <c r="C2651" s="71">
        <v>45877</v>
      </c>
      <c r="D2651" s="41" t="str">
        <f>VLOOKUP(B2651,辅助信息!E:K,7,FALSE)</f>
        <v>JWDDCD2025072900123</v>
      </c>
      <c r="E2651" s="41" t="str">
        <f>VLOOKUP(F2651,辅助信息!A:B,2,FALSE)</f>
        <v>螺纹钢</v>
      </c>
      <c r="F2651" s="41" t="s">
        <v>76</v>
      </c>
      <c r="G2651" s="140">
        <v>6.5</v>
      </c>
      <c r="H2651" s="135">
        <f>_xlfn.XLOOKUP(C2651&amp;F2651&amp;I2651&amp;J2651,'[1]2025年已发货'!$F:$F&amp;'[1]2025年已发货'!$C:$C&amp;'[1]2025年已发货'!$G:$G&amp;'[1]2025年已发货'!$H:$H,'[1]2025年已发货'!$E:$E,"未发货")</f>
        <v>6.5</v>
      </c>
      <c r="I2651" s="41" t="str">
        <f>VLOOKUP(B2651,辅助信息!E:I,3,FALSE)</f>
        <v>(乐山市校地共建产教融合基地建设项目二标段)四川省乐山市市中区苏稽镇</v>
      </c>
      <c r="J2651" s="41" t="str">
        <f>VLOOKUP(B2651,辅助信息!E:I,4,FALSE)</f>
        <v>彭江涛</v>
      </c>
      <c r="K2651" s="41">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30" t="str">
        <f>VLOOKUP(B2651,辅助信息!E:M,9,FALSE)</f>
        <v>ZTWM-CDGS-XS-2025-0126-四川机司-乐山市校地共建产教融合基地配套设施项目施工二标段钢筋采购合同</v>
      </c>
      <c r="R2651" s="30" t="str">
        <f>_xlfn._xlws.FILTER(辅助信息!D:D,辅助信息!E:E=B2651)</f>
        <v>乐山市校地共建产教融合基地建设项目</v>
      </c>
    </row>
    <row r="2652" hidden="1" spans="2:18">
      <c r="B2652" s="41" t="s">
        <v>186</v>
      </c>
      <c r="C2652" s="71">
        <v>45877</v>
      </c>
      <c r="D2652" s="41" t="str">
        <f>VLOOKUP(B2652,辅助信息!E:K,7,FALSE)</f>
        <v>JWDDCD2025072900123</v>
      </c>
      <c r="E2652" s="41" t="str">
        <f>VLOOKUP(F2652,辅助信息!A:B,2,FALSE)</f>
        <v>螺纹钢</v>
      </c>
      <c r="F2652" s="41" t="s">
        <v>19</v>
      </c>
      <c r="G2652" s="140">
        <v>3</v>
      </c>
      <c r="H2652" s="135">
        <f>_xlfn.XLOOKUP(C2652&amp;F2652&amp;I2652&amp;J2652,'[1]2025年已发货'!$F:$F&amp;'[1]2025年已发货'!$C:$C&amp;'[1]2025年已发货'!$G:$G&amp;'[1]2025年已发货'!$H:$H,'[1]2025年已发货'!$E:$E,"未发货")</f>
        <v>3</v>
      </c>
      <c r="I2652" s="41" t="str">
        <f>VLOOKUP(B2652,辅助信息!E:I,3,FALSE)</f>
        <v>(乐山市校地共建产教融合基地建设项目二标段)四川省乐山市市中区苏稽镇</v>
      </c>
      <c r="J2652" s="41" t="str">
        <f>VLOOKUP(B2652,辅助信息!E:I,4,FALSE)</f>
        <v>彭江涛</v>
      </c>
      <c r="K2652" s="41">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30" t="str">
        <f>VLOOKUP(B2652,辅助信息!E:M,9,FALSE)</f>
        <v>ZTWM-CDGS-XS-2025-0126-四川机司-乐山市校地共建产教融合基地配套设施项目施工二标段钢筋采购合同</v>
      </c>
      <c r="R2652" s="30" t="str">
        <f>_xlfn._xlws.FILTER(辅助信息!D:D,辅助信息!E:E=B2652)</f>
        <v>乐山市校地共建产教融合基地建设项目</v>
      </c>
    </row>
    <row r="2653" hidden="1" spans="2:18">
      <c r="B2653" s="41" t="s">
        <v>186</v>
      </c>
      <c r="C2653" s="71">
        <v>45877</v>
      </c>
      <c r="D2653" s="41" t="str">
        <f>VLOOKUP(B2653,辅助信息!E:K,7,FALSE)</f>
        <v>JWDDCD2025072900123</v>
      </c>
      <c r="E2653" s="41" t="str">
        <f>VLOOKUP(F2653,辅助信息!A:B,2,FALSE)</f>
        <v>螺纹钢</v>
      </c>
      <c r="F2653" s="41" t="s">
        <v>130</v>
      </c>
      <c r="G2653" s="140">
        <v>3</v>
      </c>
      <c r="H2653" s="135">
        <f>_xlfn.XLOOKUP(C2653&amp;F2653&amp;I2653&amp;J2653,'[1]2025年已发货'!$F:$F&amp;'[1]2025年已发货'!$C:$C&amp;'[1]2025年已发货'!$G:$G&amp;'[1]2025年已发货'!$H:$H,'[1]2025年已发货'!$E:$E,"未发货")</f>
        <v>3</v>
      </c>
      <c r="I2653" s="41" t="str">
        <f>VLOOKUP(B2653,辅助信息!E:I,3,FALSE)</f>
        <v>(乐山市校地共建产教融合基地建设项目二标段)四川省乐山市市中区苏稽镇</v>
      </c>
      <c r="J2653" s="41" t="str">
        <f>VLOOKUP(B2653,辅助信息!E:I,4,FALSE)</f>
        <v>彭江涛</v>
      </c>
      <c r="K2653" s="41">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30" t="str">
        <f>VLOOKUP(B2653,辅助信息!E:M,9,FALSE)</f>
        <v>ZTWM-CDGS-XS-2025-0126-四川机司-乐山市校地共建产教融合基地配套设施项目施工二标段钢筋采购合同</v>
      </c>
      <c r="R2653" s="30" t="str">
        <f>_xlfn._xlws.FILTER(辅助信息!D:D,辅助信息!E:E=B2653)</f>
        <v>乐山市校地共建产教融合基地建设项目</v>
      </c>
    </row>
    <row r="2654" hidden="1" spans="2:18">
      <c r="B2654" s="41" t="s">
        <v>186</v>
      </c>
      <c r="C2654" s="71">
        <v>45877</v>
      </c>
      <c r="D2654" s="41" t="str">
        <f>VLOOKUP(B2654,辅助信息!E:K,7,FALSE)</f>
        <v>JWDDCD2025072900123</v>
      </c>
      <c r="E2654" s="41" t="str">
        <f>VLOOKUP(F2654,辅助信息!A:B,2,FALSE)</f>
        <v>螺纹钢</v>
      </c>
      <c r="F2654" s="41" t="s">
        <v>133</v>
      </c>
      <c r="G2654" s="140">
        <v>37</v>
      </c>
      <c r="H2654" s="135">
        <f>_xlfn.XLOOKUP(C2654&amp;F2654&amp;I2654&amp;J2654,'[1]2025年已发货'!$F:$F&amp;'[1]2025年已发货'!$C:$C&amp;'[1]2025年已发货'!$G:$G&amp;'[1]2025年已发货'!$H:$H,'[1]2025年已发货'!$E:$E,"未发货")</f>
        <v>37</v>
      </c>
      <c r="I2654" s="41" t="str">
        <f>VLOOKUP(B2654,辅助信息!E:I,3,FALSE)</f>
        <v>(乐山市校地共建产教融合基地建设项目二标段)四川省乐山市市中区苏稽镇</v>
      </c>
      <c r="J2654" s="41" t="str">
        <f>VLOOKUP(B2654,辅助信息!E:I,4,FALSE)</f>
        <v>彭江涛</v>
      </c>
      <c r="K2654" s="41">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30" t="str">
        <f>VLOOKUP(B2654,辅助信息!E:M,9,FALSE)</f>
        <v>ZTWM-CDGS-XS-2025-0126-四川机司-乐山市校地共建产教融合基地配套设施项目施工二标段钢筋采购合同</v>
      </c>
      <c r="R2654" s="30" t="str">
        <f>_xlfn._xlws.FILTER(辅助信息!D:D,辅助信息!E:E=B2654)</f>
        <v>乐山市校地共建产教融合基地建设项目</v>
      </c>
    </row>
    <row r="2655" hidden="1" spans="2:18">
      <c r="B2655" s="41" t="s">
        <v>186</v>
      </c>
      <c r="C2655" s="71">
        <v>45877</v>
      </c>
      <c r="D2655" s="41" t="str">
        <f>VLOOKUP(B2655,辅助信息!E:K,7,FALSE)</f>
        <v>JWDDCD2025072900123</v>
      </c>
      <c r="E2655" s="41" t="str">
        <f>VLOOKUP(F2655,辅助信息!A:B,2,FALSE)</f>
        <v>螺纹钢</v>
      </c>
      <c r="F2655" s="41" t="s">
        <v>91</v>
      </c>
      <c r="G2655" s="140">
        <v>37</v>
      </c>
      <c r="H2655" s="135">
        <f>_xlfn.XLOOKUP(C2655&amp;F2655&amp;I2655&amp;J2655,'[1]2025年已发货'!$F:$F&amp;'[1]2025年已发货'!$C:$C&amp;'[1]2025年已发货'!$G:$G&amp;'[1]2025年已发货'!$H:$H,'[1]2025年已发货'!$E:$E,"未发货")</f>
        <v>37</v>
      </c>
      <c r="I2655" s="41" t="str">
        <f>VLOOKUP(B2655,辅助信息!E:I,3,FALSE)</f>
        <v>(乐山市校地共建产教融合基地建设项目二标段)四川省乐山市市中区苏稽镇</v>
      </c>
      <c r="J2655" s="41" t="str">
        <f>VLOOKUP(B2655,辅助信息!E:I,4,FALSE)</f>
        <v>彭江涛</v>
      </c>
      <c r="K2655" s="41">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30" t="str">
        <f>VLOOKUP(B2655,辅助信息!E:M,9,FALSE)</f>
        <v>ZTWM-CDGS-XS-2025-0126-四川机司-乐山市校地共建产教融合基地配套设施项目施工二标段钢筋采购合同</v>
      </c>
      <c r="R2655" s="30" t="str">
        <f>_xlfn._xlws.FILTER(辅助信息!D:D,辅助信息!E:E=B2655)</f>
        <v>乐山市校地共建产教融合基地建设项目</v>
      </c>
    </row>
    <row r="2656" hidden="1" spans="2:18">
      <c r="B2656" s="41" t="s">
        <v>186</v>
      </c>
      <c r="C2656" s="71">
        <v>45877</v>
      </c>
      <c r="D2656" s="41" t="str">
        <f>VLOOKUP(B2656,辅助信息!E:K,7,FALSE)</f>
        <v>JWDDCD2025072900123</v>
      </c>
      <c r="E2656" s="41" t="str">
        <f>VLOOKUP(F2656,辅助信息!A:B,2,FALSE)</f>
        <v>螺纹钢</v>
      </c>
      <c r="F2656" s="41" t="s">
        <v>205</v>
      </c>
      <c r="G2656" s="140">
        <v>6.5</v>
      </c>
      <c r="H2656" s="135">
        <f>_xlfn.XLOOKUP(C2656&amp;F2656&amp;I2656&amp;J2656,'[1]2025年已发货'!$F:$F&amp;'[1]2025年已发货'!$C:$C&amp;'[1]2025年已发货'!$G:$G&amp;'[1]2025年已发货'!$H:$H,'[1]2025年已发货'!$E:$E,"未发货")</f>
        <v>6.5</v>
      </c>
      <c r="I2656" s="41" t="str">
        <f>VLOOKUP(B2656,辅助信息!E:I,3,FALSE)</f>
        <v>(乐山市校地共建产教融合基地建设项目二标段)四川省乐山市市中区苏稽镇</v>
      </c>
      <c r="J2656" s="41" t="str">
        <f>VLOOKUP(B2656,辅助信息!E:I,4,FALSE)</f>
        <v>彭江涛</v>
      </c>
      <c r="K2656" s="41">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30" t="str">
        <f>VLOOKUP(B2656,辅助信息!E:M,9,FALSE)</f>
        <v>ZTWM-CDGS-XS-2025-0126-四川机司-乐山市校地共建产教融合基地配套设施项目施工二标段钢筋采购合同</v>
      </c>
      <c r="R2656" s="30" t="str">
        <f>_xlfn._xlws.FILTER(辅助信息!D:D,辅助信息!E:E=B2656)</f>
        <v>乐山市校地共建产教融合基地建设项目</v>
      </c>
    </row>
    <row r="2657" hidden="1" spans="2:18">
      <c r="B2657" s="41" t="s">
        <v>186</v>
      </c>
      <c r="C2657" s="71">
        <v>45877</v>
      </c>
      <c r="D2657" s="41" t="str">
        <f>VLOOKUP(B2657,辅助信息!E:K,7,FALSE)</f>
        <v>JWDDCD2025072900123</v>
      </c>
      <c r="E2657" s="41" t="str">
        <f>VLOOKUP(F2657,辅助信息!A:B,2,FALSE)</f>
        <v>螺纹钢</v>
      </c>
      <c r="F2657" s="41" t="s">
        <v>140</v>
      </c>
      <c r="G2657" s="140">
        <v>22.6</v>
      </c>
      <c r="H2657" s="135">
        <f>_xlfn.XLOOKUP(C2657&amp;F2657&amp;I2657&amp;J2657,'[1]2025年已发货'!$F:$F&amp;'[1]2025年已发货'!$C:$C&amp;'[1]2025年已发货'!$G:$G&amp;'[1]2025年已发货'!$H:$H,'[1]2025年已发货'!$E:$E,"未发货")</f>
        <v>22.6</v>
      </c>
      <c r="I2657" s="41" t="str">
        <f>VLOOKUP(B2657,辅助信息!E:I,3,FALSE)</f>
        <v>(乐山市校地共建产教融合基地建设项目二标段)四川省乐山市市中区苏稽镇</v>
      </c>
      <c r="J2657" s="41" t="str">
        <f>VLOOKUP(B2657,辅助信息!E:I,4,FALSE)</f>
        <v>彭江涛</v>
      </c>
      <c r="K2657" s="41">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30" t="str">
        <f>VLOOKUP(B2657,辅助信息!E:M,9,FALSE)</f>
        <v>ZTWM-CDGS-XS-2025-0126-四川机司-乐山市校地共建产教融合基地配套设施项目施工二标段钢筋采购合同</v>
      </c>
      <c r="R2657" s="30" t="str">
        <f>_xlfn._xlws.FILTER(辅助信息!D:D,辅助信息!E:E=B2657)</f>
        <v>乐山市校地共建产教融合基地建设项目</v>
      </c>
    </row>
    <row r="2658" hidden="1" spans="2:18">
      <c r="B2658" s="41" t="s">
        <v>186</v>
      </c>
      <c r="C2658" s="71">
        <v>45877</v>
      </c>
      <c r="D2658" s="41" t="str">
        <f>VLOOKUP(B2658,辅助信息!E:K,7,FALSE)</f>
        <v>JWDDCD2025072900123</v>
      </c>
      <c r="E2658" s="41" t="str">
        <f>VLOOKUP(F2658,辅助信息!A:B,2,FALSE)</f>
        <v>螺纹钢</v>
      </c>
      <c r="F2658" s="41" t="s">
        <v>197</v>
      </c>
      <c r="G2658" s="140">
        <v>3</v>
      </c>
      <c r="H2658" s="135">
        <f>_xlfn.XLOOKUP(C2658&amp;F2658&amp;I2658&amp;J2658,'[1]2025年已发货'!$F:$F&amp;'[1]2025年已发货'!$C:$C&amp;'[1]2025年已发货'!$G:$G&amp;'[1]2025年已发货'!$H:$H,'[1]2025年已发货'!$E:$E,"未发货")</f>
        <v>3</v>
      </c>
      <c r="I2658" s="41" t="str">
        <f>VLOOKUP(B2658,辅助信息!E:I,3,FALSE)</f>
        <v>(乐山市校地共建产教融合基地建设项目二标段)四川省乐山市市中区苏稽镇</v>
      </c>
      <c r="J2658" s="41" t="str">
        <f>VLOOKUP(B2658,辅助信息!E:I,4,FALSE)</f>
        <v>彭江涛</v>
      </c>
      <c r="K2658" s="41">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30" t="str">
        <f>VLOOKUP(B2658,辅助信息!E:M,9,FALSE)</f>
        <v>ZTWM-CDGS-XS-2025-0126-四川机司-乐山市校地共建产教融合基地配套设施项目施工二标段钢筋采购合同</v>
      </c>
      <c r="R2658" s="30" t="str">
        <f>_xlfn._xlws.FILTER(辅助信息!D:D,辅助信息!E:E=B2658)</f>
        <v>乐山市校地共建产教融合基地建设项目</v>
      </c>
    </row>
    <row r="2659" hidden="1" spans="2:18">
      <c r="B2659" s="41" t="s">
        <v>186</v>
      </c>
      <c r="C2659" s="71">
        <v>45877</v>
      </c>
      <c r="D2659" s="41" t="str">
        <f>VLOOKUP(B2659,辅助信息!E:K,7,FALSE)</f>
        <v>JWDDCD2025072900123</v>
      </c>
      <c r="E2659" s="41" t="str">
        <f>VLOOKUP(F2659,辅助信息!A:B,2,FALSE)</f>
        <v>螺纹钢</v>
      </c>
      <c r="F2659" s="41" t="s">
        <v>198</v>
      </c>
      <c r="G2659" s="140">
        <v>12.7</v>
      </c>
      <c r="H2659" s="135">
        <f>_xlfn.XLOOKUP(C2659&amp;F2659&amp;I2659&amp;J2659,'[1]2025年已发货'!$F:$F&amp;'[1]2025年已发货'!$C:$C&amp;'[1]2025年已发货'!$G:$G&amp;'[1]2025年已发货'!$H:$H,'[1]2025年已发货'!$E:$E,"未发货")</f>
        <v>12.7</v>
      </c>
      <c r="I2659" s="41" t="str">
        <f>VLOOKUP(B2659,辅助信息!E:I,3,FALSE)</f>
        <v>(乐山市校地共建产教融合基地建设项目二标段)四川省乐山市市中区苏稽镇</v>
      </c>
      <c r="J2659" s="41" t="str">
        <f>VLOOKUP(B2659,辅助信息!E:I,4,FALSE)</f>
        <v>彭江涛</v>
      </c>
      <c r="K2659" s="41">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30" t="str">
        <f>VLOOKUP(B2659,辅助信息!E:M,9,FALSE)</f>
        <v>ZTWM-CDGS-XS-2025-0126-四川机司-乐山市校地共建产教融合基地配套设施项目施工二标段钢筋采购合同</v>
      </c>
      <c r="R2659" s="30" t="str">
        <f>_xlfn._xlws.FILTER(辅助信息!D:D,辅助信息!E:E=B2659)</f>
        <v>乐山市校地共建产教融合基地建设项目</v>
      </c>
    </row>
    <row r="2660" hidden="1" spans="2:18">
      <c r="B2660" s="41" t="s">
        <v>186</v>
      </c>
      <c r="C2660" s="71">
        <v>45877</v>
      </c>
      <c r="D2660" s="41" t="str">
        <f>VLOOKUP(B2660,辅助信息!E:K,7,FALSE)</f>
        <v>JWDDCD2025072900123</v>
      </c>
      <c r="E2660" s="41" t="str">
        <f>VLOOKUP(F2660,辅助信息!A:B,2,FALSE)</f>
        <v>螺纹钢</v>
      </c>
      <c r="F2660" s="41" t="s">
        <v>58</v>
      </c>
      <c r="G2660" s="140">
        <v>3</v>
      </c>
      <c r="H2660" s="135">
        <f>_xlfn.XLOOKUP(C2660&amp;F2660&amp;I2660&amp;J2660,'[1]2025年已发货'!$F:$F&amp;'[1]2025年已发货'!$C:$C&amp;'[1]2025年已发货'!$G:$G&amp;'[1]2025年已发货'!$H:$H,'[1]2025年已发货'!$E:$E,"未发货")</f>
        <v>3</v>
      </c>
      <c r="I2660" s="41" t="str">
        <f>VLOOKUP(B2660,辅助信息!E:I,3,FALSE)</f>
        <v>(乐山市校地共建产教融合基地建设项目二标段)四川省乐山市市中区苏稽镇</v>
      </c>
      <c r="J2660" s="41" t="str">
        <f>VLOOKUP(B2660,辅助信息!E:I,4,FALSE)</f>
        <v>彭江涛</v>
      </c>
      <c r="K2660" s="41">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30" t="str">
        <f>VLOOKUP(B2660,辅助信息!E:M,9,FALSE)</f>
        <v>ZTWM-CDGS-XS-2025-0126-四川机司-乐山市校地共建产教融合基地配套设施项目施工二标段钢筋采购合同</v>
      </c>
      <c r="R2660" s="30" t="str">
        <f>_xlfn._xlws.FILTER(辅助信息!D:D,辅助信息!E:E=B2660)</f>
        <v>乐山市校地共建产教融合基地建设项目</v>
      </c>
    </row>
    <row r="2661" hidden="1" spans="2:18">
      <c r="B2661" s="41" t="s">
        <v>186</v>
      </c>
      <c r="C2661" s="71">
        <v>45877</v>
      </c>
      <c r="D2661" s="41" t="str">
        <f>VLOOKUP(B2661,辅助信息!E:K,7,FALSE)</f>
        <v>JWDDCD2025072900123</v>
      </c>
      <c r="E2661" s="41" t="str">
        <f>VLOOKUP(F2661,辅助信息!A:B,2,FALSE)</f>
        <v>螺纹钢</v>
      </c>
      <c r="F2661" s="41" t="s">
        <v>199</v>
      </c>
      <c r="G2661" s="140">
        <v>26.6</v>
      </c>
      <c r="H2661" s="135">
        <f>_xlfn.XLOOKUP(C2661&amp;F2661&amp;I2661&amp;J2661,'[1]2025年已发货'!$F:$F&amp;'[1]2025年已发货'!$C:$C&amp;'[1]2025年已发货'!$G:$G&amp;'[1]2025年已发货'!$H:$H,'[1]2025年已发货'!$E:$E,"未发货")</f>
        <v>26.6</v>
      </c>
      <c r="I2661" s="41" t="str">
        <f>VLOOKUP(B2661,辅助信息!E:I,3,FALSE)</f>
        <v>(乐山市校地共建产教融合基地建设项目二标段)四川省乐山市市中区苏稽镇</v>
      </c>
      <c r="J2661" s="41" t="str">
        <f>VLOOKUP(B2661,辅助信息!E:I,4,FALSE)</f>
        <v>彭江涛</v>
      </c>
      <c r="K2661" s="41">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30" t="str">
        <f>VLOOKUP(B2661,辅助信息!E:M,9,FALSE)</f>
        <v>ZTWM-CDGS-XS-2025-0126-四川机司-乐山市校地共建产教融合基地配套设施项目施工二标段钢筋采购合同</v>
      </c>
      <c r="R2661" s="30" t="str">
        <f>_xlfn._xlws.FILTER(辅助信息!D:D,辅助信息!E:E=B2661)</f>
        <v>乐山市校地共建产教融合基地建设项目</v>
      </c>
    </row>
    <row r="2662" hidden="1" spans="2:18">
      <c r="B2662" s="41" t="s">
        <v>186</v>
      </c>
      <c r="C2662" s="71">
        <v>45877</v>
      </c>
      <c r="D2662" s="41" t="str">
        <f>VLOOKUP(B2662,辅助信息!E:K,7,FALSE)</f>
        <v>JWDDCD2025072900123</v>
      </c>
      <c r="E2662" s="41" t="str">
        <f>VLOOKUP(F2662,辅助信息!A:B,2,FALSE)</f>
        <v>螺纹钢</v>
      </c>
      <c r="F2662" s="41" t="s">
        <v>46</v>
      </c>
      <c r="G2662" s="140">
        <v>3</v>
      </c>
      <c r="H2662" s="135">
        <f>_xlfn.XLOOKUP(C2662&amp;F2662&amp;I2662&amp;J2662,'[1]2025年已发货'!$F:$F&amp;'[1]2025年已发货'!$C:$C&amp;'[1]2025年已发货'!$G:$G&amp;'[1]2025年已发货'!$H:$H,'[1]2025年已发货'!$E:$E,"未发货")</f>
        <v>3</v>
      </c>
      <c r="I2662" s="41" t="str">
        <f>VLOOKUP(B2662,辅助信息!E:I,3,FALSE)</f>
        <v>(乐山市校地共建产教融合基地建设项目二标段)四川省乐山市市中区苏稽镇</v>
      </c>
      <c r="J2662" s="41" t="str">
        <f>VLOOKUP(B2662,辅助信息!E:I,4,FALSE)</f>
        <v>彭江涛</v>
      </c>
      <c r="K2662" s="41">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30" t="str">
        <f>VLOOKUP(B2662,辅助信息!E:M,9,FALSE)</f>
        <v>ZTWM-CDGS-XS-2025-0126-四川机司-乐山市校地共建产教融合基地配套设施项目施工二标段钢筋采购合同</v>
      </c>
      <c r="R2662" s="30" t="str">
        <f>_xlfn._xlws.FILTER(辅助信息!D:D,辅助信息!E:E=B2662)</f>
        <v>乐山市校地共建产教融合基地建设项目</v>
      </c>
    </row>
    <row r="2663" hidden="1" spans="2:18">
      <c r="B2663" s="41" t="s">
        <v>186</v>
      </c>
      <c r="C2663" s="71">
        <v>45877</v>
      </c>
      <c r="D2663" s="41" t="str">
        <f>VLOOKUP(B2663,辅助信息!E:K,7,FALSE)</f>
        <v>JWDDCD2025072900123</v>
      </c>
      <c r="E2663" s="41" t="str">
        <f>VLOOKUP(F2663,辅助信息!A:B,2,FALSE)</f>
        <v>螺纹钢</v>
      </c>
      <c r="F2663" s="41" t="s">
        <v>141</v>
      </c>
      <c r="G2663" s="140">
        <v>30</v>
      </c>
      <c r="H2663" s="135">
        <f>_xlfn.XLOOKUP(C2663&amp;F2663&amp;I2663&amp;J2663,'[1]2025年已发货'!$F:$F&amp;'[1]2025年已发货'!$C:$C&amp;'[1]2025年已发货'!$G:$G&amp;'[1]2025年已发货'!$H:$H,'[1]2025年已发货'!$E:$E,"未发货")</f>
        <v>30</v>
      </c>
      <c r="I2663" s="41" t="str">
        <f>VLOOKUP(B2663,辅助信息!E:I,3,FALSE)</f>
        <v>(乐山市校地共建产教融合基地建设项目二标段)四川省乐山市市中区苏稽镇</v>
      </c>
      <c r="J2663" s="41" t="str">
        <f>VLOOKUP(B2663,辅助信息!E:I,4,FALSE)</f>
        <v>彭江涛</v>
      </c>
      <c r="K2663" s="41">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30" t="str">
        <f>VLOOKUP(B2663,辅助信息!E:M,9,FALSE)</f>
        <v>ZTWM-CDGS-XS-2025-0126-四川机司-乐山市校地共建产教融合基地配套设施项目施工二标段钢筋采购合同</v>
      </c>
      <c r="R2663" s="30" t="str">
        <f>_xlfn._xlws.FILTER(辅助信息!D:D,辅助信息!E:E=B2663)</f>
        <v>乐山市校地共建产教融合基地建设项目</v>
      </c>
    </row>
    <row r="2664" hidden="1" spans="2:18">
      <c r="B2664" s="41" t="s">
        <v>186</v>
      </c>
      <c r="C2664" s="71">
        <v>45877</v>
      </c>
      <c r="D2664" s="41" t="str">
        <f>VLOOKUP(B2664,辅助信息!E:K,7,FALSE)</f>
        <v>JWDDCD2025072900123</v>
      </c>
      <c r="E2664" s="41" t="str">
        <f>VLOOKUP(F2664,辅助信息!A:B,2,FALSE)</f>
        <v>螺纹钢</v>
      </c>
      <c r="F2664" s="41" t="s">
        <v>22</v>
      </c>
      <c r="G2664" s="140">
        <v>4</v>
      </c>
      <c r="H2664" s="135">
        <f>_xlfn.XLOOKUP(C2664&amp;F2664&amp;I2664&amp;J2664,'[1]2025年已发货'!$F:$F&amp;'[1]2025年已发货'!$C:$C&amp;'[1]2025年已发货'!$G:$G&amp;'[1]2025年已发货'!$H:$H,'[1]2025年已发货'!$E:$E,"未发货")</f>
        <v>4</v>
      </c>
      <c r="I2664" s="41" t="str">
        <f>VLOOKUP(B2664,辅助信息!E:I,3,FALSE)</f>
        <v>(乐山市校地共建产教融合基地建设项目二标段)四川省乐山市市中区苏稽镇</v>
      </c>
      <c r="J2664" s="41" t="str">
        <f>VLOOKUP(B2664,辅助信息!E:I,4,FALSE)</f>
        <v>彭江涛</v>
      </c>
      <c r="K2664" s="41">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30" t="str">
        <f>VLOOKUP(B2664,辅助信息!E:M,9,FALSE)</f>
        <v>ZTWM-CDGS-XS-2025-0126-四川机司-乐山市校地共建产教融合基地配套设施项目施工二标段钢筋采购合同</v>
      </c>
      <c r="R2664" s="30" t="str">
        <f>_xlfn._xlws.FILTER(辅助信息!D:D,辅助信息!E:E=B2664)</f>
        <v>乐山市校地共建产教融合基地建设项目</v>
      </c>
    </row>
    <row r="2665" hidden="1" spans="2:18">
      <c r="B2665" s="41" t="s">
        <v>186</v>
      </c>
      <c r="C2665" s="71">
        <v>45877</v>
      </c>
      <c r="D2665" s="41" t="str">
        <f>VLOOKUP(B2665,辅助信息!E:K,7,FALSE)</f>
        <v>JWDDCD2025072900123</v>
      </c>
      <c r="E2665" s="41" t="str">
        <f>VLOOKUP(F2665,辅助信息!A:B,2,FALSE)</f>
        <v>螺纹钢</v>
      </c>
      <c r="F2665" s="41" t="s">
        <v>142</v>
      </c>
      <c r="G2665" s="140">
        <v>136</v>
      </c>
      <c r="H2665" s="135">
        <f>_xlfn.XLOOKUP(C2665&amp;F2665&amp;I2665&amp;J2665,'[1]2025年已发货'!$F:$F&amp;'[1]2025年已发货'!$C:$C&amp;'[1]2025年已发货'!$G:$G&amp;'[1]2025年已发货'!$H:$H,'[1]2025年已发货'!$E:$E,"未发货")</f>
        <v>136</v>
      </c>
      <c r="I2665" s="41" t="str">
        <f>VLOOKUP(B2665,辅助信息!E:I,3,FALSE)</f>
        <v>(乐山市校地共建产教融合基地建设项目二标段)四川省乐山市市中区苏稽镇</v>
      </c>
      <c r="J2665" s="41" t="str">
        <f>VLOOKUP(B2665,辅助信息!E:I,4,FALSE)</f>
        <v>彭江涛</v>
      </c>
      <c r="K2665" s="41">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30" t="str">
        <f>VLOOKUP(B2665,辅助信息!E:M,9,FALSE)</f>
        <v>ZTWM-CDGS-XS-2025-0126-四川机司-乐山市校地共建产教融合基地配套设施项目施工二标段钢筋采购合同</v>
      </c>
      <c r="R2665" s="30" t="str">
        <f>_xlfn._xlws.FILTER(辅助信息!D:D,辅助信息!E:E=B2665)</f>
        <v>乐山市校地共建产教融合基地建设项目</v>
      </c>
    </row>
    <row r="2666" hidden="1" spans="2:18">
      <c r="B2666" s="41" t="s">
        <v>186</v>
      </c>
      <c r="C2666" s="71">
        <v>45877</v>
      </c>
      <c r="D2666" s="41" t="str">
        <f>VLOOKUP(B2666,辅助信息!E:K,7,FALSE)</f>
        <v>JWDDCD2025072900123</v>
      </c>
      <c r="E2666" s="41" t="str">
        <f>VLOOKUP(F2666,辅助信息!A:B,2,FALSE)</f>
        <v>螺纹钢</v>
      </c>
      <c r="F2666" s="41" t="s">
        <v>181</v>
      </c>
      <c r="G2666" s="140">
        <v>5</v>
      </c>
      <c r="H2666" s="135">
        <f>_xlfn.XLOOKUP(C2666&amp;F2666&amp;I2666&amp;J2666,'[1]2025年已发货'!$F:$F&amp;'[1]2025年已发货'!$C:$C&amp;'[1]2025年已发货'!$G:$G&amp;'[1]2025年已发货'!$H:$H,'[1]2025年已发货'!$E:$E,"未发货")</f>
        <v>5</v>
      </c>
      <c r="I2666" s="41" t="str">
        <f>VLOOKUP(B2666,辅助信息!E:I,3,FALSE)</f>
        <v>(乐山市校地共建产教融合基地建设项目二标段)四川省乐山市市中区苏稽镇</v>
      </c>
      <c r="J2666" s="41" t="str">
        <f>VLOOKUP(B2666,辅助信息!E:I,4,FALSE)</f>
        <v>彭江涛</v>
      </c>
      <c r="K2666" s="41">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30" t="str">
        <f>VLOOKUP(B2666,辅助信息!E:M,9,FALSE)</f>
        <v>ZTWM-CDGS-XS-2025-0126-四川机司-乐山市校地共建产教融合基地配套设施项目施工二标段钢筋采购合同</v>
      </c>
      <c r="R2666" s="30" t="str">
        <f>_xlfn._xlws.FILTER(辅助信息!D:D,辅助信息!E:E=B2666)</f>
        <v>乐山市校地共建产教融合基地建设项目</v>
      </c>
    </row>
    <row r="2667" hidden="1" spans="2:18">
      <c r="B2667" s="41" t="s">
        <v>186</v>
      </c>
      <c r="C2667" s="71">
        <v>45877</v>
      </c>
      <c r="D2667" s="41" t="str">
        <f>VLOOKUP(B2667,辅助信息!E:K,7,FALSE)</f>
        <v>JWDDCD2025072900123</v>
      </c>
      <c r="E2667" s="41" t="str">
        <f>VLOOKUP(F2667,辅助信息!A:B,2,FALSE)</f>
        <v>螺纹钢</v>
      </c>
      <c r="F2667" s="41" t="s">
        <v>200</v>
      </c>
      <c r="G2667" s="140">
        <v>8</v>
      </c>
      <c r="H2667" s="135">
        <f>_xlfn.XLOOKUP(C2667&amp;F2667&amp;I2667&amp;J2667,'[1]2025年已发货'!$F:$F&amp;'[1]2025年已发货'!$C:$C&amp;'[1]2025年已发货'!$G:$G&amp;'[1]2025年已发货'!$H:$H,'[1]2025年已发货'!$E:$E,"未发货")</f>
        <v>8</v>
      </c>
      <c r="I2667" s="41" t="str">
        <f>VLOOKUP(B2667,辅助信息!E:I,3,FALSE)</f>
        <v>(乐山市校地共建产教融合基地建设项目二标段)四川省乐山市市中区苏稽镇</v>
      </c>
      <c r="J2667" s="41" t="str">
        <f>VLOOKUP(B2667,辅助信息!E:I,4,FALSE)</f>
        <v>彭江涛</v>
      </c>
      <c r="K2667" s="41">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30" t="str">
        <f>VLOOKUP(B2667,辅助信息!E:M,9,FALSE)</f>
        <v>ZTWM-CDGS-XS-2025-0126-四川机司-乐山市校地共建产教融合基地配套设施项目施工二标段钢筋采购合同</v>
      </c>
      <c r="R2667" s="30" t="str">
        <f>_xlfn._xlws.FILTER(辅助信息!D:D,辅助信息!E:E=B2667)</f>
        <v>乐山市校地共建产教融合基地建设项目</v>
      </c>
    </row>
    <row r="2668" hidden="1" spans="2:18">
      <c r="B2668" s="41" t="s">
        <v>186</v>
      </c>
      <c r="C2668" s="71">
        <v>45877</v>
      </c>
      <c r="D2668" s="41" t="str">
        <f>VLOOKUP(B2668,辅助信息!E:K,7,FALSE)</f>
        <v>JWDDCD2025072900123</v>
      </c>
      <c r="E2668" s="41" t="str">
        <f>VLOOKUP(F2668,辅助信息!A:B,2,FALSE)</f>
        <v>螺纹钢</v>
      </c>
      <c r="F2668" s="41" t="s">
        <v>182</v>
      </c>
      <c r="G2668" s="140">
        <v>14</v>
      </c>
      <c r="H2668" s="135">
        <f>_xlfn.XLOOKUP(C2668&amp;F2668&amp;I2668&amp;J2668,'[1]2025年已发货'!$F:$F&amp;'[1]2025年已发货'!$C:$C&amp;'[1]2025年已发货'!$G:$G&amp;'[1]2025年已发货'!$H:$H,'[1]2025年已发货'!$E:$E,"未发货")</f>
        <v>14</v>
      </c>
      <c r="I2668" s="41" t="str">
        <f>VLOOKUP(B2668,辅助信息!E:I,3,FALSE)</f>
        <v>(乐山市校地共建产教融合基地建设项目二标段)四川省乐山市市中区苏稽镇</v>
      </c>
      <c r="J2668" s="41" t="str">
        <f>VLOOKUP(B2668,辅助信息!E:I,4,FALSE)</f>
        <v>彭江涛</v>
      </c>
      <c r="K2668" s="41">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30" t="str">
        <f>VLOOKUP(B2668,辅助信息!E:M,9,FALSE)</f>
        <v>ZTWM-CDGS-XS-2025-0126-四川机司-乐山市校地共建产教融合基地配套设施项目施工二标段钢筋采购合同</v>
      </c>
      <c r="R2668" s="30" t="str">
        <f>_xlfn._xlws.FILTER(辅助信息!D:D,辅助信息!E:E=B2668)</f>
        <v>乐山市校地共建产教融合基地建设项目</v>
      </c>
    </row>
    <row r="2669" hidden="1" spans="2:18">
      <c r="B2669" s="41" t="s">
        <v>186</v>
      </c>
      <c r="C2669" s="71">
        <v>45877</v>
      </c>
      <c r="D2669" s="41" t="str">
        <f>VLOOKUP(B2669,辅助信息!E:K,7,FALSE)</f>
        <v>JWDDCD2025072900123</v>
      </c>
      <c r="E2669" s="41" t="str">
        <f>VLOOKUP(F2669,辅助信息!A:B,2,FALSE)</f>
        <v>螺纹钢</v>
      </c>
      <c r="F2669" s="41" t="s">
        <v>201</v>
      </c>
      <c r="G2669" s="140">
        <v>28</v>
      </c>
      <c r="H2669" s="135">
        <f>_xlfn.XLOOKUP(C2669&amp;F2669&amp;I2669&amp;J2669,'[1]2025年已发货'!$F:$F&amp;'[1]2025年已发货'!$C:$C&amp;'[1]2025年已发货'!$G:$G&amp;'[1]2025年已发货'!$H:$H,'[1]2025年已发货'!$E:$E,"未发货")</f>
        <v>28</v>
      </c>
      <c r="I2669" s="41" t="str">
        <f>VLOOKUP(B2669,辅助信息!E:I,3,FALSE)</f>
        <v>(乐山市校地共建产教融合基地建设项目二标段)四川省乐山市市中区苏稽镇</v>
      </c>
      <c r="J2669" s="41" t="str">
        <f>VLOOKUP(B2669,辅助信息!E:I,4,FALSE)</f>
        <v>彭江涛</v>
      </c>
      <c r="K2669" s="41">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30" t="str">
        <f>VLOOKUP(B2669,辅助信息!E:M,9,FALSE)</f>
        <v>ZTWM-CDGS-XS-2025-0126-四川机司-乐山市校地共建产教融合基地配套设施项目施工二标段钢筋采购合同</v>
      </c>
      <c r="R2669" s="30" t="str">
        <f>_xlfn._xlws.FILTER(辅助信息!D:D,辅助信息!E:E=B2669)</f>
        <v>乐山市校地共建产教融合基地建设项目</v>
      </c>
    </row>
    <row r="2670" hidden="1" spans="2:18">
      <c r="B2670" s="41" t="s">
        <v>167</v>
      </c>
      <c r="C2670" s="71">
        <v>45878</v>
      </c>
      <c r="D2670" s="41" t="str">
        <f>VLOOKUP(B2670,辅助信息!E:K,7,FALSE)</f>
        <v>JWDDCD2025102100473</v>
      </c>
      <c r="E2670" s="41" t="str">
        <f>VLOOKUP(F2670,辅助信息!A:B,2,FALSE)</f>
        <v>盘螺</v>
      </c>
      <c r="F2670" s="41" t="s">
        <v>49</v>
      </c>
      <c r="G2670" s="37">
        <v>5</v>
      </c>
      <c r="H2670" s="135">
        <f>_xlfn.XLOOKUP(C2670&amp;F2670&amp;I2670&amp;J2670,'[1]2025年已发货'!$F:$F&amp;'[1]2025年已发货'!$C:$C&amp;'[1]2025年已发货'!$G:$G&amp;'[1]2025年已发货'!$H:$H,'[1]2025年已发货'!$E:$E,"未发货")</f>
        <v>5</v>
      </c>
      <c r="I2670" s="41" t="str">
        <f>VLOOKUP(B2670,辅助信息!E:I,3,FALSE)</f>
        <v>(五冶建设扩建艺体中学二期工程)四川省成都市双流区光荣路成都艺体中学南200米</v>
      </c>
      <c r="J2670" s="41" t="str">
        <f>VLOOKUP(B2670,辅助信息!E:I,4,FALSE)</f>
        <v>谢序强</v>
      </c>
      <c r="K2670" s="41">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80</v>
      </c>
      <c r="Q2670" s="30" t="str">
        <f>VLOOKUP(B2670,辅助信息!E:M,9,FALSE)</f>
        <v>ZTWM-CDGS-XS-2025-0073-五冶天府-成都怡心湖片区及龙泉驿医院等项目</v>
      </c>
      <c r="R2670" s="30" t="str">
        <f>_xlfn._xlws.FILTER(辅助信息!D:D,辅助信息!E:E=B2670)</f>
        <v>五冶建设扩建艺体中学二期工程</v>
      </c>
    </row>
    <row r="2671" hidden="1" spans="2:18">
      <c r="B2671" s="41" t="s">
        <v>167</v>
      </c>
      <c r="C2671" s="71">
        <v>45878</v>
      </c>
      <c r="D2671" s="41" t="str">
        <f>VLOOKUP(B2671,辅助信息!E:K,7,FALSE)</f>
        <v>JWDDCD2025102100473</v>
      </c>
      <c r="E2671" s="41" t="str">
        <f>VLOOKUP(F2671,辅助信息!A:B,2,FALSE)</f>
        <v>盘螺</v>
      </c>
      <c r="F2671" s="41" t="s">
        <v>40</v>
      </c>
      <c r="G2671" s="37">
        <v>10</v>
      </c>
      <c r="H2671" s="135">
        <f>_xlfn.XLOOKUP(C2671&amp;F2671&amp;I2671&amp;J2671,'[1]2025年已发货'!$F:$F&amp;'[1]2025年已发货'!$C:$C&amp;'[1]2025年已发货'!$G:$G&amp;'[1]2025年已发货'!$H:$H,'[1]2025年已发货'!$E:$E,"未发货")</f>
        <v>10</v>
      </c>
      <c r="I2671" s="41" t="str">
        <f>VLOOKUP(B2671,辅助信息!E:I,3,FALSE)</f>
        <v>(五冶建设扩建艺体中学二期工程)四川省成都市双流区光荣路成都艺体中学南200米</v>
      </c>
      <c r="J2671" s="41" t="str">
        <f>VLOOKUP(B2671,辅助信息!E:I,4,FALSE)</f>
        <v>谢序强</v>
      </c>
      <c r="K2671" s="41">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80</v>
      </c>
      <c r="Q2671" s="30" t="str">
        <f>VLOOKUP(B2671,辅助信息!E:M,9,FALSE)</f>
        <v>ZTWM-CDGS-XS-2025-0073-五冶天府-成都怡心湖片区及龙泉驿医院等项目</v>
      </c>
      <c r="R2671" s="30" t="str">
        <f>_xlfn._xlws.FILTER(辅助信息!D:D,辅助信息!E:E=B2671)</f>
        <v>五冶建设扩建艺体中学二期工程</v>
      </c>
    </row>
    <row r="2672" hidden="1" spans="2:18">
      <c r="B2672" s="41" t="s">
        <v>167</v>
      </c>
      <c r="C2672" s="71">
        <v>45878</v>
      </c>
      <c r="D2672" s="41" t="str">
        <f>VLOOKUP(B2672,辅助信息!E:K,7,FALSE)</f>
        <v>JWDDCD2025102100473</v>
      </c>
      <c r="E2672" s="41" t="str">
        <f>VLOOKUP(F2672,辅助信息!A:B,2,FALSE)</f>
        <v>盘螺</v>
      </c>
      <c r="F2672" s="41" t="s">
        <v>41</v>
      </c>
      <c r="G2672" s="37">
        <v>30</v>
      </c>
      <c r="H2672" s="135">
        <f>_xlfn.XLOOKUP(C2672&amp;F2672&amp;I2672&amp;J2672,'[1]2025年已发货'!$F:$F&amp;'[1]2025年已发货'!$C:$C&amp;'[1]2025年已发货'!$G:$G&amp;'[1]2025年已发货'!$H:$H,'[1]2025年已发货'!$E:$E,"未发货")</f>
        <v>30</v>
      </c>
      <c r="I2672" s="41" t="str">
        <f>VLOOKUP(B2672,辅助信息!E:I,3,FALSE)</f>
        <v>(五冶建设扩建艺体中学二期工程)四川省成都市双流区光荣路成都艺体中学南200米</v>
      </c>
      <c r="J2672" s="41" t="str">
        <f>VLOOKUP(B2672,辅助信息!E:I,4,FALSE)</f>
        <v>谢序强</v>
      </c>
      <c r="K2672" s="41">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80</v>
      </c>
      <c r="Q2672" s="30" t="str">
        <f>VLOOKUP(B2672,辅助信息!E:M,9,FALSE)</f>
        <v>ZTWM-CDGS-XS-2025-0073-五冶天府-成都怡心湖片区及龙泉驿医院等项目</v>
      </c>
      <c r="R2672" s="30" t="str">
        <f>_xlfn._xlws.FILTER(辅助信息!D:D,辅助信息!E:E=B2672)</f>
        <v>五冶建设扩建艺体中学二期工程</v>
      </c>
    </row>
    <row r="2673" hidden="1" spans="2:18">
      <c r="B2673" s="41" t="s">
        <v>167</v>
      </c>
      <c r="C2673" s="71">
        <v>45878</v>
      </c>
      <c r="D2673" s="41" t="str">
        <f>VLOOKUP(B2673,辅助信息!E:K,7,FALSE)</f>
        <v>JWDDCD2025102100473</v>
      </c>
      <c r="E2673" s="41" t="str">
        <f>VLOOKUP(F2673,辅助信息!A:B,2,FALSE)</f>
        <v>螺纹钢</v>
      </c>
      <c r="F2673" s="41" t="s">
        <v>27</v>
      </c>
      <c r="G2673" s="37">
        <v>50</v>
      </c>
      <c r="H2673" s="135">
        <f>_xlfn.XLOOKUP(C2673&amp;F2673&amp;I2673&amp;J2673,'[1]2025年已发货'!$F:$F&amp;'[1]2025年已发货'!$C:$C&amp;'[1]2025年已发货'!$G:$G&amp;'[1]2025年已发货'!$H:$H,'[1]2025年已发货'!$E:$E,"未发货")</f>
        <v>50</v>
      </c>
      <c r="I2673" s="41" t="str">
        <f>VLOOKUP(B2673,辅助信息!E:I,3,FALSE)</f>
        <v>(五冶建设扩建艺体中学二期工程)四川省成都市双流区光荣路成都艺体中学南200米</v>
      </c>
      <c r="J2673" s="41" t="str">
        <f>VLOOKUP(B2673,辅助信息!E:I,4,FALSE)</f>
        <v>谢序强</v>
      </c>
      <c r="K2673" s="41">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80</v>
      </c>
      <c r="Q2673" s="30" t="str">
        <f>VLOOKUP(B2673,辅助信息!E:M,9,FALSE)</f>
        <v>ZTWM-CDGS-XS-2025-0073-五冶天府-成都怡心湖片区及龙泉驿医院等项目</v>
      </c>
      <c r="R2673" s="30" t="str">
        <f>_xlfn._xlws.FILTER(辅助信息!D:D,辅助信息!E:E=B2673)</f>
        <v>五冶建设扩建艺体中学二期工程</v>
      </c>
    </row>
    <row r="2674" hidden="1" spans="2:18">
      <c r="B2674" s="41" t="s">
        <v>167</v>
      </c>
      <c r="C2674" s="71">
        <v>45878</v>
      </c>
      <c r="D2674" s="41" t="str">
        <f>VLOOKUP(B2674,辅助信息!E:K,7,FALSE)</f>
        <v>JWDDCD2025102100473</v>
      </c>
      <c r="E2674" s="41" t="str">
        <f>VLOOKUP(F2674,辅助信息!A:B,2,FALSE)</f>
        <v>螺纹钢</v>
      </c>
      <c r="F2674" s="41" t="s">
        <v>19</v>
      </c>
      <c r="G2674" s="37">
        <v>40</v>
      </c>
      <c r="H2674" s="135">
        <f>_xlfn.XLOOKUP(C2674&amp;F2674&amp;I2674&amp;J2674,'[1]2025年已发货'!$F:$F&amp;'[1]2025年已发货'!$C:$C&amp;'[1]2025年已发货'!$G:$G&amp;'[1]2025年已发货'!$H:$H,'[1]2025年已发货'!$E:$E,"未发货")</f>
        <v>40</v>
      </c>
      <c r="I2674" s="41" t="str">
        <f>VLOOKUP(B2674,辅助信息!E:I,3,FALSE)</f>
        <v>(五冶建设扩建艺体中学二期工程)四川省成都市双流区光荣路成都艺体中学南200米</v>
      </c>
      <c r="J2674" s="41" t="str">
        <f>VLOOKUP(B2674,辅助信息!E:I,4,FALSE)</f>
        <v>谢序强</v>
      </c>
      <c r="K2674" s="41">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80</v>
      </c>
      <c r="Q2674" s="30" t="str">
        <f>VLOOKUP(B2674,辅助信息!E:M,9,FALSE)</f>
        <v>ZTWM-CDGS-XS-2025-0073-五冶天府-成都怡心湖片区及龙泉驿医院等项目</v>
      </c>
      <c r="R2674" s="30" t="str">
        <f>_xlfn._xlws.FILTER(辅助信息!D:D,辅助信息!E:E=B2674)</f>
        <v>五冶建设扩建艺体中学二期工程</v>
      </c>
    </row>
    <row r="2675" hidden="1" spans="2:18">
      <c r="B2675" s="41" t="s">
        <v>167</v>
      </c>
      <c r="C2675" s="71">
        <v>45878</v>
      </c>
      <c r="D2675" s="41" t="str">
        <f>VLOOKUP(B2675,辅助信息!E:K,7,FALSE)</f>
        <v>JWDDCD2025102100473</v>
      </c>
      <c r="E2675" s="41" t="str">
        <f>VLOOKUP(F2675,辅助信息!A:B,2,FALSE)</f>
        <v>螺纹钢</v>
      </c>
      <c r="F2675" s="41" t="s">
        <v>32</v>
      </c>
      <c r="G2675" s="37">
        <v>23</v>
      </c>
      <c r="H2675" s="135">
        <f>_xlfn.XLOOKUP(C2675&amp;F2675&amp;I2675&amp;J2675,'[1]2025年已发货'!$F:$F&amp;'[1]2025年已发货'!$C:$C&amp;'[1]2025年已发货'!$G:$G&amp;'[1]2025年已发货'!$H:$H,'[1]2025年已发货'!$E:$E,"未发货")</f>
        <v>23</v>
      </c>
      <c r="I2675" s="41" t="str">
        <f>VLOOKUP(B2675,辅助信息!E:I,3,FALSE)</f>
        <v>(五冶建设扩建艺体中学二期工程)四川省成都市双流区光荣路成都艺体中学南200米</v>
      </c>
      <c r="J2675" s="41" t="str">
        <f>VLOOKUP(B2675,辅助信息!E:I,4,FALSE)</f>
        <v>谢序强</v>
      </c>
      <c r="K2675" s="41">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80</v>
      </c>
      <c r="Q2675" s="30" t="str">
        <f>VLOOKUP(B2675,辅助信息!E:M,9,FALSE)</f>
        <v>ZTWM-CDGS-XS-2025-0073-五冶天府-成都怡心湖片区及龙泉驿医院等项目</v>
      </c>
      <c r="R2675" s="30" t="str">
        <f>_xlfn._xlws.FILTER(辅助信息!D:D,辅助信息!E:E=B2675)</f>
        <v>五冶建设扩建艺体中学二期工程</v>
      </c>
    </row>
    <row r="2676" hidden="1" spans="2:18">
      <c r="B2676" s="41" t="s">
        <v>167</v>
      </c>
      <c r="C2676" s="71">
        <v>45878</v>
      </c>
      <c r="D2676" s="41" t="str">
        <f>VLOOKUP(B2676,辅助信息!E:K,7,FALSE)</f>
        <v>JWDDCD2025102100473</v>
      </c>
      <c r="E2676" s="41" t="str">
        <f>VLOOKUP(F2676,辅助信息!A:B,2,FALSE)</f>
        <v>螺纹钢</v>
      </c>
      <c r="F2676" s="41" t="s">
        <v>33</v>
      </c>
      <c r="G2676" s="37">
        <v>5</v>
      </c>
      <c r="H2676" s="135">
        <f>_xlfn.XLOOKUP(C2676&amp;F2676&amp;I2676&amp;J2676,'[1]2025年已发货'!$F:$F&amp;'[1]2025年已发货'!$C:$C&amp;'[1]2025年已发货'!$G:$G&amp;'[1]2025年已发货'!$H:$H,'[1]2025年已发货'!$E:$E,"未发货")</f>
        <v>5</v>
      </c>
      <c r="I2676" s="41" t="str">
        <f>VLOOKUP(B2676,辅助信息!E:I,3,FALSE)</f>
        <v>(五冶建设扩建艺体中学二期工程)四川省成都市双流区光荣路成都艺体中学南200米</v>
      </c>
      <c r="J2676" s="41" t="str">
        <f>VLOOKUP(B2676,辅助信息!E:I,4,FALSE)</f>
        <v>谢序强</v>
      </c>
      <c r="K2676" s="41">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80</v>
      </c>
      <c r="Q2676" s="30" t="str">
        <f>VLOOKUP(B2676,辅助信息!E:M,9,FALSE)</f>
        <v>ZTWM-CDGS-XS-2025-0073-五冶天府-成都怡心湖片区及龙泉驿医院等项目</v>
      </c>
      <c r="R2676" s="30" t="str">
        <f>_xlfn._xlws.FILTER(辅助信息!D:D,辅助信息!E:E=B2676)</f>
        <v>五冶建设扩建艺体中学二期工程</v>
      </c>
    </row>
    <row r="2677" hidden="1" spans="2:18">
      <c r="B2677" s="41" t="s">
        <v>167</v>
      </c>
      <c r="C2677" s="71">
        <v>45878</v>
      </c>
      <c r="D2677" s="41" t="str">
        <f>VLOOKUP(B2677,辅助信息!E:K,7,FALSE)</f>
        <v>JWDDCD2025102100473</v>
      </c>
      <c r="E2677" s="41" t="str">
        <f>VLOOKUP(F2677,辅助信息!A:B,2,FALSE)</f>
        <v>螺纹钢</v>
      </c>
      <c r="F2677" s="41" t="s">
        <v>28</v>
      </c>
      <c r="G2677" s="37">
        <v>7.5</v>
      </c>
      <c r="H2677" s="135">
        <f>_xlfn.XLOOKUP(C2677&amp;F2677&amp;I2677&amp;J2677,'[1]2025年已发货'!$F:$F&amp;'[1]2025年已发货'!$C:$C&amp;'[1]2025年已发货'!$G:$G&amp;'[1]2025年已发货'!$H:$H,'[1]2025年已发货'!$E:$E,"未发货")</f>
        <v>7.5</v>
      </c>
      <c r="I2677" s="41" t="str">
        <f>VLOOKUP(B2677,辅助信息!E:I,3,FALSE)</f>
        <v>(五冶建设扩建艺体中学二期工程)四川省成都市双流区光荣路成都艺体中学南200米</v>
      </c>
      <c r="J2677" s="41" t="str">
        <f>VLOOKUP(B2677,辅助信息!E:I,4,FALSE)</f>
        <v>谢序强</v>
      </c>
      <c r="K2677" s="41">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80</v>
      </c>
      <c r="Q2677" s="30" t="str">
        <f>VLOOKUP(B2677,辅助信息!E:M,9,FALSE)</f>
        <v>ZTWM-CDGS-XS-2025-0073-五冶天府-成都怡心湖片区及龙泉驿医院等项目</v>
      </c>
      <c r="R2677" s="30" t="str">
        <f>_xlfn._xlws.FILTER(辅助信息!D:D,辅助信息!E:E=B2677)</f>
        <v>五冶建设扩建艺体中学二期工程</v>
      </c>
    </row>
    <row r="2678" hidden="1" spans="2:18">
      <c r="B2678" s="41" t="s">
        <v>167</v>
      </c>
      <c r="C2678" s="71">
        <v>45878</v>
      </c>
      <c r="D2678" s="41" t="str">
        <f>VLOOKUP(B2678,辅助信息!E:K,7,FALSE)</f>
        <v>JWDDCD2025102100473</v>
      </c>
      <c r="E2678" s="41" t="str">
        <f>VLOOKUP(F2678,辅助信息!A:B,2,FALSE)</f>
        <v>螺纹钢</v>
      </c>
      <c r="F2678" s="41" t="s">
        <v>18</v>
      </c>
      <c r="G2678" s="37">
        <v>20</v>
      </c>
      <c r="H2678" s="135">
        <f>_xlfn.XLOOKUP(C2678&amp;F2678&amp;I2678&amp;J2678,'[1]2025年已发货'!$F:$F&amp;'[1]2025年已发货'!$C:$C&amp;'[1]2025年已发货'!$G:$G&amp;'[1]2025年已发货'!$H:$H,'[1]2025年已发货'!$E:$E,"未发货")</f>
        <v>20</v>
      </c>
      <c r="I2678" s="41" t="str">
        <f>VLOOKUP(B2678,辅助信息!E:I,3,FALSE)</f>
        <v>(五冶建设扩建艺体中学二期工程)四川省成都市双流区光荣路成都艺体中学南200米</v>
      </c>
      <c r="J2678" s="41" t="str">
        <f>VLOOKUP(B2678,辅助信息!E:I,4,FALSE)</f>
        <v>谢序强</v>
      </c>
      <c r="K2678" s="41">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80</v>
      </c>
      <c r="Q2678" s="30" t="str">
        <f>VLOOKUP(B2678,辅助信息!E:M,9,FALSE)</f>
        <v>ZTWM-CDGS-XS-2025-0073-五冶天府-成都怡心湖片区及龙泉驿医院等项目</v>
      </c>
      <c r="R2678" s="30" t="str">
        <f>_xlfn._xlws.FILTER(辅助信息!D:D,辅助信息!E:E=B2678)</f>
        <v>五冶建设扩建艺体中学二期工程</v>
      </c>
    </row>
    <row r="2679" hidden="1" spans="2:18">
      <c r="B2679" s="41" t="s">
        <v>167</v>
      </c>
      <c r="C2679" s="71">
        <v>45878</v>
      </c>
      <c r="D2679" s="41" t="str">
        <f>VLOOKUP(B2679,辅助信息!E:K,7,FALSE)</f>
        <v>JWDDCD2025102100473</v>
      </c>
      <c r="E2679" s="41" t="str">
        <f>VLOOKUP(F2679,辅助信息!A:B,2,FALSE)</f>
        <v>螺纹钢</v>
      </c>
      <c r="F2679" s="41" t="s">
        <v>66</v>
      </c>
      <c r="G2679" s="37">
        <v>5</v>
      </c>
      <c r="H2679" s="135">
        <f>_xlfn.XLOOKUP(C2679&amp;F2679&amp;I2679&amp;J2679,'[1]2025年已发货'!$F:$F&amp;'[1]2025年已发货'!$C:$C&amp;'[1]2025年已发货'!$G:$G&amp;'[1]2025年已发货'!$H:$H,'[1]2025年已发货'!$E:$E,"未发货")</f>
        <v>5</v>
      </c>
      <c r="I2679" s="41" t="str">
        <f>VLOOKUP(B2679,辅助信息!E:I,3,FALSE)</f>
        <v>(五冶建设扩建艺体中学二期工程)四川省成都市双流区光荣路成都艺体中学南200米</v>
      </c>
      <c r="J2679" s="41" t="str">
        <f>VLOOKUP(B2679,辅助信息!E:I,4,FALSE)</f>
        <v>谢序强</v>
      </c>
      <c r="K2679" s="41">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80</v>
      </c>
      <c r="Q2679" s="30" t="str">
        <f>VLOOKUP(B2679,辅助信息!E:M,9,FALSE)</f>
        <v>ZTWM-CDGS-XS-2025-0073-五冶天府-成都怡心湖片区及龙泉驿医院等项目</v>
      </c>
      <c r="R2679" s="30" t="str">
        <f>_xlfn._xlws.FILTER(辅助信息!D:D,辅助信息!E:E=B2679)</f>
        <v>五冶建设扩建艺体中学二期工程</v>
      </c>
    </row>
    <row r="2680" hidden="1" spans="2:18">
      <c r="B2680" s="41" t="s">
        <v>167</v>
      </c>
      <c r="C2680" s="71">
        <v>45878</v>
      </c>
      <c r="D2680" s="41" t="str">
        <f>VLOOKUP(B2680,辅助信息!E:K,7,FALSE)</f>
        <v>JWDDCD2025102100473</v>
      </c>
      <c r="E2680" s="41" t="str">
        <f>VLOOKUP(F2680,辅助信息!A:B,2,FALSE)</f>
        <v>螺纹钢</v>
      </c>
      <c r="F2680" s="41" t="s">
        <v>82</v>
      </c>
      <c r="G2680" s="37">
        <v>5</v>
      </c>
      <c r="H2680" s="135">
        <f>_xlfn.XLOOKUP(C2680&amp;F2680&amp;I2680&amp;J2680,'[1]2025年已发货'!$F:$F&amp;'[1]2025年已发货'!$C:$C&amp;'[1]2025年已发货'!$G:$G&amp;'[1]2025年已发货'!$H:$H,'[1]2025年已发货'!$E:$E,"未发货")</f>
        <v>5</v>
      </c>
      <c r="I2680" s="41" t="str">
        <f>VLOOKUP(B2680,辅助信息!E:I,3,FALSE)</f>
        <v>(五冶建设扩建艺体中学二期工程)四川省成都市双流区光荣路成都艺体中学南200米</v>
      </c>
      <c r="J2680" s="41" t="str">
        <f>VLOOKUP(B2680,辅助信息!E:I,4,FALSE)</f>
        <v>谢序强</v>
      </c>
      <c r="K2680" s="41">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80</v>
      </c>
      <c r="Q2680" s="30" t="str">
        <f>VLOOKUP(B2680,辅助信息!E:M,9,FALSE)</f>
        <v>ZTWM-CDGS-XS-2025-0073-五冶天府-成都怡心湖片区及龙泉驿医院等项目</v>
      </c>
      <c r="R2680" s="30" t="str">
        <f>_xlfn._xlws.FILTER(辅助信息!D:D,辅助信息!E:E=B2680)</f>
        <v>五冶建设扩建艺体中学二期工程</v>
      </c>
    </row>
    <row r="2681" hidden="1" spans="2:18">
      <c r="B2681" s="41" t="s">
        <v>167</v>
      </c>
      <c r="C2681" s="71">
        <v>45878</v>
      </c>
      <c r="D2681" s="41" t="str">
        <f>VLOOKUP(B2681,辅助信息!E:K,7,FALSE)</f>
        <v>JWDDCD2025102100473</v>
      </c>
      <c r="E2681" s="41" t="str">
        <f>VLOOKUP(F2681,辅助信息!A:B,2,FALSE)</f>
        <v>螺纹钢</v>
      </c>
      <c r="F2681" s="41" t="s">
        <v>58</v>
      </c>
      <c r="G2681" s="37">
        <v>5</v>
      </c>
      <c r="H2681" s="135">
        <f>_xlfn.XLOOKUP(C2681&amp;F2681&amp;I2681&amp;J2681,'[1]2025年已发货'!$F:$F&amp;'[1]2025年已发货'!$C:$C&amp;'[1]2025年已发货'!$G:$G&amp;'[1]2025年已发货'!$H:$H,'[1]2025年已发货'!$E:$E,"未发货")</f>
        <v>5</v>
      </c>
      <c r="I2681" s="41" t="str">
        <f>VLOOKUP(B2681,辅助信息!E:I,3,FALSE)</f>
        <v>(五冶建设扩建艺体中学二期工程)四川省成都市双流区光荣路成都艺体中学南200米</v>
      </c>
      <c r="J2681" s="41" t="str">
        <f>VLOOKUP(B2681,辅助信息!E:I,4,FALSE)</f>
        <v>谢序强</v>
      </c>
      <c r="K2681" s="41">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80</v>
      </c>
      <c r="Q2681" s="30" t="str">
        <f>VLOOKUP(B2681,辅助信息!E:M,9,FALSE)</f>
        <v>ZTWM-CDGS-XS-2025-0073-五冶天府-成都怡心湖片区及龙泉驿医院等项目</v>
      </c>
      <c r="R2681" s="30" t="str">
        <f>_xlfn._xlws.FILTER(辅助信息!D:D,辅助信息!E:E=B2681)</f>
        <v>五冶建设扩建艺体中学二期工程</v>
      </c>
    </row>
    <row r="2682" hidden="1" spans="2:18">
      <c r="B2682" s="41" t="s">
        <v>167</v>
      </c>
      <c r="C2682" s="71">
        <v>45878</v>
      </c>
      <c r="D2682" s="41" t="str">
        <f>VLOOKUP(B2682,辅助信息!E:K,7,FALSE)</f>
        <v>JWDDCD2025102100473</v>
      </c>
      <c r="E2682" s="41" t="str">
        <f>VLOOKUP(F2682,辅助信息!A:B,2,FALSE)</f>
        <v>螺纹钢</v>
      </c>
      <c r="F2682" s="41" t="s">
        <v>22</v>
      </c>
      <c r="G2682" s="37">
        <v>15</v>
      </c>
      <c r="H2682" s="135">
        <f>_xlfn.XLOOKUP(C2682&amp;F2682&amp;I2682&amp;J2682,'[1]2025年已发货'!$F:$F&amp;'[1]2025年已发货'!$C:$C&amp;'[1]2025年已发货'!$G:$G&amp;'[1]2025年已发货'!$H:$H,'[1]2025年已发货'!$E:$E,"未发货")</f>
        <v>15</v>
      </c>
      <c r="I2682" s="41" t="str">
        <f>VLOOKUP(B2682,辅助信息!E:I,3,FALSE)</f>
        <v>(五冶建设扩建艺体中学二期工程)四川省成都市双流区光荣路成都艺体中学南200米</v>
      </c>
      <c r="J2682" s="41" t="str">
        <f>VLOOKUP(B2682,辅助信息!E:I,4,FALSE)</f>
        <v>谢序强</v>
      </c>
      <c r="K2682" s="41">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80</v>
      </c>
      <c r="Q2682" s="30" t="str">
        <f>VLOOKUP(B2682,辅助信息!E:M,9,FALSE)</f>
        <v>ZTWM-CDGS-XS-2025-0073-五冶天府-成都怡心湖片区及龙泉驿医院等项目</v>
      </c>
      <c r="R2682" s="30" t="str">
        <f>_xlfn._xlws.FILTER(辅助信息!D:D,辅助信息!E:E=B2682)</f>
        <v>五冶建设扩建艺体中学二期工程</v>
      </c>
    </row>
    <row r="2683" hidden="1" spans="2:18">
      <c r="B2683" s="41" t="s">
        <v>167</v>
      </c>
      <c r="C2683" s="71">
        <v>45878</v>
      </c>
      <c r="D2683" s="41" t="str">
        <f>VLOOKUP(B2683,辅助信息!E:K,7,FALSE)</f>
        <v>JWDDCD2025102100473</v>
      </c>
      <c r="E2683" s="41" t="str">
        <f>VLOOKUP(F2683,辅助信息!A:B,2,FALSE)</f>
        <v>螺纹钢</v>
      </c>
      <c r="F2683" s="41" t="s">
        <v>181</v>
      </c>
      <c r="G2683" s="37">
        <v>15</v>
      </c>
      <c r="H2683" s="135">
        <f>_xlfn.XLOOKUP(C2683&amp;F2683&amp;I2683&amp;J2683,'[1]2025年已发货'!$F:$F&amp;'[1]2025年已发货'!$C:$C&amp;'[1]2025年已发货'!$G:$G&amp;'[1]2025年已发货'!$H:$H,'[1]2025年已发货'!$E:$E,"未发货")</f>
        <v>15</v>
      </c>
      <c r="I2683" s="41" t="str">
        <f>VLOOKUP(B2683,辅助信息!E:I,3,FALSE)</f>
        <v>(五冶建设扩建艺体中学二期工程)四川省成都市双流区光荣路成都艺体中学南200米</v>
      </c>
      <c r="J2683" s="41" t="str">
        <f>VLOOKUP(B2683,辅助信息!E:I,4,FALSE)</f>
        <v>谢序强</v>
      </c>
      <c r="K2683" s="41">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80</v>
      </c>
      <c r="Q2683" s="30" t="str">
        <f>VLOOKUP(B2683,辅助信息!E:M,9,FALSE)</f>
        <v>ZTWM-CDGS-XS-2025-0073-五冶天府-成都怡心湖片区及龙泉驿医院等项目</v>
      </c>
      <c r="R2683" s="30" t="str">
        <f>_xlfn._xlws.FILTER(辅助信息!D:D,辅助信息!E:E=B2683)</f>
        <v>五冶建设扩建艺体中学二期工程</v>
      </c>
    </row>
    <row r="2684" hidden="1" spans="2:18">
      <c r="B2684" s="41" t="s">
        <v>167</v>
      </c>
      <c r="C2684" s="71">
        <v>45878</v>
      </c>
      <c r="D2684" s="41" t="str">
        <f>VLOOKUP(B2684,辅助信息!E:K,7,FALSE)</f>
        <v>JWDDCD2025102100473</v>
      </c>
      <c r="E2684" s="41" t="str">
        <f>VLOOKUP(F2684,辅助信息!A:B,2,FALSE)</f>
        <v>螺纹钢</v>
      </c>
      <c r="F2684" s="41" t="s">
        <v>182</v>
      </c>
      <c r="G2684" s="37">
        <v>5</v>
      </c>
      <c r="H2684" s="135">
        <f>_xlfn.XLOOKUP(C2684&amp;F2684&amp;I2684&amp;J2684,'[1]2025年已发货'!$F:$F&amp;'[1]2025年已发货'!$C:$C&amp;'[1]2025年已发货'!$G:$G&amp;'[1]2025年已发货'!$H:$H,'[1]2025年已发货'!$E:$E,"未发货")</f>
        <v>5</v>
      </c>
      <c r="I2684" s="41" t="str">
        <f>VLOOKUP(B2684,辅助信息!E:I,3,FALSE)</f>
        <v>(五冶建设扩建艺体中学二期工程)四川省成都市双流区光荣路成都艺体中学南200米</v>
      </c>
      <c r="J2684" s="41" t="str">
        <f>VLOOKUP(B2684,辅助信息!E:I,4,FALSE)</f>
        <v>谢序强</v>
      </c>
      <c r="K2684" s="41">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80</v>
      </c>
      <c r="Q2684" s="30" t="str">
        <f>VLOOKUP(B2684,辅助信息!E:M,9,FALSE)</f>
        <v>ZTWM-CDGS-XS-2025-0073-五冶天府-成都怡心湖片区及龙泉驿医院等项目</v>
      </c>
      <c r="R2684" s="30" t="str">
        <f>_xlfn._xlws.FILTER(辅助信息!D:D,辅助信息!E:E=B2684)</f>
        <v>五冶建设扩建艺体中学二期工程</v>
      </c>
    </row>
    <row r="2685" hidden="1" spans="2:18">
      <c r="B2685" s="41" t="s">
        <v>81</v>
      </c>
      <c r="C2685" s="71">
        <v>45878</v>
      </c>
      <c r="D2685" s="41" t="str">
        <f>VLOOKUP(B2685,辅助信息!E:K,7,FALSE)</f>
        <v>JWDDCD2025060900080</v>
      </c>
      <c r="E2685" s="41" t="str">
        <f>VLOOKUP(F2685,辅助信息!A:B,2,FALSE)</f>
        <v>盘螺</v>
      </c>
      <c r="F2685" s="41" t="s">
        <v>49</v>
      </c>
      <c r="G2685" s="37">
        <v>5</v>
      </c>
      <c r="H2685" s="135">
        <f>_xlfn.XLOOKUP(C2685&amp;F2685&amp;I2685&amp;J2685,'[1]2025年已发货'!$F:$F&amp;'[1]2025年已发货'!$C:$C&amp;'[1]2025年已发货'!$G:$G&amp;'[1]2025年已发货'!$H:$H,'[1]2025年已发货'!$E:$E,"未发货")</f>
        <v>5</v>
      </c>
      <c r="I2685" s="41" t="str">
        <f>VLOOKUP(B2685,辅助信息!E:I,3,FALSE)</f>
        <v>（华西简阳西城嘉苑）四川省成都市简阳市简城街道高屋村</v>
      </c>
      <c r="J2685" s="41" t="str">
        <f>VLOOKUP(B2685,辅助信息!E:I,4,FALSE)</f>
        <v>张瀚镭</v>
      </c>
      <c r="K2685" s="41">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80</v>
      </c>
      <c r="Q2685" s="30" t="str">
        <f>VLOOKUP(B2685,辅助信息!E:M,9,FALSE)</f>
        <v>ZTWM-CDGS-XS-2024-0030-华西集采-简州大道</v>
      </c>
      <c r="R2685" s="30" t="str">
        <f>_xlfn._xlws.FILTER(辅助信息!D:D,辅助信息!E:E=B2685)</f>
        <v>华西简阳西城嘉苑</v>
      </c>
    </row>
    <row r="2686" hidden="1" spans="2:18">
      <c r="B2686" s="41" t="s">
        <v>81</v>
      </c>
      <c r="C2686" s="71">
        <v>45878</v>
      </c>
      <c r="D2686" s="41" t="str">
        <f>VLOOKUP(B2686,辅助信息!E:K,7,FALSE)</f>
        <v>JWDDCD2025060900080</v>
      </c>
      <c r="E2686" s="41" t="str">
        <f>VLOOKUP(F2686,辅助信息!A:B,2,FALSE)</f>
        <v>盘螺</v>
      </c>
      <c r="F2686" s="41" t="s">
        <v>40</v>
      </c>
      <c r="G2686" s="37">
        <v>35</v>
      </c>
      <c r="H2686" s="135">
        <f>_xlfn.XLOOKUP(C2686&amp;F2686&amp;I2686&amp;J2686,'[1]2025年已发货'!$F:$F&amp;'[1]2025年已发货'!$C:$C&amp;'[1]2025年已发货'!$G:$G&amp;'[1]2025年已发货'!$H:$H,'[1]2025年已发货'!$E:$E,"未发货")</f>
        <v>35</v>
      </c>
      <c r="I2686" s="41" t="str">
        <f>VLOOKUP(B2686,辅助信息!E:I,3,FALSE)</f>
        <v>（华西简阳西城嘉苑）四川省成都市简阳市简城街道高屋村</v>
      </c>
      <c r="J2686" s="41" t="str">
        <f>VLOOKUP(B2686,辅助信息!E:I,4,FALSE)</f>
        <v>张瀚镭</v>
      </c>
      <c r="K2686" s="41">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80</v>
      </c>
      <c r="Q2686" s="30" t="str">
        <f>VLOOKUP(B2686,辅助信息!E:M,9,FALSE)</f>
        <v>ZTWM-CDGS-XS-2024-0030-华西集采-简州大道</v>
      </c>
      <c r="R2686" s="30" t="str">
        <f>_xlfn._xlws.FILTER(辅助信息!D:D,辅助信息!E:E=B2686)</f>
        <v>华西简阳西城嘉苑</v>
      </c>
    </row>
    <row r="2687" hidden="1" spans="2:18">
      <c r="B2687" s="41" t="s">
        <v>81</v>
      </c>
      <c r="C2687" s="71">
        <v>45878</v>
      </c>
      <c r="D2687" s="41" t="str">
        <f>VLOOKUP(B2687,辅助信息!E:K,7,FALSE)</f>
        <v>JWDDCD2025060900080</v>
      </c>
      <c r="E2687" s="41" t="str">
        <f>VLOOKUP(F2687,辅助信息!A:B,2,FALSE)</f>
        <v>盘螺</v>
      </c>
      <c r="F2687" s="41" t="s">
        <v>41</v>
      </c>
      <c r="G2687" s="37">
        <v>17</v>
      </c>
      <c r="H2687" s="135">
        <f>_xlfn.XLOOKUP(C2687&amp;F2687&amp;I2687&amp;J2687,'[1]2025年已发货'!$F:$F&amp;'[1]2025年已发货'!$C:$C&amp;'[1]2025年已发货'!$G:$G&amp;'[1]2025年已发货'!$H:$H,'[1]2025年已发货'!$E:$E,"未发货")</f>
        <v>17</v>
      </c>
      <c r="I2687" s="41" t="str">
        <f>VLOOKUP(B2687,辅助信息!E:I,3,FALSE)</f>
        <v>（华西简阳西城嘉苑）四川省成都市简阳市简城街道高屋村</v>
      </c>
      <c r="J2687" s="41" t="str">
        <f>VLOOKUP(B2687,辅助信息!E:I,4,FALSE)</f>
        <v>张瀚镭</v>
      </c>
      <c r="K2687" s="41">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80</v>
      </c>
      <c r="Q2687" s="30" t="str">
        <f>VLOOKUP(B2687,辅助信息!E:M,9,FALSE)</f>
        <v>ZTWM-CDGS-XS-2024-0030-华西集采-简州大道</v>
      </c>
      <c r="R2687" s="30" t="str">
        <f>_xlfn._xlws.FILTER(辅助信息!D:D,辅助信息!E:E=B2687)</f>
        <v>华西简阳西城嘉苑</v>
      </c>
    </row>
    <row r="2688" hidden="1" spans="2:18">
      <c r="B2688" s="41" t="s">
        <v>81</v>
      </c>
      <c r="C2688" s="71">
        <v>45878</v>
      </c>
      <c r="D2688" s="41" t="str">
        <f>VLOOKUP(B2688,辅助信息!E:K,7,FALSE)</f>
        <v>JWDDCD2025060900080</v>
      </c>
      <c r="E2688" s="41" t="str">
        <f>VLOOKUP(F2688,辅助信息!A:B,2,FALSE)</f>
        <v>盘螺</v>
      </c>
      <c r="F2688" s="41" t="s">
        <v>26</v>
      </c>
      <c r="G2688" s="37">
        <v>12.5</v>
      </c>
      <c r="H2688" s="135">
        <f>_xlfn.XLOOKUP(C2688&amp;F2688&amp;I2688&amp;J2688,'[1]2025年已发货'!$F:$F&amp;'[1]2025年已发货'!$C:$C&amp;'[1]2025年已发货'!$G:$G&amp;'[1]2025年已发货'!$H:$H,'[1]2025年已发货'!$E:$E,"未发货")</f>
        <v>12.5</v>
      </c>
      <c r="I2688" s="41" t="str">
        <f>VLOOKUP(B2688,辅助信息!E:I,3,FALSE)</f>
        <v>（华西简阳西城嘉苑）四川省成都市简阳市简城街道高屋村</v>
      </c>
      <c r="J2688" s="41" t="str">
        <f>VLOOKUP(B2688,辅助信息!E:I,4,FALSE)</f>
        <v>张瀚镭</v>
      </c>
      <c r="K2688" s="41">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80</v>
      </c>
      <c r="Q2688" s="30" t="str">
        <f>VLOOKUP(B2688,辅助信息!E:M,9,FALSE)</f>
        <v>ZTWM-CDGS-XS-2024-0030-华西集采-简州大道</v>
      </c>
      <c r="R2688" s="30" t="str">
        <f>_xlfn._xlws.FILTER(辅助信息!D:D,辅助信息!E:E=B2688)</f>
        <v>华西简阳西城嘉苑</v>
      </c>
    </row>
    <row r="2689" hidden="1" spans="2:18">
      <c r="B2689" s="41" t="s">
        <v>81</v>
      </c>
      <c r="C2689" s="71">
        <v>45878</v>
      </c>
      <c r="D2689" s="41" t="str">
        <f>VLOOKUP(B2689,辅助信息!E:K,7,FALSE)</f>
        <v>JWDDCD2025060900080</v>
      </c>
      <c r="E2689" s="41" t="str">
        <f>VLOOKUP(F2689,辅助信息!A:B,2,FALSE)</f>
        <v>螺纹钢</v>
      </c>
      <c r="F2689" s="41" t="s">
        <v>19</v>
      </c>
      <c r="G2689" s="37">
        <v>7.5</v>
      </c>
      <c r="H2689" s="135">
        <f>_xlfn.XLOOKUP(C2689&amp;F2689&amp;I2689&amp;J2689,'[1]2025年已发货'!$F:$F&amp;'[1]2025年已发货'!$C:$C&amp;'[1]2025年已发货'!$G:$G&amp;'[1]2025年已发货'!$H:$H,'[1]2025年已发货'!$E:$E,"未发货")</f>
        <v>7.5</v>
      </c>
      <c r="I2689" s="41" t="str">
        <f>VLOOKUP(B2689,辅助信息!E:I,3,FALSE)</f>
        <v>（华西简阳西城嘉苑）四川省成都市简阳市简城街道高屋村</v>
      </c>
      <c r="J2689" s="41" t="str">
        <f>VLOOKUP(B2689,辅助信息!E:I,4,FALSE)</f>
        <v>张瀚镭</v>
      </c>
      <c r="K2689" s="41">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80</v>
      </c>
      <c r="Q2689" s="30" t="str">
        <f>VLOOKUP(B2689,辅助信息!E:M,9,FALSE)</f>
        <v>ZTWM-CDGS-XS-2024-0030-华西集采-简州大道</v>
      </c>
      <c r="R2689" s="30" t="str">
        <f>_xlfn._xlws.FILTER(辅助信息!D:D,辅助信息!E:E=B2689)</f>
        <v>华西简阳西城嘉苑</v>
      </c>
    </row>
    <row r="2690" hidden="1" spans="2:18">
      <c r="B2690" s="41" t="s">
        <v>81</v>
      </c>
      <c r="C2690" s="71">
        <v>45878</v>
      </c>
      <c r="D2690" s="41" t="str">
        <f>VLOOKUP(B2690,辅助信息!E:K,7,FALSE)</f>
        <v>JWDDCD2025060900080</v>
      </c>
      <c r="E2690" s="41" t="str">
        <f>VLOOKUP(F2690,辅助信息!A:B,2,FALSE)</f>
        <v>螺纹钢</v>
      </c>
      <c r="F2690" s="41" t="s">
        <v>32</v>
      </c>
      <c r="G2690" s="37">
        <v>11.5</v>
      </c>
      <c r="H2690" s="135">
        <f>_xlfn.XLOOKUP(C2690&amp;F2690&amp;I2690&amp;J2690,'[1]2025年已发货'!$F:$F&amp;'[1]2025年已发货'!$C:$C&amp;'[1]2025年已发货'!$G:$G&amp;'[1]2025年已发货'!$H:$H,'[1]2025年已发货'!$E:$E,"未发货")</f>
        <v>11.5</v>
      </c>
      <c r="I2690" s="41" t="str">
        <f>VLOOKUP(B2690,辅助信息!E:I,3,FALSE)</f>
        <v>（华西简阳西城嘉苑）四川省成都市简阳市简城街道高屋村</v>
      </c>
      <c r="J2690" s="41" t="str">
        <f>VLOOKUP(B2690,辅助信息!E:I,4,FALSE)</f>
        <v>张瀚镭</v>
      </c>
      <c r="K2690" s="41">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80</v>
      </c>
      <c r="Q2690" s="30" t="str">
        <f>VLOOKUP(B2690,辅助信息!E:M,9,FALSE)</f>
        <v>ZTWM-CDGS-XS-2024-0030-华西集采-简州大道</v>
      </c>
      <c r="R2690" s="30" t="str">
        <f>_xlfn._xlws.FILTER(辅助信息!D:D,辅助信息!E:E=B2690)</f>
        <v>华西简阳西城嘉苑</v>
      </c>
    </row>
    <row r="2691" hidden="1" spans="2:18">
      <c r="B2691" s="41" t="s">
        <v>81</v>
      </c>
      <c r="C2691" s="71">
        <v>45878</v>
      </c>
      <c r="D2691" s="41" t="str">
        <f>VLOOKUP(B2691,辅助信息!E:K,7,FALSE)</f>
        <v>JWDDCD2025060900080</v>
      </c>
      <c r="E2691" s="41" t="str">
        <f>VLOOKUP(F2691,辅助信息!A:B,2,FALSE)</f>
        <v>螺纹钢</v>
      </c>
      <c r="F2691" s="41" t="s">
        <v>30</v>
      </c>
      <c r="G2691" s="37">
        <v>9</v>
      </c>
      <c r="H2691" s="135">
        <f>_xlfn.XLOOKUP(C2691&amp;F2691&amp;I2691&amp;J2691,'[1]2025年已发货'!$F:$F&amp;'[1]2025年已发货'!$C:$C&amp;'[1]2025年已发货'!$G:$G&amp;'[1]2025年已发货'!$H:$H,'[1]2025年已发货'!$E:$E,"未发货")</f>
        <v>9</v>
      </c>
      <c r="I2691" s="41" t="str">
        <f>VLOOKUP(B2691,辅助信息!E:I,3,FALSE)</f>
        <v>（华西简阳西城嘉苑）四川省成都市简阳市简城街道高屋村</v>
      </c>
      <c r="J2691" s="41" t="str">
        <f>VLOOKUP(B2691,辅助信息!E:I,4,FALSE)</f>
        <v>张瀚镭</v>
      </c>
      <c r="K2691" s="41">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80</v>
      </c>
      <c r="Q2691" s="30" t="str">
        <f>VLOOKUP(B2691,辅助信息!E:M,9,FALSE)</f>
        <v>ZTWM-CDGS-XS-2024-0030-华西集采-简州大道</v>
      </c>
      <c r="R2691" s="30" t="str">
        <f>_xlfn._xlws.FILTER(辅助信息!D:D,辅助信息!E:E=B2691)</f>
        <v>华西简阳西城嘉苑</v>
      </c>
    </row>
    <row r="2692" hidden="1" spans="2:18">
      <c r="B2692" s="41" t="s">
        <v>81</v>
      </c>
      <c r="C2692" s="71">
        <v>45878</v>
      </c>
      <c r="D2692" s="41" t="str">
        <f>VLOOKUP(B2692,辅助信息!E:K,7,FALSE)</f>
        <v>JWDDCD2025060900080</v>
      </c>
      <c r="E2692" s="41" t="str">
        <f>VLOOKUP(F2692,辅助信息!A:B,2,FALSE)</f>
        <v>螺纹钢</v>
      </c>
      <c r="F2692" s="41" t="s">
        <v>33</v>
      </c>
      <c r="G2692" s="37">
        <v>7.5</v>
      </c>
      <c r="H2692" s="135">
        <f>_xlfn.XLOOKUP(C2692&amp;F2692&amp;I2692&amp;J2692,'[1]2025年已发货'!$F:$F&amp;'[1]2025年已发货'!$C:$C&amp;'[1]2025年已发货'!$G:$G&amp;'[1]2025年已发货'!$H:$H,'[1]2025年已发货'!$E:$E,"未发货")</f>
        <v>7.5</v>
      </c>
      <c r="I2692" s="41" t="str">
        <f>VLOOKUP(B2692,辅助信息!E:I,3,FALSE)</f>
        <v>（华西简阳西城嘉苑）四川省成都市简阳市简城街道高屋村</v>
      </c>
      <c r="J2692" s="41" t="str">
        <f>VLOOKUP(B2692,辅助信息!E:I,4,FALSE)</f>
        <v>张瀚镭</v>
      </c>
      <c r="K2692" s="41">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80</v>
      </c>
      <c r="Q2692" s="30" t="str">
        <f>VLOOKUP(B2692,辅助信息!E:M,9,FALSE)</f>
        <v>ZTWM-CDGS-XS-2024-0030-华西集采-简州大道</v>
      </c>
      <c r="R2692" s="30" t="str">
        <f>_xlfn._xlws.FILTER(辅助信息!D:D,辅助信息!E:E=B2692)</f>
        <v>华西简阳西城嘉苑</v>
      </c>
    </row>
    <row r="2693" hidden="1" spans="2:18">
      <c r="B2693" s="41" t="s">
        <v>194</v>
      </c>
      <c r="C2693" s="71">
        <v>45878</v>
      </c>
      <c r="D2693" s="41" t="str">
        <f>VLOOKUP(B2693,辅助信息!E:K,7,FALSE)</f>
        <v>JWDD2025071500089</v>
      </c>
      <c r="E2693" s="41" t="str">
        <f>VLOOKUP(F2693,辅助信息!A:B,2,FALSE)</f>
        <v>盘螺</v>
      </c>
      <c r="F2693" s="41" t="s">
        <v>40</v>
      </c>
      <c r="G2693" s="37">
        <v>10</v>
      </c>
      <c r="H2693" s="135" t="str">
        <f>_xlfn.XLOOKUP(C2693&amp;F2693&amp;I2693&amp;J2693,'[1]2025年已发货'!$F:$F&amp;'[1]2025年已发货'!$C:$C&amp;'[1]2025年已发货'!$G:$G&amp;'[1]2025年已发货'!$H:$H,'[1]2025年已发货'!$E:$E,"未发货")</f>
        <v>未发货</v>
      </c>
      <c r="I2693" s="41" t="str">
        <f>VLOOKUP(B2693,辅助信息!E:I,3,FALSE)</f>
        <v>(宜宾兴港三江新区长江工业园保障性租赁住房建设项目-土建)四川省宜宾市翠屏区永善路南段宜宾市三江新区长江工业园区</v>
      </c>
      <c r="J2693" s="41" t="str">
        <f>VLOOKUP(B2693,辅助信息!E:I,4,FALSE)</f>
        <v>赵元虎</v>
      </c>
      <c r="K2693" s="41">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80</v>
      </c>
      <c r="Q2693" s="30" t="str">
        <f>VLOOKUP(B2693,辅助信息!E:M,9,FALSE)</f>
        <v>ZTWM-CDYXGS-XS-2025-0014-宜宾兴港建材-三江新区长江工业园片区保障性租赁住房建设项目</v>
      </c>
      <c r="R2693" s="30" t="str">
        <f>_xlfn._xlws.FILTER(辅助信息!D:D,辅助信息!E:E=B2693)</f>
        <v>宜宾兴港三江新区长江工业园建设项目</v>
      </c>
    </row>
    <row r="2694" hidden="1" spans="2:18">
      <c r="B2694" s="41" t="s">
        <v>194</v>
      </c>
      <c r="C2694" s="71">
        <v>45878</v>
      </c>
      <c r="D2694" s="41" t="str">
        <f>VLOOKUP(B2694,辅助信息!E:K,7,FALSE)</f>
        <v>JWDD2025071500089</v>
      </c>
      <c r="E2694" s="41" t="str">
        <f>VLOOKUP(F2694,辅助信息!A:B,2,FALSE)</f>
        <v>盘螺</v>
      </c>
      <c r="F2694" s="41" t="s">
        <v>41</v>
      </c>
      <c r="G2694" s="37">
        <v>30</v>
      </c>
      <c r="H2694" s="135" t="str">
        <f>_xlfn.XLOOKUP(C2694&amp;F2694&amp;I2694&amp;J2694,'[1]2025年已发货'!$F:$F&amp;'[1]2025年已发货'!$C:$C&amp;'[1]2025年已发货'!$G:$G&amp;'[1]2025年已发货'!$H:$H,'[1]2025年已发货'!$E:$E,"未发货")</f>
        <v>未发货</v>
      </c>
      <c r="I2694" s="41" t="str">
        <f>VLOOKUP(B2694,辅助信息!E:I,3,FALSE)</f>
        <v>(宜宾兴港三江新区长江工业园保障性租赁住房建设项目-土建)四川省宜宾市翠屏区永善路南段宜宾市三江新区长江工业园区</v>
      </c>
      <c r="J2694" s="41" t="str">
        <f>VLOOKUP(B2694,辅助信息!E:I,4,FALSE)</f>
        <v>赵元虎</v>
      </c>
      <c r="K2694" s="41">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80</v>
      </c>
      <c r="Q2694" s="30" t="str">
        <f>VLOOKUP(B2694,辅助信息!E:M,9,FALSE)</f>
        <v>ZTWM-CDYXGS-XS-2025-0014-宜宾兴港建材-三江新区长江工业园片区保障性租赁住房建设项目</v>
      </c>
      <c r="R2694" s="30" t="str">
        <f>_xlfn._xlws.FILTER(辅助信息!D:D,辅助信息!E:E=B2694)</f>
        <v>宜宾兴港三江新区长江工业园建设项目</v>
      </c>
    </row>
    <row r="2695" hidden="1" spans="2:18">
      <c r="B2695" s="41" t="s">
        <v>194</v>
      </c>
      <c r="C2695" s="71">
        <v>45878</v>
      </c>
      <c r="D2695" s="41" t="str">
        <f>VLOOKUP(B2695,辅助信息!E:K,7,FALSE)</f>
        <v>JWDD2025071500089</v>
      </c>
      <c r="E2695" s="41" t="str">
        <f>VLOOKUP(F2695,辅助信息!A:B,2,FALSE)</f>
        <v>盘螺</v>
      </c>
      <c r="F2695" s="41" t="s">
        <v>26</v>
      </c>
      <c r="G2695" s="37">
        <v>30</v>
      </c>
      <c r="H2695" s="135" t="str">
        <f>_xlfn.XLOOKUP(C2695&amp;F2695&amp;I2695&amp;J2695,'[1]2025年已发货'!$F:$F&amp;'[1]2025年已发货'!$C:$C&amp;'[1]2025年已发货'!$G:$G&amp;'[1]2025年已发货'!$H:$H,'[1]2025年已发货'!$E:$E,"未发货")</f>
        <v>未发货</v>
      </c>
      <c r="I2695" s="41" t="str">
        <f>VLOOKUP(B2695,辅助信息!E:I,3,FALSE)</f>
        <v>(宜宾兴港三江新区长江工业园保障性租赁住房建设项目-土建)四川省宜宾市翠屏区永善路南段宜宾市三江新区长江工业园区</v>
      </c>
      <c r="J2695" s="41" t="str">
        <f>VLOOKUP(B2695,辅助信息!E:I,4,FALSE)</f>
        <v>赵元虎</v>
      </c>
      <c r="K2695" s="41">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80</v>
      </c>
      <c r="Q2695" s="30" t="str">
        <f>VLOOKUP(B2695,辅助信息!E:M,9,FALSE)</f>
        <v>ZTWM-CDYXGS-XS-2025-0014-宜宾兴港建材-三江新区长江工业园片区保障性租赁住房建设项目</v>
      </c>
      <c r="R2695" s="30" t="str">
        <f>_xlfn._xlws.FILTER(辅助信息!D:D,辅助信息!E:E=B2695)</f>
        <v>宜宾兴港三江新区长江工业园建设项目</v>
      </c>
    </row>
    <row r="2696" hidden="1" spans="2:18">
      <c r="B2696" s="41" t="s">
        <v>194</v>
      </c>
      <c r="C2696" s="71">
        <v>45878</v>
      </c>
      <c r="D2696" s="41" t="str">
        <f>VLOOKUP(B2696,辅助信息!E:K,7,FALSE)</f>
        <v>JWDD2025071500089</v>
      </c>
      <c r="E2696" s="41" t="str">
        <f>VLOOKUP(F2696,辅助信息!A:B,2,FALSE)</f>
        <v>螺纹钢</v>
      </c>
      <c r="F2696" s="41" t="s">
        <v>27</v>
      </c>
      <c r="G2696" s="37">
        <v>30</v>
      </c>
      <c r="H2696" s="135">
        <f>_xlfn.XLOOKUP(C2696&amp;F2696&amp;I2696&amp;J2696,'[1]2025年已发货'!$F:$F&amp;'[1]2025年已发货'!$C:$C&amp;'[1]2025年已发货'!$G:$G&amp;'[1]2025年已发货'!$H:$H,'[1]2025年已发货'!$E:$E,"未发货")</f>
        <v>30</v>
      </c>
      <c r="I2696" s="41" t="str">
        <f>VLOOKUP(B2696,辅助信息!E:I,3,FALSE)</f>
        <v>(宜宾兴港三江新区长江工业园保障性租赁住房建设项目-土建)四川省宜宾市翠屏区永善路南段宜宾市三江新区长江工业园区</v>
      </c>
      <c r="J2696" s="41" t="str">
        <f>VLOOKUP(B2696,辅助信息!E:I,4,FALSE)</f>
        <v>赵元虎</v>
      </c>
      <c r="K2696" s="41">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80</v>
      </c>
      <c r="Q2696" s="30" t="str">
        <f>VLOOKUP(B2696,辅助信息!E:M,9,FALSE)</f>
        <v>ZTWM-CDYXGS-XS-2025-0014-宜宾兴港建材-三江新区长江工业园片区保障性租赁住房建设项目</v>
      </c>
      <c r="R2696" s="30" t="str">
        <f>_xlfn._xlws.FILTER(辅助信息!D:D,辅助信息!E:E=B2696)</f>
        <v>宜宾兴港三江新区长江工业园建设项目</v>
      </c>
    </row>
    <row r="2697" hidden="1" spans="2:18">
      <c r="B2697" s="41" t="s">
        <v>194</v>
      </c>
      <c r="C2697" s="71">
        <v>45878</v>
      </c>
      <c r="D2697" s="41" t="str">
        <f>VLOOKUP(B2697,辅助信息!E:K,7,FALSE)</f>
        <v>JWDD2025071500089</v>
      </c>
      <c r="E2697" s="41" t="str">
        <f>VLOOKUP(F2697,辅助信息!A:B,2,FALSE)</f>
        <v>螺纹钢</v>
      </c>
      <c r="F2697" s="41" t="s">
        <v>30</v>
      </c>
      <c r="G2697" s="37">
        <v>30</v>
      </c>
      <c r="H2697" s="135">
        <f>_xlfn.XLOOKUP(C2697&amp;F2697&amp;I2697&amp;J2697,'[1]2025年已发货'!$F:$F&amp;'[1]2025年已发货'!$C:$C&amp;'[1]2025年已发货'!$G:$G&amp;'[1]2025年已发货'!$H:$H,'[1]2025年已发货'!$E:$E,"未发货")</f>
        <v>30</v>
      </c>
      <c r="I2697" s="41" t="str">
        <f>VLOOKUP(B2697,辅助信息!E:I,3,FALSE)</f>
        <v>(宜宾兴港三江新区长江工业园保障性租赁住房建设项目-土建)四川省宜宾市翠屏区永善路南段宜宾市三江新区长江工业园区</v>
      </c>
      <c r="J2697" s="41" t="str">
        <f>VLOOKUP(B2697,辅助信息!E:I,4,FALSE)</f>
        <v>赵元虎</v>
      </c>
      <c r="K2697" s="41">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80</v>
      </c>
      <c r="Q2697" s="30" t="str">
        <f>VLOOKUP(B2697,辅助信息!E:M,9,FALSE)</f>
        <v>ZTWM-CDYXGS-XS-2025-0014-宜宾兴港建材-三江新区长江工业园片区保障性租赁住房建设项目</v>
      </c>
      <c r="R2697" s="30" t="str">
        <f>_xlfn._xlws.FILTER(辅助信息!D:D,辅助信息!E:E=B2697)</f>
        <v>宜宾兴港三江新区长江工业园建设项目</v>
      </c>
    </row>
    <row r="2698" hidden="1" spans="2:18">
      <c r="B2698" s="41" t="s">
        <v>194</v>
      </c>
      <c r="C2698" s="71">
        <v>45878</v>
      </c>
      <c r="D2698" s="41" t="str">
        <f>VLOOKUP(B2698,辅助信息!E:K,7,FALSE)</f>
        <v>JWDD2025071500089</v>
      </c>
      <c r="E2698" s="41" t="str">
        <f>VLOOKUP(F2698,辅助信息!A:B,2,FALSE)</f>
        <v>螺纹钢</v>
      </c>
      <c r="F2698" s="41" t="s">
        <v>33</v>
      </c>
      <c r="G2698" s="37">
        <v>30</v>
      </c>
      <c r="H2698" s="135">
        <f>_xlfn.XLOOKUP(C2698&amp;F2698&amp;I2698&amp;J2698,'[1]2025年已发货'!$F:$F&amp;'[1]2025年已发货'!$C:$C&amp;'[1]2025年已发货'!$G:$G&amp;'[1]2025年已发货'!$H:$H,'[1]2025年已发货'!$E:$E,"未发货")</f>
        <v>30</v>
      </c>
      <c r="I2698" s="41" t="str">
        <f>VLOOKUP(B2698,辅助信息!E:I,3,FALSE)</f>
        <v>(宜宾兴港三江新区长江工业园保障性租赁住房建设项目-土建)四川省宜宾市翠屏区永善路南段宜宾市三江新区长江工业园区</v>
      </c>
      <c r="J2698" s="41" t="str">
        <f>VLOOKUP(B2698,辅助信息!E:I,4,FALSE)</f>
        <v>赵元虎</v>
      </c>
      <c r="K2698" s="41">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80</v>
      </c>
      <c r="Q2698" s="30" t="str">
        <f>VLOOKUP(B2698,辅助信息!E:M,9,FALSE)</f>
        <v>ZTWM-CDYXGS-XS-2025-0014-宜宾兴港建材-三江新区长江工业园片区保障性租赁住房建设项目</v>
      </c>
      <c r="R2698" s="30" t="str">
        <f>_xlfn._xlws.FILTER(辅助信息!D:D,辅助信息!E:E=B2698)</f>
        <v>宜宾兴港三江新区长江工业园建设项目</v>
      </c>
    </row>
    <row r="2699" hidden="1" spans="2:18">
      <c r="B2699" s="41" t="s">
        <v>194</v>
      </c>
      <c r="C2699" s="71">
        <v>45878</v>
      </c>
      <c r="D2699" s="41" t="str">
        <f>VLOOKUP(B2699,辅助信息!E:K,7,FALSE)</f>
        <v>JWDD2025071500089</v>
      </c>
      <c r="E2699" s="41" t="str">
        <f>VLOOKUP(F2699,辅助信息!A:B,2,FALSE)</f>
        <v>螺纹钢</v>
      </c>
      <c r="F2699" s="41" t="s">
        <v>18</v>
      </c>
      <c r="G2699" s="37">
        <v>30</v>
      </c>
      <c r="H2699" s="135">
        <f>_xlfn.XLOOKUP(C2699&amp;F2699&amp;I2699&amp;J2699,'[1]2025年已发货'!$F:$F&amp;'[1]2025年已发货'!$C:$C&amp;'[1]2025年已发货'!$G:$G&amp;'[1]2025年已发货'!$H:$H,'[1]2025年已发货'!$E:$E,"未发货")</f>
        <v>30</v>
      </c>
      <c r="I2699" s="41" t="str">
        <f>VLOOKUP(B2699,辅助信息!E:I,3,FALSE)</f>
        <v>(宜宾兴港三江新区长江工业园保障性租赁住房建设项目-土建)四川省宜宾市翠屏区永善路南段宜宾市三江新区长江工业园区</v>
      </c>
      <c r="J2699" s="41" t="str">
        <f>VLOOKUP(B2699,辅助信息!E:I,4,FALSE)</f>
        <v>赵元虎</v>
      </c>
      <c r="K2699" s="41">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80</v>
      </c>
      <c r="Q2699" s="30" t="str">
        <f>VLOOKUP(B2699,辅助信息!E:M,9,FALSE)</f>
        <v>ZTWM-CDYXGS-XS-2025-0014-宜宾兴港建材-三江新区长江工业园片区保障性租赁住房建设项目</v>
      </c>
      <c r="R2699" s="30" t="str">
        <f>_xlfn._xlws.FILTER(辅助信息!D:D,辅助信息!E:E=B2699)</f>
        <v>宜宾兴港三江新区长江工业园建设项目</v>
      </c>
    </row>
    <row r="2700" hidden="1" spans="2:18">
      <c r="B2700" s="41" t="s">
        <v>194</v>
      </c>
      <c r="C2700" s="71">
        <v>45878</v>
      </c>
      <c r="D2700" s="41" t="str">
        <f>VLOOKUP(B2700,辅助信息!E:K,7,FALSE)</f>
        <v>JWDD2025071500089</v>
      </c>
      <c r="E2700" s="41" t="str">
        <f>VLOOKUP(F2700,辅助信息!A:B,2,FALSE)</f>
        <v>螺纹钢</v>
      </c>
      <c r="F2700" s="41" t="s">
        <v>66</v>
      </c>
      <c r="G2700" s="37">
        <v>2.7</v>
      </c>
      <c r="H2700" s="135">
        <f>_xlfn.XLOOKUP(C2700&amp;F2700&amp;I2700&amp;J2700,'[1]2025年已发货'!$F:$F&amp;'[1]2025年已发货'!$C:$C&amp;'[1]2025年已发货'!$G:$G&amp;'[1]2025年已发货'!$H:$H,'[1]2025年已发货'!$E:$E,"未发货")</f>
        <v>2.7</v>
      </c>
      <c r="I2700" s="41" t="str">
        <f>VLOOKUP(B2700,辅助信息!E:I,3,FALSE)</f>
        <v>(宜宾兴港三江新区长江工业园保障性租赁住房建设项目-土建)四川省宜宾市翠屏区永善路南段宜宾市三江新区长江工业园区</v>
      </c>
      <c r="J2700" s="41" t="str">
        <f>VLOOKUP(B2700,辅助信息!E:I,4,FALSE)</f>
        <v>赵元虎</v>
      </c>
      <c r="K2700" s="41">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80</v>
      </c>
      <c r="Q2700" s="30" t="str">
        <f>VLOOKUP(B2700,辅助信息!E:M,9,FALSE)</f>
        <v>ZTWM-CDYXGS-XS-2025-0014-宜宾兴港建材-三江新区长江工业园片区保障性租赁住房建设项目</v>
      </c>
      <c r="R2700" s="30" t="str">
        <f>_xlfn._xlws.FILTER(辅助信息!D:D,辅助信息!E:E=B2700)</f>
        <v>宜宾兴港三江新区长江工业园建设项目</v>
      </c>
    </row>
    <row r="2701" hidden="1" spans="2:18">
      <c r="B2701" s="41" t="s">
        <v>194</v>
      </c>
      <c r="C2701" s="71">
        <v>45878</v>
      </c>
      <c r="D2701" s="41" t="str">
        <f>VLOOKUP(B2701,辅助信息!E:K,7,FALSE)</f>
        <v>JWDD2025071500089</v>
      </c>
      <c r="E2701" s="41" t="str">
        <f>VLOOKUP(F2701,辅助信息!A:B,2,FALSE)</f>
        <v>螺纹钢</v>
      </c>
      <c r="F2701" s="41" t="s">
        <v>45</v>
      </c>
      <c r="G2701" s="37">
        <v>2.7</v>
      </c>
      <c r="H2701" s="135">
        <f>_xlfn.XLOOKUP(C2701&amp;F2701&amp;I2701&amp;J2701,'[1]2025年已发货'!$F:$F&amp;'[1]2025年已发货'!$C:$C&amp;'[1]2025年已发货'!$G:$G&amp;'[1]2025年已发货'!$H:$H,'[1]2025年已发货'!$E:$E,"未发货")</f>
        <v>2.7</v>
      </c>
      <c r="I2701" s="41" t="str">
        <f>VLOOKUP(B2701,辅助信息!E:I,3,FALSE)</f>
        <v>(宜宾兴港三江新区长江工业园保障性租赁住房建设项目-土建)四川省宜宾市翠屏区永善路南段宜宾市三江新区长江工业园区</v>
      </c>
      <c r="J2701" s="41" t="str">
        <f>VLOOKUP(B2701,辅助信息!E:I,4,FALSE)</f>
        <v>赵元虎</v>
      </c>
      <c r="K2701" s="41">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80</v>
      </c>
      <c r="Q2701" s="30" t="str">
        <f>VLOOKUP(B2701,辅助信息!E:M,9,FALSE)</f>
        <v>ZTWM-CDYXGS-XS-2025-0014-宜宾兴港建材-三江新区长江工业园片区保障性租赁住房建设项目</v>
      </c>
      <c r="R2701" s="30" t="str">
        <f>_xlfn._xlws.FILTER(辅助信息!D:D,辅助信息!E:E=B2701)</f>
        <v>宜宾兴港三江新区长江工业园建设项目</v>
      </c>
    </row>
    <row r="2702" hidden="1" spans="2:18">
      <c r="B2702" s="41" t="s">
        <v>194</v>
      </c>
      <c r="C2702" s="71">
        <v>45878</v>
      </c>
      <c r="D2702" s="41" t="str">
        <f>VLOOKUP(B2702,辅助信息!E:K,7,FALSE)</f>
        <v>JWDD2025071500089</v>
      </c>
      <c r="E2702" s="41" t="str">
        <f>VLOOKUP(F2702,辅助信息!A:B,2,FALSE)</f>
        <v>螺纹钢</v>
      </c>
      <c r="F2702" s="41" t="s">
        <v>21</v>
      </c>
      <c r="G2702" s="37">
        <v>2.7</v>
      </c>
      <c r="H2702" s="135">
        <f>_xlfn.XLOOKUP(C2702&amp;F2702&amp;I2702&amp;J2702,'[1]2025年已发货'!$F:$F&amp;'[1]2025年已发货'!$C:$C&amp;'[1]2025年已发货'!$G:$G&amp;'[1]2025年已发货'!$H:$H,'[1]2025年已发货'!$E:$E,"未发货")</f>
        <v>2.7</v>
      </c>
      <c r="I2702" s="41" t="str">
        <f>VLOOKUP(B2702,辅助信息!E:I,3,FALSE)</f>
        <v>(宜宾兴港三江新区长江工业园保障性租赁住房建设项目-土建)四川省宜宾市翠屏区永善路南段宜宾市三江新区长江工业园区</v>
      </c>
      <c r="J2702" s="41" t="str">
        <f>VLOOKUP(B2702,辅助信息!E:I,4,FALSE)</f>
        <v>赵元虎</v>
      </c>
      <c r="K2702" s="41">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80</v>
      </c>
      <c r="Q2702" s="30" t="str">
        <f>VLOOKUP(B2702,辅助信息!E:M,9,FALSE)</f>
        <v>ZTWM-CDYXGS-XS-2025-0014-宜宾兴港建材-三江新区长江工业园片区保障性租赁住房建设项目</v>
      </c>
      <c r="R2702" s="30" t="str">
        <f>_xlfn._xlws.FILTER(辅助信息!D:D,辅助信息!E:E=B2702)</f>
        <v>宜宾兴港三江新区长江工业园建设项目</v>
      </c>
    </row>
    <row r="2703" hidden="1" spans="2:18">
      <c r="B2703" s="41" t="s">
        <v>194</v>
      </c>
      <c r="C2703" s="71">
        <v>45878</v>
      </c>
      <c r="D2703" s="41" t="str">
        <f>VLOOKUP(B2703,辅助信息!E:K,7,FALSE)</f>
        <v>JWDD2025071500089</v>
      </c>
      <c r="E2703" s="41" t="str">
        <f>VLOOKUP(F2703,辅助信息!A:B,2,FALSE)</f>
        <v>螺纹钢</v>
      </c>
      <c r="F2703" s="41" t="s">
        <v>58</v>
      </c>
      <c r="G2703" s="37">
        <v>2.7</v>
      </c>
      <c r="H2703" s="135">
        <f>_xlfn.XLOOKUP(C2703&amp;F2703&amp;I2703&amp;J2703,'[1]2025年已发货'!$F:$F&amp;'[1]2025年已发货'!$C:$C&amp;'[1]2025年已发货'!$G:$G&amp;'[1]2025年已发货'!$H:$H,'[1]2025年已发货'!$E:$E,"未发货")</f>
        <v>2.7</v>
      </c>
      <c r="I2703" s="41" t="str">
        <f>VLOOKUP(B2703,辅助信息!E:I,3,FALSE)</f>
        <v>(宜宾兴港三江新区长江工业园保障性租赁住房建设项目-土建)四川省宜宾市翠屏区永善路南段宜宾市三江新区长江工业园区</v>
      </c>
      <c r="J2703" s="41" t="str">
        <f>VLOOKUP(B2703,辅助信息!E:I,4,FALSE)</f>
        <v>赵元虎</v>
      </c>
      <c r="K2703" s="41">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80</v>
      </c>
      <c r="Q2703" s="30" t="str">
        <f>VLOOKUP(B2703,辅助信息!E:M,9,FALSE)</f>
        <v>ZTWM-CDYXGS-XS-2025-0014-宜宾兴港建材-三江新区长江工业园片区保障性租赁住房建设项目</v>
      </c>
      <c r="R2703" s="30" t="str">
        <f>_xlfn._xlws.FILTER(辅助信息!D:D,辅助信息!E:E=B2703)</f>
        <v>宜宾兴港三江新区长江工业园建设项目</v>
      </c>
    </row>
    <row r="2704" hidden="1" spans="2:18">
      <c r="B2704" s="41" t="s">
        <v>194</v>
      </c>
      <c r="C2704" s="71">
        <v>45878</v>
      </c>
      <c r="D2704" s="41" t="str">
        <f>VLOOKUP(B2704,辅助信息!E:K,7,FALSE)</f>
        <v>JWDD2025071500089</v>
      </c>
      <c r="E2704" s="41" t="str">
        <f>VLOOKUP(F2704,辅助信息!A:B,2,FALSE)</f>
        <v>螺纹钢</v>
      </c>
      <c r="F2704" s="41" t="s">
        <v>46</v>
      </c>
      <c r="G2704" s="37">
        <v>2.7</v>
      </c>
      <c r="H2704" s="135">
        <f>_xlfn.XLOOKUP(C2704&amp;F2704&amp;I2704&amp;J2704,'[1]2025年已发货'!$F:$F&amp;'[1]2025年已发货'!$C:$C&amp;'[1]2025年已发货'!$G:$G&amp;'[1]2025年已发货'!$H:$H,'[1]2025年已发货'!$E:$E,"未发货")</f>
        <v>2.7</v>
      </c>
      <c r="I2704" s="41" t="str">
        <f>VLOOKUP(B2704,辅助信息!E:I,3,FALSE)</f>
        <v>(宜宾兴港三江新区长江工业园保障性租赁住房建设项目-土建)四川省宜宾市翠屏区永善路南段宜宾市三江新区长江工业园区</v>
      </c>
      <c r="J2704" s="41" t="str">
        <f>VLOOKUP(B2704,辅助信息!E:I,4,FALSE)</f>
        <v>赵元虎</v>
      </c>
      <c r="K2704" s="41">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80</v>
      </c>
      <c r="Q2704" s="30" t="str">
        <f>VLOOKUP(B2704,辅助信息!E:M,9,FALSE)</f>
        <v>ZTWM-CDYXGS-XS-2025-0014-宜宾兴港建材-三江新区长江工业园片区保障性租赁住房建设项目</v>
      </c>
      <c r="R2704" s="30" t="str">
        <f>_xlfn._xlws.FILTER(辅助信息!D:D,辅助信息!E:E=B2704)</f>
        <v>宜宾兴港三江新区长江工业园建设项目</v>
      </c>
    </row>
    <row r="2705" hidden="1" spans="2:18">
      <c r="B2705" s="41" t="s">
        <v>194</v>
      </c>
      <c r="C2705" s="71">
        <v>45878</v>
      </c>
      <c r="D2705" s="41" t="str">
        <f>VLOOKUP(B2705,辅助信息!E:K,7,FALSE)</f>
        <v>JWDD2025071500089</v>
      </c>
      <c r="E2705" s="41" t="str">
        <f>VLOOKUP(F2705,辅助信息!A:B,2,FALSE)</f>
        <v>螺纹钢</v>
      </c>
      <c r="F2705" s="41" t="s">
        <v>22</v>
      </c>
      <c r="G2705" s="37">
        <v>50</v>
      </c>
      <c r="H2705" s="135">
        <f>_xlfn.XLOOKUP(C2705&amp;F2705&amp;I2705&amp;J2705,'[1]2025年已发货'!$F:$F&amp;'[1]2025年已发货'!$C:$C&amp;'[1]2025年已发货'!$G:$G&amp;'[1]2025年已发货'!$H:$H,'[1]2025年已发货'!$E:$E,"未发货")</f>
        <v>42</v>
      </c>
      <c r="I2705" s="41" t="str">
        <f>VLOOKUP(B2705,辅助信息!E:I,3,FALSE)</f>
        <v>(宜宾兴港三江新区长江工业园保障性租赁住房建设项目-土建)四川省宜宾市翠屏区永善路南段宜宾市三江新区长江工业园区</v>
      </c>
      <c r="J2705" s="41" t="str">
        <f>VLOOKUP(B2705,辅助信息!E:I,4,FALSE)</f>
        <v>赵元虎</v>
      </c>
      <c r="K2705" s="41">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80</v>
      </c>
      <c r="Q2705" s="30" t="str">
        <f>VLOOKUP(B2705,辅助信息!E:M,9,FALSE)</f>
        <v>ZTWM-CDYXGS-XS-2025-0014-宜宾兴港建材-三江新区长江工业园片区保障性租赁住房建设项目</v>
      </c>
      <c r="R2705" s="30" t="str">
        <f>_xlfn._xlws.FILTER(辅助信息!D:D,辅助信息!E:E=B2705)</f>
        <v>宜宾兴港三江新区长江工业园建设项目</v>
      </c>
    </row>
    <row r="2706" hidden="1" spans="2:18">
      <c r="B2706" s="41" t="s">
        <v>106</v>
      </c>
      <c r="C2706" s="71">
        <v>45880</v>
      </c>
      <c r="D2706" s="41" t="str">
        <f>VLOOKUP(B2706,辅助信息!E:K,7,FALSE)</f>
        <v>JWDDCD2024101600133</v>
      </c>
      <c r="E2706" s="41" t="str">
        <f>VLOOKUP(F2706,辅助信息!A:B,2,FALSE)</f>
        <v>盘螺</v>
      </c>
      <c r="F2706" s="41" t="s">
        <v>49</v>
      </c>
      <c r="G2706" s="37">
        <v>10</v>
      </c>
      <c r="H2706" s="135">
        <f>_xlfn.XLOOKUP(C2706&amp;F2706&amp;I2706&amp;J2706,'[1]2025年已发货'!$F:$F&amp;'[1]2025年已发货'!$C:$C&amp;'[1]2025年已发货'!$G:$G&amp;'[1]2025年已发货'!$H:$H,'[1]2025年已发货'!$E:$E,"未发货")</f>
        <v>10</v>
      </c>
      <c r="I2706" s="41" t="str">
        <f>VLOOKUP(B2706,辅助信息!E:I,3,FALSE)</f>
        <v>（五冶钢构宜宾高县月江镇建设项目）  四川省宜宾市高县月江镇刚记超市斜对面(还阳组团沪碳二期项目)</v>
      </c>
      <c r="J2706" s="41" t="str">
        <f>VLOOKUP(B2706,辅助信息!E:I,4,FALSE)</f>
        <v>张朝亮</v>
      </c>
      <c r="K2706" s="41">
        <f>VLOOKUP(J2706,辅助信息!H:I,2,FALSE)</f>
        <v>15228205853</v>
      </c>
      <c r="L2706" s="110" t="str">
        <f>VLOOKUP(B2706,辅助信息!E:J,6,FALSE)</f>
        <v>提前联系到场规格</v>
      </c>
      <c r="O2706" s="63" t="str">
        <f ca="1" t="shared" si="163"/>
        <v/>
      </c>
      <c r="P2706" s="63" t="str">
        <f ca="1" t="shared" si="164"/>
        <v/>
      </c>
      <c r="Q2706" s="30" t="str">
        <f>VLOOKUP(B2706,辅助信息!E:M,9,FALSE)</f>
        <v>ZTWM-CDGS-XS-2024-0169-中冶西部钢构-宜宾市南溪区幸福路东路,高县月江镇建设项目</v>
      </c>
      <c r="R2706" s="30" t="str">
        <f>_xlfn._xlws.FILTER(辅助信息!D:D,辅助信息!E:E=B2706)</f>
        <v>五冶钢构-宜宾市南溪区高县月江镇建设项目</v>
      </c>
    </row>
    <row r="2707" hidden="1" spans="2:18">
      <c r="B2707" s="41" t="s">
        <v>106</v>
      </c>
      <c r="C2707" s="71">
        <v>45880</v>
      </c>
      <c r="D2707" s="41" t="str">
        <f>VLOOKUP(B2707,辅助信息!E:K,7,FALSE)</f>
        <v>JWDDCD2024101600133</v>
      </c>
      <c r="E2707" s="41" t="str">
        <f>VLOOKUP(F2707,辅助信息!A:B,2,FALSE)</f>
        <v>螺纹钢</v>
      </c>
      <c r="F2707" s="41" t="s">
        <v>30</v>
      </c>
      <c r="G2707" s="37">
        <v>6</v>
      </c>
      <c r="H2707" s="135">
        <f>_xlfn.XLOOKUP(C2707&amp;F2707&amp;I2707&amp;J2707,'[1]2025年已发货'!$F:$F&amp;'[1]2025年已发货'!$C:$C&amp;'[1]2025年已发货'!$G:$G&amp;'[1]2025年已发货'!$H:$H,'[1]2025年已发货'!$E:$E,"未发货")</f>
        <v>6</v>
      </c>
      <c r="I2707" s="41" t="str">
        <f>VLOOKUP(B2707,辅助信息!E:I,3,FALSE)</f>
        <v>（五冶钢构宜宾高县月江镇建设项目）  四川省宜宾市高县月江镇刚记超市斜对面(还阳组团沪碳二期项目)</v>
      </c>
      <c r="J2707" s="41" t="str">
        <f>VLOOKUP(B2707,辅助信息!E:I,4,FALSE)</f>
        <v>张朝亮</v>
      </c>
      <c r="K2707" s="41">
        <f>VLOOKUP(J2707,辅助信息!H:I,2,FALSE)</f>
        <v>15228205853</v>
      </c>
      <c r="L2707" s="110" t="str">
        <f>VLOOKUP(B2707,辅助信息!E:J,6,FALSE)</f>
        <v>提前联系到场规格</v>
      </c>
      <c r="O2707" s="63" t="str">
        <f ca="1" t="shared" si="163"/>
        <v/>
      </c>
      <c r="P2707" s="63" t="str">
        <f ca="1" t="shared" si="164"/>
        <v/>
      </c>
      <c r="Q2707" s="30" t="str">
        <f>VLOOKUP(B2707,辅助信息!E:M,9,FALSE)</f>
        <v>ZTWM-CDGS-XS-2024-0169-中冶西部钢构-宜宾市南溪区幸福路东路,高县月江镇建设项目</v>
      </c>
      <c r="R2707" s="30" t="str">
        <f>_xlfn._xlws.FILTER(辅助信息!D:D,辅助信息!E:E=B2707)</f>
        <v>五冶钢构-宜宾市南溪区高县月江镇建设项目</v>
      </c>
    </row>
    <row r="2708" hidden="1" spans="2:18">
      <c r="B2708" s="41" t="s">
        <v>106</v>
      </c>
      <c r="C2708" s="71">
        <v>45880</v>
      </c>
      <c r="D2708" s="41" t="str">
        <f>VLOOKUP(B2708,辅助信息!E:K,7,FALSE)</f>
        <v>JWDDCD2024101600133</v>
      </c>
      <c r="E2708" s="41" t="str">
        <f>VLOOKUP(F2708,辅助信息!A:B,2,FALSE)</f>
        <v>螺纹钢</v>
      </c>
      <c r="F2708" s="41" t="s">
        <v>33</v>
      </c>
      <c r="G2708" s="37">
        <v>9</v>
      </c>
      <c r="H2708" s="135">
        <f>_xlfn.XLOOKUP(C2708&amp;F2708&amp;I2708&amp;J2708,'[1]2025年已发货'!$F:$F&amp;'[1]2025年已发货'!$C:$C&amp;'[1]2025年已发货'!$G:$G&amp;'[1]2025年已发货'!$H:$H,'[1]2025年已发货'!$E:$E,"未发货")</f>
        <v>9</v>
      </c>
      <c r="I2708" s="41" t="str">
        <f>VLOOKUP(B2708,辅助信息!E:I,3,FALSE)</f>
        <v>（五冶钢构宜宾高县月江镇建设项目）  四川省宜宾市高县月江镇刚记超市斜对面(还阳组团沪碳二期项目)</v>
      </c>
      <c r="J2708" s="41" t="str">
        <f>VLOOKUP(B2708,辅助信息!E:I,4,FALSE)</f>
        <v>张朝亮</v>
      </c>
      <c r="K2708" s="41">
        <f>VLOOKUP(J2708,辅助信息!H:I,2,FALSE)</f>
        <v>15228205853</v>
      </c>
      <c r="L2708" s="110" t="str">
        <f>VLOOKUP(B2708,辅助信息!E:J,6,FALSE)</f>
        <v>提前联系到场规格</v>
      </c>
      <c r="O2708" s="63" t="str">
        <f ca="1" t="shared" si="163"/>
        <v/>
      </c>
      <c r="P2708" s="63" t="str">
        <f ca="1" t="shared" si="164"/>
        <v/>
      </c>
      <c r="Q2708" s="30" t="str">
        <f>VLOOKUP(B2708,辅助信息!E:M,9,FALSE)</f>
        <v>ZTWM-CDGS-XS-2024-0169-中冶西部钢构-宜宾市南溪区幸福路东路,高县月江镇建设项目</v>
      </c>
      <c r="R2708" s="30" t="str">
        <f>_xlfn._xlws.FILTER(辅助信息!D:D,辅助信息!E:E=B2708)</f>
        <v>五冶钢构-宜宾市南溪区高县月江镇建设项目</v>
      </c>
    </row>
    <row r="2709" hidden="1" spans="2:18">
      <c r="B2709" s="41" t="s">
        <v>106</v>
      </c>
      <c r="C2709" s="71">
        <v>45880</v>
      </c>
      <c r="D2709" s="41" t="str">
        <f>VLOOKUP(B2709,辅助信息!E:K,7,FALSE)</f>
        <v>JWDDCD2024101600133</v>
      </c>
      <c r="E2709" s="41" t="str">
        <f>VLOOKUP(F2709,辅助信息!A:B,2,FALSE)</f>
        <v>螺纹钢</v>
      </c>
      <c r="F2709" s="41" t="s">
        <v>28</v>
      </c>
      <c r="G2709" s="37">
        <v>9</v>
      </c>
      <c r="H2709" s="135">
        <f>_xlfn.XLOOKUP(C2709&amp;F2709&amp;I2709&amp;J2709,'[1]2025年已发货'!$F:$F&amp;'[1]2025年已发货'!$C:$C&amp;'[1]2025年已发货'!$G:$G&amp;'[1]2025年已发货'!$H:$H,'[1]2025年已发货'!$E:$E,"未发货")</f>
        <v>9</v>
      </c>
      <c r="I2709" s="41" t="str">
        <f>VLOOKUP(B2709,辅助信息!E:I,3,FALSE)</f>
        <v>（五冶钢构宜宾高县月江镇建设项目）  四川省宜宾市高县月江镇刚记超市斜对面(还阳组团沪碳二期项目)</v>
      </c>
      <c r="J2709" s="41" t="str">
        <f>VLOOKUP(B2709,辅助信息!E:I,4,FALSE)</f>
        <v>张朝亮</v>
      </c>
      <c r="K2709" s="41">
        <f>VLOOKUP(J2709,辅助信息!H:I,2,FALSE)</f>
        <v>15228205853</v>
      </c>
      <c r="L2709" s="110" t="str">
        <f>VLOOKUP(B2709,辅助信息!E:J,6,FALSE)</f>
        <v>提前联系到场规格</v>
      </c>
      <c r="O2709" s="63" t="str">
        <f ca="1" t="shared" si="163"/>
        <v/>
      </c>
      <c r="P2709" s="63" t="str">
        <f ca="1" t="shared" si="164"/>
        <v/>
      </c>
      <c r="Q2709" s="30" t="str">
        <f>VLOOKUP(B2709,辅助信息!E:M,9,FALSE)</f>
        <v>ZTWM-CDGS-XS-2024-0169-中冶西部钢构-宜宾市南溪区幸福路东路,高县月江镇建设项目</v>
      </c>
      <c r="R2709" s="30" t="str">
        <f>_xlfn._xlws.FILTER(辅助信息!D:D,辅助信息!E:E=B2709)</f>
        <v>五冶钢构-宜宾市南溪区高县月江镇建设项目</v>
      </c>
    </row>
    <row r="2710" hidden="1" spans="2:18">
      <c r="B2710" s="41" t="s">
        <v>68</v>
      </c>
      <c r="C2710" s="71">
        <v>45880</v>
      </c>
      <c r="D2710" s="41" t="str">
        <f>VLOOKUP(B2710,辅助信息!E:K,7,FALSE)</f>
        <v>JWDDCD2025052800131</v>
      </c>
      <c r="E2710" s="41" t="str">
        <f>VLOOKUP(F2710,辅助信息!A:B,2,FALSE)</f>
        <v>螺纹钢</v>
      </c>
      <c r="F2710" s="41" t="s">
        <v>65</v>
      </c>
      <c r="G2710" s="37">
        <v>60</v>
      </c>
      <c r="H2710" s="135">
        <f>_xlfn.XLOOKUP(C2710&amp;F2710&amp;I2710&amp;J2710,'[1]2025年已发货'!$F:$F&amp;'[1]2025年已发货'!$C:$C&amp;'[1]2025年已发货'!$G:$G&amp;'[1]2025年已发货'!$H:$H,'[1]2025年已发货'!$E:$E,"未发货")</f>
        <v>60</v>
      </c>
      <c r="I2710" s="41" t="str">
        <f>VLOOKUP(B2710,辅助信息!E:I,3,FALSE)</f>
        <v>（商投建工达州中医药科技园-2工区-景观桥）达州市通川区达州中医药职业学院犀牛大道北段</v>
      </c>
      <c r="J2710" s="41" t="str">
        <f>VLOOKUP(B2710,辅助信息!E:I,4,FALSE)</f>
        <v>李波</v>
      </c>
      <c r="K2710" s="41">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30" t="str">
        <f>VLOOKUP(B2710,辅助信息!E:M,9,FALSE)</f>
        <v>ZTWM-CDGS-XS-2024-0134-商投建工达州中医药科技成果示范园项目</v>
      </c>
      <c r="R2710" s="30" t="str">
        <f>_xlfn._xlws.FILTER(辅助信息!D:D,辅助信息!E:E=B2710)</f>
        <v>商投建工达州中医药科技园</v>
      </c>
    </row>
    <row r="2711" hidden="1" spans="2:18">
      <c r="B2711" s="41" t="s">
        <v>147</v>
      </c>
      <c r="C2711" s="71">
        <v>45880</v>
      </c>
      <c r="D2711" s="41" t="str">
        <f>VLOOKUP(B2711,辅助信息!E:K,7,FALSE)</f>
        <v>JWDDCD2025052800131</v>
      </c>
      <c r="E2711" s="41" t="str">
        <f>VLOOKUP(F2711,辅助信息!A:B,2,FALSE)</f>
        <v>螺纹钢</v>
      </c>
      <c r="F2711" s="41" t="s">
        <v>27</v>
      </c>
      <c r="G2711" s="37">
        <v>9</v>
      </c>
      <c r="H2711" s="135">
        <f>_xlfn.XLOOKUP(C2711&amp;F2711&amp;I2711&amp;J2711,'[1]2025年已发货'!$F:$F&amp;'[1]2025年已发货'!$C:$C&amp;'[1]2025年已发货'!$G:$G&amp;'[1]2025年已发货'!$H:$H,'[1]2025年已发货'!$E:$E,"未发货")</f>
        <v>7.5</v>
      </c>
      <c r="I2711" s="41" t="str">
        <f>VLOOKUP(B2711,辅助信息!E:I,3,FALSE)</f>
        <v>（商投建工达州中医药科技园-4工区-11号楼）达州市通川区达州中医药职业学院犀牛大道北段</v>
      </c>
      <c r="J2711" s="41" t="str">
        <f>VLOOKUP(B2711,辅助信息!E:I,4,FALSE)</f>
        <v>张扬</v>
      </c>
      <c r="K2711" s="41">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30" t="str">
        <f>VLOOKUP(B2711,辅助信息!E:M,9,FALSE)</f>
        <v>ZTWM-CDGS-XS-2024-0134-商投建工达州中医药科技成果示范园项目</v>
      </c>
      <c r="R2711" s="30" t="str">
        <f>_xlfn._xlws.FILTER(辅助信息!D:D,辅助信息!E:E=B2711)</f>
        <v>商投建工达州中医药科技园</v>
      </c>
    </row>
    <row r="2712" hidden="1" spans="2:18">
      <c r="B2712" s="41" t="s">
        <v>147</v>
      </c>
      <c r="C2712" s="71">
        <v>45880</v>
      </c>
      <c r="D2712" s="41" t="str">
        <f>VLOOKUP(B2712,辅助信息!E:K,7,FALSE)</f>
        <v>JWDDCD2025052800131</v>
      </c>
      <c r="E2712" s="41" t="str">
        <f>VLOOKUP(F2712,辅助信息!A:B,2,FALSE)</f>
        <v>螺纹钢</v>
      </c>
      <c r="F2712" s="41" t="s">
        <v>45</v>
      </c>
      <c r="G2712" s="37">
        <v>3</v>
      </c>
      <c r="H2712" s="135">
        <f>_xlfn.XLOOKUP(C2712&amp;F2712&amp;I2712&amp;J2712,'[1]2025年已发货'!$F:$F&amp;'[1]2025年已发货'!$C:$C&amp;'[1]2025年已发货'!$G:$G&amp;'[1]2025年已发货'!$H:$H,'[1]2025年已发货'!$E:$E,"未发货")</f>
        <v>2.5</v>
      </c>
      <c r="I2712" s="41" t="str">
        <f>VLOOKUP(B2712,辅助信息!E:I,3,FALSE)</f>
        <v>（商投建工达州中医药科技园-4工区-11号楼）达州市通川区达州中医药职业学院犀牛大道北段</v>
      </c>
      <c r="J2712" s="41" t="str">
        <f>VLOOKUP(B2712,辅助信息!E:I,4,FALSE)</f>
        <v>张扬</v>
      </c>
      <c r="K2712" s="41">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30" t="str">
        <f>VLOOKUP(B2712,辅助信息!E:M,9,FALSE)</f>
        <v>ZTWM-CDGS-XS-2024-0134-商投建工达州中医药科技成果示范园项目</v>
      </c>
      <c r="R2712" s="30" t="str">
        <f>_xlfn._xlws.FILTER(辅助信息!D:D,辅助信息!E:E=B2712)</f>
        <v>商投建工达州中医药科技园</v>
      </c>
    </row>
    <row r="2713" hidden="1" spans="2:18">
      <c r="B2713" s="41" t="s">
        <v>147</v>
      </c>
      <c r="C2713" s="71">
        <v>45880</v>
      </c>
      <c r="D2713" s="41" t="str">
        <f>VLOOKUP(B2713,辅助信息!E:K,7,FALSE)</f>
        <v>JWDDCD2025052800131</v>
      </c>
      <c r="E2713" s="41" t="str">
        <f>VLOOKUP(F2713,辅助信息!A:B,2,FALSE)</f>
        <v>螺纹钢</v>
      </c>
      <c r="F2713" s="41" t="s">
        <v>21</v>
      </c>
      <c r="G2713" s="37">
        <v>6</v>
      </c>
      <c r="H2713" s="135">
        <f>_xlfn.XLOOKUP(C2713&amp;F2713&amp;I2713&amp;J2713,'[1]2025年已发货'!$F:$F&amp;'[1]2025年已发货'!$C:$C&amp;'[1]2025年已发货'!$G:$G&amp;'[1]2025年已发货'!$H:$H,'[1]2025年已发货'!$E:$E,"未发货")</f>
        <v>5</v>
      </c>
      <c r="I2713" s="41" t="str">
        <f>VLOOKUP(B2713,辅助信息!E:I,3,FALSE)</f>
        <v>（商投建工达州中医药科技园-4工区-11号楼）达州市通川区达州中医药职业学院犀牛大道北段</v>
      </c>
      <c r="J2713" s="41" t="str">
        <f>VLOOKUP(B2713,辅助信息!E:I,4,FALSE)</f>
        <v>张扬</v>
      </c>
      <c r="K2713" s="41">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30" t="str">
        <f>VLOOKUP(B2713,辅助信息!E:M,9,FALSE)</f>
        <v>ZTWM-CDGS-XS-2024-0134-商投建工达州中医药科技成果示范园项目</v>
      </c>
      <c r="R2713" s="30" t="str">
        <f>_xlfn._xlws.FILTER(辅助信息!D:D,辅助信息!E:E=B2713)</f>
        <v>商投建工达州中医药科技园</v>
      </c>
    </row>
    <row r="2714" hidden="1" spans="2:18">
      <c r="B2714" s="41" t="s">
        <v>147</v>
      </c>
      <c r="C2714" s="71">
        <v>45880</v>
      </c>
      <c r="D2714" s="41" t="str">
        <f>VLOOKUP(B2714,辅助信息!E:K,7,FALSE)</f>
        <v>JWDDCD2025052800131</v>
      </c>
      <c r="E2714" s="41" t="str">
        <f>VLOOKUP(F2714,辅助信息!A:B,2,FALSE)</f>
        <v>螺纹钢</v>
      </c>
      <c r="F2714" s="41" t="s">
        <v>58</v>
      </c>
      <c r="G2714" s="37">
        <v>6</v>
      </c>
      <c r="H2714" s="135">
        <f>_xlfn.XLOOKUP(C2714&amp;F2714&amp;I2714&amp;J2714,'[1]2025年已发货'!$F:$F&amp;'[1]2025年已发货'!$C:$C&amp;'[1]2025年已发货'!$G:$G&amp;'[1]2025年已发货'!$H:$H,'[1]2025年已发货'!$E:$E,"未发货")</f>
        <v>5</v>
      </c>
      <c r="I2714" s="41" t="str">
        <f>VLOOKUP(B2714,辅助信息!E:I,3,FALSE)</f>
        <v>（商投建工达州中医药科技园-4工区-11号楼）达州市通川区达州中医药职业学院犀牛大道北段</v>
      </c>
      <c r="J2714" s="41" t="str">
        <f>VLOOKUP(B2714,辅助信息!E:I,4,FALSE)</f>
        <v>张扬</v>
      </c>
      <c r="K2714" s="41">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30" t="str">
        <f>VLOOKUP(B2714,辅助信息!E:M,9,FALSE)</f>
        <v>ZTWM-CDGS-XS-2024-0134-商投建工达州中医药科技成果示范园项目</v>
      </c>
      <c r="R2714" s="30" t="str">
        <f>_xlfn._xlws.FILTER(辅助信息!D:D,辅助信息!E:E=B2714)</f>
        <v>商投建工达州中医药科技园</v>
      </c>
    </row>
    <row r="2715" hidden="1" spans="2:18">
      <c r="B2715" s="41" t="s">
        <v>147</v>
      </c>
      <c r="C2715" s="71">
        <v>45880</v>
      </c>
      <c r="D2715" s="41" t="str">
        <f>VLOOKUP(B2715,辅助信息!E:K,7,FALSE)</f>
        <v>JWDDCD2025052800131</v>
      </c>
      <c r="E2715" s="41" t="str">
        <f>VLOOKUP(F2715,辅助信息!A:B,2,FALSE)</f>
        <v>螺纹钢</v>
      </c>
      <c r="F2715" s="41" t="s">
        <v>46</v>
      </c>
      <c r="G2715" s="37">
        <v>3</v>
      </c>
      <c r="H2715" s="135">
        <f>_xlfn.XLOOKUP(C2715&amp;F2715&amp;I2715&amp;J2715,'[1]2025年已发货'!$F:$F&amp;'[1]2025年已发货'!$C:$C&amp;'[1]2025年已发货'!$G:$G&amp;'[1]2025年已发货'!$H:$H,'[1]2025年已发货'!$E:$E,"未发货")</f>
        <v>2.5</v>
      </c>
      <c r="I2715" s="41" t="str">
        <f>VLOOKUP(B2715,辅助信息!E:I,3,FALSE)</f>
        <v>（商投建工达州中医药科技园-4工区-11号楼）达州市通川区达州中医药职业学院犀牛大道北段</v>
      </c>
      <c r="J2715" s="41" t="str">
        <f>VLOOKUP(B2715,辅助信息!E:I,4,FALSE)</f>
        <v>张扬</v>
      </c>
      <c r="K2715" s="41">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30" t="str">
        <f>VLOOKUP(B2715,辅助信息!E:M,9,FALSE)</f>
        <v>ZTWM-CDGS-XS-2024-0134-商投建工达州中医药科技成果示范园项目</v>
      </c>
      <c r="R2715" s="30" t="str">
        <f>_xlfn._xlws.FILTER(辅助信息!D:D,辅助信息!E:E=B2715)</f>
        <v>商投建工达州中医药科技园</v>
      </c>
    </row>
    <row r="2716" hidden="1" spans="2:18">
      <c r="B2716" s="41" t="s">
        <v>147</v>
      </c>
      <c r="C2716" s="71">
        <v>45880</v>
      </c>
      <c r="D2716" s="41" t="str">
        <f>VLOOKUP(B2716,辅助信息!E:K,7,FALSE)</f>
        <v>JWDDCD2025052800131</v>
      </c>
      <c r="E2716" s="41" t="str">
        <f>VLOOKUP(F2716,辅助信息!A:B,2,FALSE)</f>
        <v>螺纹钢</v>
      </c>
      <c r="F2716" s="41" t="s">
        <v>22</v>
      </c>
      <c r="G2716" s="37">
        <v>21</v>
      </c>
      <c r="H2716" s="135">
        <f>_xlfn.XLOOKUP(C2716&amp;F2716&amp;I2716&amp;J2716,'[1]2025年已发货'!$F:$F&amp;'[1]2025年已发货'!$C:$C&amp;'[1]2025年已发货'!$G:$G&amp;'[1]2025年已发货'!$H:$H,'[1]2025年已发货'!$E:$E,"未发货")</f>
        <v>12.5</v>
      </c>
      <c r="I2716" s="41" t="str">
        <f>VLOOKUP(B2716,辅助信息!E:I,3,FALSE)</f>
        <v>（商投建工达州中医药科技园-4工区-11号楼）达州市通川区达州中医药职业学院犀牛大道北段</v>
      </c>
      <c r="J2716" s="41" t="str">
        <f>VLOOKUP(B2716,辅助信息!E:I,4,FALSE)</f>
        <v>张扬</v>
      </c>
      <c r="K2716" s="41">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30" t="str">
        <f>VLOOKUP(B2716,辅助信息!E:M,9,FALSE)</f>
        <v>ZTWM-CDGS-XS-2024-0134-商投建工达州中医药科技成果示范园项目</v>
      </c>
      <c r="R2716" s="30" t="str">
        <f>_xlfn._xlws.FILTER(辅助信息!D:D,辅助信息!E:E=B2716)</f>
        <v>商投建工达州中医药科技园</v>
      </c>
    </row>
    <row r="2717" hidden="1" spans="2:18">
      <c r="B2717" s="41" t="s">
        <v>186</v>
      </c>
      <c r="C2717" s="71">
        <v>45880</v>
      </c>
      <c r="D2717" s="41" t="str">
        <f>VLOOKUP(B2717,辅助信息!E:K,7,FALSE)</f>
        <v>JWDDCD2025072900123</v>
      </c>
      <c r="E2717" s="41" t="str">
        <f>VLOOKUP(F2717,辅助信息!A:B,2,FALSE)</f>
        <v>螺纹钢</v>
      </c>
      <c r="F2717" s="41" t="s">
        <v>91</v>
      </c>
      <c r="G2717" s="37">
        <v>40</v>
      </c>
      <c r="H2717" s="135">
        <f>_xlfn.XLOOKUP(C2717&amp;F2717&amp;I2717&amp;J2717,'[1]2025年已发货'!$F:$F&amp;'[1]2025年已发货'!$C:$C&amp;'[1]2025年已发货'!$G:$G&amp;'[1]2025年已发货'!$H:$H,'[1]2025年已发货'!$E:$E,"未发货")</f>
        <v>35</v>
      </c>
      <c r="I2717" s="41" t="str">
        <f>VLOOKUP(B2717,辅助信息!E:I,3,FALSE)</f>
        <v>(乐山市校地共建产教融合基地建设项目二标段)四川省乐山市市中区苏稽镇</v>
      </c>
      <c r="J2717" s="41" t="str">
        <f>VLOOKUP(B2717,辅助信息!E:I,4,FALSE)</f>
        <v>彭江涛</v>
      </c>
      <c r="K2717" s="41">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30" t="str">
        <f>VLOOKUP(B2717,辅助信息!E:M,9,FALSE)</f>
        <v>ZTWM-CDGS-XS-2025-0126-四川机司-乐山市校地共建产教融合基地配套设施项目施工二标段钢筋采购合同</v>
      </c>
      <c r="R2717" s="30" t="str">
        <f>_xlfn._xlws.FILTER(辅助信息!D:D,辅助信息!E:E=B2717)</f>
        <v>乐山市校地共建产教融合基地建设项目</v>
      </c>
    </row>
    <row r="2718" hidden="1" spans="2:18">
      <c r="B2718" s="41" t="s">
        <v>56</v>
      </c>
      <c r="C2718" s="71">
        <v>45881</v>
      </c>
      <c r="D2718" s="41" t="str">
        <f>VLOOKUP(B2718,辅助信息!E:K,7,FALSE)</f>
        <v>JWDDCD2025052800131</v>
      </c>
      <c r="E2718" s="41" t="str">
        <f>VLOOKUP(F2718,辅助信息!A:B,2,FALSE)</f>
        <v>盘螺</v>
      </c>
      <c r="F2718" s="41" t="s">
        <v>49</v>
      </c>
      <c r="G2718" s="37">
        <v>3</v>
      </c>
      <c r="H2718" s="135">
        <f>_xlfn.XLOOKUP(C2718&amp;F2718&amp;I2718&amp;J2718,'[1]2025年已发货'!$F:$F&amp;'[1]2025年已发货'!$C:$C&amp;'[1]2025年已发货'!$G:$G&amp;'[1]2025年已发货'!$H:$H,'[1]2025年已发货'!$E:$E,"未发货")</f>
        <v>3</v>
      </c>
      <c r="I2718" s="41" t="str">
        <f>VLOOKUP(B2718,辅助信息!E:I,3,FALSE)</f>
        <v>（商投建工达州中医药科技园-4工区-7号楼）达州市通川区达州中医药职业学院犀牛大道北段</v>
      </c>
      <c r="J2718" s="41" t="str">
        <f>VLOOKUP(B2718,辅助信息!E:I,4,FALSE)</f>
        <v>张扬</v>
      </c>
      <c r="K2718" s="41">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30" t="str">
        <f>VLOOKUP(B2718,辅助信息!E:M,9,FALSE)</f>
        <v>ZTWM-CDGS-XS-2024-0134-商投建工达州中医药科技成果示范园项目</v>
      </c>
      <c r="R2718" s="30" t="str">
        <f>_xlfn._xlws.FILTER(辅助信息!D:D,辅助信息!E:E=B2718)</f>
        <v>商投建工达州中医药科技园</v>
      </c>
    </row>
    <row r="2719" hidden="1" spans="2:18">
      <c r="B2719" s="41" t="s">
        <v>56</v>
      </c>
      <c r="C2719" s="71">
        <v>45881</v>
      </c>
      <c r="D2719" s="41" t="str">
        <f>VLOOKUP(B2719,辅助信息!E:K,7,FALSE)</f>
        <v>JWDDCD2025052800131</v>
      </c>
      <c r="E2719" s="41" t="str">
        <f>VLOOKUP(F2719,辅助信息!A:B,2,FALSE)</f>
        <v>盘螺</v>
      </c>
      <c r="F2719" s="41" t="s">
        <v>40</v>
      </c>
      <c r="G2719" s="37">
        <v>36</v>
      </c>
      <c r="H2719" s="135">
        <f>_xlfn.XLOOKUP(C2719&amp;F2719&amp;I2719&amp;J2719,'[1]2025年已发货'!$F:$F&amp;'[1]2025年已发货'!$C:$C&amp;'[1]2025年已发货'!$G:$G&amp;'[1]2025年已发货'!$H:$H,'[1]2025年已发货'!$E:$E,"未发货")</f>
        <v>42</v>
      </c>
      <c r="I2719" s="41" t="str">
        <f>VLOOKUP(B2719,辅助信息!E:I,3,FALSE)</f>
        <v>（商投建工达州中医药科技园-4工区-7号楼）达州市通川区达州中医药职业学院犀牛大道北段</v>
      </c>
      <c r="J2719" s="41" t="str">
        <f>VLOOKUP(B2719,辅助信息!E:I,4,FALSE)</f>
        <v>张扬</v>
      </c>
      <c r="K2719" s="41">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30" t="str">
        <f>VLOOKUP(B2719,辅助信息!E:M,9,FALSE)</f>
        <v>ZTWM-CDGS-XS-2024-0134-商投建工达州中医药科技成果示范园项目</v>
      </c>
      <c r="R2719" s="30" t="str">
        <f>_xlfn._xlws.FILTER(辅助信息!D:D,辅助信息!E:E=B2719)</f>
        <v>商投建工达州中医药科技园</v>
      </c>
    </row>
    <row r="2720" hidden="1" spans="2:18">
      <c r="B2720" s="41" t="s">
        <v>180</v>
      </c>
      <c r="C2720" s="71">
        <v>45882</v>
      </c>
      <c r="D2720" s="41" t="str">
        <f>VLOOKUP(B2720,辅助信息!E:K,7,FALSE)</f>
        <v>JWDDCD2025052800131</v>
      </c>
      <c r="E2720" s="41" t="str">
        <f>VLOOKUP(F2720,辅助信息!A:B,2,FALSE)</f>
        <v>盘螺</v>
      </c>
      <c r="F2720" s="41" t="s">
        <v>40</v>
      </c>
      <c r="G2720" s="37">
        <v>33</v>
      </c>
      <c r="H2720" s="135">
        <f>_xlfn.XLOOKUP(C2720&amp;F2720&amp;I2720&amp;J2720,'[1]2025年已发货'!$F:$F&amp;'[1]2025年已发货'!$C:$C&amp;'[1]2025年已发货'!$G:$G&amp;'[1]2025年已发货'!$H:$H,'[1]2025年已发货'!$E:$E,"未发货")</f>
        <v>27</v>
      </c>
      <c r="I2720" s="41" t="str">
        <f>VLOOKUP(B2720,辅助信息!E:I,3,FALSE)</f>
        <v>（商投建工达州中医药科技园-4工区-8号楼）达州市通川区达州中医药职业学院犀牛大道北段</v>
      </c>
      <c r="J2720" s="41" t="str">
        <f>VLOOKUP(B2720,辅助信息!E:I,4,FALSE)</f>
        <v>张扬</v>
      </c>
      <c r="K2720" s="41">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30" t="str">
        <f>VLOOKUP(B2720,辅助信息!E:M,9,FALSE)</f>
        <v>ZTWM-CDGS-XS-2024-0134-商投建工达州中医药科技成果示范园项目</v>
      </c>
      <c r="R2720" s="30" t="str">
        <f>_xlfn._xlws.FILTER(辅助信息!D:D,辅助信息!E:E=B2720)</f>
        <v>商投建工达州中医药科技园</v>
      </c>
    </row>
    <row r="2721" hidden="1" spans="2:18">
      <c r="B2721" s="41" t="s">
        <v>180</v>
      </c>
      <c r="C2721" s="71">
        <v>45882</v>
      </c>
      <c r="D2721" s="41" t="str">
        <f>VLOOKUP(B2721,辅助信息!E:K,7,FALSE)</f>
        <v>JWDDCD2025052800131</v>
      </c>
      <c r="E2721" s="41" t="str">
        <f>VLOOKUP(F2721,辅助信息!A:B,2,FALSE)</f>
        <v>盘螺</v>
      </c>
      <c r="F2721" s="41" t="s">
        <v>41</v>
      </c>
      <c r="G2721" s="37">
        <v>12</v>
      </c>
      <c r="H2721" s="135">
        <f>_xlfn.XLOOKUP(C2721&amp;F2721&amp;I2721&amp;J2721,'[1]2025年已发货'!$F:$F&amp;'[1]2025年已发货'!$C:$C&amp;'[1]2025年已发货'!$G:$G&amp;'[1]2025年已发货'!$H:$H,'[1]2025年已发货'!$E:$E,"未发货")</f>
        <v>12</v>
      </c>
      <c r="I2721" s="41" t="str">
        <f>VLOOKUP(B2721,辅助信息!E:I,3,FALSE)</f>
        <v>（商投建工达州中医药科技园-4工区-8号楼）达州市通川区达州中医药职业学院犀牛大道北段</v>
      </c>
      <c r="J2721" s="41" t="str">
        <f>VLOOKUP(B2721,辅助信息!E:I,4,FALSE)</f>
        <v>张扬</v>
      </c>
      <c r="K2721" s="41">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30" t="str">
        <f>VLOOKUP(B2721,辅助信息!E:M,9,FALSE)</f>
        <v>ZTWM-CDGS-XS-2024-0134-商投建工达州中医药科技成果示范园项目</v>
      </c>
      <c r="R2721" s="30" t="str">
        <f>_xlfn._xlws.FILTER(辅助信息!D:D,辅助信息!E:E=B2721)</f>
        <v>商投建工达州中医药科技园</v>
      </c>
    </row>
    <row r="2722" hidden="1" spans="2:18">
      <c r="B2722" s="41" t="s">
        <v>160</v>
      </c>
      <c r="C2722" s="71">
        <v>45881</v>
      </c>
      <c r="D2722" s="41" t="str">
        <f>VLOOKUP(B2722,辅助信息!E:K,7,FALSE)</f>
        <v>JWDDCD2025071500024</v>
      </c>
      <c r="E2722" s="41" t="str">
        <f>VLOOKUP(F2722,辅助信息!A:B,2,FALSE)</f>
        <v>螺纹钢</v>
      </c>
      <c r="F2722" s="41" t="s">
        <v>32</v>
      </c>
      <c r="G2722" s="37">
        <v>27</v>
      </c>
      <c r="H2722" s="135">
        <f>_xlfn.XLOOKUP(C2722&amp;F2722&amp;I2722&amp;J2722,'[1]2025年已发货'!$F:$F&amp;'[1]2025年已发货'!$C:$C&amp;'[1]2025年已发货'!$G:$G&amp;'[1]2025年已发货'!$H:$H,'[1]2025年已发货'!$E:$E,"未发货")</f>
        <v>27</v>
      </c>
      <c r="I2722" s="41" t="str">
        <f>VLOOKUP(B2722,辅助信息!E:I,3,FALSE)</f>
        <v>(中铁三局集团西渝高铁康渝段站房四标工程)重庆市九龙坡区华祥支路与华祥路交叉口重庆建工重庆西站TOD项目部</v>
      </c>
      <c r="J2722" s="41" t="str">
        <f>VLOOKUP(B2722,辅助信息!E:I,4,FALSE)</f>
        <v>卢庆江</v>
      </c>
      <c r="K2722" s="41">
        <f>VLOOKUP(J2722,辅助信息!H:I,2,FALSE)</f>
        <v>18883488177</v>
      </c>
      <c r="L2722" s="110" t="str">
        <f>VLOOKUP(B2722,辅助信息!E:J,6,FALSE)</f>
        <v>炉批号尽可能不要多</v>
      </c>
      <c r="O2722" s="63" t="str">
        <f ca="1" t="shared" si="165"/>
        <v/>
      </c>
      <c r="P2722" s="63" t="str">
        <f ca="1" t="shared" si="166"/>
        <v/>
      </c>
      <c r="Q2722" s="30" t="str">
        <f>VLOOKUP(B2722,辅助信息!E:M,9,FALSE)</f>
        <v>ZTWM-CDGS-XS-2025-0029-中铁三局集团有限公司-西渝高铁康渝段站房四标项目</v>
      </c>
      <c r="R2722" s="30" t="str">
        <f>_xlfn._xlws.FILTER(辅助信息!D:D,辅助信息!E:E=B2722)</f>
        <v>中铁三局集团西渝高铁康渝段站房四标工程</v>
      </c>
    </row>
    <row r="2723" hidden="1" spans="2:18">
      <c r="B2723" s="41" t="s">
        <v>160</v>
      </c>
      <c r="C2723" s="71">
        <v>45881</v>
      </c>
      <c r="D2723" s="41" t="str">
        <f>VLOOKUP(B2723,辅助信息!E:K,7,FALSE)</f>
        <v>JWDDCD2025071500024</v>
      </c>
      <c r="E2723" s="41" t="str">
        <f>VLOOKUP(F2723,辅助信息!A:B,2,FALSE)</f>
        <v>螺纹钢</v>
      </c>
      <c r="F2723" s="41" t="s">
        <v>30</v>
      </c>
      <c r="G2723" s="37">
        <v>9</v>
      </c>
      <c r="H2723" s="135" t="str">
        <f>_xlfn.XLOOKUP(C2723&amp;F2723&amp;I2723&amp;J2723,'[1]2025年已发货'!$F:$F&amp;'[1]2025年已发货'!$C:$C&amp;'[1]2025年已发货'!$G:$G&amp;'[1]2025年已发货'!$H:$H,'[1]2025年已发货'!$E:$E,"未发货")</f>
        <v>未发货</v>
      </c>
      <c r="I2723" s="41" t="str">
        <f>VLOOKUP(B2723,辅助信息!E:I,3,FALSE)</f>
        <v>(中铁三局集团西渝高铁康渝段站房四标工程)重庆市九龙坡区华祥支路与华祥路交叉口重庆建工重庆西站TOD项目部</v>
      </c>
      <c r="J2723" s="41" t="str">
        <f>VLOOKUP(B2723,辅助信息!E:I,4,FALSE)</f>
        <v>卢庆江</v>
      </c>
      <c r="K2723" s="41">
        <f>VLOOKUP(J2723,辅助信息!H:I,2,FALSE)</f>
        <v>18883488177</v>
      </c>
      <c r="L2723" s="110" t="str">
        <f>VLOOKUP(B2723,辅助信息!E:J,6,FALSE)</f>
        <v>炉批号尽可能不要多</v>
      </c>
      <c r="O2723" s="63" t="str">
        <f ca="1" t="shared" si="165"/>
        <v/>
      </c>
      <c r="P2723" s="63" t="str">
        <f ca="1" t="shared" si="166"/>
        <v/>
      </c>
      <c r="Q2723" s="30" t="str">
        <f>VLOOKUP(B2723,辅助信息!E:M,9,FALSE)</f>
        <v>ZTWM-CDGS-XS-2025-0029-中铁三局集团有限公司-西渝高铁康渝段站房四标项目</v>
      </c>
      <c r="R2723" s="30" t="str">
        <f>_xlfn._xlws.FILTER(辅助信息!D:D,辅助信息!E:E=B2723)</f>
        <v>中铁三局集团西渝高铁康渝段站房四标工程</v>
      </c>
    </row>
    <row r="2724" hidden="1" spans="2:18">
      <c r="B2724" s="41" t="s">
        <v>47</v>
      </c>
      <c r="C2724" s="71">
        <v>45882</v>
      </c>
      <c r="D2724" s="41" t="str">
        <f>VLOOKUP(B2724,辅助信息!E:K,7,FALSE)</f>
        <v>JWDDCD2025052800131</v>
      </c>
      <c r="E2724" s="41" t="str">
        <f>VLOOKUP(F2724,辅助信息!A:B,2,FALSE)</f>
        <v>盘螺</v>
      </c>
      <c r="F2724" s="41" t="s">
        <v>40</v>
      </c>
      <c r="G2724" s="37">
        <v>25</v>
      </c>
      <c r="H2724" s="135">
        <f>_xlfn.XLOOKUP(C2724&amp;F2724&amp;I2724&amp;J2724,'[1]2025年已发货'!$F:$F&amp;'[1]2025年已发货'!$C:$C&amp;'[1]2025年已发货'!$G:$G&amp;'[1]2025年已发货'!$H:$H,'[1]2025年已发货'!$E:$E,"未发货")</f>
        <v>25</v>
      </c>
      <c r="I2724" s="41" t="str">
        <f>VLOOKUP(B2724,辅助信息!E:I,3,FALSE)</f>
        <v>（商投建工达州中医药科技园-1工区）达州市通川区达州中医药职业学院犀牛大道北段</v>
      </c>
      <c r="J2724" s="41" t="str">
        <f>VLOOKUP(B2724,辅助信息!E:I,4,FALSE)</f>
        <v>程黄刚</v>
      </c>
      <c r="K2724" s="41">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30" t="str">
        <f>VLOOKUP(B2724,辅助信息!E:M,9,FALSE)</f>
        <v>ZTWM-CDGS-XS-2024-0134-商投建工达州中医药科技成果示范园项目</v>
      </c>
      <c r="R2724" s="30" t="str">
        <f>_xlfn._xlws.FILTER(辅助信息!D:D,辅助信息!E:E=B2724)</f>
        <v>商投建工达州中医药科技园</v>
      </c>
    </row>
    <row r="2725" hidden="1" spans="2:18">
      <c r="B2725" s="41" t="s">
        <v>47</v>
      </c>
      <c r="C2725" s="71">
        <v>45882</v>
      </c>
      <c r="D2725" s="41" t="str">
        <f>VLOOKUP(B2725,辅助信息!E:K,7,FALSE)</f>
        <v>JWDDCD2025052800131</v>
      </c>
      <c r="E2725" s="41" t="str">
        <f>VLOOKUP(F2725,辅助信息!A:B,2,FALSE)</f>
        <v>螺纹钢</v>
      </c>
      <c r="F2725" s="41" t="s">
        <v>19</v>
      </c>
      <c r="G2725" s="37">
        <v>6</v>
      </c>
      <c r="H2725" s="135">
        <f>_xlfn.XLOOKUP(C2725&amp;F2725&amp;I2725&amp;J2725,'[1]2025年已发货'!$F:$F&amp;'[1]2025年已发货'!$C:$C&amp;'[1]2025年已发货'!$G:$G&amp;'[1]2025年已发货'!$H:$H,'[1]2025年已发货'!$E:$E,"未发货")</f>
        <v>6</v>
      </c>
      <c r="I2725" s="41" t="str">
        <f>VLOOKUP(B2725,辅助信息!E:I,3,FALSE)</f>
        <v>（商投建工达州中医药科技园-1工区）达州市通川区达州中医药职业学院犀牛大道北段</v>
      </c>
      <c r="J2725" s="41" t="str">
        <f>VLOOKUP(B2725,辅助信息!E:I,4,FALSE)</f>
        <v>程黄刚</v>
      </c>
      <c r="K2725" s="41">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30" t="str">
        <f>VLOOKUP(B2725,辅助信息!E:M,9,FALSE)</f>
        <v>ZTWM-CDGS-XS-2024-0134-商投建工达州中医药科技成果示范园项目</v>
      </c>
      <c r="R2725" s="30" t="str">
        <f>_xlfn._xlws.FILTER(辅助信息!D:D,辅助信息!E:E=B2725)</f>
        <v>商投建工达州中医药科技园</v>
      </c>
    </row>
    <row r="2726" hidden="1" spans="2:18">
      <c r="B2726" s="41" t="s">
        <v>47</v>
      </c>
      <c r="C2726" s="71">
        <v>45882</v>
      </c>
      <c r="D2726" s="41" t="str">
        <f>VLOOKUP(B2726,辅助信息!E:K,7,FALSE)</f>
        <v>JWDDCD2025052800131</v>
      </c>
      <c r="E2726" s="41" t="str">
        <f>VLOOKUP(F2726,辅助信息!A:B,2,FALSE)</f>
        <v>螺纹钢</v>
      </c>
      <c r="F2726" s="41" t="s">
        <v>66</v>
      </c>
      <c r="G2726" s="37">
        <v>3</v>
      </c>
      <c r="H2726" s="135">
        <f>_xlfn.XLOOKUP(C2726&amp;F2726&amp;I2726&amp;J2726,'[1]2025年已发货'!$F:$F&amp;'[1]2025年已发货'!$C:$C&amp;'[1]2025年已发货'!$G:$G&amp;'[1]2025年已发货'!$H:$H,'[1]2025年已发货'!$E:$E,"未发货")</f>
        <v>3</v>
      </c>
      <c r="I2726" s="41" t="str">
        <f>VLOOKUP(B2726,辅助信息!E:I,3,FALSE)</f>
        <v>（商投建工达州中医药科技园-1工区）达州市通川区达州中医药职业学院犀牛大道北段</v>
      </c>
      <c r="J2726" s="41" t="str">
        <f>VLOOKUP(B2726,辅助信息!E:I,4,FALSE)</f>
        <v>程黄刚</v>
      </c>
      <c r="K2726" s="41">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30" t="str">
        <f>VLOOKUP(B2726,辅助信息!E:M,9,FALSE)</f>
        <v>ZTWM-CDGS-XS-2024-0134-商投建工达州中医药科技成果示范园项目</v>
      </c>
      <c r="R2726" s="30" t="str">
        <f>_xlfn._xlws.FILTER(辅助信息!D:D,辅助信息!E:E=B2726)</f>
        <v>商投建工达州中医药科技园</v>
      </c>
    </row>
    <row r="2727" hidden="1" spans="2:18">
      <c r="B2727" s="41" t="s">
        <v>47</v>
      </c>
      <c r="C2727" s="71">
        <v>45882</v>
      </c>
      <c r="D2727" s="41" t="str">
        <f>VLOOKUP(B2727,辅助信息!E:K,7,FALSE)</f>
        <v>JWDDCD2025052800131</v>
      </c>
      <c r="E2727" s="41" t="str">
        <f>VLOOKUP(F2727,辅助信息!A:B,2,FALSE)</f>
        <v>螺纹钢</v>
      </c>
      <c r="F2727" s="41" t="s">
        <v>45</v>
      </c>
      <c r="G2727" s="37">
        <v>3</v>
      </c>
      <c r="H2727" s="135">
        <f>_xlfn.XLOOKUP(C2727&amp;F2727&amp;I2727&amp;J2727,'[1]2025年已发货'!$F:$F&amp;'[1]2025年已发货'!$C:$C&amp;'[1]2025年已发货'!$G:$G&amp;'[1]2025年已发货'!$H:$H,'[1]2025年已发货'!$E:$E,"未发货")</f>
        <v>3</v>
      </c>
      <c r="I2727" s="41" t="str">
        <f>VLOOKUP(B2727,辅助信息!E:I,3,FALSE)</f>
        <v>（商投建工达州中医药科技园-1工区）达州市通川区达州中医药职业学院犀牛大道北段</v>
      </c>
      <c r="J2727" s="41" t="str">
        <f>VLOOKUP(B2727,辅助信息!E:I,4,FALSE)</f>
        <v>程黄刚</v>
      </c>
      <c r="K2727" s="41">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30" t="str">
        <f>VLOOKUP(B2727,辅助信息!E:M,9,FALSE)</f>
        <v>ZTWM-CDGS-XS-2024-0134-商投建工达州中医药科技成果示范园项目</v>
      </c>
      <c r="R2727" s="30" t="str">
        <f>_xlfn._xlws.FILTER(辅助信息!D:D,辅助信息!E:E=B2727)</f>
        <v>商投建工达州中医药科技园</v>
      </c>
    </row>
    <row r="2728" hidden="1" spans="2:18">
      <c r="B2728" s="41" t="s">
        <v>47</v>
      </c>
      <c r="C2728" s="71">
        <v>45882</v>
      </c>
      <c r="D2728" s="41" t="str">
        <f>VLOOKUP(B2728,辅助信息!E:K,7,FALSE)</f>
        <v>JWDDCD2025052800131</v>
      </c>
      <c r="E2728" s="41" t="str">
        <f>VLOOKUP(F2728,辅助信息!A:B,2,FALSE)</f>
        <v>螺纹钢</v>
      </c>
      <c r="F2728" s="41" t="s">
        <v>21</v>
      </c>
      <c r="G2728" s="37">
        <v>21</v>
      </c>
      <c r="H2728" s="135">
        <f>_xlfn.XLOOKUP(C2728&amp;F2728&amp;I2728&amp;J2728,'[1]2025年已发货'!$F:$F&amp;'[1]2025年已发货'!$C:$C&amp;'[1]2025年已发货'!$G:$G&amp;'[1]2025年已发货'!$H:$H,'[1]2025年已发货'!$E:$E,"未发货")</f>
        <v>21</v>
      </c>
      <c r="I2728" s="41" t="str">
        <f>VLOOKUP(B2728,辅助信息!E:I,3,FALSE)</f>
        <v>（商投建工达州中医药科技园-1工区）达州市通川区达州中医药职业学院犀牛大道北段</v>
      </c>
      <c r="J2728" s="41" t="str">
        <f>VLOOKUP(B2728,辅助信息!E:I,4,FALSE)</f>
        <v>程黄刚</v>
      </c>
      <c r="K2728" s="41">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30" t="str">
        <f>VLOOKUP(B2728,辅助信息!E:M,9,FALSE)</f>
        <v>ZTWM-CDGS-XS-2024-0134-商投建工达州中医药科技成果示范园项目</v>
      </c>
      <c r="R2728" s="30" t="str">
        <f>_xlfn._xlws.FILTER(辅助信息!D:D,辅助信息!E:E=B2728)</f>
        <v>商投建工达州中医药科技园</v>
      </c>
    </row>
    <row r="2729" hidden="1" spans="2:18">
      <c r="B2729" s="41" t="s">
        <v>47</v>
      </c>
      <c r="C2729" s="71">
        <v>45882</v>
      </c>
      <c r="D2729" s="41" t="str">
        <f>VLOOKUP(B2729,辅助信息!E:K,7,FALSE)</f>
        <v>JWDDCD2025052800131</v>
      </c>
      <c r="E2729" s="41" t="str">
        <f>VLOOKUP(F2729,辅助信息!A:B,2,FALSE)</f>
        <v>螺纹钢</v>
      </c>
      <c r="F2729" s="41" t="s">
        <v>58</v>
      </c>
      <c r="G2729" s="37">
        <v>15</v>
      </c>
      <c r="H2729" s="135">
        <f>_xlfn.XLOOKUP(C2729&amp;F2729&amp;I2729&amp;J2729,'[1]2025年已发货'!$F:$F&amp;'[1]2025年已发货'!$C:$C&amp;'[1]2025年已发货'!$G:$G&amp;'[1]2025年已发货'!$H:$H,'[1]2025年已发货'!$E:$E,"未发货")</f>
        <v>15</v>
      </c>
      <c r="I2729" s="41" t="str">
        <f>VLOOKUP(B2729,辅助信息!E:I,3,FALSE)</f>
        <v>（商投建工达州中医药科技园-1工区）达州市通川区达州中医药职业学院犀牛大道北段</v>
      </c>
      <c r="J2729" s="41" t="str">
        <f>VLOOKUP(B2729,辅助信息!E:I,4,FALSE)</f>
        <v>程黄刚</v>
      </c>
      <c r="K2729" s="41">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30" t="str">
        <f>VLOOKUP(B2729,辅助信息!E:M,9,FALSE)</f>
        <v>ZTWM-CDGS-XS-2024-0134-商投建工达州中医药科技成果示范园项目</v>
      </c>
      <c r="R2729" s="30" t="str">
        <f>_xlfn._xlws.FILTER(辅助信息!D:D,辅助信息!E:E=B2729)</f>
        <v>商投建工达州中医药科技园</v>
      </c>
    </row>
    <row r="2730" hidden="1" spans="2:18">
      <c r="B2730" s="41" t="s">
        <v>47</v>
      </c>
      <c r="C2730" s="71">
        <v>45882</v>
      </c>
      <c r="D2730" s="41" t="str">
        <f>VLOOKUP(B2730,辅助信息!E:K,7,FALSE)</f>
        <v>JWDDCD2025052800131</v>
      </c>
      <c r="E2730" s="41" t="str">
        <f>VLOOKUP(F2730,辅助信息!A:B,2,FALSE)</f>
        <v>螺纹钢</v>
      </c>
      <c r="F2730" s="41" t="s">
        <v>46</v>
      </c>
      <c r="G2730" s="37">
        <v>3</v>
      </c>
      <c r="H2730" s="135">
        <f>_xlfn.XLOOKUP(C2730&amp;F2730&amp;I2730&amp;J2730,'[1]2025年已发货'!$F:$F&amp;'[1]2025年已发货'!$C:$C&amp;'[1]2025年已发货'!$G:$G&amp;'[1]2025年已发货'!$H:$H,'[1]2025年已发货'!$E:$E,"未发货")</f>
        <v>3</v>
      </c>
      <c r="I2730" s="41" t="str">
        <f>VLOOKUP(B2730,辅助信息!E:I,3,FALSE)</f>
        <v>（商投建工达州中医药科技园-1工区）达州市通川区达州中医药职业学院犀牛大道北段</v>
      </c>
      <c r="J2730" s="41" t="str">
        <f>VLOOKUP(B2730,辅助信息!E:I,4,FALSE)</f>
        <v>程黄刚</v>
      </c>
      <c r="K2730" s="41">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30" t="str">
        <f>VLOOKUP(B2730,辅助信息!E:M,9,FALSE)</f>
        <v>ZTWM-CDGS-XS-2024-0134-商投建工达州中医药科技成果示范园项目</v>
      </c>
      <c r="R2730" s="30" t="str">
        <f>_xlfn._xlws.FILTER(辅助信息!D:D,辅助信息!E:E=B2730)</f>
        <v>商投建工达州中医药科技园</v>
      </c>
    </row>
    <row r="2731" hidden="1" spans="2:18">
      <c r="B2731" s="41" t="s">
        <v>47</v>
      </c>
      <c r="C2731" s="71">
        <v>45882</v>
      </c>
      <c r="D2731" s="41" t="str">
        <f>VLOOKUP(B2731,辅助信息!E:K,7,FALSE)</f>
        <v>JWDDCD2025052800131</v>
      </c>
      <c r="E2731" s="41" t="str">
        <f>VLOOKUP(F2731,辅助信息!A:B,2,FALSE)</f>
        <v>螺纹钢</v>
      </c>
      <c r="F2731" s="41" t="s">
        <v>22</v>
      </c>
      <c r="G2731" s="37">
        <v>3</v>
      </c>
      <c r="H2731" s="135">
        <f>_xlfn.XLOOKUP(C2731&amp;F2731&amp;I2731&amp;J2731,'[1]2025年已发货'!$F:$F&amp;'[1]2025年已发货'!$C:$C&amp;'[1]2025年已发货'!$G:$G&amp;'[1]2025年已发货'!$H:$H,'[1]2025年已发货'!$E:$E,"未发货")</f>
        <v>3</v>
      </c>
      <c r="I2731" s="41" t="str">
        <f>VLOOKUP(B2731,辅助信息!E:I,3,FALSE)</f>
        <v>（商投建工达州中医药科技园-1工区）达州市通川区达州中医药职业学院犀牛大道北段</v>
      </c>
      <c r="J2731" s="41" t="str">
        <f>VLOOKUP(B2731,辅助信息!E:I,4,FALSE)</f>
        <v>程黄刚</v>
      </c>
      <c r="K2731" s="41">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30" t="str">
        <f>VLOOKUP(B2731,辅助信息!E:M,9,FALSE)</f>
        <v>ZTWM-CDGS-XS-2024-0134-商投建工达州中医药科技成果示范园项目</v>
      </c>
      <c r="R2731" s="30" t="str">
        <f>_xlfn._xlws.FILTER(辅助信息!D:D,辅助信息!E:E=B2731)</f>
        <v>商投建工达州中医药科技园</v>
      </c>
    </row>
    <row r="2732" hidden="1" spans="2:18">
      <c r="B2732" s="41" t="s">
        <v>186</v>
      </c>
      <c r="C2732" s="71">
        <v>45882</v>
      </c>
      <c r="D2732" s="41" t="str">
        <f>VLOOKUP(B2732,辅助信息!E:K,7,FALSE)</f>
        <v>JWDDCD2025072900123</v>
      </c>
      <c r="E2732" s="41" t="str">
        <f>VLOOKUP(F2732,辅助信息!A:B,2,FALSE)</f>
        <v>盘螺</v>
      </c>
      <c r="F2732" s="41" t="s">
        <v>40</v>
      </c>
      <c r="G2732" s="37">
        <v>2</v>
      </c>
      <c r="H2732" s="135">
        <f>_xlfn.XLOOKUP(C2732&amp;F2732&amp;I2732&amp;J2732,'[1]2025年已发货'!$F:$F&amp;'[1]2025年已发货'!$C:$C&amp;'[1]2025年已发货'!$G:$G&amp;'[1]2025年已发货'!$H:$H,'[1]2025年已发货'!$E:$E,"未发货")</f>
        <v>2</v>
      </c>
      <c r="I2732" s="41" t="str">
        <f>VLOOKUP(B2732,辅助信息!E:I,3,FALSE)</f>
        <v>(乐山市校地共建产教融合基地建设项目二标段)四川省乐山市市中区苏稽镇</v>
      </c>
      <c r="J2732" s="41" t="str">
        <f>VLOOKUP(B2732,辅助信息!E:I,4,FALSE)</f>
        <v>彭江涛</v>
      </c>
      <c r="K2732" s="41">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30" t="str">
        <f>VLOOKUP(B2732,辅助信息!E:M,9,FALSE)</f>
        <v>ZTWM-CDGS-XS-2025-0126-四川机司-乐山市校地共建产教融合基地配套设施项目施工二标段钢筋采购合同</v>
      </c>
      <c r="R2732" s="30" t="str">
        <f>_xlfn._xlws.FILTER(辅助信息!D:D,辅助信息!E:E=B2732)</f>
        <v>乐山市校地共建产教融合基地建设项目</v>
      </c>
    </row>
    <row r="2733" hidden="1" spans="2:18">
      <c r="B2733" s="41" t="s">
        <v>186</v>
      </c>
      <c r="C2733" s="71">
        <v>45882</v>
      </c>
      <c r="D2733" s="41" t="str">
        <f>VLOOKUP(B2733,辅助信息!E:K,7,FALSE)</f>
        <v>JWDDCD2025072900123</v>
      </c>
      <c r="E2733" s="41" t="str">
        <f>VLOOKUP(F2733,辅助信息!A:B,2,FALSE)</f>
        <v>盘螺</v>
      </c>
      <c r="F2733" s="41" t="s">
        <v>41</v>
      </c>
      <c r="G2733" s="37">
        <v>6</v>
      </c>
      <c r="H2733" s="135">
        <f>_xlfn.XLOOKUP(C2733&amp;F2733&amp;I2733&amp;J2733,'[1]2025年已发货'!$F:$F&amp;'[1]2025年已发货'!$C:$C&amp;'[1]2025年已发货'!$G:$G&amp;'[1]2025年已发货'!$H:$H,'[1]2025年已发货'!$E:$E,"未发货")</f>
        <v>6</v>
      </c>
      <c r="I2733" s="41" t="str">
        <f>VLOOKUP(B2733,辅助信息!E:I,3,FALSE)</f>
        <v>(乐山市校地共建产教融合基地建设项目二标段)四川省乐山市市中区苏稽镇</v>
      </c>
      <c r="J2733" s="41" t="str">
        <f>VLOOKUP(B2733,辅助信息!E:I,4,FALSE)</f>
        <v>彭江涛</v>
      </c>
      <c r="K2733" s="41">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30" t="str">
        <f>VLOOKUP(B2733,辅助信息!E:M,9,FALSE)</f>
        <v>ZTWM-CDGS-XS-2025-0126-四川机司-乐山市校地共建产教融合基地配套设施项目施工二标段钢筋采购合同</v>
      </c>
      <c r="R2733" s="30" t="str">
        <f>_xlfn._xlws.FILTER(辅助信息!D:D,辅助信息!E:E=B2733)</f>
        <v>乐山市校地共建产教融合基地建设项目</v>
      </c>
    </row>
    <row r="2734" hidden="1" spans="2:18">
      <c r="B2734" s="41" t="s">
        <v>186</v>
      </c>
      <c r="C2734" s="71">
        <v>45882</v>
      </c>
      <c r="D2734" s="41" t="str">
        <f>VLOOKUP(B2734,辅助信息!E:K,7,FALSE)</f>
        <v>JWDDCD2025072900123</v>
      </c>
      <c r="E2734" s="41" t="str">
        <f>VLOOKUP(F2734,辅助信息!A:B,2,FALSE)</f>
        <v>盘螺</v>
      </c>
      <c r="F2734" s="41" t="s">
        <v>26</v>
      </c>
      <c r="G2734" s="37">
        <v>31</v>
      </c>
      <c r="H2734" s="135">
        <f>_xlfn.XLOOKUP(C2734&amp;F2734&amp;I2734&amp;J2734,'[1]2025年已发货'!$F:$F&amp;'[1]2025年已发货'!$C:$C&amp;'[1]2025年已发货'!$G:$G&amp;'[1]2025年已发货'!$H:$H,'[1]2025年已发货'!$E:$E,"未发货")</f>
        <v>31</v>
      </c>
      <c r="I2734" s="41" t="str">
        <f>VLOOKUP(B2734,辅助信息!E:I,3,FALSE)</f>
        <v>(乐山市校地共建产教融合基地建设项目二标段)四川省乐山市市中区苏稽镇</v>
      </c>
      <c r="J2734" s="41" t="str">
        <f>VLOOKUP(B2734,辅助信息!E:I,4,FALSE)</f>
        <v>彭江涛</v>
      </c>
      <c r="K2734" s="41">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30" t="str">
        <f>VLOOKUP(B2734,辅助信息!E:M,9,FALSE)</f>
        <v>ZTWM-CDGS-XS-2025-0126-四川机司-乐山市校地共建产教融合基地配套设施项目施工二标段钢筋采购合同</v>
      </c>
      <c r="R2734" s="30" t="str">
        <f>_xlfn._xlws.FILTER(辅助信息!D:D,辅助信息!E:E=B2734)</f>
        <v>乐山市校地共建产教融合基地建设项目</v>
      </c>
    </row>
    <row r="2735" hidden="1" spans="2:18">
      <c r="B2735" s="41" t="s">
        <v>186</v>
      </c>
      <c r="C2735" s="71">
        <v>45882</v>
      </c>
      <c r="D2735" s="41" t="str">
        <f>VLOOKUP(B2735,辅助信息!E:K,7,FALSE)</f>
        <v>JWDDCD2025072900123</v>
      </c>
      <c r="E2735" s="41" t="str">
        <f>VLOOKUP(F2735,辅助信息!A:B,2,FALSE)</f>
        <v>螺纹钢</v>
      </c>
      <c r="F2735" s="41" t="s">
        <v>32</v>
      </c>
      <c r="G2735" s="37">
        <v>4</v>
      </c>
      <c r="H2735" s="135">
        <f>_xlfn.XLOOKUP(C2735&amp;F2735&amp;I2735&amp;J2735,'[1]2025年已发货'!$F:$F&amp;'[1]2025年已发货'!$C:$C&amp;'[1]2025年已发货'!$G:$G&amp;'[1]2025年已发货'!$H:$H,'[1]2025年已发货'!$E:$E,"未发货")</f>
        <v>4</v>
      </c>
      <c r="I2735" s="41" t="str">
        <f>VLOOKUP(B2735,辅助信息!E:I,3,FALSE)</f>
        <v>(乐山市校地共建产教融合基地建设项目二标段)四川省乐山市市中区苏稽镇</v>
      </c>
      <c r="J2735" s="41" t="str">
        <f>VLOOKUP(B2735,辅助信息!E:I,4,FALSE)</f>
        <v>彭江涛</v>
      </c>
      <c r="K2735" s="41">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30" t="str">
        <f>VLOOKUP(B2735,辅助信息!E:M,9,FALSE)</f>
        <v>ZTWM-CDGS-XS-2025-0126-四川机司-乐山市校地共建产教融合基地配套设施项目施工二标段钢筋采购合同</v>
      </c>
      <c r="R2735" s="30" t="str">
        <f>_xlfn._xlws.FILTER(辅助信息!D:D,辅助信息!E:E=B2735)</f>
        <v>乐山市校地共建产教融合基地建设项目</v>
      </c>
    </row>
    <row r="2736" hidden="1" spans="2:18">
      <c r="B2736" s="41" t="s">
        <v>186</v>
      </c>
      <c r="C2736" s="71">
        <v>45882</v>
      </c>
      <c r="D2736" s="41" t="str">
        <f>VLOOKUP(B2736,辅助信息!E:K,7,FALSE)</f>
        <v>JWDDCD2025072900123</v>
      </c>
      <c r="E2736" s="41" t="str">
        <f>VLOOKUP(F2736,辅助信息!A:B,2,FALSE)</f>
        <v>螺纹钢</v>
      </c>
      <c r="F2736" s="41" t="s">
        <v>30</v>
      </c>
      <c r="G2736" s="37">
        <v>8</v>
      </c>
      <c r="H2736" s="135">
        <f>_xlfn.XLOOKUP(C2736&amp;F2736&amp;I2736&amp;J2736,'[1]2025年已发货'!$F:$F&amp;'[1]2025年已发货'!$C:$C&amp;'[1]2025年已发货'!$G:$G&amp;'[1]2025年已发货'!$H:$H,'[1]2025年已发货'!$E:$E,"未发货")</f>
        <v>8</v>
      </c>
      <c r="I2736" s="41" t="str">
        <f>VLOOKUP(B2736,辅助信息!E:I,3,FALSE)</f>
        <v>(乐山市校地共建产教融合基地建设项目二标段)四川省乐山市市中区苏稽镇</v>
      </c>
      <c r="J2736" s="41" t="str">
        <f>VLOOKUP(B2736,辅助信息!E:I,4,FALSE)</f>
        <v>彭江涛</v>
      </c>
      <c r="K2736" s="41">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30" t="str">
        <f>VLOOKUP(B2736,辅助信息!E:M,9,FALSE)</f>
        <v>ZTWM-CDGS-XS-2025-0126-四川机司-乐山市校地共建产教融合基地配套设施项目施工二标段钢筋采购合同</v>
      </c>
      <c r="R2736" s="30" t="str">
        <f>_xlfn._xlws.FILTER(辅助信息!D:D,辅助信息!E:E=B2736)</f>
        <v>乐山市校地共建产教融合基地建设项目</v>
      </c>
    </row>
    <row r="2737" hidden="1" spans="2:18">
      <c r="B2737" s="41" t="s">
        <v>186</v>
      </c>
      <c r="C2737" s="71">
        <v>45882</v>
      </c>
      <c r="D2737" s="41" t="str">
        <f>VLOOKUP(B2737,辅助信息!E:K,7,FALSE)</f>
        <v>JWDDCD2025072900123</v>
      </c>
      <c r="E2737" s="41" t="str">
        <f>VLOOKUP(F2737,辅助信息!A:B,2,FALSE)</f>
        <v>螺纹钢</v>
      </c>
      <c r="F2737" s="41" t="s">
        <v>18</v>
      </c>
      <c r="G2737" s="37">
        <v>34</v>
      </c>
      <c r="H2737" s="135">
        <v>34</v>
      </c>
      <c r="I2737" s="41" t="str">
        <f>VLOOKUP(B2737,辅助信息!E:I,3,FALSE)</f>
        <v>(乐山市校地共建产教融合基地建设项目二标段)四川省乐山市市中区苏稽镇</v>
      </c>
      <c r="J2737" s="41" t="str">
        <f>VLOOKUP(B2737,辅助信息!E:I,4,FALSE)</f>
        <v>彭江涛</v>
      </c>
      <c r="K2737" s="41">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30" t="str">
        <f>VLOOKUP(B2737,辅助信息!E:M,9,FALSE)</f>
        <v>ZTWM-CDGS-XS-2025-0126-四川机司-乐山市校地共建产教融合基地配套设施项目施工二标段钢筋采购合同</v>
      </c>
      <c r="R2737" s="30" t="str">
        <f>_xlfn._xlws.FILTER(辅助信息!D:D,辅助信息!E:E=B2737)</f>
        <v>乐山市校地共建产教融合基地建设项目</v>
      </c>
    </row>
    <row r="2738" hidden="1" spans="2:18">
      <c r="B2738" s="41" t="s">
        <v>186</v>
      </c>
      <c r="C2738" s="71">
        <v>45882</v>
      </c>
      <c r="D2738" s="41" t="str">
        <f>VLOOKUP(B2738,辅助信息!E:K,7,FALSE)</f>
        <v>JWDDCD2025072900123</v>
      </c>
      <c r="E2738" s="41" t="str">
        <f>VLOOKUP(F2738,辅助信息!A:B,2,FALSE)</f>
        <v>螺纹钢</v>
      </c>
      <c r="F2738" s="41" t="s">
        <v>21</v>
      </c>
      <c r="G2738" s="37">
        <v>2.5</v>
      </c>
      <c r="H2738" s="135">
        <f>_xlfn.XLOOKUP(C2738&amp;F2738&amp;I2738&amp;J2738,'[1]2025年已发货'!$F:$F&amp;'[1]2025年已发货'!$C:$C&amp;'[1]2025年已发货'!$G:$G&amp;'[1]2025年已发货'!$H:$H,'[1]2025年已发货'!$E:$E,"未发货")</f>
        <v>2.5</v>
      </c>
      <c r="I2738" s="41" t="str">
        <f>VLOOKUP(B2738,辅助信息!E:I,3,FALSE)</f>
        <v>(乐山市校地共建产教融合基地建设项目二标段)四川省乐山市市中区苏稽镇</v>
      </c>
      <c r="J2738" s="41" t="str">
        <f>VLOOKUP(B2738,辅助信息!E:I,4,FALSE)</f>
        <v>彭江涛</v>
      </c>
      <c r="K2738" s="41">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30" t="str">
        <f>VLOOKUP(B2738,辅助信息!E:M,9,FALSE)</f>
        <v>ZTWM-CDGS-XS-2025-0126-四川机司-乐山市校地共建产教融合基地配套设施项目施工二标段钢筋采购合同</v>
      </c>
      <c r="R2738" s="30" t="str">
        <f>_xlfn._xlws.FILTER(辅助信息!D:D,辅助信息!E:E=B2738)</f>
        <v>乐山市校地共建产教融合基地建设项目</v>
      </c>
    </row>
    <row r="2739" hidden="1" spans="2:18">
      <c r="B2739" s="41" t="s">
        <v>186</v>
      </c>
      <c r="C2739" s="71">
        <v>45882</v>
      </c>
      <c r="D2739" s="41" t="str">
        <f>VLOOKUP(B2739,辅助信息!E:K,7,FALSE)</f>
        <v>JWDDCD2025072900123</v>
      </c>
      <c r="E2739" s="41" t="str">
        <f>VLOOKUP(F2739,辅助信息!A:B,2,FALSE)</f>
        <v>螺纹钢</v>
      </c>
      <c r="F2739" s="41" t="s">
        <v>58</v>
      </c>
      <c r="G2739" s="37">
        <v>3.5</v>
      </c>
      <c r="H2739" s="135">
        <f>_xlfn.XLOOKUP(C2739&amp;F2739&amp;I2739&amp;J2739,'[1]2025年已发货'!$F:$F&amp;'[1]2025年已发货'!$C:$C&amp;'[1]2025年已发货'!$G:$G&amp;'[1]2025年已发货'!$H:$H,'[1]2025年已发货'!$E:$E,"未发货")</f>
        <v>3.5</v>
      </c>
      <c r="I2739" s="41" t="str">
        <f>VLOOKUP(B2739,辅助信息!E:I,3,FALSE)</f>
        <v>(乐山市校地共建产教融合基地建设项目二标段)四川省乐山市市中区苏稽镇</v>
      </c>
      <c r="J2739" s="41" t="str">
        <f>VLOOKUP(B2739,辅助信息!E:I,4,FALSE)</f>
        <v>彭江涛</v>
      </c>
      <c r="K2739" s="41">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30" t="str">
        <f>VLOOKUP(B2739,辅助信息!E:M,9,FALSE)</f>
        <v>ZTWM-CDGS-XS-2025-0126-四川机司-乐山市校地共建产教融合基地配套设施项目施工二标段钢筋采购合同</v>
      </c>
      <c r="R2739" s="30" t="str">
        <f>_xlfn._xlws.FILTER(辅助信息!D:D,辅助信息!E:E=B2739)</f>
        <v>乐山市校地共建产教融合基地建设项目</v>
      </c>
    </row>
    <row r="2740" hidden="1" spans="2:18">
      <c r="B2740" s="41" t="s">
        <v>186</v>
      </c>
      <c r="C2740" s="71">
        <v>45882</v>
      </c>
      <c r="D2740" s="41" t="str">
        <f>VLOOKUP(B2740,辅助信息!E:K,7,FALSE)</f>
        <v>JWDDCD2025072900123</v>
      </c>
      <c r="E2740" s="41" t="str">
        <f>VLOOKUP(F2740,辅助信息!A:B,2,FALSE)</f>
        <v>螺纹钢</v>
      </c>
      <c r="F2740" s="41" t="s">
        <v>46</v>
      </c>
      <c r="G2740" s="37">
        <v>2.5</v>
      </c>
      <c r="H2740" s="135">
        <f>_xlfn.XLOOKUP(C2740&amp;F2740&amp;I2740&amp;J2740,'[1]2025年已发货'!$F:$F&amp;'[1]2025年已发货'!$C:$C&amp;'[1]2025年已发货'!$G:$G&amp;'[1]2025年已发货'!$H:$H,'[1]2025年已发货'!$E:$E,"未发货")</f>
        <v>2.5</v>
      </c>
      <c r="I2740" s="41" t="str">
        <f>VLOOKUP(B2740,辅助信息!E:I,3,FALSE)</f>
        <v>(乐山市校地共建产教融合基地建设项目二标段)四川省乐山市市中区苏稽镇</v>
      </c>
      <c r="J2740" s="41" t="str">
        <f>VLOOKUP(B2740,辅助信息!E:I,4,FALSE)</f>
        <v>彭江涛</v>
      </c>
      <c r="K2740" s="41">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30" t="str">
        <f>VLOOKUP(B2740,辅助信息!E:M,9,FALSE)</f>
        <v>ZTWM-CDGS-XS-2025-0126-四川机司-乐山市校地共建产教融合基地配套设施项目施工二标段钢筋采购合同</v>
      </c>
      <c r="R2740" s="30" t="str">
        <f>_xlfn._xlws.FILTER(辅助信息!D:D,辅助信息!E:E=B2740)</f>
        <v>乐山市校地共建产教融合基地建设项目</v>
      </c>
    </row>
    <row r="2741" hidden="1" spans="2:18">
      <c r="B2741" s="41" t="s">
        <v>186</v>
      </c>
      <c r="C2741" s="71">
        <v>45882</v>
      </c>
      <c r="D2741" s="41" t="str">
        <f>VLOOKUP(B2741,辅助信息!E:K,7,FALSE)</f>
        <v>JWDDCD2025072900123</v>
      </c>
      <c r="E2741" s="41" t="str">
        <f>VLOOKUP(F2741,辅助信息!A:B,2,FALSE)</f>
        <v>螺纹钢</v>
      </c>
      <c r="F2741" s="41" t="s">
        <v>22</v>
      </c>
      <c r="G2741" s="37">
        <v>31</v>
      </c>
      <c r="H2741" s="135">
        <f>_xlfn.XLOOKUP(C2741&amp;F2741&amp;I2741&amp;J2741,'[1]2025年已发货'!$F:$F&amp;'[1]2025年已发货'!$C:$C&amp;'[1]2025年已发货'!$G:$G&amp;'[1]2025年已发货'!$H:$H,'[1]2025年已发货'!$E:$E,"未发货")</f>
        <v>31</v>
      </c>
      <c r="I2741" s="41" t="str">
        <f>VLOOKUP(B2741,辅助信息!E:I,3,FALSE)</f>
        <v>(乐山市校地共建产教融合基地建设项目二标段)四川省乐山市市中区苏稽镇</v>
      </c>
      <c r="J2741" s="41" t="str">
        <f>VLOOKUP(B2741,辅助信息!E:I,4,FALSE)</f>
        <v>彭江涛</v>
      </c>
      <c r="K2741" s="41">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30" t="str">
        <f>VLOOKUP(B2741,辅助信息!E:M,9,FALSE)</f>
        <v>ZTWM-CDGS-XS-2025-0126-四川机司-乐山市校地共建产教融合基地配套设施项目施工二标段钢筋采购合同</v>
      </c>
      <c r="R2741" s="30" t="str">
        <f>_xlfn._xlws.FILTER(辅助信息!D:D,辅助信息!E:E=B2741)</f>
        <v>乐山市校地共建产教融合基地建设项目</v>
      </c>
    </row>
    <row r="2742" hidden="1" spans="2:18">
      <c r="B2742" s="41" t="s">
        <v>186</v>
      </c>
      <c r="C2742" s="71">
        <v>45882</v>
      </c>
      <c r="D2742" s="41" t="str">
        <f>VLOOKUP(B2742,辅助信息!E:K,7,FALSE)</f>
        <v>JWDDCD2025072900123</v>
      </c>
      <c r="E2742" s="41" t="str">
        <f>VLOOKUP(F2742,辅助信息!A:B,2,FALSE)</f>
        <v>螺纹钢</v>
      </c>
      <c r="F2742" s="41" t="s">
        <v>91</v>
      </c>
      <c r="G2742" s="37">
        <v>10</v>
      </c>
      <c r="H2742" s="135">
        <f>_xlfn.XLOOKUP(C2742&amp;F2742&amp;I2742&amp;J2742,'[1]2025年已发货'!$F:$F&amp;'[1]2025年已发货'!$C:$C&amp;'[1]2025年已发货'!$G:$G&amp;'[1]2025年已发货'!$H:$H,'[1]2025年已发货'!$E:$E,"未发货")</f>
        <v>10</v>
      </c>
      <c r="I2742" s="41" t="str">
        <f>VLOOKUP(B2742,辅助信息!E:I,3,FALSE)</f>
        <v>(乐山市校地共建产教融合基地建设项目二标段)四川省乐山市市中区苏稽镇</v>
      </c>
      <c r="J2742" s="41" t="str">
        <f>VLOOKUP(B2742,辅助信息!E:I,4,FALSE)</f>
        <v>彭江涛</v>
      </c>
      <c r="K2742" s="41">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30" t="str">
        <f>VLOOKUP(B2742,辅助信息!E:M,9,FALSE)</f>
        <v>ZTWM-CDGS-XS-2025-0126-四川机司-乐山市校地共建产教融合基地配套设施项目施工二标段钢筋采购合同</v>
      </c>
      <c r="R2742" s="30" t="str">
        <f>_xlfn._xlws.FILTER(辅助信息!D:D,辅助信息!E:E=B2742)</f>
        <v>乐山市校地共建产教融合基地建设项目</v>
      </c>
    </row>
    <row r="2743" hidden="1" spans="2:18">
      <c r="B2743" s="41" t="s">
        <v>187</v>
      </c>
      <c r="C2743" s="71">
        <v>45882</v>
      </c>
      <c r="D2743" s="41" t="str">
        <f>VLOOKUP(B2743,辅助信息!E:K,7,FALSE)</f>
        <v>JWDDCD2025072900121</v>
      </c>
      <c r="E2743" s="41" t="str">
        <f>VLOOKUP(F2743,辅助信息!A:B,2,FALSE)</f>
        <v>盘螺</v>
      </c>
      <c r="F2743" s="41" t="s">
        <v>40</v>
      </c>
      <c r="G2743" s="37">
        <v>12</v>
      </c>
      <c r="H2743" s="135">
        <f>_xlfn.XLOOKUP(C2743&amp;F2743&amp;I2743&amp;J2743,'[1]2025年已发货'!$F:$F&amp;'[1]2025年已发货'!$C:$C&amp;'[1]2025年已发货'!$G:$G&amp;'[1]2025年已发货'!$H:$H,'[1]2025年已发货'!$E:$E,"未发货")</f>
        <v>12</v>
      </c>
      <c r="I2743" s="41" t="str">
        <f>VLOOKUP(B2743,辅助信息!E:I,3,FALSE)</f>
        <v>(乐山市校地共建产教融合基地建设项目一标段)四川省乐山市市中区苏稽镇周山嘴</v>
      </c>
      <c r="J2743" s="41" t="str">
        <f>VLOOKUP(B2743,辅助信息!E:I,4,FALSE)</f>
        <v>范增云</v>
      </c>
      <c r="K2743" s="41">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30" t="str">
        <f>VLOOKUP(B2743,辅助信息!E:M,9,FALSE)</f>
        <v>ZTWM-CDGS-XS-2025-0125-四川机司-乐山市校地共建产教融合基地配套设施项目施工一标段钢筋采购合同</v>
      </c>
      <c r="R2743" s="30" t="str">
        <f>_xlfn._xlws.FILTER(辅助信息!D:D,辅助信息!E:E=B2743)</f>
        <v>乐山市校地共建产教融合基地建设项目</v>
      </c>
    </row>
    <row r="2744" hidden="1" spans="2:18">
      <c r="B2744" s="41" t="s">
        <v>187</v>
      </c>
      <c r="C2744" s="71">
        <v>45882</v>
      </c>
      <c r="D2744" s="41" t="str">
        <f>VLOOKUP(B2744,辅助信息!E:K,7,FALSE)</f>
        <v>JWDDCD2025072900121</v>
      </c>
      <c r="E2744" s="41" t="str">
        <f>VLOOKUP(F2744,辅助信息!A:B,2,FALSE)</f>
        <v>盘螺</v>
      </c>
      <c r="F2744" s="41" t="s">
        <v>41</v>
      </c>
      <c r="G2744" s="37">
        <v>30</v>
      </c>
      <c r="H2744" s="135">
        <f>_xlfn.XLOOKUP(C2744&amp;F2744&amp;I2744&amp;J2744,'[1]2025年已发货'!$F:$F&amp;'[1]2025年已发货'!$C:$C&amp;'[1]2025年已发货'!$G:$G&amp;'[1]2025年已发货'!$H:$H,'[1]2025年已发货'!$E:$E,"未发货")</f>
        <v>30</v>
      </c>
      <c r="I2744" s="41" t="str">
        <f>VLOOKUP(B2744,辅助信息!E:I,3,FALSE)</f>
        <v>(乐山市校地共建产教融合基地建设项目一标段)四川省乐山市市中区苏稽镇周山嘴</v>
      </c>
      <c r="J2744" s="41" t="str">
        <f>VLOOKUP(B2744,辅助信息!E:I,4,FALSE)</f>
        <v>范增云</v>
      </c>
      <c r="K2744" s="41">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30" t="str">
        <f>VLOOKUP(B2744,辅助信息!E:M,9,FALSE)</f>
        <v>ZTWM-CDGS-XS-2025-0125-四川机司-乐山市校地共建产教融合基地配套设施项目施工一标段钢筋采购合同</v>
      </c>
      <c r="R2744" s="30" t="str">
        <f>_xlfn._xlws.FILTER(辅助信息!D:D,辅助信息!E:E=B2744)</f>
        <v>乐山市校地共建产教融合基地建设项目</v>
      </c>
    </row>
    <row r="2745" hidden="1" spans="2:18">
      <c r="B2745" s="41" t="s">
        <v>187</v>
      </c>
      <c r="C2745" s="71">
        <v>45882</v>
      </c>
      <c r="D2745" s="41" t="str">
        <f>VLOOKUP(B2745,辅助信息!E:K,7,FALSE)</f>
        <v>JWDDCD2025072900121</v>
      </c>
      <c r="E2745" s="41" t="str">
        <f>VLOOKUP(F2745,辅助信息!A:B,2,FALSE)</f>
        <v>螺纹钢</v>
      </c>
      <c r="F2745" s="41" t="s">
        <v>27</v>
      </c>
      <c r="G2745" s="37">
        <v>35</v>
      </c>
      <c r="H2745" s="135">
        <f>_xlfn.XLOOKUP(C2745&amp;F2745&amp;I2745&amp;J2745,'[1]2025年已发货'!$F:$F&amp;'[1]2025年已发货'!$C:$C&amp;'[1]2025年已发货'!$G:$G&amp;'[1]2025年已发货'!$H:$H,'[1]2025年已发货'!$E:$E,"未发货")</f>
        <v>35</v>
      </c>
      <c r="I2745" s="41" t="str">
        <f>VLOOKUP(B2745,辅助信息!E:I,3,FALSE)</f>
        <v>(乐山市校地共建产教融合基地建设项目一标段)四川省乐山市市中区苏稽镇周山嘴</v>
      </c>
      <c r="J2745" s="41" t="str">
        <f>VLOOKUP(B2745,辅助信息!E:I,4,FALSE)</f>
        <v>范增云</v>
      </c>
      <c r="K2745" s="41">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30" t="str">
        <f>VLOOKUP(B2745,辅助信息!E:M,9,FALSE)</f>
        <v>ZTWM-CDGS-XS-2025-0125-四川机司-乐山市校地共建产教融合基地配套设施项目施工一标段钢筋采购合同</v>
      </c>
      <c r="R2745" s="30" t="str">
        <f>_xlfn._xlws.FILTER(辅助信息!D:D,辅助信息!E:E=B2745)</f>
        <v>乐山市校地共建产教融合基地建设项目</v>
      </c>
    </row>
    <row r="2746" hidden="1" spans="2:18">
      <c r="B2746" s="41" t="s">
        <v>187</v>
      </c>
      <c r="C2746" s="71">
        <v>45882</v>
      </c>
      <c r="D2746" s="41" t="str">
        <f>VLOOKUP(B2746,辅助信息!E:K,7,FALSE)</f>
        <v>JWDDCD2025072900121</v>
      </c>
      <c r="E2746" s="41" t="str">
        <f>VLOOKUP(F2746,辅助信息!A:B,2,FALSE)</f>
        <v>螺纹钢</v>
      </c>
      <c r="F2746" s="41" t="s">
        <v>19</v>
      </c>
      <c r="G2746" s="37">
        <v>14</v>
      </c>
      <c r="H2746" s="135">
        <f>_xlfn.XLOOKUP(C2746&amp;F2746&amp;I2746&amp;J2746,'[1]2025年已发货'!$F:$F&amp;'[1]2025年已发货'!$C:$C&amp;'[1]2025年已发货'!$G:$G&amp;'[1]2025年已发货'!$H:$H,'[1]2025年已发货'!$E:$E,"未发货")</f>
        <v>14</v>
      </c>
      <c r="I2746" s="41" t="str">
        <f>VLOOKUP(B2746,辅助信息!E:I,3,FALSE)</f>
        <v>(乐山市校地共建产教融合基地建设项目一标段)四川省乐山市市中区苏稽镇周山嘴</v>
      </c>
      <c r="J2746" s="41" t="str">
        <f>VLOOKUP(B2746,辅助信息!E:I,4,FALSE)</f>
        <v>范增云</v>
      </c>
      <c r="K2746" s="41">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30" t="str">
        <f>VLOOKUP(B2746,辅助信息!E:M,9,FALSE)</f>
        <v>ZTWM-CDGS-XS-2025-0125-四川机司-乐山市校地共建产教融合基地配套设施项目施工一标段钢筋采购合同</v>
      </c>
      <c r="R2746" s="30" t="str">
        <f>_xlfn._xlws.FILTER(辅助信息!D:D,辅助信息!E:E=B2746)</f>
        <v>乐山市校地共建产教融合基地建设项目</v>
      </c>
    </row>
    <row r="2747" hidden="1" spans="2:18">
      <c r="B2747" s="41" t="s">
        <v>187</v>
      </c>
      <c r="C2747" s="71">
        <v>45882</v>
      </c>
      <c r="D2747" s="41" t="str">
        <f>VLOOKUP(B2747,辅助信息!E:K,7,FALSE)</f>
        <v>JWDDCD2025072900121</v>
      </c>
      <c r="E2747" s="41" t="str">
        <f>VLOOKUP(F2747,辅助信息!A:B,2,FALSE)</f>
        <v>螺纹钢</v>
      </c>
      <c r="F2747" s="41" t="s">
        <v>32</v>
      </c>
      <c r="G2747" s="37">
        <v>5</v>
      </c>
      <c r="H2747" s="135">
        <f>_xlfn.XLOOKUP(C2747&amp;F2747&amp;I2747&amp;J2747,'[1]2025年已发货'!$F:$F&amp;'[1]2025年已发货'!$C:$C&amp;'[1]2025年已发货'!$G:$G&amp;'[1]2025年已发货'!$H:$H,'[1]2025年已发货'!$E:$E,"未发货")</f>
        <v>5</v>
      </c>
      <c r="I2747" s="41" t="str">
        <f>VLOOKUP(B2747,辅助信息!E:I,3,FALSE)</f>
        <v>(乐山市校地共建产教融合基地建设项目一标段)四川省乐山市市中区苏稽镇周山嘴</v>
      </c>
      <c r="J2747" s="41" t="str">
        <f>VLOOKUP(B2747,辅助信息!E:I,4,FALSE)</f>
        <v>范增云</v>
      </c>
      <c r="K2747" s="41">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30" t="str">
        <f>VLOOKUP(B2747,辅助信息!E:M,9,FALSE)</f>
        <v>ZTWM-CDGS-XS-2025-0125-四川机司-乐山市校地共建产教融合基地配套设施项目施工一标段钢筋采购合同</v>
      </c>
      <c r="R2747" s="30" t="str">
        <f>_xlfn._xlws.FILTER(辅助信息!D:D,辅助信息!E:E=B2747)</f>
        <v>乐山市校地共建产教融合基地建设项目</v>
      </c>
    </row>
    <row r="2748" hidden="1" spans="2:18">
      <c r="B2748" s="41" t="s">
        <v>187</v>
      </c>
      <c r="C2748" s="71">
        <v>45882</v>
      </c>
      <c r="D2748" s="41" t="str">
        <f>VLOOKUP(B2748,辅助信息!E:K,7,FALSE)</f>
        <v>JWDDCD2025072900121</v>
      </c>
      <c r="E2748" s="41" t="str">
        <f>VLOOKUP(F2748,辅助信息!A:B,2,FALSE)</f>
        <v>螺纹钢</v>
      </c>
      <c r="F2748" s="41" t="s">
        <v>30</v>
      </c>
      <c r="G2748" s="37">
        <v>5</v>
      </c>
      <c r="H2748" s="135">
        <f>_xlfn.XLOOKUP(C2748&amp;F2748&amp;I2748&amp;J2748,'[1]2025年已发货'!$F:$F&amp;'[1]2025年已发货'!$C:$C&amp;'[1]2025年已发货'!$G:$G&amp;'[1]2025年已发货'!$H:$H,'[1]2025年已发货'!$E:$E,"未发货")</f>
        <v>5</v>
      </c>
      <c r="I2748" s="41" t="str">
        <f>VLOOKUP(B2748,辅助信息!E:I,3,FALSE)</f>
        <v>(乐山市校地共建产教融合基地建设项目一标段)四川省乐山市市中区苏稽镇周山嘴</v>
      </c>
      <c r="J2748" s="41" t="str">
        <f>VLOOKUP(B2748,辅助信息!E:I,4,FALSE)</f>
        <v>范增云</v>
      </c>
      <c r="K2748" s="41">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30" t="str">
        <f>VLOOKUP(B2748,辅助信息!E:M,9,FALSE)</f>
        <v>ZTWM-CDGS-XS-2025-0125-四川机司-乐山市校地共建产教融合基地配套设施项目施工一标段钢筋采购合同</v>
      </c>
      <c r="R2748" s="30" t="str">
        <f>_xlfn._xlws.FILTER(辅助信息!D:D,辅助信息!E:E=B2748)</f>
        <v>乐山市校地共建产教融合基地建设项目</v>
      </c>
    </row>
    <row r="2749" hidden="1" spans="2:18">
      <c r="B2749" s="41" t="s">
        <v>187</v>
      </c>
      <c r="C2749" s="71">
        <v>45882</v>
      </c>
      <c r="D2749" s="41" t="str">
        <f>VLOOKUP(B2749,辅助信息!E:K,7,FALSE)</f>
        <v>JWDDCD2025072900121</v>
      </c>
      <c r="E2749" s="41" t="str">
        <f>VLOOKUP(F2749,辅助信息!A:B,2,FALSE)</f>
        <v>螺纹钢</v>
      </c>
      <c r="F2749" s="41" t="s">
        <v>33</v>
      </c>
      <c r="G2749" s="37">
        <v>5</v>
      </c>
      <c r="H2749" s="135">
        <f>_xlfn.XLOOKUP(C2749&amp;F2749&amp;I2749&amp;J2749,'[1]2025年已发货'!$F:$F&amp;'[1]2025年已发货'!$C:$C&amp;'[1]2025年已发货'!$G:$G&amp;'[1]2025年已发货'!$H:$H,'[1]2025年已发货'!$E:$E,"未发货")</f>
        <v>5</v>
      </c>
      <c r="I2749" s="41" t="str">
        <f>VLOOKUP(B2749,辅助信息!E:I,3,FALSE)</f>
        <v>(乐山市校地共建产教融合基地建设项目一标段)四川省乐山市市中区苏稽镇周山嘴</v>
      </c>
      <c r="J2749" s="41" t="str">
        <f>VLOOKUP(B2749,辅助信息!E:I,4,FALSE)</f>
        <v>范增云</v>
      </c>
      <c r="K2749" s="41">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30" t="str">
        <f>VLOOKUP(B2749,辅助信息!E:M,9,FALSE)</f>
        <v>ZTWM-CDGS-XS-2025-0125-四川机司-乐山市校地共建产教融合基地配套设施项目施工一标段钢筋采购合同</v>
      </c>
      <c r="R2749" s="30" t="str">
        <f>_xlfn._xlws.FILTER(辅助信息!D:D,辅助信息!E:E=B2749)</f>
        <v>乐山市校地共建产教融合基地建设项目</v>
      </c>
    </row>
    <row r="2750" hidden="1" spans="2:18">
      <c r="B2750" s="41" t="s">
        <v>187</v>
      </c>
      <c r="C2750" s="71">
        <v>45882</v>
      </c>
      <c r="D2750" s="41" t="str">
        <f>VLOOKUP(B2750,辅助信息!E:K,7,FALSE)</f>
        <v>JWDDCD2025072900121</v>
      </c>
      <c r="E2750" s="41" t="str">
        <f>VLOOKUP(F2750,辅助信息!A:B,2,FALSE)</f>
        <v>螺纹钢</v>
      </c>
      <c r="F2750" s="41" t="s">
        <v>28</v>
      </c>
      <c r="G2750" s="37">
        <v>40</v>
      </c>
      <c r="H2750" s="135">
        <f>_xlfn.XLOOKUP(C2750&amp;F2750&amp;I2750&amp;J2750,'[1]2025年已发货'!$F:$F&amp;'[1]2025年已发货'!$C:$C&amp;'[1]2025年已发货'!$G:$G&amp;'[1]2025年已发货'!$H:$H,'[1]2025年已发货'!$E:$E,"未发货")</f>
        <v>40</v>
      </c>
      <c r="I2750" s="41" t="str">
        <f>VLOOKUP(B2750,辅助信息!E:I,3,FALSE)</f>
        <v>(乐山市校地共建产教融合基地建设项目一标段)四川省乐山市市中区苏稽镇周山嘴</v>
      </c>
      <c r="J2750" s="41" t="str">
        <f>VLOOKUP(B2750,辅助信息!E:I,4,FALSE)</f>
        <v>范增云</v>
      </c>
      <c r="K2750" s="41">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30" t="str">
        <f>VLOOKUP(B2750,辅助信息!E:M,9,FALSE)</f>
        <v>ZTWM-CDGS-XS-2025-0125-四川机司-乐山市校地共建产教融合基地配套设施项目施工一标段钢筋采购合同</v>
      </c>
      <c r="R2750" s="30" t="str">
        <f>_xlfn._xlws.FILTER(辅助信息!D:D,辅助信息!E:E=B2750)</f>
        <v>乐山市校地共建产教融合基地建设项目</v>
      </c>
    </row>
    <row r="2751" hidden="1" spans="2:18">
      <c r="B2751" s="41" t="s">
        <v>187</v>
      </c>
      <c r="C2751" s="71">
        <v>45882</v>
      </c>
      <c r="D2751" s="41" t="str">
        <f>VLOOKUP(B2751,辅助信息!E:K,7,FALSE)</f>
        <v>JWDDCD2025072900121</v>
      </c>
      <c r="E2751" s="41" t="str">
        <f>VLOOKUP(F2751,辅助信息!A:B,2,FALSE)</f>
        <v>螺纹钢</v>
      </c>
      <c r="F2751" s="41" t="s">
        <v>18</v>
      </c>
      <c r="G2751" s="37">
        <v>81</v>
      </c>
      <c r="H2751" s="135">
        <v>74</v>
      </c>
      <c r="I2751" s="41" t="str">
        <f>VLOOKUP(B2751,辅助信息!E:I,3,FALSE)</f>
        <v>(乐山市校地共建产教融合基地建设项目一标段)四川省乐山市市中区苏稽镇周山嘴</v>
      </c>
      <c r="J2751" s="41" t="str">
        <f>VLOOKUP(B2751,辅助信息!E:I,4,FALSE)</f>
        <v>范增云</v>
      </c>
      <c r="K2751" s="41">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30" t="str">
        <f>VLOOKUP(B2751,辅助信息!E:M,9,FALSE)</f>
        <v>ZTWM-CDGS-XS-2025-0125-四川机司-乐山市校地共建产教融合基地配套设施项目施工一标段钢筋采购合同</v>
      </c>
      <c r="R2751" s="30" t="str">
        <f>_xlfn._xlws.FILTER(辅助信息!D:D,辅助信息!E:E=B2751)</f>
        <v>乐山市校地共建产教融合基地建设项目</v>
      </c>
    </row>
    <row r="2752" hidden="1" spans="2:18">
      <c r="B2752" s="41" t="s">
        <v>187</v>
      </c>
      <c r="C2752" s="71">
        <v>45882</v>
      </c>
      <c r="D2752" s="41" t="str">
        <f>VLOOKUP(B2752,辅助信息!E:K,7,FALSE)</f>
        <v>JWDDCD2025072900121</v>
      </c>
      <c r="E2752" s="41" t="str">
        <f>VLOOKUP(F2752,辅助信息!A:B,2,FALSE)</f>
        <v>螺纹钢</v>
      </c>
      <c r="F2752" s="41" t="s">
        <v>65</v>
      </c>
      <c r="G2752" s="37">
        <v>17</v>
      </c>
      <c r="H2752" s="135">
        <f>_xlfn.XLOOKUP(C2752&amp;F2752&amp;I2752&amp;J2752,'[1]2025年已发货'!$F:$F&amp;'[1]2025年已发货'!$C:$C&amp;'[1]2025年已发货'!$G:$G&amp;'[1]2025年已发货'!$H:$H,'[1]2025年已发货'!$E:$E,"未发货")</f>
        <v>17</v>
      </c>
      <c r="I2752" s="41" t="str">
        <f>VLOOKUP(B2752,辅助信息!E:I,3,FALSE)</f>
        <v>(乐山市校地共建产教融合基地建设项目一标段)四川省乐山市市中区苏稽镇周山嘴</v>
      </c>
      <c r="J2752" s="41" t="str">
        <f>VLOOKUP(B2752,辅助信息!E:I,4,FALSE)</f>
        <v>范增云</v>
      </c>
      <c r="K2752" s="41">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30" t="str">
        <f>VLOOKUP(B2752,辅助信息!E:M,9,FALSE)</f>
        <v>ZTWM-CDGS-XS-2025-0125-四川机司-乐山市校地共建产教融合基地配套设施项目施工一标段钢筋采购合同</v>
      </c>
      <c r="R2752" s="30" t="str">
        <f>_xlfn._xlws.FILTER(辅助信息!D:D,辅助信息!E:E=B2752)</f>
        <v>乐山市校地共建产教融合基地建设项目</v>
      </c>
    </row>
    <row r="2753" hidden="1" spans="2:18">
      <c r="B2753" s="41" t="s">
        <v>187</v>
      </c>
      <c r="C2753" s="71">
        <v>45882</v>
      </c>
      <c r="D2753" s="41" t="str">
        <f>VLOOKUP(B2753,辅助信息!E:K,7,FALSE)</f>
        <v>JWDDCD2025072900121</v>
      </c>
      <c r="E2753" s="41" t="str">
        <f>VLOOKUP(F2753,辅助信息!A:B,2,FALSE)</f>
        <v>螺纹钢</v>
      </c>
      <c r="F2753" s="41" t="s">
        <v>52</v>
      </c>
      <c r="G2753" s="37">
        <v>5</v>
      </c>
      <c r="H2753" s="135">
        <f>_xlfn.XLOOKUP(C2753&amp;F2753&amp;I2753&amp;J2753,'[1]2025年已发货'!$F:$F&amp;'[1]2025年已发货'!$C:$C&amp;'[1]2025年已发货'!$G:$G&amp;'[1]2025年已发货'!$H:$H,'[1]2025年已发货'!$E:$E,"未发货")</f>
        <v>5</v>
      </c>
      <c r="I2753" s="41" t="str">
        <f>VLOOKUP(B2753,辅助信息!E:I,3,FALSE)</f>
        <v>(乐山市校地共建产教融合基地建设项目一标段)四川省乐山市市中区苏稽镇周山嘴</v>
      </c>
      <c r="J2753" s="41" t="str">
        <f>VLOOKUP(B2753,辅助信息!E:I,4,FALSE)</f>
        <v>范增云</v>
      </c>
      <c r="K2753" s="41">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30" t="str">
        <f>VLOOKUP(B2753,辅助信息!E:M,9,FALSE)</f>
        <v>ZTWM-CDGS-XS-2025-0125-四川机司-乐山市校地共建产教融合基地配套设施项目施工一标段钢筋采购合同</v>
      </c>
      <c r="R2753" s="30" t="str">
        <f>_xlfn._xlws.FILTER(辅助信息!D:D,辅助信息!E:E=B2753)</f>
        <v>乐山市校地共建产教融合基地建设项目</v>
      </c>
    </row>
    <row r="2754" hidden="1" spans="2:18">
      <c r="B2754" s="41" t="s">
        <v>81</v>
      </c>
      <c r="C2754" s="71">
        <v>45882</v>
      </c>
      <c r="D2754" s="41" t="str">
        <f>VLOOKUP(B2754,辅助信息!E:K,7,FALSE)</f>
        <v>JWDDCD2025060900080</v>
      </c>
      <c r="E2754" s="41" t="str">
        <f>VLOOKUP(F2754,辅助信息!A:B,2,FALSE)</f>
        <v>螺纹钢</v>
      </c>
      <c r="F2754" s="41" t="s">
        <v>32</v>
      </c>
      <c r="G2754" s="37">
        <v>35</v>
      </c>
      <c r="H2754" s="135" t="str">
        <f>_xlfn.XLOOKUP(C2754&amp;F2754&amp;I2754&amp;J2754,'[1]2025年已发货'!$F:$F&amp;'[1]2025年已发货'!$C:$C&amp;'[1]2025年已发货'!$G:$G&amp;'[1]2025年已发货'!$H:$H,'[1]2025年已发货'!$E:$E,"未发货")</f>
        <v>未发货</v>
      </c>
      <c r="I2754" s="41" t="str">
        <f>VLOOKUP(B2754,辅助信息!E:I,3,FALSE)</f>
        <v>（华西简阳西城嘉苑）四川省成都市简阳市简城街道高屋村</v>
      </c>
      <c r="J2754" s="41" t="str">
        <f>VLOOKUP(B2754,辅助信息!E:I,4,FALSE)</f>
        <v>张瀚镭</v>
      </c>
      <c r="K2754" s="41">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30" t="str">
        <f>VLOOKUP(B2754,辅助信息!E:M,9,FALSE)</f>
        <v>ZTWM-CDGS-XS-2024-0030-华西集采-简州大道</v>
      </c>
      <c r="R2754" s="30" t="str">
        <f>_xlfn._xlws.FILTER(辅助信息!D:D,辅助信息!E:E=B2754)</f>
        <v>华西简阳西城嘉苑</v>
      </c>
    </row>
    <row r="2755" hidden="1" spans="2:18">
      <c r="B2755" s="41" t="s">
        <v>92</v>
      </c>
      <c r="C2755" s="71">
        <v>45882</v>
      </c>
      <c r="D2755" s="41" t="str">
        <f>VLOOKUP(B2755,辅助信息!E:K,7,FALSE)</f>
        <v>JWDDCD2025051800046</v>
      </c>
      <c r="E2755" s="41" t="str">
        <f>VLOOKUP(F2755,辅助信息!A:B,2,FALSE)</f>
        <v>盘螺</v>
      </c>
      <c r="F2755" s="41" t="s">
        <v>49</v>
      </c>
      <c r="G2755" s="37">
        <v>6</v>
      </c>
      <c r="H2755" s="135" t="str">
        <f>_xlfn.XLOOKUP(C2755&amp;F2755&amp;I2755&amp;J2755,'[1]2025年已发货'!$F:$F&amp;'[1]2025年已发货'!$C:$C&amp;'[1]2025年已发货'!$G:$G&amp;'[1]2025年已发货'!$H:$H,'[1]2025年已发货'!$E:$E,"未发货")</f>
        <v>未发货</v>
      </c>
      <c r="I2755" s="41" t="str">
        <f>VLOOKUP(B2755,辅助信息!E:I,3,FALSE)</f>
        <v>（华西萌海科创农业生态谷）成都市简阳市白金山水库</v>
      </c>
      <c r="J2755" s="41" t="str">
        <f>VLOOKUP(B2755,辅助信息!E:I,4,FALSE)</f>
        <v>石清国</v>
      </c>
      <c r="K2755" s="41">
        <f>VLOOKUP(J2755,辅助信息!H:I,2,FALSE)</f>
        <v>13458642015</v>
      </c>
      <c r="L2755" s="110" t="str">
        <f>VLOOKUP(B2755,辅助信息!E:J,6,FALSE)</f>
        <v>优先威钢,我方卸车,新老国标钢厂不加价可直发</v>
      </c>
      <c r="O2755" s="63" t="str">
        <f ca="1" t="shared" si="165"/>
        <v/>
      </c>
      <c r="P2755" s="63" t="str">
        <f ca="1" t="shared" si="166"/>
        <v/>
      </c>
      <c r="Q2755" s="30" t="str">
        <f>VLOOKUP(B2755,辅助信息!E:M,9,FALSE)</f>
        <v>ZTWM-CDGS-XS-2024-0092-华西-萌海科创农业生态谷</v>
      </c>
      <c r="R2755" s="30" t="str">
        <f>_xlfn._xlws.FILTER(辅助信息!D:D,辅助信息!E:E=B2755)</f>
        <v>华西萌海-科创农业生态谷</v>
      </c>
    </row>
    <row r="2756" hidden="1" spans="2:18">
      <c r="B2756" s="41" t="s">
        <v>92</v>
      </c>
      <c r="C2756" s="71">
        <v>45882</v>
      </c>
      <c r="D2756" s="41" t="str">
        <f>VLOOKUP(B2756,辅助信息!E:K,7,FALSE)</f>
        <v>JWDDCD2025051800046</v>
      </c>
      <c r="E2756" s="41" t="str">
        <f>VLOOKUP(F2756,辅助信息!A:B,2,FALSE)</f>
        <v>盘螺</v>
      </c>
      <c r="F2756" s="41" t="s">
        <v>40</v>
      </c>
      <c r="G2756" s="37">
        <v>15</v>
      </c>
      <c r="H2756" s="135" t="str">
        <f>_xlfn.XLOOKUP(C2756&amp;F2756&amp;I2756&amp;J2756,'[1]2025年已发货'!$F:$F&amp;'[1]2025年已发货'!$C:$C&amp;'[1]2025年已发货'!$G:$G&amp;'[1]2025年已发货'!$H:$H,'[1]2025年已发货'!$E:$E,"未发货")</f>
        <v>未发货</v>
      </c>
      <c r="I2756" s="41" t="str">
        <f>VLOOKUP(B2756,辅助信息!E:I,3,FALSE)</f>
        <v>（华西萌海科创农业生态谷）成都市简阳市白金山水库</v>
      </c>
      <c r="J2756" s="41" t="str">
        <f>VLOOKUP(B2756,辅助信息!E:I,4,FALSE)</f>
        <v>石清国</v>
      </c>
      <c r="K2756" s="41">
        <f>VLOOKUP(J2756,辅助信息!H:I,2,FALSE)</f>
        <v>13458642015</v>
      </c>
      <c r="L2756" s="110" t="str">
        <f>VLOOKUP(B2756,辅助信息!E:J,6,FALSE)</f>
        <v>优先威钢,我方卸车,新老国标钢厂不加价可直发</v>
      </c>
      <c r="O2756" s="63" t="str">
        <f ca="1" t="shared" si="165"/>
        <v/>
      </c>
      <c r="P2756" s="63" t="str">
        <f ca="1" t="shared" si="166"/>
        <v/>
      </c>
      <c r="Q2756" s="30" t="str">
        <f>VLOOKUP(B2756,辅助信息!E:M,9,FALSE)</f>
        <v>ZTWM-CDGS-XS-2024-0092-华西-萌海科创农业生态谷</v>
      </c>
      <c r="R2756" s="30" t="str">
        <f>_xlfn._xlws.FILTER(辅助信息!D:D,辅助信息!E:E=B2756)</f>
        <v>华西萌海-科创农业生态谷</v>
      </c>
    </row>
    <row r="2757" hidden="1" spans="2:18">
      <c r="B2757" s="41" t="s">
        <v>92</v>
      </c>
      <c r="C2757" s="71">
        <v>45882</v>
      </c>
      <c r="D2757" s="41" t="str">
        <f>VLOOKUP(B2757,辅助信息!E:K,7,FALSE)</f>
        <v>JWDDCD2025051800046</v>
      </c>
      <c r="E2757" s="41" t="str">
        <f>VLOOKUP(F2757,辅助信息!A:B,2,FALSE)</f>
        <v>盘螺</v>
      </c>
      <c r="F2757" s="41" t="s">
        <v>41</v>
      </c>
      <c r="G2757" s="37">
        <v>15</v>
      </c>
      <c r="H2757" s="135" t="str">
        <f>_xlfn.XLOOKUP(C2757&amp;F2757&amp;I2757&amp;J2757,'[1]2025年已发货'!$F:$F&amp;'[1]2025年已发货'!$C:$C&amp;'[1]2025年已发货'!$G:$G&amp;'[1]2025年已发货'!$H:$H,'[1]2025年已发货'!$E:$E,"未发货")</f>
        <v>未发货</v>
      </c>
      <c r="I2757" s="41" t="str">
        <f>VLOOKUP(B2757,辅助信息!E:I,3,FALSE)</f>
        <v>（华西萌海科创农业生态谷）成都市简阳市白金山水库</v>
      </c>
      <c r="J2757" s="41" t="str">
        <f>VLOOKUP(B2757,辅助信息!E:I,4,FALSE)</f>
        <v>石清国</v>
      </c>
      <c r="K2757" s="41">
        <f>VLOOKUP(J2757,辅助信息!H:I,2,FALSE)</f>
        <v>13458642015</v>
      </c>
      <c r="L2757" s="110" t="str">
        <f>VLOOKUP(B2757,辅助信息!E:J,6,FALSE)</f>
        <v>优先威钢,我方卸车,新老国标钢厂不加价可直发</v>
      </c>
      <c r="O2757" s="63" t="str">
        <f ca="1" t="shared" si="165"/>
        <v/>
      </c>
      <c r="P2757" s="63" t="str">
        <f ca="1" t="shared" si="166"/>
        <v/>
      </c>
      <c r="Q2757" s="30" t="str">
        <f>VLOOKUP(B2757,辅助信息!E:M,9,FALSE)</f>
        <v>ZTWM-CDGS-XS-2024-0092-华西-萌海科创农业生态谷</v>
      </c>
      <c r="R2757" s="30" t="str">
        <f>_xlfn._xlws.FILTER(辅助信息!D:D,辅助信息!E:E=B2757)</f>
        <v>华西萌海-科创农业生态谷</v>
      </c>
    </row>
    <row r="2758" hidden="1" spans="2:18">
      <c r="B2758" s="41" t="s">
        <v>81</v>
      </c>
      <c r="C2758" s="71">
        <v>45883</v>
      </c>
      <c r="D2758" s="41" t="str">
        <f>VLOOKUP(B2758,辅助信息!E:K,7,FALSE)</f>
        <v>JWDDCD2025060900080</v>
      </c>
      <c r="E2758" s="41" t="str">
        <f>VLOOKUP(F2758,辅助信息!A:B,2,FALSE)</f>
        <v>螺纹钢</v>
      </c>
      <c r="F2758" s="41" t="s">
        <v>32</v>
      </c>
      <c r="G2758" s="37">
        <v>35</v>
      </c>
      <c r="H2758" s="135">
        <f>_xlfn.XLOOKUP(C2758&amp;F2758&amp;I2758&amp;J2758,'[1]2025年已发货'!$F:$F&amp;'[1]2025年已发货'!$C:$C&amp;'[1]2025年已发货'!$G:$G&amp;'[1]2025年已发货'!$H:$H,'[1]2025年已发货'!$E:$E,"未发货")</f>
        <v>35</v>
      </c>
      <c r="I2758" s="41" t="str">
        <f>VLOOKUP(B2758,辅助信息!E:I,3,FALSE)</f>
        <v>（华西简阳西城嘉苑）四川省成都市简阳市简城街道高屋村</v>
      </c>
      <c r="J2758" s="41" t="str">
        <f>VLOOKUP(B2758,辅助信息!E:I,4,FALSE)</f>
        <v>张瀚镭</v>
      </c>
      <c r="K2758" s="41">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30" t="str">
        <f>VLOOKUP(B2758,辅助信息!E:M,9,FALSE)</f>
        <v>ZTWM-CDGS-XS-2024-0030-华西集采-简州大道</v>
      </c>
      <c r="R2758" s="30" t="str">
        <f>_xlfn._xlws.FILTER(辅助信息!D:D,辅助信息!E:E=B2758)</f>
        <v>华西简阳西城嘉苑</v>
      </c>
    </row>
    <row r="2759" hidden="1" spans="2:18">
      <c r="B2759" s="41" t="s">
        <v>92</v>
      </c>
      <c r="C2759" s="71">
        <v>45883</v>
      </c>
      <c r="D2759" s="41" t="str">
        <f>VLOOKUP(B2759,辅助信息!E:K,7,FALSE)</f>
        <v>JWDDCD2025051800046</v>
      </c>
      <c r="E2759" s="41" t="str">
        <f>VLOOKUP(F2759,辅助信息!A:B,2,FALSE)</f>
        <v>盘螺</v>
      </c>
      <c r="F2759" s="41" t="s">
        <v>49</v>
      </c>
      <c r="G2759" s="37">
        <v>6</v>
      </c>
      <c r="H2759" s="135">
        <f>_xlfn.XLOOKUP(C2759&amp;F2759&amp;I2759&amp;J2759,'[1]2025年已发货'!$F:$F&amp;'[1]2025年已发货'!$C:$C&amp;'[1]2025年已发货'!$G:$G&amp;'[1]2025年已发货'!$H:$H,'[1]2025年已发货'!$E:$E,"未发货")</f>
        <v>6</v>
      </c>
      <c r="I2759" s="41" t="str">
        <f>VLOOKUP(B2759,辅助信息!E:I,3,FALSE)</f>
        <v>（华西萌海科创农业生态谷）成都市简阳市白金山水库</v>
      </c>
      <c r="J2759" s="41" t="str">
        <f>VLOOKUP(B2759,辅助信息!E:I,4,FALSE)</f>
        <v>石清国</v>
      </c>
      <c r="K2759" s="41">
        <f>VLOOKUP(J2759,辅助信息!H:I,2,FALSE)</f>
        <v>13458642015</v>
      </c>
      <c r="L2759" s="110" t="str">
        <f>VLOOKUP(B2759,辅助信息!E:J,6,FALSE)</f>
        <v>优先威钢,我方卸车,新老国标钢厂不加价可直发</v>
      </c>
      <c r="O2759" s="63" t="str">
        <f ca="1" t="shared" si="165"/>
        <v/>
      </c>
      <c r="P2759" s="63" t="str">
        <f ca="1" t="shared" si="166"/>
        <v/>
      </c>
      <c r="Q2759" s="30" t="str">
        <f>VLOOKUP(B2759,辅助信息!E:M,9,FALSE)</f>
        <v>ZTWM-CDGS-XS-2024-0092-华西-萌海科创农业生态谷</v>
      </c>
      <c r="R2759" s="30" t="str">
        <f>_xlfn._xlws.FILTER(辅助信息!D:D,辅助信息!E:E=B2759)</f>
        <v>华西萌海-科创农业生态谷</v>
      </c>
    </row>
    <row r="2760" hidden="1" spans="2:18">
      <c r="B2760" s="41" t="s">
        <v>92</v>
      </c>
      <c r="C2760" s="71">
        <v>45883</v>
      </c>
      <c r="D2760" s="41" t="str">
        <f>VLOOKUP(B2760,辅助信息!E:K,7,FALSE)</f>
        <v>JWDDCD2025051800046</v>
      </c>
      <c r="E2760" s="41" t="str">
        <f>VLOOKUP(F2760,辅助信息!A:B,2,FALSE)</f>
        <v>盘螺</v>
      </c>
      <c r="F2760" s="41" t="s">
        <v>40</v>
      </c>
      <c r="G2760" s="37">
        <v>15</v>
      </c>
      <c r="H2760" s="135">
        <f>_xlfn.XLOOKUP(C2760&amp;F2760&amp;I2760&amp;J2760,'[1]2025年已发货'!$F:$F&amp;'[1]2025年已发货'!$C:$C&amp;'[1]2025年已发货'!$G:$G&amp;'[1]2025年已发货'!$H:$H,'[1]2025年已发货'!$E:$E,"未发货")</f>
        <v>15</v>
      </c>
      <c r="I2760" s="41" t="str">
        <f>VLOOKUP(B2760,辅助信息!E:I,3,FALSE)</f>
        <v>（华西萌海科创农业生态谷）成都市简阳市白金山水库</v>
      </c>
      <c r="J2760" s="41" t="str">
        <f>VLOOKUP(B2760,辅助信息!E:I,4,FALSE)</f>
        <v>石清国</v>
      </c>
      <c r="K2760" s="41">
        <f>VLOOKUP(J2760,辅助信息!H:I,2,FALSE)</f>
        <v>13458642015</v>
      </c>
      <c r="L2760" s="110" t="str">
        <f>VLOOKUP(B2760,辅助信息!E:J,6,FALSE)</f>
        <v>优先威钢,我方卸车,新老国标钢厂不加价可直发</v>
      </c>
      <c r="O2760" s="63" t="str">
        <f ca="1" t="shared" si="165"/>
        <v/>
      </c>
      <c r="P2760" s="63" t="str">
        <f ca="1" t="shared" si="166"/>
        <v/>
      </c>
      <c r="Q2760" s="30" t="str">
        <f>VLOOKUP(B2760,辅助信息!E:M,9,FALSE)</f>
        <v>ZTWM-CDGS-XS-2024-0092-华西-萌海科创农业生态谷</v>
      </c>
      <c r="R2760" s="30" t="str">
        <f>_xlfn._xlws.FILTER(辅助信息!D:D,辅助信息!E:E=B2760)</f>
        <v>华西萌海-科创农业生态谷</v>
      </c>
    </row>
    <row r="2761" hidden="1" spans="2:18">
      <c r="B2761" s="41" t="s">
        <v>92</v>
      </c>
      <c r="C2761" s="71">
        <v>45883</v>
      </c>
      <c r="D2761" s="41" t="str">
        <f>VLOOKUP(B2761,辅助信息!E:K,7,FALSE)</f>
        <v>JWDDCD2025051800046</v>
      </c>
      <c r="E2761" s="41" t="str">
        <f>VLOOKUP(F2761,辅助信息!A:B,2,FALSE)</f>
        <v>盘螺</v>
      </c>
      <c r="F2761" s="41" t="s">
        <v>41</v>
      </c>
      <c r="G2761" s="37">
        <v>15</v>
      </c>
      <c r="H2761" s="135">
        <f>_xlfn.XLOOKUP(C2761&amp;F2761&amp;I2761&amp;J2761,'[1]2025年已发货'!$F:$F&amp;'[1]2025年已发货'!$C:$C&amp;'[1]2025年已发货'!$G:$G&amp;'[1]2025年已发货'!$H:$H,'[1]2025年已发货'!$E:$E,"未发货")</f>
        <v>15</v>
      </c>
      <c r="I2761" s="41" t="str">
        <f>VLOOKUP(B2761,辅助信息!E:I,3,FALSE)</f>
        <v>（华西萌海科创农业生态谷）成都市简阳市白金山水库</v>
      </c>
      <c r="J2761" s="41" t="str">
        <f>VLOOKUP(B2761,辅助信息!E:I,4,FALSE)</f>
        <v>石清国</v>
      </c>
      <c r="K2761" s="41">
        <f>VLOOKUP(J2761,辅助信息!H:I,2,FALSE)</f>
        <v>13458642015</v>
      </c>
      <c r="L2761" s="110" t="str">
        <f>VLOOKUP(B2761,辅助信息!E:J,6,FALSE)</f>
        <v>优先威钢,我方卸车,新老国标钢厂不加价可直发</v>
      </c>
      <c r="O2761" s="63" t="str">
        <f ca="1" t="shared" si="165"/>
        <v/>
      </c>
      <c r="P2761" s="63" t="str">
        <f ca="1" t="shared" si="166"/>
        <v/>
      </c>
      <c r="Q2761" s="30" t="str">
        <f>VLOOKUP(B2761,辅助信息!E:M,9,FALSE)</f>
        <v>ZTWM-CDGS-XS-2024-0092-华西-萌海科创农业生态谷</v>
      </c>
      <c r="R2761" s="30" t="str">
        <f>_xlfn._xlws.FILTER(辅助信息!D:D,辅助信息!E:E=B2761)</f>
        <v>华西萌海-科创农业生态谷</v>
      </c>
    </row>
    <row r="2762" hidden="1" spans="2:18">
      <c r="B2762" s="41" t="s">
        <v>186</v>
      </c>
      <c r="C2762" s="71">
        <v>45883</v>
      </c>
      <c r="D2762" s="41" t="str">
        <f>VLOOKUP(B2762,辅助信息!E:K,7,FALSE)</f>
        <v>JWDDCD2025072900123</v>
      </c>
      <c r="E2762" s="41" t="str">
        <f>VLOOKUP(F2762,辅助信息!A:B,2,FALSE)</f>
        <v>盘螺</v>
      </c>
      <c r="F2762" s="41" t="s">
        <v>26</v>
      </c>
      <c r="G2762" s="37">
        <v>18</v>
      </c>
      <c r="H2762" s="135">
        <f>_xlfn.XLOOKUP(C2762&amp;F2762&amp;I2762&amp;J2762,'[1]2025年已发货'!$F:$F&amp;'[1]2025年已发货'!$C:$C&amp;'[1]2025年已发货'!$G:$G&amp;'[1]2025年已发货'!$H:$H,'[1]2025年已发货'!$E:$E,"未发货")</f>
        <v>18</v>
      </c>
      <c r="I2762" s="41" t="str">
        <f>VLOOKUP(B2762,辅助信息!E:I,3,FALSE)</f>
        <v>(乐山市校地共建产教融合基地建设项目二标段)四川省乐山市市中区苏稽镇</v>
      </c>
      <c r="J2762" s="41" t="str">
        <f>VLOOKUP(B2762,辅助信息!E:I,4,FALSE)</f>
        <v>彭江涛</v>
      </c>
      <c r="K2762" s="41">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30" t="str">
        <f>VLOOKUP(B2762,辅助信息!E:M,9,FALSE)</f>
        <v>ZTWM-CDGS-XS-2025-0126-四川机司-乐山市校地共建产教融合基地配套设施项目施工二标段钢筋采购合同</v>
      </c>
      <c r="R2762" s="30" t="str">
        <f>_xlfn._xlws.FILTER(辅助信息!D:D,辅助信息!E:E=B2762)</f>
        <v>乐山市校地共建产教融合基地建设项目</v>
      </c>
    </row>
    <row r="2763" hidden="1" spans="2:18">
      <c r="B2763" s="41" t="s">
        <v>186</v>
      </c>
      <c r="C2763" s="71">
        <v>45883</v>
      </c>
      <c r="D2763" s="41" t="str">
        <f>VLOOKUP(B2763,辅助信息!E:K,7,FALSE)</f>
        <v>JWDDCD2025072900123</v>
      </c>
      <c r="E2763" s="41" t="str">
        <f>VLOOKUP(F2763,辅助信息!A:B,2,FALSE)</f>
        <v>螺纹钢</v>
      </c>
      <c r="F2763" s="41" t="s">
        <v>76</v>
      </c>
      <c r="G2763" s="37">
        <v>8</v>
      </c>
      <c r="H2763" s="135">
        <f>_xlfn.XLOOKUP(C2763&amp;F2763&amp;I2763&amp;J2763,'[1]2025年已发货'!$F:$F&amp;'[1]2025年已发货'!$C:$C&amp;'[1]2025年已发货'!$G:$G&amp;'[1]2025年已发货'!$H:$H,'[1]2025年已发货'!$E:$E,"未发货")</f>
        <v>8</v>
      </c>
      <c r="I2763" s="41" t="str">
        <f>VLOOKUP(B2763,辅助信息!E:I,3,FALSE)</f>
        <v>(乐山市校地共建产教融合基地建设项目二标段)四川省乐山市市中区苏稽镇</v>
      </c>
      <c r="J2763" s="41" t="str">
        <f>VLOOKUP(B2763,辅助信息!E:I,4,FALSE)</f>
        <v>彭江涛</v>
      </c>
      <c r="K2763" s="41">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30" t="str">
        <f>VLOOKUP(B2763,辅助信息!E:M,9,FALSE)</f>
        <v>ZTWM-CDGS-XS-2025-0126-四川机司-乐山市校地共建产教融合基地配套设施项目施工二标段钢筋采购合同</v>
      </c>
      <c r="R2763" s="30" t="str">
        <f>_xlfn._xlws.FILTER(辅助信息!D:D,辅助信息!E:E=B2763)</f>
        <v>乐山市校地共建产教融合基地建设项目</v>
      </c>
    </row>
    <row r="2764" hidden="1" spans="2:18">
      <c r="B2764" s="41" t="s">
        <v>186</v>
      </c>
      <c r="C2764" s="71">
        <v>45883</v>
      </c>
      <c r="D2764" s="41" t="str">
        <f>VLOOKUP(B2764,辅助信息!E:K,7,FALSE)</f>
        <v>JWDDCD2025072900123</v>
      </c>
      <c r="E2764" s="41" t="str">
        <f>VLOOKUP(F2764,辅助信息!A:B,2,FALSE)</f>
        <v>螺纹钢</v>
      </c>
      <c r="F2764" s="41" t="s">
        <v>91</v>
      </c>
      <c r="G2764" s="37">
        <v>35</v>
      </c>
      <c r="H2764" s="135">
        <f>_xlfn.XLOOKUP(C2764&amp;F2764&amp;I2764&amp;J2764,'[1]2025年已发货'!$F:$F&amp;'[1]2025年已发货'!$C:$C&amp;'[1]2025年已发货'!$G:$G&amp;'[1]2025年已发货'!$H:$H,'[1]2025年已发货'!$E:$E,"未发货")</f>
        <v>35</v>
      </c>
      <c r="I2764" s="41" t="str">
        <f>VLOOKUP(B2764,辅助信息!E:I,3,FALSE)</f>
        <v>(乐山市校地共建产教融合基地建设项目二标段)四川省乐山市市中区苏稽镇</v>
      </c>
      <c r="J2764" s="41" t="str">
        <f>VLOOKUP(B2764,辅助信息!E:I,4,FALSE)</f>
        <v>彭江涛</v>
      </c>
      <c r="K2764" s="41">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30" t="str">
        <f>VLOOKUP(B2764,辅助信息!E:M,9,FALSE)</f>
        <v>ZTWM-CDGS-XS-2025-0126-四川机司-乐山市校地共建产教融合基地配套设施项目施工二标段钢筋采购合同</v>
      </c>
      <c r="R2764" s="30" t="str">
        <f>_xlfn._xlws.FILTER(辅助信息!D:D,辅助信息!E:E=B2764)</f>
        <v>乐山市校地共建产教融合基地建设项目</v>
      </c>
    </row>
    <row r="2765" hidden="1" spans="2:18">
      <c r="B2765" s="41" t="s">
        <v>186</v>
      </c>
      <c r="C2765" s="71">
        <v>45883</v>
      </c>
      <c r="D2765" s="41" t="str">
        <f>VLOOKUP(B2765,辅助信息!E:K,7,FALSE)</f>
        <v>JWDDCD2025072900123</v>
      </c>
      <c r="E2765" s="41" t="str">
        <f>VLOOKUP(F2765,辅助信息!A:B,2,FALSE)</f>
        <v>螺纹钢</v>
      </c>
      <c r="F2765" s="41" t="s">
        <v>205</v>
      </c>
      <c r="G2765" s="37">
        <v>5</v>
      </c>
      <c r="H2765" s="135">
        <f>_xlfn.XLOOKUP(C2765&amp;F2765&amp;I2765&amp;J2765,'[1]2025年已发货'!$F:$F&amp;'[1]2025年已发货'!$C:$C&amp;'[1]2025年已发货'!$G:$G&amp;'[1]2025年已发货'!$H:$H,'[1]2025年已发货'!$E:$E,"未发货")</f>
        <v>5</v>
      </c>
      <c r="I2765" s="41" t="str">
        <f>VLOOKUP(B2765,辅助信息!E:I,3,FALSE)</f>
        <v>(乐山市校地共建产教融合基地建设项目二标段)四川省乐山市市中区苏稽镇</v>
      </c>
      <c r="J2765" s="41" t="str">
        <f>VLOOKUP(B2765,辅助信息!E:I,4,FALSE)</f>
        <v>彭江涛</v>
      </c>
      <c r="K2765" s="41">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30" t="str">
        <f>VLOOKUP(B2765,辅助信息!E:M,9,FALSE)</f>
        <v>ZTWM-CDGS-XS-2025-0126-四川机司-乐山市校地共建产教融合基地配套设施项目施工二标段钢筋采购合同</v>
      </c>
      <c r="R2765" s="30" t="str">
        <f>_xlfn._xlws.FILTER(辅助信息!D:D,辅助信息!E:E=B2765)</f>
        <v>乐山市校地共建产教融合基地建设项目</v>
      </c>
    </row>
    <row r="2766" hidden="1" spans="2:18">
      <c r="B2766" s="41" t="s">
        <v>186</v>
      </c>
      <c r="C2766" s="71">
        <v>45883</v>
      </c>
      <c r="D2766" s="41" t="str">
        <f>VLOOKUP(B2766,辅助信息!E:K,7,FALSE)</f>
        <v>JWDDCD2025072900123</v>
      </c>
      <c r="E2766" s="41" t="str">
        <f>VLOOKUP(F2766,辅助信息!A:B,2,FALSE)</f>
        <v>螺纹钢</v>
      </c>
      <c r="F2766" s="41" t="s">
        <v>141</v>
      </c>
      <c r="G2766" s="37">
        <v>5</v>
      </c>
      <c r="H2766" s="135">
        <f>_xlfn.XLOOKUP(C2766&amp;F2766&amp;I2766&amp;J2766,'[1]2025年已发货'!$F:$F&amp;'[1]2025年已发货'!$C:$C&amp;'[1]2025年已发货'!$G:$G&amp;'[1]2025年已发货'!$H:$H,'[1]2025年已发货'!$E:$E,"未发货")</f>
        <v>5</v>
      </c>
      <c r="I2766" s="41" t="str">
        <f>VLOOKUP(B2766,辅助信息!E:I,3,FALSE)</f>
        <v>(乐山市校地共建产教融合基地建设项目二标段)四川省乐山市市中区苏稽镇</v>
      </c>
      <c r="J2766" s="41" t="str">
        <f>VLOOKUP(B2766,辅助信息!E:I,4,FALSE)</f>
        <v>彭江涛</v>
      </c>
      <c r="K2766" s="41">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30" t="str">
        <f>VLOOKUP(B2766,辅助信息!E:M,9,FALSE)</f>
        <v>ZTWM-CDGS-XS-2025-0126-四川机司-乐山市校地共建产教融合基地配套设施项目施工二标段钢筋采购合同</v>
      </c>
      <c r="R2766" s="30" t="str">
        <f>_xlfn._xlws.FILTER(辅助信息!D:D,辅助信息!E:E=B2766)</f>
        <v>乐山市校地共建产教融合基地建设项目</v>
      </c>
    </row>
    <row r="2767" hidden="1" spans="2:18">
      <c r="B2767" s="41" t="s">
        <v>186</v>
      </c>
      <c r="C2767" s="71">
        <v>45883</v>
      </c>
      <c r="D2767" s="41" t="str">
        <f>VLOOKUP(B2767,辅助信息!E:K,7,FALSE)</f>
        <v>JWDDCD2025072900123</v>
      </c>
      <c r="E2767" s="41" t="str">
        <f>VLOOKUP(F2767,辅助信息!A:B,2,FALSE)</f>
        <v>螺纹钢</v>
      </c>
      <c r="F2767" s="41" t="s">
        <v>142</v>
      </c>
      <c r="G2767" s="37">
        <v>20</v>
      </c>
      <c r="H2767" s="135">
        <f>_xlfn.XLOOKUP(C2767&amp;F2767&amp;I2767&amp;J2767,'[1]2025年已发货'!$F:$F&amp;'[1]2025年已发货'!$C:$C&amp;'[1]2025年已发货'!$G:$G&amp;'[1]2025年已发货'!$H:$H,'[1]2025年已发货'!$E:$E,"未发货")</f>
        <v>20</v>
      </c>
      <c r="I2767" s="41" t="str">
        <f>VLOOKUP(B2767,辅助信息!E:I,3,FALSE)</f>
        <v>(乐山市校地共建产教融合基地建设项目二标段)四川省乐山市市中区苏稽镇</v>
      </c>
      <c r="J2767" s="41" t="str">
        <f>VLOOKUP(B2767,辅助信息!E:I,4,FALSE)</f>
        <v>彭江涛</v>
      </c>
      <c r="K2767" s="41">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30" t="str">
        <f>VLOOKUP(B2767,辅助信息!E:M,9,FALSE)</f>
        <v>ZTWM-CDGS-XS-2025-0126-四川机司-乐山市校地共建产教融合基地配套设施项目施工二标段钢筋采购合同</v>
      </c>
      <c r="R2767" s="30" t="str">
        <f>_xlfn._xlws.FILTER(辅助信息!D:D,辅助信息!E:E=B2767)</f>
        <v>乐山市校地共建产教融合基地建设项目</v>
      </c>
    </row>
    <row r="2768" hidden="1" spans="2:18">
      <c r="B2768" s="41" t="s">
        <v>186</v>
      </c>
      <c r="C2768" s="71">
        <v>45883</v>
      </c>
      <c r="D2768" s="41" t="str">
        <f>VLOOKUP(B2768,辅助信息!E:K,7,FALSE)</f>
        <v>JWDDCD2025072900123</v>
      </c>
      <c r="E2768" s="41" t="str">
        <f>VLOOKUP(F2768,辅助信息!A:B,2,FALSE)</f>
        <v>螺纹钢</v>
      </c>
      <c r="F2768" s="41" t="s">
        <v>201</v>
      </c>
      <c r="G2768" s="37">
        <v>10</v>
      </c>
      <c r="H2768" s="135">
        <f>_xlfn.XLOOKUP(C2768&amp;F2768&amp;I2768&amp;J2768,'[1]2025年已发货'!$F:$F&amp;'[1]2025年已发货'!$C:$C&amp;'[1]2025年已发货'!$G:$G&amp;'[1]2025年已发货'!$H:$H,'[1]2025年已发货'!$E:$E,"未发货")</f>
        <v>10</v>
      </c>
      <c r="I2768" s="41" t="str">
        <f>VLOOKUP(B2768,辅助信息!E:I,3,FALSE)</f>
        <v>(乐山市校地共建产教融合基地建设项目二标段)四川省乐山市市中区苏稽镇</v>
      </c>
      <c r="J2768" s="41" t="str">
        <f>VLOOKUP(B2768,辅助信息!E:I,4,FALSE)</f>
        <v>彭江涛</v>
      </c>
      <c r="K2768" s="41">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30" t="str">
        <f>VLOOKUP(B2768,辅助信息!E:M,9,FALSE)</f>
        <v>ZTWM-CDGS-XS-2025-0126-四川机司-乐山市校地共建产教融合基地配套设施项目施工二标段钢筋采购合同</v>
      </c>
      <c r="R2768" s="30" t="str">
        <f>_xlfn._xlws.FILTER(辅助信息!D:D,辅助信息!E:E=B2768)</f>
        <v>乐山市校地共建产教融合基地建设项目</v>
      </c>
    </row>
    <row r="2769" hidden="1" spans="2:18">
      <c r="B2769" s="41" t="s">
        <v>180</v>
      </c>
      <c r="C2769" s="71">
        <v>45885</v>
      </c>
      <c r="D2769" s="41" t="str">
        <f>VLOOKUP(B2769,辅助信息!E:K,7,FALSE)</f>
        <v>JWDDCD2025052800131</v>
      </c>
      <c r="E2769" s="41" t="str">
        <f>VLOOKUP(F2769,辅助信息!A:B,2,FALSE)</f>
        <v>螺纹钢</v>
      </c>
      <c r="F2769" s="41" t="s">
        <v>27</v>
      </c>
      <c r="G2769" s="37">
        <v>3</v>
      </c>
      <c r="H2769" s="135">
        <f>_xlfn.XLOOKUP(C2769&amp;F2769&amp;I2769&amp;J2769,'[1]2025年已发货'!$F:$F&amp;'[1]2025年已发货'!$C:$C&amp;'[1]2025年已发货'!$G:$G&amp;'[1]2025年已发货'!$H:$H,'[1]2025年已发货'!$E:$E,"未发货")</f>
        <v>3</v>
      </c>
      <c r="I2769" s="41" t="str">
        <f>VLOOKUP(B2769,辅助信息!E:I,3,FALSE)</f>
        <v>（商投建工达州中医药科技园-4工区-8号楼）达州市通川区达州中医药职业学院犀牛大道北段</v>
      </c>
      <c r="J2769" s="41" t="str">
        <f>VLOOKUP(B2769,辅助信息!E:I,4,FALSE)</f>
        <v>张扬</v>
      </c>
      <c r="K2769" s="41">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30" t="str">
        <f>VLOOKUP(B2769,辅助信息!E:M,9,FALSE)</f>
        <v>ZTWM-CDGS-XS-2024-0134-商投建工达州中医药科技成果示范园项目</v>
      </c>
      <c r="R2769" s="30" t="str">
        <f>_xlfn._xlws.FILTER(辅助信息!D:D,辅助信息!E:E=B2769)</f>
        <v>商投建工达州中医药科技园</v>
      </c>
    </row>
    <row r="2770" hidden="1" spans="2:18">
      <c r="B2770" s="41" t="s">
        <v>180</v>
      </c>
      <c r="C2770" s="71">
        <v>45885</v>
      </c>
      <c r="D2770" s="41" t="str">
        <f>VLOOKUP(B2770,辅助信息!E:K,7,FALSE)</f>
        <v>JWDDCD2025052800131</v>
      </c>
      <c r="E2770" s="41" t="str">
        <f>VLOOKUP(F2770,辅助信息!A:B,2,FALSE)</f>
        <v>螺纹钢</v>
      </c>
      <c r="F2770" s="41" t="s">
        <v>30</v>
      </c>
      <c r="G2770" s="37">
        <v>12</v>
      </c>
      <c r="H2770" s="135">
        <f>_xlfn.XLOOKUP(C2770&amp;F2770&amp;I2770&amp;J2770,'[1]2025年已发货'!$F:$F&amp;'[1]2025年已发货'!$C:$C&amp;'[1]2025年已发货'!$G:$G&amp;'[1]2025年已发货'!$H:$H,'[1]2025年已发货'!$E:$E,"未发货")</f>
        <v>12</v>
      </c>
      <c r="I2770" s="41" t="str">
        <f>VLOOKUP(B2770,辅助信息!E:I,3,FALSE)</f>
        <v>（商投建工达州中医药科技园-4工区-8号楼）达州市通川区达州中医药职业学院犀牛大道北段</v>
      </c>
      <c r="J2770" s="41" t="str">
        <f>VLOOKUP(B2770,辅助信息!E:I,4,FALSE)</f>
        <v>张扬</v>
      </c>
      <c r="K2770" s="41">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30" t="str">
        <f>VLOOKUP(B2770,辅助信息!E:M,9,FALSE)</f>
        <v>ZTWM-CDGS-XS-2024-0134-商投建工达州中医药科技成果示范园项目</v>
      </c>
      <c r="R2770" s="30" t="str">
        <f>_xlfn._xlws.FILTER(辅助信息!D:D,辅助信息!E:E=B2770)</f>
        <v>商投建工达州中医药科技园</v>
      </c>
    </row>
    <row r="2771" hidden="1" spans="2:18">
      <c r="B2771" s="41" t="s">
        <v>180</v>
      </c>
      <c r="C2771" s="71">
        <v>45885</v>
      </c>
      <c r="D2771" s="41" t="str">
        <f>VLOOKUP(B2771,辅助信息!E:K,7,FALSE)</f>
        <v>JWDDCD2025052800131</v>
      </c>
      <c r="E2771" s="41" t="str">
        <f>VLOOKUP(F2771,辅助信息!A:B,2,FALSE)</f>
        <v>螺纹钢</v>
      </c>
      <c r="F2771" s="41" t="s">
        <v>28</v>
      </c>
      <c r="G2771" s="37">
        <v>12</v>
      </c>
      <c r="H2771" s="135">
        <f>_xlfn.XLOOKUP(C2771&amp;F2771&amp;I2771&amp;J2771,'[1]2025年已发货'!$F:$F&amp;'[1]2025年已发货'!$C:$C&amp;'[1]2025年已发货'!$G:$G&amp;'[1]2025年已发货'!$H:$H,'[1]2025年已发货'!$E:$E,"未发货")</f>
        <v>12</v>
      </c>
      <c r="I2771" s="41" t="str">
        <f>VLOOKUP(B2771,辅助信息!E:I,3,FALSE)</f>
        <v>（商投建工达州中医药科技园-4工区-8号楼）达州市通川区达州中医药职业学院犀牛大道北段</v>
      </c>
      <c r="J2771" s="41" t="str">
        <f>VLOOKUP(B2771,辅助信息!E:I,4,FALSE)</f>
        <v>张扬</v>
      </c>
      <c r="K2771" s="41">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30" t="str">
        <f>VLOOKUP(B2771,辅助信息!E:M,9,FALSE)</f>
        <v>ZTWM-CDGS-XS-2024-0134-商投建工达州中医药科技成果示范园项目</v>
      </c>
      <c r="R2771" s="30" t="str">
        <f>_xlfn._xlws.FILTER(辅助信息!D:D,辅助信息!E:E=B2771)</f>
        <v>商投建工达州中医药科技园</v>
      </c>
    </row>
    <row r="2772" hidden="1" spans="2:18">
      <c r="B2772" s="41" t="s">
        <v>180</v>
      </c>
      <c r="C2772" s="71">
        <v>45885</v>
      </c>
      <c r="D2772" s="41" t="str">
        <f>VLOOKUP(B2772,辅助信息!E:K,7,FALSE)</f>
        <v>JWDDCD2025052800131</v>
      </c>
      <c r="E2772" s="41" t="str">
        <f>VLOOKUP(F2772,辅助信息!A:B,2,FALSE)</f>
        <v>螺纹钢</v>
      </c>
      <c r="F2772" s="41" t="s">
        <v>58</v>
      </c>
      <c r="G2772" s="37">
        <v>9</v>
      </c>
      <c r="H2772" s="135">
        <f>_xlfn.XLOOKUP(C2772&amp;F2772&amp;I2772&amp;J2772,'[1]2025年已发货'!$F:$F&amp;'[1]2025年已发货'!$C:$C&amp;'[1]2025年已发货'!$G:$G&amp;'[1]2025年已发货'!$H:$H,'[1]2025年已发货'!$E:$E,"未发货")</f>
        <v>9</v>
      </c>
      <c r="I2772" s="41" t="str">
        <f>VLOOKUP(B2772,辅助信息!E:I,3,FALSE)</f>
        <v>（商投建工达州中医药科技园-4工区-8号楼）达州市通川区达州中医药职业学院犀牛大道北段</v>
      </c>
      <c r="J2772" s="41" t="str">
        <f>VLOOKUP(B2772,辅助信息!E:I,4,FALSE)</f>
        <v>张扬</v>
      </c>
      <c r="K2772" s="41">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30" t="str">
        <f>VLOOKUP(B2772,辅助信息!E:M,9,FALSE)</f>
        <v>ZTWM-CDGS-XS-2024-0134-商投建工达州中医药科技成果示范园项目</v>
      </c>
      <c r="R2772" s="30" t="str">
        <f>_xlfn._xlws.FILTER(辅助信息!D:D,辅助信息!E:E=B2772)</f>
        <v>商投建工达州中医药科技园</v>
      </c>
    </row>
    <row r="2773" hidden="1" spans="2:18">
      <c r="B2773" s="41" t="s">
        <v>208</v>
      </c>
      <c r="C2773" s="71">
        <v>45885</v>
      </c>
      <c r="D2773" s="41" t="str">
        <f>VLOOKUP(B2773,辅助信息!E:K,7,FALSE)</f>
        <v>JWDDCD2025102100480</v>
      </c>
      <c r="E2773" s="41" t="str">
        <f>VLOOKUP(F2773,辅助信息!A:B,2,FALSE)</f>
        <v>高线</v>
      </c>
      <c r="F2773" s="41" t="s">
        <v>51</v>
      </c>
      <c r="G2773" s="141">
        <v>10.5</v>
      </c>
      <c r="H2773" s="135">
        <v>10.5</v>
      </c>
      <c r="I2773" s="41" t="str">
        <f>VLOOKUP(B2773,辅助信息!E:I,3,FALSE)</f>
        <v>(五冶建设锦江区林家坝片区20号地块商业项目)锦江区泰昌路锦江28亩项目部</v>
      </c>
      <c r="J2773" s="41" t="str">
        <f>VLOOKUP(B2773,辅助信息!E:I,4,FALSE)</f>
        <v>陶杰</v>
      </c>
      <c r="K2773" s="41">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30" t="str">
        <f>VLOOKUP(B2773,辅助信息!E:M,9,FALSE)</f>
        <v>ZTWM-CDGS-XS-2025-0073-五冶天府-成都怡心湖片区及龙泉驿医院等项目</v>
      </c>
      <c r="R2773" s="30" t="str">
        <f>_xlfn._xlws.FILTER(辅助信息!D:D,辅助信息!E:E=B2773)</f>
        <v>五冶建设锦江区林家坝片区20号地块商业项目</v>
      </c>
    </row>
    <row r="2774" hidden="1" spans="2:18">
      <c r="B2774" s="41" t="s">
        <v>208</v>
      </c>
      <c r="C2774" s="71">
        <v>45885</v>
      </c>
      <c r="D2774" s="41" t="str">
        <f>VLOOKUP(B2774,辅助信息!E:K,7,FALSE)</f>
        <v>JWDDCD2025102100480</v>
      </c>
      <c r="E2774" s="41" t="str">
        <f>VLOOKUP(F2774,辅助信息!A:B,2,FALSE)</f>
        <v>高线</v>
      </c>
      <c r="F2774" s="41" t="s">
        <v>61</v>
      </c>
      <c r="G2774" s="141">
        <v>21.2</v>
      </c>
      <c r="H2774" s="135">
        <v>21.2</v>
      </c>
      <c r="I2774" s="41" t="str">
        <f>VLOOKUP(B2774,辅助信息!E:I,3,FALSE)</f>
        <v>(五冶建设锦江区林家坝片区20号地块商业项目)锦江区泰昌路锦江28亩项目部</v>
      </c>
      <c r="J2774" s="41" t="str">
        <f>VLOOKUP(B2774,辅助信息!E:I,4,FALSE)</f>
        <v>陶杰</v>
      </c>
      <c r="K2774" s="41">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30" t="str">
        <f>VLOOKUP(B2774,辅助信息!E:M,9,FALSE)</f>
        <v>ZTWM-CDGS-XS-2025-0073-五冶天府-成都怡心湖片区及龙泉驿医院等项目</v>
      </c>
      <c r="R2774" s="30" t="str">
        <f>_xlfn._xlws.FILTER(辅助信息!D:D,辅助信息!E:E=B2774)</f>
        <v>五冶建设锦江区林家坝片区20号地块商业项目</v>
      </c>
    </row>
    <row r="2775" hidden="1" spans="2:18">
      <c r="B2775" s="41" t="s">
        <v>208</v>
      </c>
      <c r="C2775" s="71">
        <v>45885</v>
      </c>
      <c r="D2775" s="41" t="str">
        <f>VLOOKUP(B2775,辅助信息!E:K,7,FALSE)</f>
        <v>JWDDCD2025102100480</v>
      </c>
      <c r="E2775" s="41" t="str">
        <f>VLOOKUP(F2775,辅助信息!A:B,2,FALSE)</f>
        <v>螺纹钢</v>
      </c>
      <c r="F2775" s="41" t="s">
        <v>30</v>
      </c>
      <c r="G2775" s="141">
        <v>6.9</v>
      </c>
      <c r="H2775" s="135">
        <v>6.9</v>
      </c>
      <c r="I2775" s="41" t="str">
        <f>VLOOKUP(B2775,辅助信息!E:I,3,FALSE)</f>
        <v>(五冶建设锦江区林家坝片区20号地块商业项目)锦江区泰昌路锦江28亩项目部</v>
      </c>
      <c r="J2775" s="41" t="str">
        <f>VLOOKUP(B2775,辅助信息!E:I,4,FALSE)</f>
        <v>陶杰</v>
      </c>
      <c r="K2775" s="41">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30" t="str">
        <f>VLOOKUP(B2775,辅助信息!E:M,9,FALSE)</f>
        <v>ZTWM-CDGS-XS-2025-0073-五冶天府-成都怡心湖片区及龙泉驿医院等项目</v>
      </c>
      <c r="R2775" s="30" t="str">
        <f>_xlfn._xlws.FILTER(辅助信息!D:D,辅助信息!E:E=B2775)</f>
        <v>五冶建设锦江区林家坝片区20号地块商业项目</v>
      </c>
    </row>
    <row r="2776" hidden="1" spans="2:18">
      <c r="B2776" s="41" t="s">
        <v>208</v>
      </c>
      <c r="C2776" s="71">
        <v>45885</v>
      </c>
      <c r="D2776" s="41" t="str">
        <f>VLOOKUP(B2776,辅助信息!E:K,7,FALSE)</f>
        <v>JWDDCD2025102100480</v>
      </c>
      <c r="E2776" s="41" t="str">
        <f>VLOOKUP(F2776,辅助信息!A:B,2,FALSE)</f>
        <v>螺纹钢</v>
      </c>
      <c r="F2776" s="41" t="s">
        <v>28</v>
      </c>
      <c r="G2776" s="141">
        <v>27.8</v>
      </c>
      <c r="H2776" s="135">
        <v>27.8</v>
      </c>
      <c r="I2776" s="41" t="str">
        <f>VLOOKUP(B2776,辅助信息!E:I,3,FALSE)</f>
        <v>(五冶建设锦江区林家坝片区20号地块商业项目)锦江区泰昌路锦江28亩项目部</v>
      </c>
      <c r="J2776" s="41" t="str">
        <f>VLOOKUP(B2776,辅助信息!E:I,4,FALSE)</f>
        <v>陶杰</v>
      </c>
      <c r="K2776" s="41">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30" t="str">
        <f>VLOOKUP(B2776,辅助信息!E:M,9,FALSE)</f>
        <v>ZTWM-CDGS-XS-2025-0073-五冶天府-成都怡心湖片区及龙泉驿医院等项目</v>
      </c>
      <c r="R2776" s="30" t="str">
        <f>_xlfn._xlws.FILTER(辅助信息!D:D,辅助信息!E:E=B2776)</f>
        <v>五冶建设锦江区林家坝片区20号地块商业项目</v>
      </c>
    </row>
    <row r="2777" hidden="1" spans="2:18">
      <c r="B2777" s="41" t="s">
        <v>208</v>
      </c>
      <c r="C2777" s="71">
        <v>45885</v>
      </c>
      <c r="D2777" s="41" t="str">
        <f>VLOOKUP(B2777,辅助信息!E:K,7,FALSE)</f>
        <v>JWDDCD2025102100480</v>
      </c>
      <c r="E2777" s="41" t="str">
        <f>VLOOKUP(F2777,辅助信息!A:B,2,FALSE)</f>
        <v>螺纹钢</v>
      </c>
      <c r="F2777" s="41" t="s">
        <v>18</v>
      </c>
      <c r="G2777" s="141">
        <v>46.5</v>
      </c>
      <c r="H2777" s="135">
        <v>46.5</v>
      </c>
      <c r="I2777" s="41" t="str">
        <f>VLOOKUP(B2777,辅助信息!E:I,3,FALSE)</f>
        <v>(五冶建设锦江区林家坝片区20号地块商业项目)锦江区泰昌路锦江28亩项目部</v>
      </c>
      <c r="J2777" s="41" t="str">
        <f>VLOOKUP(B2777,辅助信息!E:I,4,FALSE)</f>
        <v>陶杰</v>
      </c>
      <c r="K2777" s="41">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30" t="str">
        <f>VLOOKUP(B2777,辅助信息!E:M,9,FALSE)</f>
        <v>ZTWM-CDGS-XS-2025-0073-五冶天府-成都怡心湖片区及龙泉驿医院等项目</v>
      </c>
      <c r="R2777" s="30" t="str">
        <f>_xlfn._xlws.FILTER(辅助信息!D:D,辅助信息!E:E=B2777)</f>
        <v>五冶建设锦江区林家坝片区20号地块商业项目</v>
      </c>
    </row>
    <row r="2778" hidden="1" spans="2:18">
      <c r="B2778" s="41" t="s">
        <v>194</v>
      </c>
      <c r="C2778" s="71">
        <v>45885</v>
      </c>
      <c r="D2778" s="41" t="str">
        <f>VLOOKUP(B2778,辅助信息!E:K,7,FALSE)</f>
        <v>JWDD2025071500089</v>
      </c>
      <c r="E2778" s="41" t="str">
        <f>VLOOKUP(F2778,辅助信息!A:B,2,FALSE)</f>
        <v>盘螺</v>
      </c>
      <c r="F2778" s="37" t="s">
        <v>26</v>
      </c>
      <c r="G2778" s="37">
        <v>5</v>
      </c>
      <c r="H2778" s="135">
        <f>_xlfn.XLOOKUP(C2778&amp;F2778&amp;I2778&amp;J2778,'[1]2025年已发货'!$F:$F&amp;'[1]2025年已发货'!$C:$C&amp;'[1]2025年已发货'!$G:$G&amp;'[1]2025年已发货'!$H:$H,'[1]2025年已发货'!$E:$E,"未发货")</f>
        <v>5</v>
      </c>
      <c r="I2778" s="41" t="str">
        <f>VLOOKUP(B2778,辅助信息!E:I,3,FALSE)</f>
        <v>(宜宾兴港三江新区长江工业园保障性租赁住房建设项目-土建)四川省宜宾市翠屏区永善路南段宜宾市三江新区长江工业园区</v>
      </c>
      <c r="J2778" s="41" t="str">
        <f>VLOOKUP(B2778,辅助信息!E:I,4,FALSE)</f>
        <v>赵元虎</v>
      </c>
      <c r="K2778" s="41">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30" t="str">
        <f>VLOOKUP(B2778,辅助信息!E:M,9,FALSE)</f>
        <v>ZTWM-CDYXGS-XS-2025-0014-宜宾兴港建材-三江新区长江工业园片区保障性租赁住房建设项目</v>
      </c>
      <c r="R2778" s="30" t="str">
        <f>_xlfn._xlws.FILTER(辅助信息!D:D,辅助信息!E:E=B2778)</f>
        <v>宜宾兴港三江新区长江工业园建设项目</v>
      </c>
    </row>
    <row r="2779" hidden="1" spans="2:18">
      <c r="B2779" s="41" t="s">
        <v>194</v>
      </c>
      <c r="C2779" s="71">
        <v>45885</v>
      </c>
      <c r="D2779" s="41" t="str">
        <f>VLOOKUP(B2779,辅助信息!E:K,7,FALSE)</f>
        <v>JWDD2025071500089</v>
      </c>
      <c r="E2779" s="41" t="str">
        <f>VLOOKUP(F2779,辅助信息!A:B,2,FALSE)</f>
        <v>螺纹钢</v>
      </c>
      <c r="F2779" s="37" t="s">
        <v>27</v>
      </c>
      <c r="G2779" s="37">
        <v>10</v>
      </c>
      <c r="H2779" s="135">
        <f>_xlfn.XLOOKUP(C2779&amp;F2779&amp;I2779&amp;J2779,'[1]2025年已发货'!$F:$F&amp;'[1]2025年已发货'!$C:$C&amp;'[1]2025年已发货'!$G:$G&amp;'[1]2025年已发货'!$H:$H,'[1]2025年已发货'!$E:$E,"未发货")</f>
        <v>10</v>
      </c>
      <c r="I2779" s="41" t="str">
        <f>VLOOKUP(B2779,辅助信息!E:I,3,FALSE)</f>
        <v>(宜宾兴港三江新区长江工业园保障性租赁住房建设项目-土建)四川省宜宾市翠屏区永善路南段宜宾市三江新区长江工业园区</v>
      </c>
      <c r="J2779" s="41" t="str">
        <f>VLOOKUP(B2779,辅助信息!E:I,4,FALSE)</f>
        <v>赵元虎</v>
      </c>
      <c r="K2779" s="41">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30" t="str">
        <f>VLOOKUP(B2779,辅助信息!E:M,9,FALSE)</f>
        <v>ZTWM-CDYXGS-XS-2025-0014-宜宾兴港建材-三江新区长江工业园片区保障性租赁住房建设项目</v>
      </c>
      <c r="R2779" s="30" t="str">
        <f>_xlfn._xlws.FILTER(辅助信息!D:D,辅助信息!E:E=B2779)</f>
        <v>宜宾兴港三江新区长江工业园建设项目</v>
      </c>
    </row>
    <row r="2780" hidden="1" spans="2:18">
      <c r="B2780" s="41" t="s">
        <v>194</v>
      </c>
      <c r="C2780" s="71">
        <v>45885</v>
      </c>
      <c r="D2780" s="41" t="str">
        <f>VLOOKUP(B2780,辅助信息!E:K,7,FALSE)</f>
        <v>JWDD2025071500089</v>
      </c>
      <c r="E2780" s="41" t="str">
        <f>VLOOKUP(F2780,辅助信息!A:B,2,FALSE)</f>
        <v>螺纹钢</v>
      </c>
      <c r="F2780" s="37" t="s">
        <v>19</v>
      </c>
      <c r="G2780" s="37">
        <v>25</v>
      </c>
      <c r="H2780" s="135">
        <f>_xlfn.XLOOKUP(C2780&amp;F2780&amp;I2780&amp;J2780,'[1]2025年已发货'!$F:$F&amp;'[1]2025年已发货'!$C:$C&amp;'[1]2025年已发货'!$G:$G&amp;'[1]2025年已发货'!$H:$H,'[1]2025年已发货'!$E:$E,"未发货")</f>
        <v>25</v>
      </c>
      <c r="I2780" s="41" t="str">
        <f>VLOOKUP(B2780,辅助信息!E:I,3,FALSE)</f>
        <v>(宜宾兴港三江新区长江工业园保障性租赁住房建设项目-土建)四川省宜宾市翠屏区永善路南段宜宾市三江新区长江工业园区</v>
      </c>
      <c r="J2780" s="41" t="str">
        <f>VLOOKUP(B2780,辅助信息!E:I,4,FALSE)</f>
        <v>赵元虎</v>
      </c>
      <c r="K2780" s="41">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30" t="str">
        <f>VLOOKUP(B2780,辅助信息!E:M,9,FALSE)</f>
        <v>ZTWM-CDYXGS-XS-2025-0014-宜宾兴港建材-三江新区长江工业园片区保障性租赁住房建设项目</v>
      </c>
      <c r="R2780" s="30" t="str">
        <f>_xlfn._xlws.FILTER(辅助信息!D:D,辅助信息!E:E=B2780)</f>
        <v>宜宾兴港三江新区长江工业园建设项目</v>
      </c>
    </row>
    <row r="2781" hidden="1" spans="2:18">
      <c r="B2781" s="41" t="s">
        <v>194</v>
      </c>
      <c r="C2781" s="71">
        <v>45885</v>
      </c>
      <c r="D2781" s="41" t="str">
        <f>VLOOKUP(B2781,辅助信息!E:K,7,FALSE)</f>
        <v>JWDD2025071500089</v>
      </c>
      <c r="E2781" s="41" t="str">
        <f>VLOOKUP(F2781,辅助信息!A:B,2,FALSE)</f>
        <v>螺纹钢</v>
      </c>
      <c r="F2781" s="37" t="s">
        <v>30</v>
      </c>
      <c r="G2781" s="37">
        <v>10</v>
      </c>
      <c r="H2781" s="135">
        <f>_xlfn.XLOOKUP(C2781&amp;F2781&amp;I2781&amp;J2781,'[1]2025年已发货'!$F:$F&amp;'[1]2025年已发货'!$C:$C&amp;'[1]2025年已发货'!$G:$G&amp;'[1]2025年已发货'!$H:$H,'[1]2025年已发货'!$E:$E,"未发货")</f>
        <v>10</v>
      </c>
      <c r="I2781" s="41" t="str">
        <f>VLOOKUP(B2781,辅助信息!E:I,3,FALSE)</f>
        <v>(宜宾兴港三江新区长江工业园保障性租赁住房建设项目-土建)四川省宜宾市翠屏区永善路南段宜宾市三江新区长江工业园区</v>
      </c>
      <c r="J2781" s="41" t="str">
        <f>VLOOKUP(B2781,辅助信息!E:I,4,FALSE)</f>
        <v>赵元虎</v>
      </c>
      <c r="K2781" s="41">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30" t="str">
        <f>VLOOKUP(B2781,辅助信息!E:M,9,FALSE)</f>
        <v>ZTWM-CDYXGS-XS-2025-0014-宜宾兴港建材-三江新区长江工业园片区保障性租赁住房建设项目</v>
      </c>
      <c r="R2781" s="30" t="str">
        <f>_xlfn._xlws.FILTER(辅助信息!D:D,辅助信息!E:E=B2781)</f>
        <v>宜宾兴港三江新区长江工业园建设项目</v>
      </c>
    </row>
    <row r="2782" hidden="1" spans="2:18">
      <c r="B2782" s="41" t="s">
        <v>194</v>
      </c>
      <c r="C2782" s="71">
        <v>45885</v>
      </c>
      <c r="D2782" s="41" t="str">
        <f>VLOOKUP(B2782,辅助信息!E:K,7,FALSE)</f>
        <v>JWDD2025071500089</v>
      </c>
      <c r="E2782" s="41" t="str">
        <f>VLOOKUP(F2782,辅助信息!A:B,2,FALSE)</f>
        <v>螺纹钢</v>
      </c>
      <c r="F2782" s="37" t="s">
        <v>33</v>
      </c>
      <c r="G2782" s="37">
        <v>10</v>
      </c>
      <c r="H2782" s="135">
        <f>_xlfn.XLOOKUP(C2782&amp;F2782&amp;I2782&amp;J2782,'[1]2025年已发货'!$F:$F&amp;'[1]2025年已发货'!$C:$C&amp;'[1]2025年已发货'!$G:$G&amp;'[1]2025年已发货'!$H:$H,'[1]2025年已发货'!$E:$E,"未发货")</f>
        <v>10</v>
      </c>
      <c r="I2782" s="41" t="str">
        <f>VLOOKUP(B2782,辅助信息!E:I,3,FALSE)</f>
        <v>(宜宾兴港三江新区长江工业园保障性租赁住房建设项目-土建)四川省宜宾市翠屏区永善路南段宜宾市三江新区长江工业园区</v>
      </c>
      <c r="J2782" s="41" t="str">
        <f>VLOOKUP(B2782,辅助信息!E:I,4,FALSE)</f>
        <v>赵元虎</v>
      </c>
      <c r="K2782" s="41">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30" t="str">
        <f>VLOOKUP(B2782,辅助信息!E:M,9,FALSE)</f>
        <v>ZTWM-CDYXGS-XS-2025-0014-宜宾兴港建材-三江新区长江工业园片区保障性租赁住房建设项目</v>
      </c>
      <c r="R2782" s="30" t="str">
        <f>_xlfn._xlws.FILTER(辅助信息!D:D,辅助信息!E:E=B2782)</f>
        <v>宜宾兴港三江新区长江工业园建设项目</v>
      </c>
    </row>
    <row r="2783" hidden="1" spans="2:18">
      <c r="B2783" s="41" t="s">
        <v>194</v>
      </c>
      <c r="C2783" s="71">
        <v>45885</v>
      </c>
      <c r="D2783" s="41" t="str">
        <f>VLOOKUP(B2783,辅助信息!E:K,7,FALSE)</f>
        <v>JWDD2025071500089</v>
      </c>
      <c r="E2783" s="41" t="str">
        <f>VLOOKUP(F2783,辅助信息!A:B,2,FALSE)</f>
        <v>螺纹钢</v>
      </c>
      <c r="F2783" s="37" t="s">
        <v>28</v>
      </c>
      <c r="G2783" s="37">
        <v>10</v>
      </c>
      <c r="H2783" s="135">
        <f>_xlfn.XLOOKUP(C2783&amp;F2783&amp;I2783&amp;J2783,'[1]2025年已发货'!$F:$F&amp;'[1]2025年已发货'!$C:$C&amp;'[1]2025年已发货'!$G:$G&amp;'[1]2025年已发货'!$H:$H,'[1]2025年已发货'!$E:$E,"未发货")</f>
        <v>10</v>
      </c>
      <c r="I2783" s="41" t="str">
        <f>VLOOKUP(B2783,辅助信息!E:I,3,FALSE)</f>
        <v>(宜宾兴港三江新区长江工业园保障性租赁住房建设项目-土建)四川省宜宾市翠屏区永善路南段宜宾市三江新区长江工业园区</v>
      </c>
      <c r="J2783" s="41" t="str">
        <f>VLOOKUP(B2783,辅助信息!E:I,4,FALSE)</f>
        <v>赵元虎</v>
      </c>
      <c r="K2783" s="41">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30" t="str">
        <f>VLOOKUP(B2783,辅助信息!E:M,9,FALSE)</f>
        <v>ZTWM-CDYXGS-XS-2025-0014-宜宾兴港建材-三江新区长江工业园片区保障性租赁住房建设项目</v>
      </c>
      <c r="R2783" s="30" t="str">
        <f>_xlfn._xlws.FILTER(辅助信息!D:D,辅助信息!E:E=B2783)</f>
        <v>宜宾兴港三江新区长江工业园建设项目</v>
      </c>
    </row>
    <row r="2784" hidden="1" spans="2:18">
      <c r="B2784" s="41" t="s">
        <v>194</v>
      </c>
      <c r="C2784" s="71">
        <v>45885</v>
      </c>
      <c r="D2784" s="41" t="str">
        <f>VLOOKUP(B2784,辅助信息!E:K,7,FALSE)</f>
        <v>JWDD2025071500089</v>
      </c>
      <c r="E2784" s="41" t="str">
        <f>VLOOKUP(F2784,辅助信息!A:B,2,FALSE)</f>
        <v>螺纹钢</v>
      </c>
      <c r="F2784" s="37" t="s">
        <v>18</v>
      </c>
      <c r="G2784" s="37">
        <v>35</v>
      </c>
      <c r="H2784" s="135">
        <f>_xlfn.XLOOKUP(C2784&amp;F2784&amp;I2784&amp;J2784,'[1]2025年已发货'!$F:$F&amp;'[1]2025年已发货'!$C:$C&amp;'[1]2025年已发货'!$G:$G&amp;'[1]2025年已发货'!$H:$H,'[1]2025年已发货'!$E:$E,"未发货")</f>
        <v>35</v>
      </c>
      <c r="I2784" s="41" t="str">
        <f>VLOOKUP(B2784,辅助信息!E:I,3,FALSE)</f>
        <v>(宜宾兴港三江新区长江工业园保障性租赁住房建设项目-土建)四川省宜宾市翠屏区永善路南段宜宾市三江新区长江工业园区</v>
      </c>
      <c r="J2784" s="41" t="str">
        <f>VLOOKUP(B2784,辅助信息!E:I,4,FALSE)</f>
        <v>赵元虎</v>
      </c>
      <c r="K2784" s="41">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30" t="str">
        <f>VLOOKUP(B2784,辅助信息!E:M,9,FALSE)</f>
        <v>ZTWM-CDYXGS-XS-2025-0014-宜宾兴港建材-三江新区长江工业园片区保障性租赁住房建设项目</v>
      </c>
      <c r="R2784" s="30" t="str">
        <f>_xlfn._xlws.FILTER(辅助信息!D:D,辅助信息!E:E=B2784)</f>
        <v>宜宾兴港三江新区长江工业园建设项目</v>
      </c>
    </row>
    <row r="2785" hidden="1" spans="2:18">
      <c r="B2785" s="41" t="s">
        <v>187</v>
      </c>
      <c r="C2785" s="71">
        <v>45885</v>
      </c>
      <c r="D2785" s="41" t="str">
        <f>VLOOKUP(B2785,辅助信息!E:K,7,FALSE)</f>
        <v>JWDDCD2025072900121</v>
      </c>
      <c r="E2785" s="41" t="str">
        <f>VLOOKUP(F2785,辅助信息!A:B,2,FALSE)</f>
        <v>盘螺</v>
      </c>
      <c r="F2785" s="41" t="s">
        <v>49</v>
      </c>
      <c r="G2785" s="37">
        <v>2</v>
      </c>
      <c r="H2785" s="135">
        <f>_xlfn.XLOOKUP(C2785&amp;F2785&amp;I2785&amp;J2785,'[1]2025年已发货'!$F:$F&amp;'[1]2025年已发货'!$C:$C&amp;'[1]2025年已发货'!$G:$G&amp;'[1]2025年已发货'!$H:$H,'[1]2025年已发货'!$E:$E,"未发货")</f>
        <v>2</v>
      </c>
      <c r="I2785" s="41" t="str">
        <f>VLOOKUP(B2785,辅助信息!E:I,3,FALSE)</f>
        <v>(乐山市校地共建产教融合基地建设项目一标段)四川省乐山市市中区苏稽镇周山嘴</v>
      </c>
      <c r="J2785" s="41" t="str">
        <f>VLOOKUP(B2785,辅助信息!E:I,4,FALSE)</f>
        <v>范增云</v>
      </c>
      <c r="K2785" s="41">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30" t="str">
        <f>VLOOKUP(B2785,辅助信息!E:M,9,FALSE)</f>
        <v>ZTWM-CDGS-XS-2025-0125-四川机司-乐山市校地共建产教融合基地配套设施项目施工一标段钢筋采购合同</v>
      </c>
      <c r="R2785" s="30" t="str">
        <f>_xlfn._xlws.FILTER(辅助信息!D:D,辅助信息!E:E=B2785)</f>
        <v>乐山市校地共建产教融合基地建设项目</v>
      </c>
    </row>
    <row r="2786" hidden="1" spans="2:18">
      <c r="B2786" s="41" t="s">
        <v>187</v>
      </c>
      <c r="C2786" s="71">
        <v>45885</v>
      </c>
      <c r="D2786" s="41" t="str">
        <f>VLOOKUP(B2786,辅助信息!E:K,7,FALSE)</f>
        <v>JWDDCD2025072900121</v>
      </c>
      <c r="E2786" s="41" t="str">
        <f>VLOOKUP(F2786,辅助信息!A:B,2,FALSE)</f>
        <v>盘螺</v>
      </c>
      <c r="F2786" s="41" t="s">
        <v>41</v>
      </c>
      <c r="G2786" s="37">
        <v>15</v>
      </c>
      <c r="H2786" s="135">
        <f>_xlfn.XLOOKUP(C2786&amp;F2786&amp;I2786&amp;J2786,'[1]2025年已发货'!$F:$F&amp;'[1]2025年已发货'!$C:$C&amp;'[1]2025年已发货'!$G:$G&amp;'[1]2025年已发货'!$H:$H,'[1]2025年已发货'!$E:$E,"未发货")</f>
        <v>15</v>
      </c>
      <c r="I2786" s="41" t="str">
        <f>VLOOKUP(B2786,辅助信息!E:I,3,FALSE)</f>
        <v>(乐山市校地共建产教融合基地建设项目一标段)四川省乐山市市中区苏稽镇周山嘴</v>
      </c>
      <c r="J2786" s="41" t="str">
        <f>VLOOKUP(B2786,辅助信息!E:I,4,FALSE)</f>
        <v>范增云</v>
      </c>
      <c r="K2786" s="41">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30" t="str">
        <f>VLOOKUP(B2786,辅助信息!E:M,9,FALSE)</f>
        <v>ZTWM-CDGS-XS-2025-0125-四川机司-乐山市校地共建产教融合基地配套设施项目施工一标段钢筋采购合同</v>
      </c>
      <c r="R2786" s="30" t="str">
        <f>_xlfn._xlws.FILTER(辅助信息!D:D,辅助信息!E:E=B2786)</f>
        <v>乐山市校地共建产教融合基地建设项目</v>
      </c>
    </row>
    <row r="2787" hidden="1" spans="2:18">
      <c r="B2787" s="41" t="s">
        <v>187</v>
      </c>
      <c r="C2787" s="71">
        <v>45885</v>
      </c>
      <c r="D2787" s="41" t="str">
        <f>VLOOKUP(B2787,辅助信息!E:K,7,FALSE)</f>
        <v>JWDDCD2025072900121</v>
      </c>
      <c r="E2787" s="41" t="str">
        <f>VLOOKUP(F2787,辅助信息!A:B,2,FALSE)</f>
        <v>螺纹钢</v>
      </c>
      <c r="F2787" s="41" t="s">
        <v>27</v>
      </c>
      <c r="G2787" s="37">
        <v>6</v>
      </c>
      <c r="H2787" s="135">
        <f>_xlfn.XLOOKUP(C2787&amp;F2787&amp;I2787&amp;J2787,'[1]2025年已发货'!$F:$F&amp;'[1]2025年已发货'!$C:$C&amp;'[1]2025年已发货'!$G:$G&amp;'[1]2025年已发货'!$H:$H,'[1]2025年已发货'!$E:$E,"未发货")</f>
        <v>6</v>
      </c>
      <c r="I2787" s="41" t="str">
        <f>VLOOKUP(B2787,辅助信息!E:I,3,FALSE)</f>
        <v>(乐山市校地共建产教融合基地建设项目一标段)四川省乐山市市中区苏稽镇周山嘴</v>
      </c>
      <c r="J2787" s="41" t="str">
        <f>VLOOKUP(B2787,辅助信息!E:I,4,FALSE)</f>
        <v>范增云</v>
      </c>
      <c r="K2787" s="41">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30" t="str">
        <f>VLOOKUP(B2787,辅助信息!E:M,9,FALSE)</f>
        <v>ZTWM-CDGS-XS-2025-0125-四川机司-乐山市校地共建产教融合基地配套设施项目施工一标段钢筋采购合同</v>
      </c>
      <c r="R2787" s="30" t="str">
        <f>_xlfn._xlws.FILTER(辅助信息!D:D,辅助信息!E:E=B2787)</f>
        <v>乐山市校地共建产教融合基地建设项目</v>
      </c>
    </row>
    <row r="2788" hidden="1" spans="2:18">
      <c r="B2788" s="41" t="s">
        <v>187</v>
      </c>
      <c r="C2788" s="71">
        <v>45885</v>
      </c>
      <c r="D2788" s="41" t="str">
        <f>VLOOKUP(B2788,辅助信息!E:K,7,FALSE)</f>
        <v>JWDDCD2025072900121</v>
      </c>
      <c r="E2788" s="41" t="str">
        <f>VLOOKUP(F2788,辅助信息!A:B,2,FALSE)</f>
        <v>螺纹钢</v>
      </c>
      <c r="F2788" s="41" t="s">
        <v>19</v>
      </c>
      <c r="G2788" s="37">
        <v>5</v>
      </c>
      <c r="H2788" s="135">
        <f>_xlfn.XLOOKUP(C2788&amp;F2788&amp;I2788&amp;J2788,'[1]2025年已发货'!$F:$F&amp;'[1]2025年已发货'!$C:$C&amp;'[1]2025年已发货'!$G:$G&amp;'[1]2025年已发货'!$H:$H,'[1]2025年已发货'!$E:$E,"未发货")</f>
        <v>5</v>
      </c>
      <c r="I2788" s="41" t="str">
        <f>VLOOKUP(B2788,辅助信息!E:I,3,FALSE)</f>
        <v>(乐山市校地共建产教融合基地建设项目一标段)四川省乐山市市中区苏稽镇周山嘴</v>
      </c>
      <c r="J2788" s="41" t="str">
        <f>VLOOKUP(B2788,辅助信息!E:I,4,FALSE)</f>
        <v>范增云</v>
      </c>
      <c r="K2788" s="41">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30" t="str">
        <f>VLOOKUP(B2788,辅助信息!E:M,9,FALSE)</f>
        <v>ZTWM-CDGS-XS-2025-0125-四川机司-乐山市校地共建产教融合基地配套设施项目施工一标段钢筋采购合同</v>
      </c>
      <c r="R2788" s="30" t="str">
        <f>_xlfn._xlws.FILTER(辅助信息!D:D,辅助信息!E:E=B2788)</f>
        <v>乐山市校地共建产教融合基地建设项目</v>
      </c>
    </row>
    <row r="2789" hidden="1" spans="2:18">
      <c r="B2789" s="41" t="s">
        <v>187</v>
      </c>
      <c r="C2789" s="71">
        <v>45885</v>
      </c>
      <c r="D2789" s="41" t="str">
        <f>VLOOKUP(B2789,辅助信息!E:K,7,FALSE)</f>
        <v>JWDDCD2025072900121</v>
      </c>
      <c r="E2789" s="41" t="str">
        <f>VLOOKUP(F2789,辅助信息!A:B,2,FALSE)</f>
        <v>螺纹钢</v>
      </c>
      <c r="F2789" s="41" t="s">
        <v>66</v>
      </c>
      <c r="G2789" s="37">
        <v>6</v>
      </c>
      <c r="H2789" s="135">
        <f>_xlfn.XLOOKUP(C2789&amp;F2789&amp;I2789&amp;J2789,'[1]2025年已发货'!$F:$F&amp;'[1]2025年已发货'!$C:$C&amp;'[1]2025年已发货'!$G:$G&amp;'[1]2025年已发货'!$H:$H,'[1]2025年已发货'!$E:$E,"未发货")</f>
        <v>6</v>
      </c>
      <c r="I2789" s="41" t="str">
        <f>VLOOKUP(B2789,辅助信息!E:I,3,FALSE)</f>
        <v>(乐山市校地共建产教融合基地建设项目一标段)四川省乐山市市中区苏稽镇周山嘴</v>
      </c>
      <c r="J2789" s="41" t="str">
        <f>VLOOKUP(B2789,辅助信息!E:I,4,FALSE)</f>
        <v>范增云</v>
      </c>
      <c r="K2789" s="41">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30" t="str">
        <f>VLOOKUP(B2789,辅助信息!E:M,9,FALSE)</f>
        <v>ZTWM-CDGS-XS-2025-0125-四川机司-乐山市校地共建产教融合基地配套设施项目施工一标段钢筋采购合同</v>
      </c>
      <c r="R2789" s="30" t="str">
        <f>_xlfn._xlws.FILTER(辅助信息!D:D,辅助信息!E:E=B2789)</f>
        <v>乐山市校地共建产教融合基地建设项目</v>
      </c>
    </row>
    <row r="2790" hidden="1" spans="2:18">
      <c r="B2790" s="41" t="s">
        <v>187</v>
      </c>
      <c r="C2790" s="71">
        <v>45885</v>
      </c>
      <c r="D2790" s="41" t="str">
        <f>VLOOKUP(B2790,辅助信息!E:K,7,FALSE)</f>
        <v>JWDDCD2025072900121</v>
      </c>
      <c r="E2790" s="41" t="str">
        <f>VLOOKUP(F2790,辅助信息!A:B,2,FALSE)</f>
        <v>螺纹钢</v>
      </c>
      <c r="F2790" s="41" t="s">
        <v>82</v>
      </c>
      <c r="G2790" s="37">
        <v>2.5</v>
      </c>
      <c r="H2790" s="135">
        <f>_xlfn.XLOOKUP(C2790&amp;F2790&amp;I2790&amp;J2790,'[1]2025年已发货'!$F:$F&amp;'[1]2025年已发货'!$C:$C&amp;'[1]2025年已发货'!$G:$G&amp;'[1]2025年已发货'!$H:$H,'[1]2025年已发货'!$E:$E,"未发货")</f>
        <v>2.5</v>
      </c>
      <c r="I2790" s="41" t="str">
        <f>VLOOKUP(B2790,辅助信息!E:I,3,FALSE)</f>
        <v>(乐山市校地共建产教融合基地建设项目一标段)四川省乐山市市中区苏稽镇周山嘴</v>
      </c>
      <c r="J2790" s="41" t="str">
        <f>VLOOKUP(B2790,辅助信息!E:I,4,FALSE)</f>
        <v>范增云</v>
      </c>
      <c r="K2790" s="41">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30" t="str">
        <f>VLOOKUP(B2790,辅助信息!E:M,9,FALSE)</f>
        <v>ZTWM-CDGS-XS-2025-0125-四川机司-乐山市校地共建产教融合基地配套设施项目施工一标段钢筋采购合同</v>
      </c>
      <c r="R2790" s="30" t="str">
        <f>_xlfn._xlws.FILTER(辅助信息!D:D,辅助信息!E:E=B2790)</f>
        <v>乐山市校地共建产教融合基地建设项目</v>
      </c>
    </row>
    <row r="2791" hidden="1" spans="2:18">
      <c r="B2791" s="41" t="s">
        <v>187</v>
      </c>
      <c r="C2791" s="71">
        <v>45885</v>
      </c>
      <c r="D2791" s="41" t="str">
        <f>VLOOKUP(B2791,辅助信息!E:K,7,FALSE)</f>
        <v>JWDDCD2025072900121</v>
      </c>
      <c r="E2791" s="41" t="str">
        <f>VLOOKUP(F2791,辅助信息!A:B,2,FALSE)</f>
        <v>螺纹钢</v>
      </c>
      <c r="F2791" s="41" t="s">
        <v>45</v>
      </c>
      <c r="G2791" s="37">
        <v>2.5</v>
      </c>
      <c r="H2791" s="135">
        <f>_xlfn.XLOOKUP(C2791&amp;F2791&amp;I2791&amp;J2791,'[1]2025年已发货'!$F:$F&amp;'[1]2025年已发货'!$C:$C&amp;'[1]2025年已发货'!$G:$G&amp;'[1]2025年已发货'!$H:$H,'[1]2025年已发货'!$E:$E,"未发货")</f>
        <v>2.5</v>
      </c>
      <c r="I2791" s="41" t="str">
        <f>VLOOKUP(B2791,辅助信息!E:I,3,FALSE)</f>
        <v>(乐山市校地共建产教融合基地建设项目一标段)四川省乐山市市中区苏稽镇周山嘴</v>
      </c>
      <c r="J2791" s="41" t="str">
        <f>VLOOKUP(B2791,辅助信息!E:I,4,FALSE)</f>
        <v>范增云</v>
      </c>
      <c r="K2791" s="41">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30" t="str">
        <f>VLOOKUP(B2791,辅助信息!E:M,9,FALSE)</f>
        <v>ZTWM-CDGS-XS-2025-0125-四川机司-乐山市校地共建产教融合基地配套设施项目施工一标段钢筋采购合同</v>
      </c>
      <c r="R2791" s="30" t="str">
        <f>_xlfn._xlws.FILTER(辅助信息!D:D,辅助信息!E:E=B2791)</f>
        <v>乐山市校地共建产教融合基地建设项目</v>
      </c>
    </row>
    <row r="2792" hidden="1" spans="2:18">
      <c r="B2792" s="41" t="s">
        <v>187</v>
      </c>
      <c r="C2792" s="71">
        <v>45885</v>
      </c>
      <c r="D2792" s="41" t="str">
        <f>VLOOKUP(B2792,辅助信息!E:K,7,FALSE)</f>
        <v>JWDDCD2025072900121</v>
      </c>
      <c r="E2792" s="41" t="str">
        <f>VLOOKUP(F2792,辅助信息!A:B,2,FALSE)</f>
        <v>螺纹钢</v>
      </c>
      <c r="F2792" s="41" t="s">
        <v>21</v>
      </c>
      <c r="G2792" s="37">
        <v>2.5</v>
      </c>
      <c r="H2792" s="135">
        <f>_xlfn.XLOOKUP(C2792&amp;F2792&amp;I2792&amp;J2792,'[1]2025年已发货'!$F:$F&amp;'[1]2025年已发货'!$C:$C&amp;'[1]2025年已发货'!$G:$G&amp;'[1]2025年已发货'!$H:$H,'[1]2025年已发货'!$E:$E,"未发货")</f>
        <v>2.5</v>
      </c>
      <c r="I2792" s="41" t="str">
        <f>VLOOKUP(B2792,辅助信息!E:I,3,FALSE)</f>
        <v>(乐山市校地共建产教融合基地建设项目一标段)四川省乐山市市中区苏稽镇周山嘴</v>
      </c>
      <c r="J2792" s="41" t="str">
        <f>VLOOKUP(B2792,辅助信息!E:I,4,FALSE)</f>
        <v>范增云</v>
      </c>
      <c r="K2792" s="41">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30" t="str">
        <f>VLOOKUP(B2792,辅助信息!E:M,9,FALSE)</f>
        <v>ZTWM-CDGS-XS-2025-0125-四川机司-乐山市校地共建产教融合基地配套设施项目施工一标段钢筋采购合同</v>
      </c>
      <c r="R2792" s="30" t="str">
        <f>_xlfn._xlws.FILTER(辅助信息!D:D,辅助信息!E:E=B2792)</f>
        <v>乐山市校地共建产教融合基地建设项目</v>
      </c>
    </row>
    <row r="2793" hidden="1" spans="2:18">
      <c r="B2793" s="41" t="s">
        <v>187</v>
      </c>
      <c r="C2793" s="71">
        <v>45885</v>
      </c>
      <c r="D2793" s="41" t="str">
        <f>VLOOKUP(B2793,辅助信息!E:K,7,FALSE)</f>
        <v>JWDDCD2025072900121</v>
      </c>
      <c r="E2793" s="41" t="str">
        <f>VLOOKUP(F2793,辅助信息!A:B,2,FALSE)</f>
        <v>螺纹钢</v>
      </c>
      <c r="F2793" s="41" t="s">
        <v>58</v>
      </c>
      <c r="G2793" s="37">
        <v>25</v>
      </c>
      <c r="H2793" s="135">
        <f>_xlfn.XLOOKUP(C2793&amp;F2793&amp;I2793&amp;J2793,'[1]2025年已发货'!$F:$F&amp;'[1]2025年已发货'!$C:$C&amp;'[1]2025年已发货'!$G:$G&amp;'[1]2025年已发货'!$H:$H,'[1]2025年已发货'!$E:$E,"未发货")</f>
        <v>25</v>
      </c>
      <c r="I2793" s="41" t="str">
        <f>VLOOKUP(B2793,辅助信息!E:I,3,FALSE)</f>
        <v>(乐山市校地共建产教融合基地建设项目一标段)四川省乐山市市中区苏稽镇周山嘴</v>
      </c>
      <c r="J2793" s="41" t="str">
        <f>VLOOKUP(B2793,辅助信息!E:I,4,FALSE)</f>
        <v>范增云</v>
      </c>
      <c r="K2793" s="41">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30" t="str">
        <f>VLOOKUP(B2793,辅助信息!E:M,9,FALSE)</f>
        <v>ZTWM-CDGS-XS-2025-0125-四川机司-乐山市校地共建产教融合基地配套设施项目施工一标段钢筋采购合同</v>
      </c>
      <c r="R2793" s="30" t="str">
        <f>_xlfn._xlws.FILTER(辅助信息!D:D,辅助信息!E:E=B2793)</f>
        <v>乐山市校地共建产教融合基地建设项目</v>
      </c>
    </row>
    <row r="2794" hidden="1" spans="2:18">
      <c r="B2794" s="41" t="s">
        <v>187</v>
      </c>
      <c r="C2794" s="71">
        <v>45885</v>
      </c>
      <c r="D2794" s="41" t="str">
        <f>VLOOKUP(B2794,辅助信息!E:K,7,FALSE)</f>
        <v>JWDDCD2025072900121</v>
      </c>
      <c r="E2794" s="41" t="str">
        <f>VLOOKUP(F2794,辅助信息!A:B,2,FALSE)</f>
        <v>螺纹钢</v>
      </c>
      <c r="F2794" s="41" t="s">
        <v>46</v>
      </c>
      <c r="G2794" s="37">
        <v>3</v>
      </c>
      <c r="H2794" s="135">
        <f>_xlfn.XLOOKUP(C2794&amp;F2794&amp;I2794&amp;J2794,'[1]2025年已发货'!$F:$F&amp;'[1]2025年已发货'!$C:$C&amp;'[1]2025年已发货'!$G:$G&amp;'[1]2025年已发货'!$H:$H,'[1]2025年已发货'!$E:$E,"未发货")</f>
        <v>3</v>
      </c>
      <c r="I2794" s="41" t="str">
        <f>VLOOKUP(B2794,辅助信息!E:I,3,FALSE)</f>
        <v>(乐山市校地共建产教融合基地建设项目一标段)四川省乐山市市中区苏稽镇周山嘴</v>
      </c>
      <c r="J2794" s="41" t="str">
        <f>VLOOKUP(B2794,辅助信息!E:I,4,FALSE)</f>
        <v>范增云</v>
      </c>
      <c r="K2794" s="41">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30" t="str">
        <f>VLOOKUP(B2794,辅助信息!E:M,9,FALSE)</f>
        <v>ZTWM-CDGS-XS-2025-0125-四川机司-乐山市校地共建产教融合基地配套设施项目施工一标段钢筋采购合同</v>
      </c>
      <c r="R2794" s="30" t="str">
        <f>_xlfn._xlws.FILTER(辅助信息!D:D,辅助信息!E:E=B2794)</f>
        <v>乐山市校地共建产教融合基地建设项目</v>
      </c>
    </row>
    <row r="2795" hidden="1" spans="2:18">
      <c r="B2795" s="41" t="s">
        <v>187</v>
      </c>
      <c r="C2795" s="71">
        <v>45885</v>
      </c>
      <c r="D2795" s="41" t="str">
        <f>VLOOKUP(B2795,辅助信息!E:K,7,FALSE)</f>
        <v>JWDDCD2025072900121</v>
      </c>
      <c r="E2795" s="41" t="str">
        <f>VLOOKUP(F2795,辅助信息!A:B,2,FALSE)</f>
        <v>螺纹钢</v>
      </c>
      <c r="F2795" s="41" t="s">
        <v>141</v>
      </c>
      <c r="G2795" s="37">
        <v>3</v>
      </c>
      <c r="H2795" s="135">
        <f>_xlfn.XLOOKUP(C2795&amp;F2795&amp;I2795&amp;J2795,'[1]2025年已发货'!$F:$F&amp;'[1]2025年已发货'!$C:$C&amp;'[1]2025年已发货'!$G:$G&amp;'[1]2025年已发货'!$H:$H,'[1]2025年已发货'!$E:$E,"未发货")</f>
        <v>3</v>
      </c>
      <c r="I2795" s="41" t="str">
        <f>VLOOKUP(B2795,辅助信息!E:I,3,FALSE)</f>
        <v>(乐山市校地共建产教融合基地建设项目一标段)四川省乐山市市中区苏稽镇周山嘴</v>
      </c>
      <c r="J2795" s="41" t="str">
        <f>VLOOKUP(B2795,辅助信息!E:I,4,FALSE)</f>
        <v>范增云</v>
      </c>
      <c r="K2795" s="41">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30" t="str">
        <f>VLOOKUP(B2795,辅助信息!E:M,9,FALSE)</f>
        <v>ZTWM-CDGS-XS-2025-0125-四川机司-乐山市校地共建产教融合基地配套设施项目施工一标段钢筋采购合同</v>
      </c>
      <c r="R2795" s="30" t="str">
        <f>_xlfn._xlws.FILTER(辅助信息!D:D,辅助信息!E:E=B2795)</f>
        <v>乐山市校地共建产教融合基地建设项目</v>
      </c>
    </row>
    <row r="2796" hidden="1" spans="2:18">
      <c r="B2796" s="41" t="s">
        <v>187</v>
      </c>
      <c r="C2796" s="71">
        <v>45885</v>
      </c>
      <c r="D2796" s="41" t="str">
        <f>VLOOKUP(B2796,辅助信息!E:K,7,FALSE)</f>
        <v>JWDDCD2025072900121</v>
      </c>
      <c r="E2796" s="41" t="str">
        <f>VLOOKUP(F2796,辅助信息!A:B,2,FALSE)</f>
        <v>螺纹钢</v>
      </c>
      <c r="F2796" s="41" t="s">
        <v>22</v>
      </c>
      <c r="G2796" s="37">
        <v>18</v>
      </c>
      <c r="H2796" s="135">
        <f>_xlfn.XLOOKUP(C2796&amp;F2796&amp;I2796&amp;J2796,'[1]2025年已发货'!$F:$F&amp;'[1]2025年已发货'!$C:$C&amp;'[1]2025年已发货'!$G:$G&amp;'[1]2025年已发货'!$H:$H,'[1]2025年已发货'!$E:$E,"未发货")</f>
        <v>18</v>
      </c>
      <c r="I2796" s="41" t="str">
        <f>VLOOKUP(B2796,辅助信息!E:I,3,FALSE)</f>
        <v>(乐山市校地共建产教融合基地建设项目一标段)四川省乐山市市中区苏稽镇周山嘴</v>
      </c>
      <c r="J2796" s="41" t="str">
        <f>VLOOKUP(B2796,辅助信息!E:I,4,FALSE)</f>
        <v>范增云</v>
      </c>
      <c r="K2796" s="41">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30" t="str">
        <f>VLOOKUP(B2796,辅助信息!E:M,9,FALSE)</f>
        <v>ZTWM-CDGS-XS-2025-0125-四川机司-乐山市校地共建产教融合基地配套设施项目施工一标段钢筋采购合同</v>
      </c>
      <c r="R2796" s="30" t="str">
        <f>_xlfn._xlws.FILTER(辅助信息!D:D,辅助信息!E:E=B2796)</f>
        <v>乐山市校地共建产教融合基地建设项目</v>
      </c>
    </row>
    <row r="2797" hidden="1" spans="2:18">
      <c r="B2797" s="41" t="s">
        <v>187</v>
      </c>
      <c r="C2797" s="71">
        <v>45885</v>
      </c>
      <c r="D2797" s="41" t="str">
        <f>VLOOKUP(B2797,辅助信息!E:K,7,FALSE)</f>
        <v>JWDDCD2025072900121</v>
      </c>
      <c r="E2797" s="41" t="str">
        <f>VLOOKUP(F2797,辅助信息!A:B,2,FALSE)</f>
        <v>螺纹钢</v>
      </c>
      <c r="F2797" s="41" t="s">
        <v>142</v>
      </c>
      <c r="G2797" s="37">
        <v>9</v>
      </c>
      <c r="H2797" s="135">
        <f>_xlfn.XLOOKUP(C2797&amp;F2797&amp;I2797&amp;J2797,'[1]2025年已发货'!$F:$F&amp;'[1]2025年已发货'!$C:$C&amp;'[1]2025年已发货'!$G:$G&amp;'[1]2025年已发货'!$H:$H,'[1]2025年已发货'!$E:$E,"未发货")</f>
        <v>9</v>
      </c>
      <c r="I2797" s="41" t="str">
        <f>VLOOKUP(B2797,辅助信息!E:I,3,FALSE)</f>
        <v>(乐山市校地共建产教融合基地建设项目一标段)四川省乐山市市中区苏稽镇周山嘴</v>
      </c>
      <c r="J2797" s="41" t="str">
        <f>VLOOKUP(B2797,辅助信息!E:I,4,FALSE)</f>
        <v>范增云</v>
      </c>
      <c r="K2797" s="41">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30" t="str">
        <f>VLOOKUP(B2797,辅助信息!E:M,9,FALSE)</f>
        <v>ZTWM-CDGS-XS-2025-0125-四川机司-乐山市校地共建产教融合基地配套设施项目施工一标段钢筋采购合同</v>
      </c>
      <c r="R2797" s="30" t="str">
        <f>_xlfn._xlws.FILTER(辅助信息!D:D,辅助信息!E:E=B2797)</f>
        <v>乐山市校地共建产教融合基地建设项目</v>
      </c>
    </row>
    <row r="2798" hidden="1" spans="2:18">
      <c r="B2798" s="41" t="s">
        <v>187</v>
      </c>
      <c r="C2798" s="71">
        <v>45885</v>
      </c>
      <c r="D2798" s="41" t="str">
        <f>VLOOKUP(B2798,辅助信息!E:K,7,FALSE)</f>
        <v>JWDDCD2025072900121</v>
      </c>
      <c r="E2798" s="41" t="str">
        <f>VLOOKUP(F2798,辅助信息!A:B,2,FALSE)</f>
        <v>螺纹钢</v>
      </c>
      <c r="F2798" s="41" t="s">
        <v>200</v>
      </c>
      <c r="G2798" s="37">
        <v>30</v>
      </c>
      <c r="H2798" s="135">
        <f>_xlfn.XLOOKUP(C2798&amp;F2798&amp;I2798&amp;J2798,'[1]2025年已发货'!$F:$F&amp;'[1]2025年已发货'!$C:$C&amp;'[1]2025年已发货'!$G:$G&amp;'[1]2025年已发货'!$H:$H,'[1]2025年已发货'!$E:$E,"未发货")</f>
        <v>30</v>
      </c>
      <c r="I2798" s="41" t="str">
        <f>VLOOKUP(B2798,辅助信息!E:I,3,FALSE)</f>
        <v>(乐山市校地共建产教融合基地建设项目一标段)四川省乐山市市中区苏稽镇周山嘴</v>
      </c>
      <c r="J2798" s="41" t="str">
        <f>VLOOKUP(B2798,辅助信息!E:I,4,FALSE)</f>
        <v>范增云</v>
      </c>
      <c r="K2798" s="41">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30" t="str">
        <f>VLOOKUP(B2798,辅助信息!E:M,9,FALSE)</f>
        <v>ZTWM-CDGS-XS-2025-0125-四川机司-乐山市校地共建产教融合基地配套设施项目施工一标段钢筋采购合同</v>
      </c>
      <c r="R2798" s="30" t="str">
        <f>_xlfn._xlws.FILTER(辅助信息!D:D,辅助信息!E:E=B2798)</f>
        <v>乐山市校地共建产教融合基地建设项目</v>
      </c>
    </row>
    <row r="2799" hidden="1" spans="2:18">
      <c r="B2799" s="41" t="s">
        <v>187</v>
      </c>
      <c r="C2799" s="71">
        <v>45885</v>
      </c>
      <c r="D2799" s="41" t="str">
        <f>VLOOKUP(B2799,辅助信息!E:K,7,FALSE)</f>
        <v>JWDDCD2025072900121</v>
      </c>
      <c r="E2799" s="41" t="str">
        <f>VLOOKUP(F2799,辅助信息!A:B,2,FALSE)</f>
        <v>螺纹钢</v>
      </c>
      <c r="F2799" s="41" t="s">
        <v>201</v>
      </c>
      <c r="G2799" s="37">
        <v>12</v>
      </c>
      <c r="H2799" s="135">
        <f>_xlfn.XLOOKUP(C2799&amp;F2799&amp;I2799&amp;J2799,'[1]2025年已发货'!$F:$F&amp;'[1]2025年已发货'!$C:$C&amp;'[1]2025年已发货'!$G:$G&amp;'[1]2025年已发货'!$H:$H,'[1]2025年已发货'!$E:$E,"未发货")</f>
        <v>12</v>
      </c>
      <c r="I2799" s="41" t="str">
        <f>VLOOKUP(B2799,辅助信息!E:I,3,FALSE)</f>
        <v>(乐山市校地共建产教融合基地建设项目一标段)四川省乐山市市中区苏稽镇周山嘴</v>
      </c>
      <c r="J2799" s="41" t="str">
        <f>VLOOKUP(B2799,辅助信息!E:I,4,FALSE)</f>
        <v>范增云</v>
      </c>
      <c r="K2799" s="41">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30" t="str">
        <f>VLOOKUP(B2799,辅助信息!E:M,9,FALSE)</f>
        <v>ZTWM-CDGS-XS-2025-0125-四川机司-乐山市校地共建产教融合基地配套设施项目施工一标段钢筋采购合同</v>
      </c>
      <c r="R2799" s="30" t="str">
        <f>_xlfn._xlws.FILTER(辅助信息!D:D,辅助信息!E:E=B2799)</f>
        <v>乐山市校地共建产教融合基地建设项目</v>
      </c>
    </row>
    <row r="2800" hidden="1" spans="2:18">
      <c r="B2800" s="41" t="s">
        <v>81</v>
      </c>
      <c r="C2800" s="71">
        <v>45885</v>
      </c>
      <c r="D2800" s="41" t="str">
        <f>VLOOKUP(B2800,辅助信息!E:K,7,FALSE)</f>
        <v>JWDDCD2025060900080</v>
      </c>
      <c r="E2800" s="41" t="str">
        <f>VLOOKUP(F2800,辅助信息!A:B,2,FALSE)</f>
        <v>盘螺</v>
      </c>
      <c r="F2800" s="41" t="s">
        <v>41</v>
      </c>
      <c r="G2800" s="37">
        <v>10</v>
      </c>
      <c r="H2800" s="135" t="str">
        <f>_xlfn.XLOOKUP(C2800&amp;F2800&amp;I2800&amp;J2800,'[1]2025年已发货'!$F:$F&amp;'[1]2025年已发货'!$C:$C&amp;'[1]2025年已发货'!$G:$G&amp;'[1]2025年已发货'!$H:$H,'[1]2025年已发货'!$E:$E,"未发货")</f>
        <v>未发货</v>
      </c>
      <c r="I2800" s="41" t="str">
        <f>VLOOKUP(B2800,辅助信息!E:I,3,FALSE)</f>
        <v>（华西简阳西城嘉苑）四川省成都市简阳市简城街道高屋村</v>
      </c>
      <c r="J2800" s="41" t="str">
        <f>VLOOKUP(B2800,辅助信息!E:I,4,FALSE)</f>
        <v>张瀚镭</v>
      </c>
      <c r="K2800" s="41">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30" t="str">
        <f>VLOOKUP(B2800,辅助信息!E:M,9,FALSE)</f>
        <v>ZTWM-CDGS-XS-2024-0030-华西集采-简州大道</v>
      </c>
      <c r="R2800" s="30" t="str">
        <f>_xlfn._xlws.FILTER(辅助信息!D:D,辅助信息!E:E=B2800)</f>
        <v>华西简阳西城嘉苑</v>
      </c>
    </row>
    <row r="2801" hidden="1" spans="2:18">
      <c r="B2801" s="41" t="s">
        <v>81</v>
      </c>
      <c r="C2801" s="71">
        <v>45885</v>
      </c>
      <c r="D2801" s="41" t="str">
        <f>VLOOKUP(B2801,辅助信息!E:K,7,FALSE)</f>
        <v>JWDDCD2025060900080</v>
      </c>
      <c r="E2801" s="41" t="str">
        <f>VLOOKUP(F2801,辅助信息!A:B,2,FALSE)</f>
        <v>盘螺</v>
      </c>
      <c r="F2801" s="41" t="s">
        <v>26</v>
      </c>
      <c r="G2801" s="37">
        <v>10</v>
      </c>
      <c r="H2801" s="135" t="str">
        <f>_xlfn.XLOOKUP(C2801&amp;F2801&amp;I2801&amp;J2801,'[1]2025年已发货'!$F:$F&amp;'[1]2025年已发货'!$C:$C&amp;'[1]2025年已发货'!$G:$G&amp;'[1]2025年已发货'!$H:$H,'[1]2025年已发货'!$E:$E,"未发货")</f>
        <v>未发货</v>
      </c>
      <c r="I2801" s="41" t="str">
        <f>VLOOKUP(B2801,辅助信息!E:I,3,FALSE)</f>
        <v>（华西简阳西城嘉苑）四川省成都市简阳市简城街道高屋村</v>
      </c>
      <c r="J2801" s="41" t="str">
        <f>VLOOKUP(B2801,辅助信息!E:I,4,FALSE)</f>
        <v>张瀚镭</v>
      </c>
      <c r="K2801" s="41">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30" t="str">
        <f>VLOOKUP(B2801,辅助信息!E:M,9,FALSE)</f>
        <v>ZTWM-CDGS-XS-2024-0030-华西集采-简州大道</v>
      </c>
      <c r="R2801" s="30" t="str">
        <f>_xlfn._xlws.FILTER(辅助信息!D:D,辅助信息!E:E=B2801)</f>
        <v>华西简阳西城嘉苑</v>
      </c>
    </row>
    <row r="2802" hidden="1" spans="2:18">
      <c r="B2802" s="41" t="s">
        <v>81</v>
      </c>
      <c r="C2802" s="71">
        <v>45885</v>
      </c>
      <c r="D2802" s="41" t="str">
        <f>VLOOKUP(B2802,辅助信息!E:K,7,FALSE)</f>
        <v>JWDDCD2025060900080</v>
      </c>
      <c r="E2802" s="41" t="str">
        <f>VLOOKUP(F2802,辅助信息!A:B,2,FALSE)</f>
        <v>螺纹钢</v>
      </c>
      <c r="F2802" s="41" t="s">
        <v>18</v>
      </c>
      <c r="G2802" s="37">
        <v>15</v>
      </c>
      <c r="H2802" s="135" t="str">
        <f>_xlfn.XLOOKUP(C2802&amp;F2802&amp;I2802&amp;J2802,'[1]2025年已发货'!$F:$F&amp;'[1]2025年已发货'!$C:$C&amp;'[1]2025年已发货'!$G:$G&amp;'[1]2025年已发货'!$H:$H,'[1]2025年已发货'!$E:$E,"未发货")</f>
        <v>未发货</v>
      </c>
      <c r="I2802" s="41" t="str">
        <f>VLOOKUP(B2802,辅助信息!E:I,3,FALSE)</f>
        <v>（华西简阳西城嘉苑）四川省成都市简阳市简城街道高屋村</v>
      </c>
      <c r="J2802" s="41" t="str">
        <f>VLOOKUP(B2802,辅助信息!E:I,4,FALSE)</f>
        <v>张瀚镭</v>
      </c>
      <c r="K2802" s="41">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30" t="str">
        <f>VLOOKUP(B2802,辅助信息!E:M,9,FALSE)</f>
        <v>ZTWM-CDGS-XS-2024-0030-华西集采-简州大道</v>
      </c>
      <c r="R2802" s="30" t="str">
        <f>_xlfn._xlws.FILTER(辅助信息!D:D,辅助信息!E:E=B2802)</f>
        <v>华西简阳西城嘉苑</v>
      </c>
    </row>
    <row r="2803" hidden="1" spans="1:18">
      <c r="A2803" s="58" t="s">
        <v>195</v>
      </c>
      <c r="B2803" s="136" t="s">
        <v>187</v>
      </c>
      <c r="C2803" s="71">
        <v>45887</v>
      </c>
      <c r="D2803" s="41" t="str">
        <f>VLOOKUP(B2803,辅助信息!E:K,7,FALSE)</f>
        <v>JWDDCD2025072900121</v>
      </c>
      <c r="E2803" s="41" t="str">
        <f>VLOOKUP(F2803,辅助信息!A:B,2,FALSE)</f>
        <v>螺纹钢</v>
      </c>
      <c r="F2803" s="41" t="s">
        <v>198</v>
      </c>
      <c r="G2803" s="37">
        <v>4</v>
      </c>
      <c r="H2803" s="135">
        <f>_xlfn.XLOOKUP(C2803&amp;F2803&amp;I2803&amp;J2803,'[1]2025年已发货'!$F:$F&amp;'[1]2025年已发货'!$C:$C&amp;'[1]2025年已发货'!$G:$G&amp;'[1]2025年已发货'!$H:$H,'[1]2025年已发货'!$E:$E,"未发货")</f>
        <v>5</v>
      </c>
      <c r="I2803" s="41" t="str">
        <f>VLOOKUP(B2803,辅助信息!E:I,3,FALSE)</f>
        <v>(乐山市校地共建产教融合基地建设项目一标段)四川省乐山市市中区苏稽镇周山嘴</v>
      </c>
      <c r="J2803" s="41" t="str">
        <f>VLOOKUP(B2803,辅助信息!E:I,4,FALSE)</f>
        <v>范增云</v>
      </c>
      <c r="K2803" s="41">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30" t="str">
        <f>VLOOKUP(B2803,辅助信息!E:M,9,FALSE)</f>
        <v>ZTWM-CDGS-XS-2025-0125-四川机司-乐山市校地共建产教融合基地配套设施项目施工一标段钢筋采购合同</v>
      </c>
      <c r="R2803" s="30" t="str">
        <f>_xlfn._xlws.FILTER(辅助信息!D:D,辅助信息!E:E=B2803)</f>
        <v>乐山市校地共建产教融合基地建设项目</v>
      </c>
    </row>
    <row r="2804" hidden="1" spans="2:18">
      <c r="B2804" s="136" t="s">
        <v>187</v>
      </c>
      <c r="C2804" s="71">
        <v>45887</v>
      </c>
      <c r="D2804" s="41" t="str">
        <f>VLOOKUP(B2804,辅助信息!E:K,7,FALSE)</f>
        <v>JWDDCD2025072900121</v>
      </c>
      <c r="E2804" s="41" t="str">
        <f>VLOOKUP(F2804,辅助信息!A:B,2,FALSE)</f>
        <v>螺纹钢</v>
      </c>
      <c r="F2804" s="41" t="s">
        <v>199</v>
      </c>
      <c r="G2804" s="37">
        <v>6</v>
      </c>
      <c r="H2804" s="135">
        <f>_xlfn.XLOOKUP(C2804&amp;F2804&amp;I2804&amp;J2804,'[1]2025年已发货'!$F:$F&amp;'[1]2025年已发货'!$C:$C&amp;'[1]2025年已发货'!$G:$G&amp;'[1]2025年已发货'!$H:$H,'[1]2025年已发货'!$E:$E,"未发货")</f>
        <v>5</v>
      </c>
      <c r="I2804" s="41" t="str">
        <f>VLOOKUP(B2804,辅助信息!E:I,3,FALSE)</f>
        <v>(乐山市校地共建产教融合基地建设项目一标段)四川省乐山市市中区苏稽镇周山嘴</v>
      </c>
      <c r="J2804" s="41" t="str">
        <f>VLOOKUP(B2804,辅助信息!E:I,4,FALSE)</f>
        <v>范增云</v>
      </c>
      <c r="K2804" s="41">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30" t="str">
        <f>VLOOKUP(B2804,辅助信息!E:M,9,FALSE)</f>
        <v>ZTWM-CDGS-XS-2025-0125-四川机司-乐山市校地共建产教融合基地配套设施项目施工一标段钢筋采购合同</v>
      </c>
      <c r="R2804" s="30" t="str">
        <f>_xlfn._xlws.FILTER(辅助信息!D:D,辅助信息!E:E=B2804)</f>
        <v>乐山市校地共建产教融合基地建设项目</v>
      </c>
    </row>
    <row r="2805" hidden="1" spans="2:18">
      <c r="B2805" s="136" t="s">
        <v>187</v>
      </c>
      <c r="C2805" s="71">
        <v>45887</v>
      </c>
      <c r="D2805" s="41" t="str">
        <f>VLOOKUP(B2805,辅助信息!E:K,7,FALSE)</f>
        <v>JWDDCD2025072900121</v>
      </c>
      <c r="E2805" s="41" t="str">
        <f>VLOOKUP(F2805,辅助信息!A:B,2,FALSE)</f>
        <v>螺纹钢</v>
      </c>
      <c r="F2805" s="41" t="s">
        <v>141</v>
      </c>
      <c r="G2805" s="37">
        <v>6</v>
      </c>
      <c r="H2805" s="135">
        <f>_xlfn.XLOOKUP(C2805&amp;F2805&amp;I2805&amp;J2805,'[1]2025年已发货'!$F:$F&amp;'[1]2025年已发货'!$C:$C&amp;'[1]2025年已发货'!$G:$G&amp;'[1]2025年已发货'!$H:$H,'[1]2025年已发货'!$E:$E,"未发货")</f>
        <v>5</v>
      </c>
      <c r="I2805" s="41" t="str">
        <f>VLOOKUP(B2805,辅助信息!E:I,3,FALSE)</f>
        <v>(乐山市校地共建产教融合基地建设项目一标段)四川省乐山市市中区苏稽镇周山嘴</v>
      </c>
      <c r="J2805" s="41" t="str">
        <f>VLOOKUP(B2805,辅助信息!E:I,4,FALSE)</f>
        <v>范增云</v>
      </c>
      <c r="K2805" s="41">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30" t="str">
        <f>VLOOKUP(B2805,辅助信息!E:M,9,FALSE)</f>
        <v>ZTWM-CDGS-XS-2025-0125-四川机司-乐山市校地共建产教融合基地配套设施项目施工一标段钢筋采购合同</v>
      </c>
      <c r="R2805" s="30" t="str">
        <f>_xlfn._xlws.FILTER(辅助信息!D:D,辅助信息!E:E=B2805)</f>
        <v>乐山市校地共建产教融合基地建设项目</v>
      </c>
    </row>
    <row r="2806" hidden="1" spans="2:18">
      <c r="B2806" s="136" t="s">
        <v>187</v>
      </c>
      <c r="C2806" s="71">
        <v>45887</v>
      </c>
      <c r="D2806" s="41" t="str">
        <f>VLOOKUP(B2806,辅助信息!E:K,7,FALSE)</f>
        <v>JWDDCD2025072900121</v>
      </c>
      <c r="E2806" s="41" t="str">
        <f>VLOOKUP(F2806,辅助信息!A:B,2,FALSE)</f>
        <v>螺纹钢</v>
      </c>
      <c r="F2806" s="41" t="s">
        <v>142</v>
      </c>
      <c r="G2806" s="37">
        <v>22</v>
      </c>
      <c r="H2806" s="135">
        <f>_xlfn.XLOOKUP(C2806&amp;F2806&amp;I2806&amp;J2806,'[1]2025年已发货'!$F:$F&amp;'[1]2025年已发货'!$C:$C&amp;'[1]2025年已发货'!$G:$G&amp;'[1]2025年已发货'!$H:$H,'[1]2025年已发货'!$E:$E,"未发货")</f>
        <v>10</v>
      </c>
      <c r="I2806" s="41" t="str">
        <f>VLOOKUP(B2806,辅助信息!E:I,3,FALSE)</f>
        <v>(乐山市校地共建产教融合基地建设项目一标段)四川省乐山市市中区苏稽镇周山嘴</v>
      </c>
      <c r="J2806" s="41" t="str">
        <f>VLOOKUP(B2806,辅助信息!E:I,4,FALSE)</f>
        <v>范增云</v>
      </c>
      <c r="K2806" s="41">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30" t="str">
        <f>VLOOKUP(B2806,辅助信息!E:M,9,FALSE)</f>
        <v>ZTWM-CDGS-XS-2025-0125-四川机司-乐山市校地共建产教融合基地配套设施项目施工一标段钢筋采购合同</v>
      </c>
      <c r="R2806" s="30" t="str">
        <f>_xlfn._xlws.FILTER(辅助信息!D:D,辅助信息!E:E=B2806)</f>
        <v>乐山市校地共建产教融合基地建设项目</v>
      </c>
    </row>
    <row r="2807" hidden="1" spans="2:18">
      <c r="B2807" s="136" t="s">
        <v>187</v>
      </c>
      <c r="C2807" s="71">
        <v>45887</v>
      </c>
      <c r="D2807" s="41" t="str">
        <f>VLOOKUP(B2807,辅助信息!E:K,7,FALSE)</f>
        <v>JWDDCD2025072900121</v>
      </c>
      <c r="E2807" s="41" t="str">
        <f>VLOOKUP(F2807,辅助信息!A:B,2,FALSE)</f>
        <v>螺纹钢</v>
      </c>
      <c r="F2807" s="41" t="s">
        <v>200</v>
      </c>
      <c r="G2807" s="37">
        <v>10</v>
      </c>
      <c r="H2807" s="135" t="str">
        <f>_xlfn.XLOOKUP(C2807&amp;F2807&amp;I2807&amp;J2807,'[1]2025年已发货'!$F:$F&amp;'[1]2025年已发货'!$C:$C&amp;'[1]2025年已发货'!$G:$G&amp;'[1]2025年已发货'!$H:$H,'[1]2025年已发货'!$E:$E,"未发货")</f>
        <v>未发货</v>
      </c>
      <c r="I2807" s="41" t="str">
        <f>VLOOKUP(B2807,辅助信息!E:I,3,FALSE)</f>
        <v>(乐山市校地共建产教融合基地建设项目一标段)四川省乐山市市中区苏稽镇周山嘴</v>
      </c>
      <c r="J2807" s="41" t="str">
        <f>VLOOKUP(B2807,辅助信息!E:I,4,FALSE)</f>
        <v>范增云</v>
      </c>
      <c r="K2807" s="41">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30" t="str">
        <f>VLOOKUP(B2807,辅助信息!E:M,9,FALSE)</f>
        <v>ZTWM-CDGS-XS-2025-0125-四川机司-乐山市校地共建产教融合基地配套设施项目施工一标段钢筋采购合同</v>
      </c>
      <c r="R2807" s="30" t="str">
        <f>_xlfn._xlws.FILTER(辅助信息!D:D,辅助信息!E:E=B2807)</f>
        <v>乐山市校地共建产教融合基地建设项目</v>
      </c>
    </row>
    <row r="2808" hidden="1" spans="2:18">
      <c r="B2808" s="136" t="s">
        <v>187</v>
      </c>
      <c r="C2808" s="71">
        <v>45887</v>
      </c>
      <c r="D2808" s="41" t="str">
        <f>VLOOKUP(B2808,辅助信息!E:K,7,FALSE)</f>
        <v>JWDDCD2025072900121</v>
      </c>
      <c r="E2808" s="41" t="str">
        <f>VLOOKUP(F2808,辅助信息!A:B,2,FALSE)</f>
        <v>螺纹钢</v>
      </c>
      <c r="F2808" s="41" t="s">
        <v>201</v>
      </c>
      <c r="G2808" s="37">
        <v>16</v>
      </c>
      <c r="H2808" s="135">
        <f>_xlfn.XLOOKUP(C2808&amp;F2808&amp;I2808&amp;J2808,'[1]2025年已发货'!$F:$F&amp;'[1]2025年已发货'!$C:$C&amp;'[1]2025年已发货'!$G:$G&amp;'[1]2025年已发货'!$H:$H,'[1]2025年已发货'!$E:$E,"未发货")</f>
        <v>7.5</v>
      </c>
      <c r="I2808" s="41" t="str">
        <f>VLOOKUP(B2808,辅助信息!E:I,3,FALSE)</f>
        <v>(乐山市校地共建产教融合基地建设项目一标段)四川省乐山市市中区苏稽镇周山嘴</v>
      </c>
      <c r="J2808" s="41" t="str">
        <f>VLOOKUP(B2808,辅助信息!E:I,4,FALSE)</f>
        <v>范增云</v>
      </c>
      <c r="K2808" s="41">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30" t="str">
        <f>VLOOKUP(B2808,辅助信息!E:M,9,FALSE)</f>
        <v>ZTWM-CDGS-XS-2025-0125-四川机司-乐山市校地共建产教融合基地配套设施项目施工一标段钢筋采购合同</v>
      </c>
      <c r="R2808" s="30" t="str">
        <f>_xlfn._xlws.FILTER(辅助信息!D:D,辅助信息!E:E=B2808)</f>
        <v>乐山市校地共建产教融合基地建设项目</v>
      </c>
    </row>
    <row r="2809" hidden="1" spans="2:18">
      <c r="B2809" s="136" t="s">
        <v>186</v>
      </c>
      <c r="C2809" s="71">
        <v>45887</v>
      </c>
      <c r="D2809" s="41" t="str">
        <f>VLOOKUP(B2809,辅助信息!E:K,7,FALSE)</f>
        <v>JWDDCD2025072900123</v>
      </c>
      <c r="E2809" s="41" t="str">
        <f>VLOOKUP(F2809,辅助信息!A:B,2,FALSE)</f>
        <v>盘螺</v>
      </c>
      <c r="F2809" s="41" t="s">
        <v>49</v>
      </c>
      <c r="G2809" s="37">
        <v>2</v>
      </c>
      <c r="H2809" s="135">
        <f>_xlfn.XLOOKUP(C2809&amp;F2809&amp;I2809&amp;J2809,'[1]2025年已发货'!$F:$F&amp;'[1]2025年已发货'!$C:$C&amp;'[1]2025年已发货'!$G:$G&amp;'[1]2025年已发货'!$H:$H,'[1]2025年已发货'!$E:$E,"未发货")</f>
        <v>2</v>
      </c>
      <c r="I2809" s="41" t="str">
        <f>VLOOKUP(B2809,辅助信息!E:I,3,FALSE)</f>
        <v>(乐山市校地共建产教融合基地建设项目二标段)四川省乐山市市中区苏稽镇</v>
      </c>
      <c r="J2809" s="41" t="str">
        <f>VLOOKUP(B2809,辅助信息!E:I,4,FALSE)</f>
        <v>彭江涛</v>
      </c>
      <c r="K2809" s="41">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30" t="str">
        <f>VLOOKUP(B2809,辅助信息!E:M,9,FALSE)</f>
        <v>ZTWM-CDGS-XS-2025-0126-四川机司-乐山市校地共建产教融合基地配套设施项目施工二标段钢筋采购合同</v>
      </c>
      <c r="R2809" s="30" t="str">
        <f>_xlfn._xlws.FILTER(辅助信息!D:D,辅助信息!E:E=B2809)</f>
        <v>乐山市校地共建产教融合基地建设项目</v>
      </c>
    </row>
    <row r="2810" hidden="1" spans="2:18">
      <c r="B2810" s="136" t="s">
        <v>186</v>
      </c>
      <c r="C2810" s="71">
        <v>45887</v>
      </c>
      <c r="D2810" s="41" t="str">
        <f>VLOOKUP(B2810,辅助信息!E:K,7,FALSE)</f>
        <v>JWDDCD2025072900123</v>
      </c>
      <c r="E2810" s="41" t="str">
        <f>VLOOKUP(F2810,辅助信息!A:B,2,FALSE)</f>
        <v>盘螺</v>
      </c>
      <c r="F2810" s="41" t="s">
        <v>40</v>
      </c>
      <c r="G2810" s="37">
        <v>12</v>
      </c>
      <c r="H2810" s="135">
        <f>_xlfn.XLOOKUP(C2810&amp;F2810&amp;I2810&amp;J2810,'[1]2025年已发货'!$F:$F&amp;'[1]2025年已发货'!$C:$C&amp;'[1]2025年已发货'!$G:$G&amp;'[1]2025年已发货'!$H:$H,'[1]2025年已发货'!$E:$E,"未发货")</f>
        <v>12</v>
      </c>
      <c r="I2810" s="41" t="str">
        <f>VLOOKUP(B2810,辅助信息!E:I,3,FALSE)</f>
        <v>(乐山市校地共建产教融合基地建设项目二标段)四川省乐山市市中区苏稽镇</v>
      </c>
      <c r="J2810" s="41" t="str">
        <f>VLOOKUP(B2810,辅助信息!E:I,4,FALSE)</f>
        <v>彭江涛</v>
      </c>
      <c r="K2810" s="41">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30" t="str">
        <f>VLOOKUP(B2810,辅助信息!E:M,9,FALSE)</f>
        <v>ZTWM-CDGS-XS-2025-0126-四川机司-乐山市校地共建产教融合基地配套设施项目施工二标段钢筋采购合同</v>
      </c>
      <c r="R2810" s="30" t="str">
        <f>_xlfn._xlws.FILTER(辅助信息!D:D,辅助信息!E:E=B2810)</f>
        <v>乐山市校地共建产教融合基地建设项目</v>
      </c>
    </row>
    <row r="2811" hidden="1" spans="2:18">
      <c r="B2811" s="136" t="s">
        <v>186</v>
      </c>
      <c r="C2811" s="71">
        <v>45887</v>
      </c>
      <c r="D2811" s="41" t="str">
        <f>VLOOKUP(B2811,辅助信息!E:K,7,FALSE)</f>
        <v>JWDDCD2025072900123</v>
      </c>
      <c r="E2811" s="41" t="str">
        <f>VLOOKUP(F2811,辅助信息!A:B,2,FALSE)</f>
        <v>盘螺</v>
      </c>
      <c r="F2811" s="41" t="s">
        <v>41</v>
      </c>
      <c r="G2811" s="37">
        <v>7</v>
      </c>
      <c r="H2811" s="135">
        <f>_xlfn.XLOOKUP(C2811&amp;F2811&amp;I2811&amp;J2811,'[1]2025年已发货'!$F:$F&amp;'[1]2025年已发货'!$C:$C&amp;'[1]2025年已发货'!$G:$G&amp;'[1]2025年已发货'!$H:$H,'[1]2025年已发货'!$E:$E,"未发货")</f>
        <v>7</v>
      </c>
      <c r="I2811" s="41" t="str">
        <f>VLOOKUP(B2811,辅助信息!E:I,3,FALSE)</f>
        <v>(乐山市校地共建产教融合基地建设项目二标段)四川省乐山市市中区苏稽镇</v>
      </c>
      <c r="J2811" s="41" t="str">
        <f>VLOOKUP(B2811,辅助信息!E:I,4,FALSE)</f>
        <v>彭江涛</v>
      </c>
      <c r="K2811" s="41">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30" t="str">
        <f>VLOOKUP(B2811,辅助信息!E:M,9,FALSE)</f>
        <v>ZTWM-CDGS-XS-2025-0126-四川机司-乐山市校地共建产教融合基地配套设施项目施工二标段钢筋采购合同</v>
      </c>
      <c r="R2811" s="30" t="str">
        <f>_xlfn._xlws.FILTER(辅助信息!D:D,辅助信息!E:E=B2811)</f>
        <v>乐山市校地共建产教融合基地建设项目</v>
      </c>
    </row>
    <row r="2812" hidden="1" spans="2:18">
      <c r="B2812" s="136" t="s">
        <v>186</v>
      </c>
      <c r="C2812" s="71">
        <v>45887</v>
      </c>
      <c r="D2812" s="41" t="str">
        <f>VLOOKUP(B2812,辅助信息!E:K,7,FALSE)</f>
        <v>JWDDCD2025072900123</v>
      </c>
      <c r="E2812" s="41" t="str">
        <f>VLOOKUP(F2812,辅助信息!A:B,2,FALSE)</f>
        <v>盘螺</v>
      </c>
      <c r="F2812" s="41" t="s">
        <v>26</v>
      </c>
      <c r="G2812" s="37">
        <v>2</v>
      </c>
      <c r="H2812" s="135">
        <f>_xlfn.XLOOKUP(C2812&amp;F2812&amp;I2812&amp;J2812,'[1]2025年已发货'!$F:$F&amp;'[1]2025年已发货'!$C:$C&amp;'[1]2025年已发货'!$G:$G&amp;'[1]2025年已发货'!$H:$H,'[1]2025年已发货'!$E:$E,"未发货")</f>
        <v>2</v>
      </c>
      <c r="I2812" s="41" t="str">
        <f>VLOOKUP(B2812,辅助信息!E:I,3,FALSE)</f>
        <v>(乐山市校地共建产教融合基地建设项目二标段)四川省乐山市市中区苏稽镇</v>
      </c>
      <c r="J2812" s="41" t="str">
        <f>VLOOKUP(B2812,辅助信息!E:I,4,FALSE)</f>
        <v>彭江涛</v>
      </c>
      <c r="K2812" s="41">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30" t="str">
        <f>VLOOKUP(B2812,辅助信息!E:M,9,FALSE)</f>
        <v>ZTWM-CDGS-XS-2025-0126-四川机司-乐山市校地共建产教融合基地配套设施项目施工二标段钢筋采购合同</v>
      </c>
      <c r="R2812" s="30" t="str">
        <f>_xlfn._xlws.FILTER(辅助信息!D:D,辅助信息!E:E=B2812)</f>
        <v>乐山市校地共建产教融合基地建设项目</v>
      </c>
    </row>
    <row r="2813" hidden="1" spans="2:18">
      <c r="B2813" s="136" t="s">
        <v>186</v>
      </c>
      <c r="C2813" s="71">
        <v>45887</v>
      </c>
      <c r="D2813" s="41" t="str">
        <f>VLOOKUP(B2813,辅助信息!E:K,7,FALSE)</f>
        <v>JWDDCD2025072900123</v>
      </c>
      <c r="E2813" s="41" t="str">
        <f>VLOOKUP(F2813,辅助信息!A:B,2,FALSE)</f>
        <v>螺纹钢</v>
      </c>
      <c r="F2813" s="41" t="s">
        <v>76</v>
      </c>
      <c r="G2813" s="37">
        <v>3</v>
      </c>
      <c r="H2813" s="135">
        <f>_xlfn.XLOOKUP(C2813&amp;F2813&amp;I2813&amp;J2813,'[1]2025年已发货'!$F:$F&amp;'[1]2025年已发货'!$C:$C&amp;'[1]2025年已发货'!$G:$G&amp;'[1]2025年已发货'!$H:$H,'[1]2025年已发货'!$E:$E,"未发货")</f>
        <v>3</v>
      </c>
      <c r="I2813" s="41" t="str">
        <f>VLOOKUP(B2813,辅助信息!E:I,3,FALSE)</f>
        <v>(乐山市校地共建产教融合基地建设项目二标段)四川省乐山市市中区苏稽镇</v>
      </c>
      <c r="J2813" s="41" t="str">
        <f>VLOOKUP(B2813,辅助信息!E:I,4,FALSE)</f>
        <v>彭江涛</v>
      </c>
      <c r="K2813" s="41">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30" t="str">
        <f>VLOOKUP(B2813,辅助信息!E:M,9,FALSE)</f>
        <v>ZTWM-CDGS-XS-2025-0126-四川机司-乐山市校地共建产教融合基地配套设施项目施工二标段钢筋采购合同</v>
      </c>
      <c r="R2813" s="30" t="str">
        <f>_xlfn._xlws.FILTER(辅助信息!D:D,辅助信息!E:E=B2813)</f>
        <v>乐山市校地共建产教融合基地建设项目</v>
      </c>
    </row>
    <row r="2814" hidden="1" spans="2:18">
      <c r="B2814" s="136" t="s">
        <v>186</v>
      </c>
      <c r="C2814" s="71">
        <v>45887</v>
      </c>
      <c r="D2814" s="41" t="str">
        <f>VLOOKUP(B2814,辅助信息!E:K,7,FALSE)</f>
        <v>JWDDCD2025072900123</v>
      </c>
      <c r="E2814" s="41" t="str">
        <f>VLOOKUP(F2814,辅助信息!A:B,2,FALSE)</f>
        <v>螺纹钢</v>
      </c>
      <c r="F2814" s="41" t="s">
        <v>90</v>
      </c>
      <c r="G2814" s="37">
        <v>50</v>
      </c>
      <c r="H2814" s="135">
        <f>_xlfn.XLOOKUP(C2814&amp;F2814&amp;I2814&amp;J2814,'[1]2025年已发货'!$F:$F&amp;'[1]2025年已发货'!$C:$C&amp;'[1]2025年已发货'!$G:$G&amp;'[1]2025年已发货'!$H:$H,'[1]2025年已发货'!$E:$E,"未发货")</f>
        <v>15</v>
      </c>
      <c r="I2814" s="41" t="str">
        <f>VLOOKUP(B2814,辅助信息!E:I,3,FALSE)</f>
        <v>(乐山市校地共建产教融合基地建设项目二标段)四川省乐山市市中区苏稽镇</v>
      </c>
      <c r="J2814" s="41" t="str">
        <f>VLOOKUP(B2814,辅助信息!E:I,4,FALSE)</f>
        <v>彭江涛</v>
      </c>
      <c r="K2814" s="41">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30" t="str">
        <f>VLOOKUP(B2814,辅助信息!E:M,9,FALSE)</f>
        <v>ZTWM-CDGS-XS-2025-0126-四川机司-乐山市校地共建产教融合基地配套设施项目施工二标段钢筋采购合同</v>
      </c>
      <c r="R2814" s="30" t="str">
        <f>_xlfn._xlws.FILTER(辅助信息!D:D,辅助信息!E:E=B2814)</f>
        <v>乐山市校地共建产教融合基地建设项目</v>
      </c>
    </row>
    <row r="2815" hidden="1" spans="2:18">
      <c r="B2815" s="136" t="s">
        <v>186</v>
      </c>
      <c r="C2815" s="71">
        <v>45887</v>
      </c>
      <c r="D2815" s="41" t="str">
        <f>VLOOKUP(B2815,辅助信息!E:K,7,FALSE)</f>
        <v>JWDDCD2025072900123</v>
      </c>
      <c r="E2815" s="41" t="str">
        <f>VLOOKUP(F2815,辅助信息!A:B,2,FALSE)</f>
        <v>螺纹钢</v>
      </c>
      <c r="F2815" s="41" t="s">
        <v>130</v>
      </c>
      <c r="G2815" s="37">
        <v>10</v>
      </c>
      <c r="H2815" s="135">
        <f>_xlfn.XLOOKUP(C2815&amp;F2815&amp;I2815&amp;J2815,'[1]2025年已发货'!$F:$F&amp;'[1]2025年已发货'!$C:$C&amp;'[1]2025年已发货'!$G:$G&amp;'[1]2025年已发货'!$H:$H,'[1]2025年已发货'!$E:$E,"未发货")</f>
        <v>10</v>
      </c>
      <c r="I2815" s="41" t="str">
        <f>VLOOKUP(B2815,辅助信息!E:I,3,FALSE)</f>
        <v>(乐山市校地共建产教融合基地建设项目二标段)四川省乐山市市中区苏稽镇</v>
      </c>
      <c r="J2815" s="41" t="str">
        <f>VLOOKUP(B2815,辅助信息!E:I,4,FALSE)</f>
        <v>彭江涛</v>
      </c>
      <c r="K2815" s="41">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30" t="str">
        <f>VLOOKUP(B2815,辅助信息!E:M,9,FALSE)</f>
        <v>ZTWM-CDGS-XS-2025-0126-四川机司-乐山市校地共建产教融合基地配套设施项目施工二标段钢筋采购合同</v>
      </c>
      <c r="R2815" s="30" t="str">
        <f>_xlfn._xlws.FILTER(辅助信息!D:D,辅助信息!E:E=B2815)</f>
        <v>乐山市校地共建产教融合基地建设项目</v>
      </c>
    </row>
    <row r="2816" hidden="1" spans="2:18">
      <c r="B2816" s="136" t="s">
        <v>186</v>
      </c>
      <c r="C2816" s="71">
        <v>45887</v>
      </c>
      <c r="D2816" s="41" t="str">
        <f>VLOOKUP(B2816,辅助信息!E:K,7,FALSE)</f>
        <v>JWDDCD2025072900123</v>
      </c>
      <c r="E2816" s="41" t="str">
        <f>VLOOKUP(F2816,辅助信息!A:B,2,FALSE)</f>
        <v>螺纹钢</v>
      </c>
      <c r="F2816" s="41" t="s">
        <v>138</v>
      </c>
      <c r="G2816" s="37">
        <v>10</v>
      </c>
      <c r="H2816" s="135">
        <f>_xlfn.XLOOKUP(C2816&amp;F2816&amp;I2816&amp;J2816,'[1]2025年已发货'!$F:$F&amp;'[1]2025年已发货'!$C:$C&amp;'[1]2025年已发货'!$G:$G&amp;'[1]2025年已发货'!$H:$H,'[1]2025年已发货'!$E:$E,"未发货")</f>
        <v>10</v>
      </c>
      <c r="I2816" s="41" t="str">
        <f>VLOOKUP(B2816,辅助信息!E:I,3,FALSE)</f>
        <v>(乐山市校地共建产教融合基地建设项目二标段)四川省乐山市市中区苏稽镇</v>
      </c>
      <c r="J2816" s="41" t="str">
        <f>VLOOKUP(B2816,辅助信息!E:I,4,FALSE)</f>
        <v>彭江涛</v>
      </c>
      <c r="K2816" s="41">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30" t="str">
        <f>VLOOKUP(B2816,辅助信息!E:M,9,FALSE)</f>
        <v>ZTWM-CDGS-XS-2025-0126-四川机司-乐山市校地共建产教融合基地配套设施项目施工二标段钢筋采购合同</v>
      </c>
      <c r="R2816" s="30" t="str">
        <f>_xlfn._xlws.FILTER(辅助信息!D:D,辅助信息!E:E=B2816)</f>
        <v>乐山市校地共建产教融合基地建设项目</v>
      </c>
    </row>
    <row r="2817" hidden="1" spans="2:18">
      <c r="B2817" s="136" t="s">
        <v>186</v>
      </c>
      <c r="C2817" s="71">
        <v>45887</v>
      </c>
      <c r="D2817" s="41" t="str">
        <f>VLOOKUP(B2817,辅助信息!E:K,7,FALSE)</f>
        <v>JWDDCD2025072900123</v>
      </c>
      <c r="E2817" s="41" t="str">
        <f>VLOOKUP(F2817,辅助信息!A:B,2,FALSE)</f>
        <v>螺纹钢</v>
      </c>
      <c r="F2817" s="41" t="s">
        <v>133</v>
      </c>
      <c r="G2817" s="37">
        <v>23</v>
      </c>
      <c r="H2817" s="135">
        <f>_xlfn.XLOOKUP(C2817&amp;F2817&amp;I2817&amp;J2817,'[1]2025年已发货'!$F:$F&amp;'[1]2025年已发货'!$C:$C&amp;'[1]2025年已发货'!$G:$G&amp;'[1]2025年已发货'!$H:$H,'[1]2025年已发货'!$E:$E,"未发货")</f>
        <v>23</v>
      </c>
      <c r="I2817" s="41" t="str">
        <f>VLOOKUP(B2817,辅助信息!E:I,3,FALSE)</f>
        <v>(乐山市校地共建产教融合基地建设项目二标段)四川省乐山市市中区苏稽镇</v>
      </c>
      <c r="J2817" s="41" t="str">
        <f>VLOOKUP(B2817,辅助信息!E:I,4,FALSE)</f>
        <v>彭江涛</v>
      </c>
      <c r="K2817" s="41">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30" t="str">
        <f>VLOOKUP(B2817,辅助信息!E:M,9,FALSE)</f>
        <v>ZTWM-CDGS-XS-2025-0126-四川机司-乐山市校地共建产教融合基地配套设施项目施工二标段钢筋采购合同</v>
      </c>
      <c r="R2817" s="30" t="str">
        <f>_xlfn._xlws.FILTER(辅助信息!D:D,辅助信息!E:E=B2817)</f>
        <v>乐山市校地共建产教融合基地建设项目</v>
      </c>
    </row>
    <row r="2818" hidden="1" spans="2:18">
      <c r="B2818" s="136" t="s">
        <v>186</v>
      </c>
      <c r="C2818" s="71">
        <v>45887</v>
      </c>
      <c r="D2818" s="41" t="str">
        <f>VLOOKUP(B2818,辅助信息!E:K,7,FALSE)</f>
        <v>JWDDCD2025072900123</v>
      </c>
      <c r="E2818" s="41" t="str">
        <f>VLOOKUP(F2818,辅助信息!A:B,2,FALSE)</f>
        <v>螺纹钢</v>
      </c>
      <c r="F2818" s="41" t="s">
        <v>91</v>
      </c>
      <c r="G2818" s="37">
        <v>15</v>
      </c>
      <c r="H2818" s="135">
        <f>_xlfn.XLOOKUP(C2818&amp;F2818&amp;I2818&amp;J2818,'[1]2025年已发货'!$F:$F&amp;'[1]2025年已发货'!$C:$C&amp;'[1]2025年已发货'!$G:$G&amp;'[1]2025年已发货'!$H:$H,'[1]2025年已发货'!$E:$E,"未发货")</f>
        <v>10</v>
      </c>
      <c r="I2818" s="41" t="str">
        <f>VLOOKUP(B2818,辅助信息!E:I,3,FALSE)</f>
        <v>(乐山市校地共建产教融合基地建设项目二标段)四川省乐山市市中区苏稽镇</v>
      </c>
      <c r="J2818" s="41" t="str">
        <f>VLOOKUP(B2818,辅助信息!E:I,4,FALSE)</f>
        <v>彭江涛</v>
      </c>
      <c r="K2818" s="41">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30" t="str">
        <f>VLOOKUP(B2818,辅助信息!E:M,9,FALSE)</f>
        <v>ZTWM-CDGS-XS-2025-0126-四川机司-乐山市校地共建产教融合基地配套设施项目施工二标段钢筋采购合同</v>
      </c>
      <c r="R2818" s="30" t="str">
        <f>_xlfn._xlws.FILTER(辅助信息!D:D,辅助信息!E:E=B2818)</f>
        <v>乐山市校地共建产教融合基地建设项目</v>
      </c>
    </row>
    <row r="2819" hidden="1" spans="2:18">
      <c r="B2819" s="136" t="s">
        <v>186</v>
      </c>
      <c r="C2819" s="71">
        <v>45887</v>
      </c>
      <c r="D2819" s="41" t="str">
        <f>VLOOKUP(B2819,辅助信息!E:K,7,FALSE)</f>
        <v>JWDDCD2025072900123</v>
      </c>
      <c r="E2819" s="41" t="str">
        <f>VLOOKUP(F2819,辅助信息!A:B,2,FALSE)</f>
        <v>螺纹钢</v>
      </c>
      <c r="F2819" s="41" t="s">
        <v>205</v>
      </c>
      <c r="G2819" s="37">
        <v>7</v>
      </c>
      <c r="H2819" s="135">
        <f>_xlfn.XLOOKUP(C2819&amp;F2819&amp;I2819&amp;J2819,'[1]2025年已发货'!$F:$F&amp;'[1]2025年已发货'!$C:$C&amp;'[1]2025年已发货'!$G:$G&amp;'[1]2025年已发货'!$H:$H,'[1]2025年已发货'!$E:$E,"未发货")</f>
        <v>7</v>
      </c>
      <c r="I2819" s="41" t="str">
        <f>VLOOKUP(B2819,辅助信息!E:I,3,FALSE)</f>
        <v>(乐山市校地共建产教融合基地建设项目二标段)四川省乐山市市中区苏稽镇</v>
      </c>
      <c r="J2819" s="41" t="str">
        <f>VLOOKUP(B2819,辅助信息!E:I,4,FALSE)</f>
        <v>彭江涛</v>
      </c>
      <c r="K2819" s="41">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30" t="str">
        <f>VLOOKUP(B2819,辅助信息!E:M,9,FALSE)</f>
        <v>ZTWM-CDGS-XS-2025-0126-四川机司-乐山市校地共建产教融合基地配套设施项目施工二标段钢筋采购合同</v>
      </c>
      <c r="R2819" s="30" t="str">
        <f>_xlfn._xlws.FILTER(辅助信息!D:D,辅助信息!E:E=B2819)</f>
        <v>乐山市校地共建产教融合基地建设项目</v>
      </c>
    </row>
    <row r="2820" hidden="1" spans="2:18">
      <c r="B2820" s="136" t="s">
        <v>186</v>
      </c>
      <c r="C2820" s="71">
        <v>45887</v>
      </c>
      <c r="D2820" s="41" t="str">
        <f>VLOOKUP(B2820,辅助信息!E:K,7,FALSE)</f>
        <v>JWDDCD2025072900123</v>
      </c>
      <c r="E2820" s="41" t="str">
        <f>VLOOKUP(F2820,辅助信息!A:B,2,FALSE)</f>
        <v>螺纹钢</v>
      </c>
      <c r="F2820" s="41" t="s">
        <v>140</v>
      </c>
      <c r="G2820" s="37">
        <v>3</v>
      </c>
      <c r="H2820" s="135">
        <f>_xlfn.XLOOKUP(C2820&amp;F2820&amp;I2820&amp;J2820,'[1]2025年已发货'!$F:$F&amp;'[1]2025年已发货'!$C:$C&amp;'[1]2025年已发货'!$G:$G&amp;'[1]2025年已发货'!$H:$H,'[1]2025年已发货'!$E:$E,"未发货")</f>
        <v>3</v>
      </c>
      <c r="I2820" s="41" t="str">
        <f>VLOOKUP(B2820,辅助信息!E:I,3,FALSE)</f>
        <v>(乐山市校地共建产教融合基地建设项目二标段)四川省乐山市市中区苏稽镇</v>
      </c>
      <c r="J2820" s="41" t="str">
        <f>VLOOKUP(B2820,辅助信息!E:I,4,FALSE)</f>
        <v>彭江涛</v>
      </c>
      <c r="K2820" s="41">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30" t="str">
        <f>VLOOKUP(B2820,辅助信息!E:M,9,FALSE)</f>
        <v>ZTWM-CDGS-XS-2025-0126-四川机司-乐山市校地共建产教融合基地配套设施项目施工二标段钢筋采购合同</v>
      </c>
      <c r="R2820" s="30" t="str">
        <f>_xlfn._xlws.FILTER(辅助信息!D:D,辅助信息!E:E=B2820)</f>
        <v>乐山市校地共建产教融合基地建设项目</v>
      </c>
    </row>
    <row r="2821" hidden="1" spans="2:18">
      <c r="B2821" s="136" t="s">
        <v>186</v>
      </c>
      <c r="C2821" s="71">
        <v>45887</v>
      </c>
      <c r="D2821" s="41" t="str">
        <f>VLOOKUP(B2821,辅助信息!E:K,7,FALSE)</f>
        <v>JWDDCD2025072900123</v>
      </c>
      <c r="E2821" s="41" t="str">
        <f>VLOOKUP(F2821,辅助信息!A:B,2,FALSE)</f>
        <v>螺纹钢</v>
      </c>
      <c r="F2821" s="41" t="s">
        <v>197</v>
      </c>
      <c r="G2821" s="37">
        <v>3</v>
      </c>
      <c r="H2821" s="135">
        <f>_xlfn.XLOOKUP(C2821&amp;F2821&amp;I2821&amp;J2821,'[1]2025年已发货'!$F:$F&amp;'[1]2025年已发货'!$C:$C&amp;'[1]2025年已发货'!$G:$G&amp;'[1]2025年已发货'!$H:$H,'[1]2025年已发货'!$E:$E,"未发货")</f>
        <v>3</v>
      </c>
      <c r="I2821" s="41" t="str">
        <f>VLOOKUP(B2821,辅助信息!E:I,3,FALSE)</f>
        <v>(乐山市校地共建产教融合基地建设项目二标段)四川省乐山市市中区苏稽镇</v>
      </c>
      <c r="J2821" s="41" t="str">
        <f>VLOOKUP(B2821,辅助信息!E:I,4,FALSE)</f>
        <v>彭江涛</v>
      </c>
      <c r="K2821" s="41">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30" t="str">
        <f>VLOOKUP(B2821,辅助信息!E:M,9,FALSE)</f>
        <v>ZTWM-CDGS-XS-2025-0126-四川机司-乐山市校地共建产教融合基地配套设施项目施工二标段钢筋采购合同</v>
      </c>
      <c r="R2821" s="30" t="str">
        <f>_xlfn._xlws.FILTER(辅助信息!D:D,辅助信息!E:E=B2821)</f>
        <v>乐山市校地共建产教融合基地建设项目</v>
      </c>
    </row>
    <row r="2822" hidden="1" spans="2:18">
      <c r="B2822" s="136" t="s">
        <v>186</v>
      </c>
      <c r="C2822" s="71">
        <v>45887</v>
      </c>
      <c r="D2822" s="41" t="str">
        <f>VLOOKUP(B2822,辅助信息!E:K,7,FALSE)</f>
        <v>JWDDCD2025072900123</v>
      </c>
      <c r="E2822" s="41" t="str">
        <f>VLOOKUP(F2822,辅助信息!A:B,2,FALSE)</f>
        <v>螺纹钢</v>
      </c>
      <c r="F2822" s="41" t="s">
        <v>198</v>
      </c>
      <c r="G2822" s="37">
        <v>3</v>
      </c>
      <c r="H2822" s="135">
        <f>_xlfn.XLOOKUP(C2822&amp;F2822&amp;I2822&amp;J2822,'[1]2025年已发货'!$F:$F&amp;'[1]2025年已发货'!$C:$C&amp;'[1]2025年已发货'!$G:$G&amp;'[1]2025年已发货'!$H:$H,'[1]2025年已发货'!$E:$E,"未发货")</f>
        <v>3</v>
      </c>
      <c r="I2822" s="41" t="str">
        <f>VLOOKUP(B2822,辅助信息!E:I,3,FALSE)</f>
        <v>(乐山市校地共建产教融合基地建设项目二标段)四川省乐山市市中区苏稽镇</v>
      </c>
      <c r="J2822" s="41" t="str">
        <f>VLOOKUP(B2822,辅助信息!E:I,4,FALSE)</f>
        <v>彭江涛</v>
      </c>
      <c r="K2822" s="41">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30" t="str">
        <f>VLOOKUP(B2822,辅助信息!E:M,9,FALSE)</f>
        <v>ZTWM-CDGS-XS-2025-0126-四川机司-乐山市校地共建产教融合基地配套设施项目施工二标段钢筋采购合同</v>
      </c>
      <c r="R2822" s="30" t="str">
        <f>_xlfn._xlws.FILTER(辅助信息!D:D,辅助信息!E:E=B2822)</f>
        <v>乐山市校地共建产教融合基地建设项目</v>
      </c>
    </row>
    <row r="2823" hidden="1" spans="2:18">
      <c r="B2823" s="136" t="s">
        <v>186</v>
      </c>
      <c r="C2823" s="71">
        <v>45887</v>
      </c>
      <c r="D2823" s="41" t="str">
        <f>VLOOKUP(B2823,辅助信息!E:K,7,FALSE)</f>
        <v>JWDDCD2025072900123</v>
      </c>
      <c r="E2823" s="41" t="str">
        <f>VLOOKUP(F2823,辅助信息!A:B,2,FALSE)</f>
        <v>螺纹钢</v>
      </c>
      <c r="F2823" s="41" t="s">
        <v>199</v>
      </c>
      <c r="G2823" s="37">
        <v>7</v>
      </c>
      <c r="H2823" s="135">
        <f>_xlfn.XLOOKUP(C2823&amp;F2823&amp;I2823&amp;J2823,'[1]2025年已发货'!$F:$F&amp;'[1]2025年已发货'!$C:$C&amp;'[1]2025年已发货'!$G:$G&amp;'[1]2025年已发货'!$H:$H,'[1]2025年已发货'!$E:$E,"未发货")</f>
        <v>7</v>
      </c>
      <c r="I2823" s="41" t="str">
        <f>VLOOKUP(B2823,辅助信息!E:I,3,FALSE)</f>
        <v>(乐山市校地共建产教融合基地建设项目二标段)四川省乐山市市中区苏稽镇</v>
      </c>
      <c r="J2823" s="41" t="str">
        <f>VLOOKUP(B2823,辅助信息!E:I,4,FALSE)</f>
        <v>彭江涛</v>
      </c>
      <c r="K2823" s="41">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30" t="str">
        <f>VLOOKUP(B2823,辅助信息!E:M,9,FALSE)</f>
        <v>ZTWM-CDGS-XS-2025-0126-四川机司-乐山市校地共建产教融合基地配套设施项目施工二标段钢筋采购合同</v>
      </c>
      <c r="R2823" s="30" t="str">
        <f>_xlfn._xlws.FILTER(辅助信息!D:D,辅助信息!E:E=B2823)</f>
        <v>乐山市校地共建产教融合基地建设项目</v>
      </c>
    </row>
    <row r="2824" hidden="1" spans="2:18">
      <c r="B2824" s="136" t="s">
        <v>186</v>
      </c>
      <c r="C2824" s="71">
        <v>45887</v>
      </c>
      <c r="D2824" s="41" t="str">
        <f>VLOOKUP(B2824,辅助信息!E:K,7,FALSE)</f>
        <v>JWDDCD2025072900123</v>
      </c>
      <c r="E2824" s="41" t="str">
        <f>VLOOKUP(F2824,辅助信息!A:B,2,FALSE)</f>
        <v>螺纹钢</v>
      </c>
      <c r="F2824" s="41" t="s">
        <v>141</v>
      </c>
      <c r="G2824" s="37">
        <v>13</v>
      </c>
      <c r="H2824" s="135">
        <f>_xlfn.XLOOKUP(C2824&amp;F2824&amp;I2824&amp;J2824,'[1]2025年已发货'!$F:$F&amp;'[1]2025年已发货'!$C:$C&amp;'[1]2025年已发货'!$G:$G&amp;'[1]2025年已发货'!$H:$H,'[1]2025年已发货'!$E:$E,"未发货")</f>
        <v>13</v>
      </c>
      <c r="I2824" s="41" t="str">
        <f>VLOOKUP(B2824,辅助信息!E:I,3,FALSE)</f>
        <v>(乐山市校地共建产教融合基地建设项目二标段)四川省乐山市市中区苏稽镇</v>
      </c>
      <c r="J2824" s="41" t="str">
        <f>VLOOKUP(B2824,辅助信息!E:I,4,FALSE)</f>
        <v>彭江涛</v>
      </c>
      <c r="K2824" s="41">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30" t="str">
        <f>VLOOKUP(B2824,辅助信息!E:M,9,FALSE)</f>
        <v>ZTWM-CDGS-XS-2025-0126-四川机司-乐山市校地共建产教融合基地配套设施项目施工二标段钢筋采购合同</v>
      </c>
      <c r="R2824" s="30" t="str">
        <f>_xlfn._xlws.FILTER(辅助信息!D:D,辅助信息!E:E=B2824)</f>
        <v>乐山市校地共建产教融合基地建设项目</v>
      </c>
    </row>
    <row r="2825" hidden="1" spans="2:18">
      <c r="B2825" s="136" t="s">
        <v>186</v>
      </c>
      <c r="C2825" s="71">
        <v>45887</v>
      </c>
      <c r="D2825" s="41" t="str">
        <f>VLOOKUP(B2825,辅助信息!E:K,7,FALSE)</f>
        <v>JWDDCD2025072900123</v>
      </c>
      <c r="E2825" s="41" t="str">
        <f>VLOOKUP(F2825,辅助信息!A:B,2,FALSE)</f>
        <v>螺纹钢</v>
      </c>
      <c r="F2825" s="41" t="s">
        <v>142</v>
      </c>
      <c r="G2825" s="37">
        <v>35</v>
      </c>
      <c r="H2825" s="135">
        <f>_xlfn.XLOOKUP(C2825&amp;F2825&amp;I2825&amp;J2825,'[1]2025年已发货'!$F:$F&amp;'[1]2025年已发货'!$C:$C&amp;'[1]2025年已发货'!$G:$G&amp;'[1]2025年已发货'!$H:$H,'[1]2025年已发货'!$E:$E,"未发货")</f>
        <v>35</v>
      </c>
      <c r="I2825" s="41" t="str">
        <f>VLOOKUP(B2825,辅助信息!E:I,3,FALSE)</f>
        <v>(乐山市校地共建产教融合基地建设项目二标段)四川省乐山市市中区苏稽镇</v>
      </c>
      <c r="J2825" s="41" t="str">
        <f>VLOOKUP(B2825,辅助信息!E:I,4,FALSE)</f>
        <v>彭江涛</v>
      </c>
      <c r="K2825" s="41">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30" t="str">
        <f>VLOOKUP(B2825,辅助信息!E:M,9,FALSE)</f>
        <v>ZTWM-CDGS-XS-2025-0126-四川机司-乐山市校地共建产教融合基地配套设施项目施工二标段钢筋采购合同</v>
      </c>
      <c r="R2825" s="30" t="str">
        <f>_xlfn._xlws.FILTER(辅助信息!D:D,辅助信息!E:E=B2825)</f>
        <v>乐山市校地共建产教融合基地建设项目</v>
      </c>
    </row>
    <row r="2826" hidden="1" spans="2:18">
      <c r="B2826" s="41" t="s">
        <v>68</v>
      </c>
      <c r="C2826" s="71">
        <v>45887</v>
      </c>
      <c r="D2826" s="41" t="str">
        <f>VLOOKUP(B2826,辅助信息!E:K,7,FALSE)</f>
        <v>JWDDCD2025052800131</v>
      </c>
      <c r="E2826" s="41" t="str">
        <f>VLOOKUP(F2826,辅助信息!A:B,2,FALSE)</f>
        <v>盘螺</v>
      </c>
      <c r="F2826" s="41" t="s">
        <v>49</v>
      </c>
      <c r="G2826" s="37">
        <v>3</v>
      </c>
      <c r="H2826" s="135">
        <f>_xlfn.XLOOKUP(C2826&amp;F2826&amp;I2826&amp;J2826,'[1]2025年已发货'!$F:$F&amp;'[1]2025年已发货'!$C:$C&amp;'[1]2025年已发货'!$G:$G&amp;'[1]2025年已发货'!$H:$H,'[1]2025年已发货'!$E:$E,"未发货")</f>
        <v>3</v>
      </c>
      <c r="I2826" s="41" t="str">
        <f>VLOOKUP(B2826,辅助信息!E:I,3,FALSE)</f>
        <v>（商投建工达州中医药科技园-2工区-景观桥）达州市通川区达州中医药职业学院犀牛大道北段</v>
      </c>
      <c r="J2826" s="41" t="str">
        <f>VLOOKUP(B2826,辅助信息!E:I,4,FALSE)</f>
        <v>李波</v>
      </c>
      <c r="K2826" s="41">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30" t="str">
        <f>VLOOKUP(B2826,辅助信息!E:M,9,FALSE)</f>
        <v>ZTWM-CDGS-XS-2024-0134-商投建工达州中医药科技成果示范园项目</v>
      </c>
      <c r="R2826" s="30" t="str">
        <f>_xlfn._xlws.FILTER(辅助信息!D:D,辅助信息!E:E=B2826)</f>
        <v>商投建工达州中医药科技园</v>
      </c>
    </row>
    <row r="2827" hidden="1" spans="2:18">
      <c r="B2827" s="41" t="s">
        <v>68</v>
      </c>
      <c r="C2827" s="71">
        <v>45887</v>
      </c>
      <c r="D2827" s="41" t="str">
        <f>VLOOKUP(B2827,辅助信息!E:K,7,FALSE)</f>
        <v>JWDDCD2025052800131</v>
      </c>
      <c r="E2827" s="41" t="str">
        <f>VLOOKUP(F2827,辅助信息!A:B,2,FALSE)</f>
        <v>盘螺</v>
      </c>
      <c r="F2827" s="41" t="s">
        <v>40</v>
      </c>
      <c r="G2827" s="37">
        <v>12</v>
      </c>
      <c r="H2827" s="135">
        <f>_xlfn.XLOOKUP(C2827&amp;F2827&amp;I2827&amp;J2827,'[1]2025年已发货'!$F:$F&amp;'[1]2025年已发货'!$C:$C&amp;'[1]2025年已发货'!$G:$G&amp;'[1]2025年已发货'!$H:$H,'[1]2025年已发货'!$E:$E,"未发货")</f>
        <v>12</v>
      </c>
      <c r="I2827" s="41" t="str">
        <f>VLOOKUP(B2827,辅助信息!E:I,3,FALSE)</f>
        <v>（商投建工达州中医药科技园-2工区-景观桥）达州市通川区达州中医药职业学院犀牛大道北段</v>
      </c>
      <c r="J2827" s="41" t="str">
        <f>VLOOKUP(B2827,辅助信息!E:I,4,FALSE)</f>
        <v>李波</v>
      </c>
      <c r="K2827" s="41">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30" t="str">
        <f>VLOOKUP(B2827,辅助信息!E:M,9,FALSE)</f>
        <v>ZTWM-CDGS-XS-2024-0134-商投建工达州中医药科技成果示范园项目</v>
      </c>
      <c r="R2827" s="30" t="str">
        <f>_xlfn._xlws.FILTER(辅助信息!D:D,辅助信息!E:E=B2827)</f>
        <v>商投建工达州中医药科技园</v>
      </c>
    </row>
    <row r="2828" hidden="1" spans="2:18">
      <c r="B2828" s="41" t="s">
        <v>68</v>
      </c>
      <c r="C2828" s="71">
        <v>45887</v>
      </c>
      <c r="D2828" s="41" t="str">
        <f>VLOOKUP(B2828,辅助信息!E:K,7,FALSE)</f>
        <v>JWDDCD2025052800131</v>
      </c>
      <c r="E2828" s="41" t="str">
        <f>VLOOKUP(F2828,辅助信息!A:B,2,FALSE)</f>
        <v>盘螺</v>
      </c>
      <c r="F2828" s="41" t="s">
        <v>41</v>
      </c>
      <c r="G2828" s="37">
        <v>10</v>
      </c>
      <c r="H2828" s="135">
        <f>_xlfn.XLOOKUP(C2828&amp;F2828&amp;I2828&amp;J2828,'[1]2025年已发货'!$F:$F&amp;'[1]2025年已发货'!$C:$C&amp;'[1]2025年已发货'!$G:$G&amp;'[1]2025年已发货'!$H:$H,'[1]2025年已发货'!$E:$E,"未发货")</f>
        <v>10</v>
      </c>
      <c r="I2828" s="41" t="str">
        <f>VLOOKUP(B2828,辅助信息!E:I,3,FALSE)</f>
        <v>（商投建工达州中医药科技园-2工区-景观桥）达州市通川区达州中医药职业学院犀牛大道北段</v>
      </c>
      <c r="J2828" s="41" t="str">
        <f>VLOOKUP(B2828,辅助信息!E:I,4,FALSE)</f>
        <v>李波</v>
      </c>
      <c r="K2828" s="41">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30" t="str">
        <f>VLOOKUP(B2828,辅助信息!E:M,9,FALSE)</f>
        <v>ZTWM-CDGS-XS-2024-0134-商投建工达州中医药科技成果示范园项目</v>
      </c>
      <c r="R2828" s="30" t="str">
        <f>_xlfn._xlws.FILTER(辅助信息!D:D,辅助信息!E:E=B2828)</f>
        <v>商投建工达州中医药科技园</v>
      </c>
    </row>
    <row r="2829" hidden="1" spans="2:18">
      <c r="B2829" s="41" t="s">
        <v>68</v>
      </c>
      <c r="C2829" s="71">
        <v>45887</v>
      </c>
      <c r="D2829" s="41" t="str">
        <f>VLOOKUP(B2829,辅助信息!E:K,7,FALSE)</f>
        <v>JWDDCD2025052800131</v>
      </c>
      <c r="E2829" s="41" t="str">
        <f>VLOOKUP(F2829,辅助信息!A:B,2,FALSE)</f>
        <v>螺纹钢</v>
      </c>
      <c r="F2829" s="41" t="s">
        <v>27</v>
      </c>
      <c r="G2829" s="37">
        <v>6</v>
      </c>
      <c r="H2829" s="135">
        <f>_xlfn.XLOOKUP(C2829&amp;F2829&amp;I2829&amp;J2829,'[1]2025年已发货'!$F:$F&amp;'[1]2025年已发货'!$C:$C&amp;'[1]2025年已发货'!$G:$G&amp;'[1]2025年已发货'!$H:$H,'[1]2025年已发货'!$E:$E,"未发货")</f>
        <v>6</v>
      </c>
      <c r="I2829" s="41" t="str">
        <f>VLOOKUP(B2829,辅助信息!E:I,3,FALSE)</f>
        <v>（商投建工达州中医药科技园-2工区-景观桥）达州市通川区达州中医药职业学院犀牛大道北段</v>
      </c>
      <c r="J2829" s="41" t="str">
        <f>VLOOKUP(B2829,辅助信息!E:I,4,FALSE)</f>
        <v>李波</v>
      </c>
      <c r="K2829" s="41">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30" t="str">
        <f>VLOOKUP(B2829,辅助信息!E:M,9,FALSE)</f>
        <v>ZTWM-CDGS-XS-2024-0134-商投建工达州中医药科技成果示范园项目</v>
      </c>
      <c r="R2829" s="30" t="str">
        <f>_xlfn._xlws.FILTER(辅助信息!D:D,辅助信息!E:E=B2829)</f>
        <v>商投建工达州中医药科技园</v>
      </c>
    </row>
    <row r="2830" hidden="1" spans="2:18">
      <c r="B2830" s="41" t="s">
        <v>68</v>
      </c>
      <c r="C2830" s="71">
        <v>45887</v>
      </c>
      <c r="D2830" s="41" t="str">
        <f>VLOOKUP(B2830,辅助信息!E:K,7,FALSE)</f>
        <v>JWDDCD2025052800131</v>
      </c>
      <c r="E2830" s="41" t="str">
        <f>VLOOKUP(F2830,辅助信息!A:B,2,FALSE)</f>
        <v>螺纹钢</v>
      </c>
      <c r="F2830" s="41" t="s">
        <v>19</v>
      </c>
      <c r="G2830" s="37">
        <v>27</v>
      </c>
      <c r="H2830" s="135">
        <f>_xlfn.XLOOKUP(C2830&amp;F2830&amp;I2830&amp;J2830,'[1]2025年已发货'!$F:$F&amp;'[1]2025年已发货'!$C:$C&amp;'[1]2025年已发货'!$G:$G&amp;'[1]2025年已发货'!$H:$H,'[1]2025年已发货'!$E:$E,"未发货")</f>
        <v>25</v>
      </c>
      <c r="I2830" s="41" t="str">
        <f>VLOOKUP(B2830,辅助信息!E:I,3,FALSE)</f>
        <v>（商投建工达州中医药科技园-2工区-景观桥）达州市通川区达州中医药职业学院犀牛大道北段</v>
      </c>
      <c r="J2830" s="41" t="str">
        <f>VLOOKUP(B2830,辅助信息!E:I,4,FALSE)</f>
        <v>李波</v>
      </c>
      <c r="K2830" s="41">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30" t="str">
        <f>VLOOKUP(B2830,辅助信息!E:M,9,FALSE)</f>
        <v>ZTWM-CDGS-XS-2024-0134-商投建工达州中医药科技成果示范园项目</v>
      </c>
      <c r="R2830" s="30" t="str">
        <f>_xlfn._xlws.FILTER(辅助信息!D:D,辅助信息!E:E=B2830)</f>
        <v>商投建工达州中医药科技园</v>
      </c>
    </row>
    <row r="2831" hidden="1" spans="2:18">
      <c r="B2831" s="41" t="s">
        <v>68</v>
      </c>
      <c r="C2831" s="71">
        <v>45887</v>
      </c>
      <c r="D2831" s="41" t="str">
        <f>VLOOKUP(B2831,辅助信息!E:K,7,FALSE)</f>
        <v>JWDDCD2025052800131</v>
      </c>
      <c r="E2831" s="41" t="str">
        <f>VLOOKUP(F2831,辅助信息!A:B,2,FALSE)</f>
        <v>螺纹钢</v>
      </c>
      <c r="F2831" s="41" t="s">
        <v>32</v>
      </c>
      <c r="G2831" s="37">
        <v>15</v>
      </c>
      <c r="H2831" s="135">
        <f>_xlfn.XLOOKUP(C2831&amp;F2831&amp;I2831&amp;J2831,'[1]2025年已发货'!$F:$F&amp;'[1]2025年已发货'!$C:$C&amp;'[1]2025年已发货'!$G:$G&amp;'[1]2025年已发货'!$H:$H,'[1]2025年已发货'!$E:$E,"未发货")</f>
        <v>15</v>
      </c>
      <c r="I2831" s="41" t="str">
        <f>VLOOKUP(B2831,辅助信息!E:I,3,FALSE)</f>
        <v>（商投建工达州中医药科技园-2工区-景观桥）达州市通川区达州中医药职业学院犀牛大道北段</v>
      </c>
      <c r="J2831" s="41" t="str">
        <f>VLOOKUP(B2831,辅助信息!E:I,4,FALSE)</f>
        <v>李波</v>
      </c>
      <c r="K2831" s="41">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30" t="str">
        <f>VLOOKUP(B2831,辅助信息!E:M,9,FALSE)</f>
        <v>ZTWM-CDGS-XS-2024-0134-商投建工达州中医药科技成果示范园项目</v>
      </c>
      <c r="R2831" s="30" t="str">
        <f>_xlfn._xlws.FILTER(辅助信息!D:D,辅助信息!E:E=B2831)</f>
        <v>商投建工达州中医药科技园</v>
      </c>
    </row>
    <row r="2832" hidden="1" spans="2:18">
      <c r="B2832" s="41" t="s">
        <v>68</v>
      </c>
      <c r="C2832" s="71">
        <v>45887</v>
      </c>
      <c r="D2832" s="41" t="str">
        <f>VLOOKUP(B2832,辅助信息!E:K,7,FALSE)</f>
        <v>JWDDCD2025052800131</v>
      </c>
      <c r="E2832" s="41" t="str">
        <f>VLOOKUP(F2832,辅助信息!A:B,2,FALSE)</f>
        <v>螺纹钢</v>
      </c>
      <c r="F2832" s="41" t="s">
        <v>28</v>
      </c>
      <c r="G2832" s="37">
        <v>30</v>
      </c>
      <c r="H2832" s="135">
        <f>_xlfn.XLOOKUP(C2832&amp;F2832&amp;I2832&amp;J2832,'[1]2025年已发货'!$F:$F&amp;'[1]2025年已发货'!$C:$C&amp;'[1]2025年已发货'!$G:$G&amp;'[1]2025年已发货'!$H:$H,'[1]2025年已发货'!$E:$E,"未发货")</f>
        <v>30</v>
      </c>
      <c r="I2832" s="41" t="str">
        <f>VLOOKUP(B2832,辅助信息!E:I,3,FALSE)</f>
        <v>（商投建工达州中医药科技园-2工区-景观桥）达州市通川区达州中医药职业学院犀牛大道北段</v>
      </c>
      <c r="J2832" s="41" t="str">
        <f>VLOOKUP(B2832,辅助信息!E:I,4,FALSE)</f>
        <v>李波</v>
      </c>
      <c r="K2832" s="41">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30" t="str">
        <f>VLOOKUP(B2832,辅助信息!E:M,9,FALSE)</f>
        <v>ZTWM-CDGS-XS-2024-0134-商投建工达州中医药科技成果示范园项目</v>
      </c>
      <c r="R2832" s="30" t="str">
        <f>_xlfn._xlws.FILTER(辅助信息!D:D,辅助信息!E:E=B2832)</f>
        <v>商投建工达州中医药科技园</v>
      </c>
    </row>
    <row r="2833" hidden="1" spans="2:18">
      <c r="B2833" s="41" t="s">
        <v>68</v>
      </c>
      <c r="C2833" s="71">
        <v>45887</v>
      </c>
      <c r="D2833" s="41" t="str">
        <f>VLOOKUP(B2833,辅助信息!E:K,7,FALSE)</f>
        <v>JWDDCD2025052800131</v>
      </c>
      <c r="E2833" s="41" t="str">
        <f>VLOOKUP(F2833,辅助信息!A:B,2,FALSE)</f>
        <v>螺纹钢</v>
      </c>
      <c r="F2833" s="41" t="s">
        <v>18</v>
      </c>
      <c r="G2833" s="37">
        <v>15</v>
      </c>
      <c r="H2833" s="135">
        <f>_xlfn.XLOOKUP(C2833&amp;F2833&amp;I2833&amp;J2833,'[1]2025年已发货'!$F:$F&amp;'[1]2025年已发货'!$C:$C&amp;'[1]2025年已发货'!$G:$G&amp;'[1]2025年已发货'!$H:$H,'[1]2025年已发货'!$E:$E,"未发货")</f>
        <v>15</v>
      </c>
      <c r="I2833" s="41" t="str">
        <f>VLOOKUP(B2833,辅助信息!E:I,3,FALSE)</f>
        <v>（商投建工达州中医药科技园-2工区-景观桥）达州市通川区达州中医药职业学院犀牛大道北段</v>
      </c>
      <c r="J2833" s="41" t="str">
        <f>VLOOKUP(B2833,辅助信息!E:I,4,FALSE)</f>
        <v>李波</v>
      </c>
      <c r="K2833" s="41">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30" t="str">
        <f>VLOOKUP(B2833,辅助信息!E:M,9,FALSE)</f>
        <v>ZTWM-CDGS-XS-2024-0134-商投建工达州中医药科技成果示范园项目</v>
      </c>
      <c r="R2833" s="30" t="str">
        <f>_xlfn._xlws.FILTER(辅助信息!D:D,辅助信息!E:E=B2833)</f>
        <v>商投建工达州中医药科技园</v>
      </c>
    </row>
    <row r="2834" hidden="1" spans="2:18">
      <c r="B2834" s="41" t="s">
        <v>186</v>
      </c>
      <c r="C2834" s="71">
        <v>45887</v>
      </c>
      <c r="D2834" s="41" t="str">
        <f>VLOOKUP(B2834,辅助信息!E:K,7,FALSE)</f>
        <v>JWDDCD2025072900123</v>
      </c>
      <c r="E2834" s="41" t="str">
        <f>VLOOKUP(F2834,辅助信息!A:B,2,FALSE)</f>
        <v>盘螺</v>
      </c>
      <c r="F2834" s="41" t="s">
        <v>40</v>
      </c>
      <c r="G2834" s="37">
        <v>67</v>
      </c>
      <c r="H2834" s="135">
        <v>68</v>
      </c>
      <c r="I2834" s="41" t="str">
        <f>VLOOKUP(B2834,辅助信息!E:I,3,FALSE)</f>
        <v>(乐山市校地共建产教融合基地建设项目二标段)四川省乐山市市中区苏稽镇</v>
      </c>
      <c r="J2834" s="41" t="str">
        <f>VLOOKUP(B2834,辅助信息!E:I,4,FALSE)</f>
        <v>彭江涛</v>
      </c>
      <c r="K2834" s="41">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30" t="str">
        <f>VLOOKUP(B2834,辅助信息!E:M,9,FALSE)</f>
        <v>ZTWM-CDGS-XS-2025-0126-四川机司-乐山市校地共建产教融合基地配套设施项目施工二标段钢筋采购合同</v>
      </c>
      <c r="R2834" s="30" t="str">
        <f>_xlfn._xlws.FILTER(辅助信息!D:D,辅助信息!E:E=B2834)</f>
        <v>乐山市校地共建产教融合基地建设项目</v>
      </c>
    </row>
    <row r="2835" hidden="1" spans="2:18">
      <c r="B2835" s="41" t="s">
        <v>186</v>
      </c>
      <c r="C2835" s="71">
        <v>45887</v>
      </c>
      <c r="D2835" s="41" t="str">
        <f>VLOOKUP(B2835,辅助信息!E:K,7,FALSE)</f>
        <v>JWDDCD2025072900123</v>
      </c>
      <c r="E2835" s="41" t="str">
        <f>VLOOKUP(F2835,辅助信息!A:B,2,FALSE)</f>
        <v>盘螺</v>
      </c>
      <c r="F2835" s="41" t="s">
        <v>41</v>
      </c>
      <c r="G2835" s="37">
        <v>98</v>
      </c>
      <c r="H2835" s="135">
        <v>98</v>
      </c>
      <c r="I2835" s="41" t="str">
        <f>VLOOKUP(B2835,辅助信息!E:I,3,FALSE)</f>
        <v>(乐山市校地共建产教融合基地建设项目二标段)四川省乐山市市中区苏稽镇</v>
      </c>
      <c r="J2835" s="41" t="str">
        <f>VLOOKUP(B2835,辅助信息!E:I,4,FALSE)</f>
        <v>彭江涛</v>
      </c>
      <c r="K2835" s="41">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30" t="str">
        <f>VLOOKUP(B2835,辅助信息!E:M,9,FALSE)</f>
        <v>ZTWM-CDGS-XS-2025-0126-四川机司-乐山市校地共建产教融合基地配套设施项目施工二标段钢筋采购合同</v>
      </c>
      <c r="R2835" s="30" t="str">
        <f>_xlfn._xlws.FILTER(辅助信息!D:D,辅助信息!E:E=B2835)</f>
        <v>乐山市校地共建产教融合基地建设项目</v>
      </c>
    </row>
    <row r="2836" hidden="1" spans="2:18">
      <c r="B2836" s="41" t="s">
        <v>147</v>
      </c>
      <c r="C2836" s="71">
        <v>45887</v>
      </c>
      <c r="D2836" s="41" t="str">
        <f>VLOOKUP(B2836,辅助信息!E:K,7,FALSE)</f>
        <v>JWDDCD2025052800131</v>
      </c>
      <c r="E2836" s="41" t="str">
        <f>VLOOKUP(F2836,辅助信息!A:B,2,FALSE)</f>
        <v>盘螺</v>
      </c>
      <c r="F2836" s="41" t="s">
        <v>49</v>
      </c>
      <c r="G2836" s="37">
        <v>6</v>
      </c>
      <c r="H2836" s="135">
        <f>_xlfn.XLOOKUP(C2836&amp;F2836&amp;I2836&amp;J2836,'[1]2025年已发货'!$F:$F&amp;'[1]2025年已发货'!$C:$C&amp;'[1]2025年已发货'!$G:$G&amp;'[1]2025年已发货'!$H:$H,'[1]2025年已发货'!$E:$E,"未发货")</f>
        <v>6</v>
      </c>
      <c r="I2836" s="41" t="str">
        <f>VLOOKUP(B2836,辅助信息!E:I,3,FALSE)</f>
        <v>（商投建工达州中医药科技园-4工区-11号楼）达州市通川区达州中医药职业学院犀牛大道北段</v>
      </c>
      <c r="J2836" s="41" t="str">
        <f>VLOOKUP(B2836,辅助信息!E:I,4,FALSE)</f>
        <v>张扬</v>
      </c>
      <c r="K2836" s="41">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30" t="str">
        <f>VLOOKUP(B2836,辅助信息!E:M,9,FALSE)</f>
        <v>ZTWM-CDGS-XS-2024-0134-商投建工达州中医药科技成果示范园项目</v>
      </c>
      <c r="R2836" s="30" t="str">
        <f>_xlfn._xlws.FILTER(辅助信息!D:D,辅助信息!E:E=B2836)</f>
        <v>商投建工达州中医药科技园</v>
      </c>
    </row>
    <row r="2837" hidden="1" spans="2:18">
      <c r="B2837" s="41" t="s">
        <v>147</v>
      </c>
      <c r="C2837" s="71">
        <v>45887</v>
      </c>
      <c r="D2837" s="41" t="str">
        <f>VLOOKUP(B2837,辅助信息!E:K,7,FALSE)</f>
        <v>JWDDCD2025052800131</v>
      </c>
      <c r="E2837" s="41" t="str">
        <f>VLOOKUP(F2837,辅助信息!A:B,2,FALSE)</f>
        <v>盘螺</v>
      </c>
      <c r="F2837" s="41" t="s">
        <v>40</v>
      </c>
      <c r="G2837" s="37">
        <v>24</v>
      </c>
      <c r="H2837" s="135">
        <f>_xlfn.XLOOKUP(C2837&amp;F2837&amp;I2837&amp;J2837,'[1]2025年已发货'!$F:$F&amp;'[1]2025年已发货'!$C:$C&amp;'[1]2025年已发货'!$G:$G&amp;'[1]2025年已发货'!$H:$H,'[1]2025年已发货'!$E:$E,"未发货")</f>
        <v>24</v>
      </c>
      <c r="I2837" s="41" t="str">
        <f>VLOOKUP(B2837,辅助信息!E:I,3,FALSE)</f>
        <v>（商投建工达州中医药科技园-4工区-11号楼）达州市通川区达州中医药职业学院犀牛大道北段</v>
      </c>
      <c r="J2837" s="41" t="str">
        <f>VLOOKUP(B2837,辅助信息!E:I,4,FALSE)</f>
        <v>张扬</v>
      </c>
      <c r="K2837" s="41">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30" t="str">
        <f>VLOOKUP(B2837,辅助信息!E:M,9,FALSE)</f>
        <v>ZTWM-CDGS-XS-2024-0134-商投建工达州中医药科技成果示范园项目</v>
      </c>
      <c r="R2837" s="30" t="str">
        <f>_xlfn._xlws.FILTER(辅助信息!D:D,辅助信息!E:E=B2837)</f>
        <v>商投建工达州中医药科技园</v>
      </c>
    </row>
    <row r="2838" hidden="1" spans="2:18">
      <c r="B2838" s="41" t="s">
        <v>147</v>
      </c>
      <c r="C2838" s="71">
        <v>45887</v>
      </c>
      <c r="D2838" s="41" t="str">
        <f>VLOOKUP(B2838,辅助信息!E:K,7,FALSE)</f>
        <v>JWDDCD2025052800131</v>
      </c>
      <c r="E2838" s="41" t="str">
        <f>VLOOKUP(F2838,辅助信息!A:B,2,FALSE)</f>
        <v>盘螺</v>
      </c>
      <c r="F2838" s="41" t="s">
        <v>41</v>
      </c>
      <c r="G2838" s="37">
        <v>15</v>
      </c>
      <c r="H2838" s="135">
        <f>_xlfn.XLOOKUP(C2838&amp;F2838&amp;I2838&amp;J2838,'[1]2025年已发货'!$F:$F&amp;'[1]2025年已发货'!$C:$C&amp;'[1]2025年已发货'!$G:$G&amp;'[1]2025年已发货'!$H:$H,'[1]2025年已发货'!$E:$E,"未发货")</f>
        <v>15</v>
      </c>
      <c r="I2838" s="41" t="str">
        <f>VLOOKUP(B2838,辅助信息!E:I,3,FALSE)</f>
        <v>（商投建工达州中医药科技园-4工区-11号楼）达州市通川区达州中医药职业学院犀牛大道北段</v>
      </c>
      <c r="J2838" s="41" t="str">
        <f>VLOOKUP(B2838,辅助信息!E:I,4,FALSE)</f>
        <v>张扬</v>
      </c>
      <c r="K2838" s="41">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30" t="str">
        <f>VLOOKUP(B2838,辅助信息!E:M,9,FALSE)</f>
        <v>ZTWM-CDGS-XS-2024-0134-商投建工达州中医药科技成果示范园项目</v>
      </c>
      <c r="R2838" s="30" t="str">
        <f>_xlfn._xlws.FILTER(辅助信息!D:D,辅助信息!E:E=B2838)</f>
        <v>商投建工达州中医药科技园</v>
      </c>
    </row>
    <row r="2839" hidden="1" spans="2:18">
      <c r="B2839" s="41" t="s">
        <v>147</v>
      </c>
      <c r="C2839" s="71">
        <v>45887</v>
      </c>
      <c r="D2839" s="41" t="str">
        <f>VLOOKUP(B2839,辅助信息!E:K,7,FALSE)</f>
        <v>JWDDCD2025052800131</v>
      </c>
      <c r="E2839" s="41" t="str">
        <f>VLOOKUP(F2839,辅助信息!A:B,2,FALSE)</f>
        <v>螺纹钢</v>
      </c>
      <c r="F2839" s="41" t="s">
        <v>45</v>
      </c>
      <c r="G2839" s="37">
        <v>6</v>
      </c>
      <c r="H2839" s="135">
        <f>_xlfn.XLOOKUP(C2839&amp;F2839&amp;I2839&amp;J2839,'[1]2025年已发货'!$F:$F&amp;'[1]2025年已发货'!$C:$C&amp;'[1]2025年已发货'!$G:$G&amp;'[1]2025年已发货'!$H:$H,'[1]2025年已发货'!$E:$E,"未发货")</f>
        <v>6</v>
      </c>
      <c r="I2839" s="41" t="str">
        <f>VLOOKUP(B2839,辅助信息!E:I,3,FALSE)</f>
        <v>（商投建工达州中医药科技园-4工区-11号楼）达州市通川区达州中医药职业学院犀牛大道北段</v>
      </c>
      <c r="J2839" s="41" t="str">
        <f>VLOOKUP(B2839,辅助信息!E:I,4,FALSE)</f>
        <v>张扬</v>
      </c>
      <c r="K2839" s="41">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30" t="str">
        <f>VLOOKUP(B2839,辅助信息!E:M,9,FALSE)</f>
        <v>ZTWM-CDGS-XS-2024-0134-商投建工达州中医药科技成果示范园项目</v>
      </c>
      <c r="R2839" s="30" t="str">
        <f>_xlfn._xlws.FILTER(辅助信息!D:D,辅助信息!E:E=B2839)</f>
        <v>商投建工达州中医药科技园</v>
      </c>
    </row>
    <row r="2840" hidden="1" spans="2:18">
      <c r="B2840" s="41" t="s">
        <v>147</v>
      </c>
      <c r="C2840" s="71">
        <v>45887</v>
      </c>
      <c r="D2840" s="41" t="str">
        <f>VLOOKUP(B2840,辅助信息!E:K,7,FALSE)</f>
        <v>JWDDCD2025052800131</v>
      </c>
      <c r="E2840" s="41" t="str">
        <f>VLOOKUP(F2840,辅助信息!A:B,2,FALSE)</f>
        <v>螺纹钢</v>
      </c>
      <c r="F2840" s="41" t="s">
        <v>21</v>
      </c>
      <c r="G2840" s="37">
        <v>9</v>
      </c>
      <c r="H2840" s="135">
        <f>_xlfn.XLOOKUP(C2840&amp;F2840&amp;I2840&amp;J2840,'[1]2025年已发货'!$F:$F&amp;'[1]2025年已发货'!$C:$C&amp;'[1]2025年已发货'!$G:$G&amp;'[1]2025年已发货'!$H:$H,'[1]2025年已发货'!$E:$E,"未发货")</f>
        <v>7.5</v>
      </c>
      <c r="I2840" s="41" t="str">
        <f>VLOOKUP(B2840,辅助信息!E:I,3,FALSE)</f>
        <v>（商投建工达州中医药科技园-4工区-11号楼）达州市通川区达州中医药职业学院犀牛大道北段</v>
      </c>
      <c r="J2840" s="41" t="str">
        <f>VLOOKUP(B2840,辅助信息!E:I,4,FALSE)</f>
        <v>张扬</v>
      </c>
      <c r="K2840" s="41">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30" t="str">
        <f>VLOOKUP(B2840,辅助信息!E:M,9,FALSE)</f>
        <v>ZTWM-CDGS-XS-2024-0134-商投建工达州中医药科技成果示范园项目</v>
      </c>
      <c r="R2840" s="30" t="str">
        <f>_xlfn._xlws.FILTER(辅助信息!D:D,辅助信息!E:E=B2840)</f>
        <v>商投建工达州中医药科技园</v>
      </c>
    </row>
    <row r="2841" hidden="1" spans="2:18">
      <c r="B2841" s="41" t="s">
        <v>147</v>
      </c>
      <c r="C2841" s="71">
        <v>45887</v>
      </c>
      <c r="D2841" s="41" t="str">
        <f>VLOOKUP(B2841,辅助信息!E:K,7,FALSE)</f>
        <v>JWDDCD2025052800131</v>
      </c>
      <c r="E2841" s="41" t="str">
        <f>VLOOKUP(F2841,辅助信息!A:B,2,FALSE)</f>
        <v>螺纹钢</v>
      </c>
      <c r="F2841" s="41" t="s">
        <v>58</v>
      </c>
      <c r="G2841" s="37">
        <v>9</v>
      </c>
      <c r="H2841" s="135">
        <f>_xlfn.XLOOKUP(C2841&amp;F2841&amp;I2841&amp;J2841,'[1]2025年已发货'!$F:$F&amp;'[1]2025年已发货'!$C:$C&amp;'[1]2025年已发货'!$G:$G&amp;'[1]2025年已发货'!$H:$H,'[1]2025年已发货'!$E:$E,"未发货")</f>
        <v>7.5</v>
      </c>
      <c r="I2841" s="41" t="str">
        <f>VLOOKUP(B2841,辅助信息!E:I,3,FALSE)</f>
        <v>（商投建工达州中医药科技园-4工区-11号楼）达州市通川区达州中医药职业学院犀牛大道北段</v>
      </c>
      <c r="J2841" s="41" t="str">
        <f>VLOOKUP(B2841,辅助信息!E:I,4,FALSE)</f>
        <v>张扬</v>
      </c>
      <c r="K2841" s="41">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30" t="str">
        <f>VLOOKUP(B2841,辅助信息!E:M,9,FALSE)</f>
        <v>ZTWM-CDGS-XS-2024-0134-商投建工达州中医药科技成果示范园项目</v>
      </c>
      <c r="R2841" s="30" t="str">
        <f>_xlfn._xlws.FILTER(辅助信息!D:D,辅助信息!E:E=B2841)</f>
        <v>商投建工达州中医药科技园</v>
      </c>
    </row>
    <row r="2842" hidden="1" spans="2:18">
      <c r="B2842" s="41" t="s">
        <v>147</v>
      </c>
      <c r="C2842" s="71">
        <v>45887</v>
      </c>
      <c r="D2842" s="41" t="str">
        <f>VLOOKUP(B2842,辅助信息!E:K,7,FALSE)</f>
        <v>JWDDCD2025052800131</v>
      </c>
      <c r="E2842" s="41" t="str">
        <f>VLOOKUP(F2842,辅助信息!A:B,2,FALSE)</f>
        <v>螺纹钢</v>
      </c>
      <c r="F2842" s="41" t="s">
        <v>22</v>
      </c>
      <c r="G2842" s="37">
        <v>21</v>
      </c>
      <c r="H2842" s="135">
        <f>_xlfn.XLOOKUP(C2842&amp;F2842&amp;I2842&amp;J2842,'[1]2025年已发货'!$F:$F&amp;'[1]2025年已发货'!$C:$C&amp;'[1]2025年已发货'!$G:$G&amp;'[1]2025年已发货'!$H:$H,'[1]2025年已发货'!$E:$E,"未发货")</f>
        <v>20</v>
      </c>
      <c r="I2842" s="41" t="str">
        <f>VLOOKUP(B2842,辅助信息!E:I,3,FALSE)</f>
        <v>（商投建工达州中医药科技园-4工区-11号楼）达州市通川区达州中医药职业学院犀牛大道北段</v>
      </c>
      <c r="J2842" s="41" t="str">
        <f>VLOOKUP(B2842,辅助信息!E:I,4,FALSE)</f>
        <v>张扬</v>
      </c>
      <c r="K2842" s="41">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30" t="str">
        <f>VLOOKUP(B2842,辅助信息!E:M,9,FALSE)</f>
        <v>ZTWM-CDGS-XS-2024-0134-商投建工达州中医药科技成果示范园项目</v>
      </c>
      <c r="R2842" s="30"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30" t="str">
        <f>VLOOKUP(B2843,辅助信息!E:M,9,FALSE)</f>
        <v>ZTWM-CDGS-XS-2025-0125-四川机司-乐山市校地共建产教融合基地配套设施项目施工一标段钢筋采购合同</v>
      </c>
      <c r="R2843" s="30"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30" t="str">
        <f>VLOOKUP(B2844,辅助信息!E:M,9,FALSE)</f>
        <v>ZTWM-CDGS-XS-2025-0125-四川机司-乐山市校地共建产教融合基地配套设施项目施工一标段钢筋采购合同</v>
      </c>
      <c r="R2844" s="30"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30" t="str">
        <f>VLOOKUP(B2845,辅助信息!E:M,9,FALSE)</f>
        <v>ZTWM-CDGS-XS-2025-0125-四川机司-乐山市校地共建产教融合基地配套设施项目施工一标段钢筋采购合同</v>
      </c>
      <c r="R2845" s="30" t="str">
        <f>_xlfn._xlws.FILTER(辅助信息!D:D,辅助信息!E:E=B2845)</f>
        <v>乐山市校地共建产教融合基地建设项目</v>
      </c>
    </row>
    <row r="2846" hidden="1" spans="2:18">
      <c r="B2846" s="41" t="s">
        <v>92</v>
      </c>
      <c r="C2846" s="71">
        <v>45888</v>
      </c>
      <c r="D2846" s="41" t="str">
        <f>VLOOKUP(B2846,辅助信息!E:K,7,FALSE)</f>
        <v>JWDDCD2025051800046</v>
      </c>
      <c r="E2846" s="41" t="str">
        <f>VLOOKUP(F2846,辅助信息!A:B,2,FALSE)</f>
        <v>盘螺</v>
      </c>
      <c r="F2846" s="41" t="s">
        <v>49</v>
      </c>
      <c r="G2846" s="37">
        <v>6</v>
      </c>
      <c r="H2846" s="135">
        <f>_xlfn.XLOOKUP(C2846&amp;F2846&amp;I2846&amp;J2846,'[1]2025年已发货'!$F:$F&amp;'[1]2025年已发货'!$C:$C&amp;'[1]2025年已发货'!$G:$G&amp;'[1]2025年已发货'!$H:$H,'[1]2025年已发货'!$E:$E,"未发货")</f>
        <v>6</v>
      </c>
      <c r="I2846" s="41" t="str">
        <f>VLOOKUP(B2846,辅助信息!E:I,3,FALSE)</f>
        <v>（华西萌海科创农业生态谷）成都市简阳市白金山水库</v>
      </c>
      <c r="J2846" s="41" t="str">
        <f>VLOOKUP(B2846,辅助信息!E:I,4,FALSE)</f>
        <v>石清国</v>
      </c>
      <c r="K2846" s="41">
        <f>VLOOKUP(J2846,辅助信息!H:I,2,FALSE)</f>
        <v>13458642015</v>
      </c>
      <c r="L2846" s="110" t="str">
        <f>VLOOKUP(B2846,辅助信息!E:J,6,FALSE)</f>
        <v>优先威钢,我方卸车,新老国标钢厂不加价可直发</v>
      </c>
      <c r="O2846" s="63" t="str">
        <f ca="1" t="shared" si="169"/>
        <v/>
      </c>
      <c r="P2846" s="63" t="str">
        <f ca="1" t="shared" si="170"/>
        <v/>
      </c>
      <c r="Q2846" s="30" t="str">
        <f>VLOOKUP(B2846,辅助信息!E:M,9,FALSE)</f>
        <v>ZTWM-CDGS-XS-2024-0092-华西-萌海科创农业生态谷</v>
      </c>
      <c r="R2846" s="30" t="str">
        <f>_xlfn._xlws.FILTER(辅助信息!D:D,辅助信息!E:E=B2846)</f>
        <v>华西萌海-科创农业生态谷</v>
      </c>
    </row>
    <row r="2847" hidden="1" spans="2:18">
      <c r="B2847" s="41" t="s">
        <v>92</v>
      </c>
      <c r="C2847" s="71">
        <v>45888</v>
      </c>
      <c r="D2847" s="41" t="str">
        <f>VLOOKUP(B2847,辅助信息!E:K,7,FALSE)</f>
        <v>JWDDCD2025051800046</v>
      </c>
      <c r="E2847" s="41" t="str">
        <f>VLOOKUP(F2847,辅助信息!A:B,2,FALSE)</f>
        <v>螺纹钢</v>
      </c>
      <c r="F2847" s="41" t="s">
        <v>27</v>
      </c>
      <c r="G2847" s="37">
        <v>7</v>
      </c>
      <c r="H2847" s="135">
        <f>_xlfn.XLOOKUP(C2847&amp;F2847&amp;I2847&amp;J2847,'[1]2025年已发货'!$F:$F&amp;'[1]2025年已发货'!$C:$C&amp;'[1]2025年已发货'!$G:$G&amp;'[1]2025年已发货'!$H:$H,'[1]2025年已发货'!$E:$E,"未发货")</f>
        <v>7</v>
      </c>
      <c r="I2847" s="41" t="str">
        <f>VLOOKUP(B2847,辅助信息!E:I,3,FALSE)</f>
        <v>（华西萌海科创农业生态谷）成都市简阳市白金山水库</v>
      </c>
      <c r="J2847" s="41" t="str">
        <f>VLOOKUP(B2847,辅助信息!E:I,4,FALSE)</f>
        <v>石清国</v>
      </c>
      <c r="K2847" s="41">
        <f>VLOOKUP(J2847,辅助信息!H:I,2,FALSE)</f>
        <v>13458642015</v>
      </c>
      <c r="L2847" s="110" t="str">
        <f>VLOOKUP(B2847,辅助信息!E:J,6,FALSE)</f>
        <v>优先威钢,我方卸车,新老国标钢厂不加价可直发</v>
      </c>
      <c r="O2847" s="63" t="str">
        <f ca="1" t="shared" si="169"/>
        <v/>
      </c>
      <c r="P2847" s="63" t="str">
        <f ca="1" t="shared" si="170"/>
        <v/>
      </c>
      <c r="Q2847" s="30" t="str">
        <f>VLOOKUP(B2847,辅助信息!E:M,9,FALSE)</f>
        <v>ZTWM-CDGS-XS-2024-0092-华西-萌海科创农业生态谷</v>
      </c>
      <c r="R2847" s="30" t="str">
        <f>_xlfn._xlws.FILTER(辅助信息!D:D,辅助信息!E:E=B2847)</f>
        <v>华西萌海-科创农业生态谷</v>
      </c>
    </row>
    <row r="2848" hidden="1" spans="2:18">
      <c r="B2848" s="41" t="s">
        <v>92</v>
      </c>
      <c r="C2848" s="71">
        <v>45888</v>
      </c>
      <c r="D2848" s="41" t="str">
        <f>VLOOKUP(B2848,辅助信息!E:K,7,FALSE)</f>
        <v>JWDDCD2025051800046</v>
      </c>
      <c r="E2848" s="41" t="str">
        <f>VLOOKUP(F2848,辅助信息!A:B,2,FALSE)</f>
        <v>螺纹钢</v>
      </c>
      <c r="F2848" s="41" t="s">
        <v>65</v>
      </c>
      <c r="G2848" s="37">
        <v>3</v>
      </c>
      <c r="H2848" s="135">
        <f>_xlfn.XLOOKUP(C2848&amp;F2848&amp;I2848&amp;J2848,'[1]2025年已发货'!$F:$F&amp;'[1]2025年已发货'!$C:$C&amp;'[1]2025年已发货'!$G:$G&amp;'[1]2025年已发货'!$H:$H,'[1]2025年已发货'!$E:$E,"未发货")</f>
        <v>3</v>
      </c>
      <c r="I2848" s="41" t="str">
        <f>VLOOKUP(B2848,辅助信息!E:I,3,FALSE)</f>
        <v>（华西萌海科创农业生态谷）成都市简阳市白金山水库</v>
      </c>
      <c r="J2848" s="41" t="str">
        <f>VLOOKUP(B2848,辅助信息!E:I,4,FALSE)</f>
        <v>石清国</v>
      </c>
      <c r="K2848" s="41">
        <f>VLOOKUP(J2848,辅助信息!H:I,2,FALSE)</f>
        <v>13458642015</v>
      </c>
      <c r="L2848" s="110" t="str">
        <f>VLOOKUP(B2848,辅助信息!E:J,6,FALSE)</f>
        <v>优先威钢,我方卸车,新老国标钢厂不加价可直发</v>
      </c>
      <c r="O2848" s="63" t="str">
        <f ca="1" t="shared" si="169"/>
        <v/>
      </c>
      <c r="P2848" s="63" t="str">
        <f ca="1" t="shared" si="170"/>
        <v/>
      </c>
      <c r="Q2848" s="30" t="str">
        <f>VLOOKUP(B2848,辅助信息!E:M,9,FALSE)</f>
        <v>ZTWM-CDGS-XS-2024-0092-华西-萌海科创农业生态谷</v>
      </c>
      <c r="R2848" s="30" t="str">
        <f>_xlfn._xlws.FILTER(辅助信息!D:D,辅助信息!E:E=B2848)</f>
        <v>华西萌海-科创农业生态谷</v>
      </c>
    </row>
    <row r="2849" hidden="1" spans="2:18">
      <c r="B2849" s="41" t="s">
        <v>92</v>
      </c>
      <c r="C2849" s="71">
        <v>45888</v>
      </c>
      <c r="D2849" s="41" t="str">
        <f>VLOOKUP(B2849,辅助信息!E:K,7,FALSE)</f>
        <v>JWDDCD2025051800046</v>
      </c>
      <c r="E2849" s="41" t="str">
        <f>VLOOKUP(F2849,辅助信息!A:B,2,FALSE)</f>
        <v>螺纹钢</v>
      </c>
      <c r="F2849" s="41" t="s">
        <v>82</v>
      </c>
      <c r="G2849" s="37">
        <v>3</v>
      </c>
      <c r="H2849" s="135">
        <f>_xlfn.XLOOKUP(C2849&amp;F2849&amp;I2849&amp;J2849,'[1]2025年已发货'!$F:$F&amp;'[1]2025年已发货'!$C:$C&amp;'[1]2025年已发货'!$G:$G&amp;'[1]2025年已发货'!$H:$H,'[1]2025年已发货'!$E:$E,"未发货")</f>
        <v>3</v>
      </c>
      <c r="I2849" s="41" t="str">
        <f>VLOOKUP(B2849,辅助信息!E:I,3,FALSE)</f>
        <v>（华西萌海科创农业生态谷）成都市简阳市白金山水库</v>
      </c>
      <c r="J2849" s="41" t="str">
        <f>VLOOKUP(B2849,辅助信息!E:I,4,FALSE)</f>
        <v>石清国</v>
      </c>
      <c r="K2849" s="41">
        <f>VLOOKUP(J2849,辅助信息!H:I,2,FALSE)</f>
        <v>13458642015</v>
      </c>
      <c r="L2849" s="110" t="str">
        <f>VLOOKUP(B2849,辅助信息!E:J,6,FALSE)</f>
        <v>优先威钢,我方卸车,新老国标钢厂不加价可直发</v>
      </c>
      <c r="O2849" s="63" t="str">
        <f ca="1" t="shared" si="169"/>
        <v/>
      </c>
      <c r="P2849" s="63" t="str">
        <f ca="1" t="shared" si="170"/>
        <v/>
      </c>
      <c r="Q2849" s="30" t="str">
        <f>VLOOKUP(B2849,辅助信息!E:M,9,FALSE)</f>
        <v>ZTWM-CDGS-XS-2024-0092-华西-萌海科创农业生态谷</v>
      </c>
      <c r="R2849" s="30" t="str">
        <f>_xlfn._xlws.FILTER(辅助信息!D:D,辅助信息!E:E=B2849)</f>
        <v>华西萌海-科创农业生态谷</v>
      </c>
    </row>
    <row r="2850" hidden="1" spans="2:18">
      <c r="B2850" s="41" t="s">
        <v>92</v>
      </c>
      <c r="C2850" s="71">
        <v>45888</v>
      </c>
      <c r="D2850" s="41" t="str">
        <f>VLOOKUP(B2850,辅助信息!E:K,7,FALSE)</f>
        <v>JWDDCD2025051800046</v>
      </c>
      <c r="E2850" s="41" t="str">
        <f>VLOOKUP(F2850,辅助信息!A:B,2,FALSE)</f>
        <v>螺纹钢</v>
      </c>
      <c r="F2850" s="41" t="s">
        <v>22</v>
      </c>
      <c r="G2850" s="37">
        <v>20</v>
      </c>
      <c r="H2850" s="135">
        <f>_xlfn.XLOOKUP(C2850&amp;F2850&amp;I2850&amp;J2850,'[1]2025年已发货'!$F:$F&amp;'[1]2025年已发货'!$C:$C&amp;'[1]2025年已发货'!$G:$G&amp;'[1]2025年已发货'!$H:$H,'[1]2025年已发货'!$E:$E,"未发货")</f>
        <v>20</v>
      </c>
      <c r="I2850" s="41" t="str">
        <f>VLOOKUP(B2850,辅助信息!E:I,3,FALSE)</f>
        <v>（华西萌海科创农业生态谷）成都市简阳市白金山水库</v>
      </c>
      <c r="J2850" s="41" t="str">
        <f>VLOOKUP(B2850,辅助信息!E:I,4,FALSE)</f>
        <v>石清国</v>
      </c>
      <c r="K2850" s="41">
        <f>VLOOKUP(J2850,辅助信息!H:I,2,FALSE)</f>
        <v>13458642015</v>
      </c>
      <c r="L2850" s="110" t="str">
        <f>VLOOKUP(B2850,辅助信息!E:J,6,FALSE)</f>
        <v>优先威钢,我方卸车,新老国标钢厂不加价可直发</v>
      </c>
      <c r="O2850" s="63" t="str">
        <f ca="1" t="shared" si="169"/>
        <v/>
      </c>
      <c r="P2850" s="63" t="str">
        <f ca="1" t="shared" si="170"/>
        <v/>
      </c>
      <c r="Q2850" s="30" t="str">
        <f>VLOOKUP(B2850,辅助信息!E:M,9,FALSE)</f>
        <v>ZTWM-CDGS-XS-2024-0092-华西-萌海科创农业生态谷</v>
      </c>
      <c r="R2850" s="30" t="str">
        <f>_xlfn._xlws.FILTER(辅助信息!D:D,辅助信息!E:E=B2850)</f>
        <v>华西萌海-科创农业生态谷</v>
      </c>
    </row>
    <row r="2851" hidden="1" spans="2:18">
      <c r="B2851" s="41" t="s">
        <v>47</v>
      </c>
      <c r="C2851" s="71">
        <v>45888</v>
      </c>
      <c r="D2851" s="41" t="str">
        <f>VLOOKUP(B2851,辅助信息!E:K,7,FALSE)</f>
        <v>JWDDCD2025052800131</v>
      </c>
      <c r="E2851" s="41" t="str">
        <f>VLOOKUP(F2851,辅助信息!A:B,2,FALSE)</f>
        <v>盘螺</v>
      </c>
      <c r="F2851" s="41" t="s">
        <v>40</v>
      </c>
      <c r="G2851" s="37">
        <v>30</v>
      </c>
      <c r="H2851" s="135">
        <f>_xlfn.XLOOKUP(C2851&amp;F2851&amp;I2851&amp;J2851,'[1]2025年已发货'!$F:$F&amp;'[1]2025年已发货'!$C:$C&amp;'[1]2025年已发货'!$G:$G&amp;'[1]2025年已发货'!$H:$H,'[1]2025年已发货'!$E:$E,"未发货")</f>
        <v>30</v>
      </c>
      <c r="I2851" s="41" t="str">
        <f>VLOOKUP(B2851,辅助信息!E:I,3,FALSE)</f>
        <v>（商投建工达州中医药科技园-1工区）达州市通川区达州中医药职业学院犀牛大道北段</v>
      </c>
      <c r="J2851" s="41" t="str">
        <f>VLOOKUP(B2851,辅助信息!E:I,4,FALSE)</f>
        <v>程黄刚</v>
      </c>
      <c r="K2851" s="41">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30" t="str">
        <f>VLOOKUP(B2851,辅助信息!E:M,9,FALSE)</f>
        <v>ZTWM-CDGS-XS-2024-0134-商投建工达州中医药科技成果示范园项目</v>
      </c>
      <c r="R2851" s="30" t="str">
        <f>_xlfn._xlws.FILTER(辅助信息!D:D,辅助信息!E:E=B2851)</f>
        <v>商投建工达州中医药科技园</v>
      </c>
    </row>
    <row r="2852" hidden="1" spans="2:18">
      <c r="B2852" s="41" t="s">
        <v>47</v>
      </c>
      <c r="C2852" s="71">
        <v>45888</v>
      </c>
      <c r="D2852" s="41" t="str">
        <f>VLOOKUP(B2852,辅助信息!E:K,7,FALSE)</f>
        <v>JWDDCD2025052800131</v>
      </c>
      <c r="E2852" s="41" t="str">
        <f>VLOOKUP(F2852,辅助信息!A:B,2,FALSE)</f>
        <v>盘螺</v>
      </c>
      <c r="F2852" s="41" t="s">
        <v>41</v>
      </c>
      <c r="G2852" s="37">
        <v>9</v>
      </c>
      <c r="H2852" s="135">
        <f>_xlfn.XLOOKUP(C2852&amp;F2852&amp;I2852&amp;J2852,'[1]2025年已发货'!$F:$F&amp;'[1]2025年已发货'!$C:$C&amp;'[1]2025年已发货'!$G:$G&amp;'[1]2025年已发货'!$H:$H,'[1]2025年已发货'!$E:$E,"未发货")</f>
        <v>9</v>
      </c>
      <c r="I2852" s="41" t="str">
        <f>VLOOKUP(B2852,辅助信息!E:I,3,FALSE)</f>
        <v>（商投建工达州中医药科技园-1工区）达州市通川区达州中医药职业学院犀牛大道北段</v>
      </c>
      <c r="J2852" s="41" t="str">
        <f>VLOOKUP(B2852,辅助信息!E:I,4,FALSE)</f>
        <v>程黄刚</v>
      </c>
      <c r="K2852" s="41">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30" t="str">
        <f>VLOOKUP(B2852,辅助信息!E:M,9,FALSE)</f>
        <v>ZTWM-CDGS-XS-2024-0134-商投建工达州中医药科技成果示范园项目</v>
      </c>
      <c r="R2852" s="30" t="str">
        <f>_xlfn._xlws.FILTER(辅助信息!D:D,辅助信息!E:E=B2852)</f>
        <v>商投建工达州中医药科技园</v>
      </c>
    </row>
    <row r="2853" hidden="1" spans="2:18">
      <c r="B2853" s="41" t="s">
        <v>47</v>
      </c>
      <c r="C2853" s="71">
        <v>45888</v>
      </c>
      <c r="D2853" s="41" t="str">
        <f>VLOOKUP(B2853,辅助信息!E:K,7,FALSE)</f>
        <v>JWDDCD2025052800131</v>
      </c>
      <c r="E2853" s="41" t="str">
        <f>VLOOKUP(F2853,辅助信息!A:B,2,FALSE)</f>
        <v>螺纹钢</v>
      </c>
      <c r="F2853" s="41" t="s">
        <v>27</v>
      </c>
      <c r="G2853" s="37">
        <v>12</v>
      </c>
      <c r="H2853" s="135">
        <f>_xlfn.XLOOKUP(C2853&amp;F2853&amp;I2853&amp;J2853,'[1]2025年已发货'!$F:$F&amp;'[1]2025年已发货'!$C:$C&amp;'[1]2025年已发货'!$G:$G&amp;'[1]2025年已发货'!$H:$H,'[1]2025年已发货'!$E:$E,"未发货")</f>
        <v>12</v>
      </c>
      <c r="I2853" s="41" t="str">
        <f>VLOOKUP(B2853,辅助信息!E:I,3,FALSE)</f>
        <v>（商投建工达州中医药科技园-1工区）达州市通川区达州中医药职业学院犀牛大道北段</v>
      </c>
      <c r="J2853" s="41" t="str">
        <f>VLOOKUP(B2853,辅助信息!E:I,4,FALSE)</f>
        <v>程黄刚</v>
      </c>
      <c r="K2853" s="41">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30" t="str">
        <f>VLOOKUP(B2853,辅助信息!E:M,9,FALSE)</f>
        <v>ZTWM-CDGS-XS-2024-0134-商投建工达州中医药科技成果示范园项目</v>
      </c>
      <c r="R2853" s="30" t="str">
        <f>_xlfn._xlws.FILTER(辅助信息!D:D,辅助信息!E:E=B2853)</f>
        <v>商投建工达州中医药科技园</v>
      </c>
    </row>
    <row r="2854" hidden="1" spans="2:18">
      <c r="B2854" s="41" t="s">
        <v>186</v>
      </c>
      <c r="C2854" s="71">
        <v>45888</v>
      </c>
      <c r="D2854" s="41" t="str">
        <f>VLOOKUP(B2854,辅助信息!E:K,7,FALSE)</f>
        <v>JWDDCD2025072900123</v>
      </c>
      <c r="E2854" s="41" t="str">
        <f>VLOOKUP(F2854,辅助信息!A:B,2,FALSE)</f>
        <v>螺纹钢</v>
      </c>
      <c r="F2854" s="41" t="s">
        <v>19</v>
      </c>
      <c r="G2854" s="37">
        <v>15</v>
      </c>
      <c r="H2854" s="135">
        <f>_xlfn.XLOOKUP(C2854&amp;F2854&amp;I2854&amp;J2854,'[1]2025年已发货'!$F:$F&amp;'[1]2025年已发货'!$C:$C&amp;'[1]2025年已发货'!$G:$G&amp;'[1]2025年已发货'!$H:$H,'[1]2025年已发货'!$E:$E,"未发货")</f>
        <v>15</v>
      </c>
      <c r="I2854" s="41" t="str">
        <f>VLOOKUP(B2854,辅助信息!E:I,3,FALSE)</f>
        <v>(乐山市校地共建产教融合基地建设项目二标段)四川省乐山市市中区苏稽镇</v>
      </c>
      <c r="J2854" s="41" t="str">
        <f>VLOOKUP(B2854,辅助信息!E:I,4,FALSE)</f>
        <v>彭江涛</v>
      </c>
      <c r="K2854" s="41">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30" t="str">
        <f>VLOOKUP(B2854,辅助信息!E:M,9,FALSE)</f>
        <v>ZTWM-CDGS-XS-2025-0126-四川机司-乐山市校地共建产教融合基地配套设施项目施工二标段钢筋采购合同</v>
      </c>
      <c r="R2854" s="30" t="str">
        <f>_xlfn._xlws.FILTER(辅助信息!D:D,辅助信息!E:E=B2854)</f>
        <v>乐山市校地共建产教融合基地建设项目</v>
      </c>
    </row>
    <row r="2855" hidden="1" spans="2:18">
      <c r="B2855" s="41" t="s">
        <v>186</v>
      </c>
      <c r="C2855" s="71">
        <v>45888</v>
      </c>
      <c r="D2855" s="41" t="str">
        <f>VLOOKUP(B2855,辅助信息!E:K,7,FALSE)</f>
        <v>JWDDCD2025072900123</v>
      </c>
      <c r="E2855" s="41" t="str">
        <f>VLOOKUP(F2855,辅助信息!A:B,2,FALSE)</f>
        <v>螺纹钢</v>
      </c>
      <c r="F2855" s="41" t="s">
        <v>33</v>
      </c>
      <c r="G2855" s="37">
        <v>15</v>
      </c>
      <c r="H2855" s="135">
        <f>_xlfn.XLOOKUP(C2855&amp;F2855&amp;I2855&amp;J2855,'[1]2025年已发货'!$F:$F&amp;'[1]2025年已发货'!$C:$C&amp;'[1]2025年已发货'!$G:$G&amp;'[1]2025年已发货'!$H:$H,'[1]2025年已发货'!$E:$E,"未发货")</f>
        <v>15</v>
      </c>
      <c r="I2855" s="41" t="str">
        <f>VLOOKUP(B2855,辅助信息!E:I,3,FALSE)</f>
        <v>(乐山市校地共建产教融合基地建设项目二标段)四川省乐山市市中区苏稽镇</v>
      </c>
      <c r="J2855" s="41" t="str">
        <f>VLOOKUP(B2855,辅助信息!E:I,4,FALSE)</f>
        <v>彭江涛</v>
      </c>
      <c r="K2855" s="41">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30" t="str">
        <f>VLOOKUP(B2855,辅助信息!E:M,9,FALSE)</f>
        <v>ZTWM-CDGS-XS-2025-0126-四川机司-乐山市校地共建产教融合基地配套设施项目施工二标段钢筋采购合同</v>
      </c>
      <c r="R2855" s="30" t="str">
        <f>_xlfn._xlws.FILTER(辅助信息!D:D,辅助信息!E:E=B2855)</f>
        <v>乐山市校地共建产教融合基地建设项目</v>
      </c>
    </row>
    <row r="2856" hidden="1" spans="2:18">
      <c r="B2856" s="41" t="s">
        <v>186</v>
      </c>
      <c r="C2856" s="71">
        <v>45888</v>
      </c>
      <c r="D2856" s="41" t="str">
        <f>VLOOKUP(B2856,辅助信息!E:K,7,FALSE)</f>
        <v>JWDDCD2025072900123</v>
      </c>
      <c r="E2856" s="41" t="str">
        <f>VLOOKUP(F2856,辅助信息!A:B,2,FALSE)</f>
        <v>螺纹钢</v>
      </c>
      <c r="F2856" s="41" t="s">
        <v>28</v>
      </c>
      <c r="G2856" s="37">
        <v>5</v>
      </c>
      <c r="H2856" s="135">
        <f>_xlfn.XLOOKUP(C2856&amp;F2856&amp;I2856&amp;J2856,'[1]2025年已发货'!$F:$F&amp;'[1]2025年已发货'!$C:$C&amp;'[1]2025年已发货'!$G:$G&amp;'[1]2025年已发货'!$H:$H,'[1]2025年已发货'!$E:$E,"未发货")</f>
        <v>5</v>
      </c>
      <c r="I2856" s="41" t="str">
        <f>VLOOKUP(B2856,辅助信息!E:I,3,FALSE)</f>
        <v>(乐山市校地共建产教融合基地建设项目二标段)四川省乐山市市中区苏稽镇</v>
      </c>
      <c r="J2856" s="41" t="str">
        <f>VLOOKUP(B2856,辅助信息!E:I,4,FALSE)</f>
        <v>彭江涛</v>
      </c>
      <c r="K2856" s="41">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30" t="str">
        <f>VLOOKUP(B2856,辅助信息!E:M,9,FALSE)</f>
        <v>ZTWM-CDGS-XS-2025-0126-四川机司-乐山市校地共建产教融合基地配套设施项目施工二标段钢筋采购合同</v>
      </c>
      <c r="R2856" s="30" t="str">
        <f>_xlfn._xlws.FILTER(辅助信息!D:D,辅助信息!E:E=B2856)</f>
        <v>乐山市校地共建产教融合基地建设项目</v>
      </c>
    </row>
    <row r="2857" hidden="1" spans="2:18">
      <c r="B2857" s="41" t="s">
        <v>186</v>
      </c>
      <c r="C2857" s="71">
        <v>45888</v>
      </c>
      <c r="D2857" s="41" t="str">
        <f>VLOOKUP(B2857,辅助信息!E:K,7,FALSE)</f>
        <v>JWDDCD2025072900123</v>
      </c>
      <c r="E2857" s="41" t="str">
        <f>VLOOKUP(F2857,辅助信息!A:B,2,FALSE)</f>
        <v>螺纹钢</v>
      </c>
      <c r="F2857" s="41" t="s">
        <v>76</v>
      </c>
      <c r="G2857" s="37">
        <v>15</v>
      </c>
      <c r="H2857" s="135">
        <f>_xlfn.XLOOKUP(C2857&amp;F2857&amp;I2857&amp;J2857,'[1]2025年已发货'!$F:$F&amp;'[1]2025年已发货'!$C:$C&amp;'[1]2025年已发货'!$G:$G&amp;'[1]2025年已发货'!$H:$H,'[1]2025年已发货'!$E:$E,"未发货")</f>
        <v>15</v>
      </c>
      <c r="I2857" s="41" t="str">
        <f>VLOOKUP(B2857,辅助信息!E:I,3,FALSE)</f>
        <v>(乐山市校地共建产教融合基地建设项目二标段)四川省乐山市市中区苏稽镇</v>
      </c>
      <c r="J2857" s="41" t="str">
        <f>VLOOKUP(B2857,辅助信息!E:I,4,FALSE)</f>
        <v>彭江涛</v>
      </c>
      <c r="K2857" s="41">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30" t="str">
        <f>VLOOKUP(B2857,辅助信息!E:M,9,FALSE)</f>
        <v>ZTWM-CDGS-XS-2025-0126-四川机司-乐山市校地共建产教融合基地配套设施项目施工二标段钢筋采购合同</v>
      </c>
      <c r="R2857" s="30" t="str">
        <f>_xlfn._xlws.FILTER(辅助信息!D:D,辅助信息!E:E=B2857)</f>
        <v>乐山市校地共建产教融合基地建设项目</v>
      </c>
    </row>
    <row r="2858" hidden="1" spans="2:18">
      <c r="B2858" s="41" t="s">
        <v>186</v>
      </c>
      <c r="C2858" s="71">
        <v>45888</v>
      </c>
      <c r="D2858" s="41" t="str">
        <f>VLOOKUP(B2858,辅助信息!E:K,7,FALSE)</f>
        <v>JWDDCD2025072900123</v>
      </c>
      <c r="E2858" s="41" t="str">
        <f>VLOOKUP(F2858,辅助信息!A:B,2,FALSE)</f>
        <v>螺纹钢</v>
      </c>
      <c r="F2858" s="41" t="s">
        <v>138</v>
      </c>
      <c r="G2858" s="37">
        <v>15</v>
      </c>
      <c r="H2858" s="135">
        <f>_xlfn.XLOOKUP(C2858&amp;F2858&amp;I2858&amp;J2858,'[1]2025年已发货'!$F:$F&amp;'[1]2025年已发货'!$C:$C&amp;'[1]2025年已发货'!$G:$G&amp;'[1]2025年已发货'!$H:$H,'[1]2025年已发货'!$E:$E,"未发货")</f>
        <v>15</v>
      </c>
      <c r="I2858" s="41" t="str">
        <f>VLOOKUP(B2858,辅助信息!E:I,3,FALSE)</f>
        <v>(乐山市校地共建产教融合基地建设项目二标段)四川省乐山市市中区苏稽镇</v>
      </c>
      <c r="J2858" s="41" t="str">
        <f>VLOOKUP(B2858,辅助信息!E:I,4,FALSE)</f>
        <v>彭江涛</v>
      </c>
      <c r="K2858" s="41">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30" t="str">
        <f>VLOOKUP(B2858,辅助信息!E:M,9,FALSE)</f>
        <v>ZTWM-CDGS-XS-2025-0126-四川机司-乐山市校地共建产教融合基地配套设施项目施工二标段钢筋采购合同</v>
      </c>
      <c r="R2858" s="30" t="str">
        <f>_xlfn._xlws.FILTER(辅助信息!D:D,辅助信息!E:E=B2858)</f>
        <v>乐山市校地共建产教融合基地建设项目</v>
      </c>
    </row>
    <row r="2859" hidden="1" spans="2:18">
      <c r="B2859" s="41" t="s">
        <v>186</v>
      </c>
      <c r="C2859" s="71">
        <v>45888</v>
      </c>
      <c r="D2859" s="41" t="str">
        <f>VLOOKUP(B2859,辅助信息!E:K,7,FALSE)</f>
        <v>JWDDCD2025072900123</v>
      </c>
      <c r="E2859" s="41" t="str">
        <f>VLOOKUP(F2859,辅助信息!A:B,2,FALSE)</f>
        <v>螺纹钢</v>
      </c>
      <c r="F2859" s="41" t="s">
        <v>133</v>
      </c>
      <c r="G2859" s="37">
        <v>5</v>
      </c>
      <c r="H2859" s="135">
        <f>_xlfn.XLOOKUP(C2859&amp;F2859&amp;I2859&amp;J2859,'[1]2025年已发货'!$F:$F&amp;'[1]2025年已发货'!$C:$C&amp;'[1]2025年已发货'!$G:$G&amp;'[1]2025年已发货'!$H:$H,'[1]2025年已发货'!$E:$E,"未发货")</f>
        <v>5</v>
      </c>
      <c r="I2859" s="41" t="str">
        <f>VLOOKUP(B2859,辅助信息!E:I,3,FALSE)</f>
        <v>(乐山市校地共建产教融合基地建设项目二标段)四川省乐山市市中区苏稽镇</v>
      </c>
      <c r="J2859" s="41" t="str">
        <f>VLOOKUP(B2859,辅助信息!E:I,4,FALSE)</f>
        <v>彭江涛</v>
      </c>
      <c r="K2859" s="41">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30" t="str">
        <f>VLOOKUP(B2859,辅助信息!E:M,9,FALSE)</f>
        <v>ZTWM-CDGS-XS-2025-0126-四川机司-乐山市校地共建产教融合基地配套设施项目施工二标段钢筋采购合同</v>
      </c>
      <c r="R2859" s="30" t="str">
        <f>_xlfn._xlws.FILTER(辅助信息!D:D,辅助信息!E:E=B2859)</f>
        <v>乐山市校地共建产教融合基地建设项目</v>
      </c>
    </row>
    <row r="2860" hidden="1" spans="2:18">
      <c r="B2860" s="41" t="s">
        <v>68</v>
      </c>
      <c r="C2860" s="71">
        <v>45889</v>
      </c>
      <c r="D2860" s="41" t="str">
        <f>VLOOKUP(B2860,辅助信息!E:K,7,FALSE)</f>
        <v>JWDDCD2025052800131</v>
      </c>
      <c r="E2860" s="41" t="str">
        <f>VLOOKUP(F2860,辅助信息!A:B,2,FALSE)</f>
        <v>螺纹钢</v>
      </c>
      <c r="F2860" s="41" t="s">
        <v>27</v>
      </c>
      <c r="G2860" s="37">
        <v>15</v>
      </c>
      <c r="H2860" s="135">
        <f>_xlfn.XLOOKUP(C2860&amp;F2860&amp;I2860&amp;J2860,'[1]2025年已发货'!$F:$F&amp;'[1]2025年已发货'!$C:$C&amp;'[1]2025年已发货'!$G:$G&amp;'[1]2025年已发货'!$H:$H,'[1]2025年已发货'!$E:$E,"未发货")</f>
        <v>13</v>
      </c>
      <c r="I2860" s="41" t="str">
        <f>VLOOKUP(B2860,辅助信息!E:I,3,FALSE)</f>
        <v>（商投建工达州中医药科技园-2工区-景观桥）达州市通川区达州中医药职业学院犀牛大道北段</v>
      </c>
      <c r="J2860" s="41" t="str">
        <f>VLOOKUP(B2860,辅助信息!E:I,4,FALSE)</f>
        <v>李波</v>
      </c>
      <c r="K2860" s="41">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30" t="str">
        <f>VLOOKUP(B2860,辅助信息!E:M,9,FALSE)</f>
        <v>ZTWM-CDGS-XS-2024-0134-商投建工达州中医药科技成果示范园项目</v>
      </c>
      <c r="R2860" s="30" t="str">
        <f>_xlfn._xlws.FILTER(辅助信息!D:D,辅助信息!E:E=B2860)</f>
        <v>商投建工达州中医药科技园</v>
      </c>
    </row>
    <row r="2861" hidden="1" spans="2:18">
      <c r="B2861" s="41" t="s">
        <v>68</v>
      </c>
      <c r="C2861" s="71">
        <v>45889</v>
      </c>
      <c r="D2861" s="41" t="str">
        <f>VLOOKUP(B2861,辅助信息!E:K,7,FALSE)</f>
        <v>JWDDCD2025052800131</v>
      </c>
      <c r="E2861" s="41" t="str">
        <f>VLOOKUP(F2861,辅助信息!A:B,2,FALSE)</f>
        <v>螺纹钢</v>
      </c>
      <c r="F2861" s="41" t="s">
        <v>32</v>
      </c>
      <c r="G2861" s="37">
        <v>15</v>
      </c>
      <c r="H2861" s="135">
        <f>_xlfn.XLOOKUP(C2861&amp;F2861&amp;I2861&amp;J2861,'[1]2025年已发货'!$F:$F&amp;'[1]2025年已发货'!$C:$C&amp;'[1]2025年已发货'!$G:$G&amp;'[1]2025年已发货'!$H:$H,'[1]2025年已发货'!$E:$E,"未发货")</f>
        <v>13</v>
      </c>
      <c r="I2861" s="41" t="str">
        <f>VLOOKUP(B2861,辅助信息!E:I,3,FALSE)</f>
        <v>（商投建工达州中医药科技园-2工区-景观桥）达州市通川区达州中医药职业学院犀牛大道北段</v>
      </c>
      <c r="J2861" s="41" t="str">
        <f>VLOOKUP(B2861,辅助信息!E:I,4,FALSE)</f>
        <v>李波</v>
      </c>
      <c r="K2861" s="41">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30" t="str">
        <f>VLOOKUP(B2861,辅助信息!E:M,9,FALSE)</f>
        <v>ZTWM-CDGS-XS-2024-0134-商投建工达州中医药科技成果示范园项目</v>
      </c>
      <c r="R2861" s="30" t="str">
        <f>_xlfn._xlws.FILTER(辅助信息!D:D,辅助信息!E:E=B2861)</f>
        <v>商投建工达州中医药科技园</v>
      </c>
    </row>
    <row r="2862" hidden="1" spans="2:18">
      <c r="B2862" s="41" t="s">
        <v>68</v>
      </c>
      <c r="C2862" s="71">
        <v>45889</v>
      </c>
      <c r="D2862" s="41" t="str">
        <f>VLOOKUP(B2862,辅助信息!E:K,7,FALSE)</f>
        <v>JWDDCD2025052800131</v>
      </c>
      <c r="E2862" s="41" t="str">
        <f>VLOOKUP(F2862,辅助信息!A:B,2,FALSE)</f>
        <v>螺纹钢</v>
      </c>
      <c r="F2862" s="41" t="s">
        <v>33</v>
      </c>
      <c r="G2862" s="37">
        <v>15</v>
      </c>
      <c r="H2862" s="135">
        <f>_xlfn.XLOOKUP(C2862&amp;F2862&amp;I2862&amp;J2862,'[1]2025年已发货'!$F:$F&amp;'[1]2025年已发货'!$C:$C&amp;'[1]2025年已发货'!$G:$G&amp;'[1]2025年已发货'!$H:$H,'[1]2025年已发货'!$E:$E,"未发货")</f>
        <v>10</v>
      </c>
      <c r="I2862" s="41" t="str">
        <f>VLOOKUP(B2862,辅助信息!E:I,3,FALSE)</f>
        <v>（商投建工达州中医药科技园-2工区-景观桥）达州市通川区达州中医药职业学院犀牛大道北段</v>
      </c>
      <c r="J2862" s="41" t="str">
        <f>VLOOKUP(B2862,辅助信息!E:I,4,FALSE)</f>
        <v>李波</v>
      </c>
      <c r="K2862" s="41">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30" t="str">
        <f>VLOOKUP(B2862,辅助信息!E:M,9,FALSE)</f>
        <v>ZTWM-CDGS-XS-2024-0134-商投建工达州中医药科技成果示范园项目</v>
      </c>
      <c r="R2862" s="30" t="str">
        <f>_xlfn._xlws.FILTER(辅助信息!D:D,辅助信息!E:E=B2862)</f>
        <v>商投建工达州中医药科技园</v>
      </c>
    </row>
    <row r="2863" hidden="1" spans="2:18">
      <c r="B2863" s="41" t="s">
        <v>177</v>
      </c>
      <c r="C2863" s="71">
        <v>45889</v>
      </c>
      <c r="D2863" s="41" t="str">
        <f>VLOOKUP(B2863,辅助信息!E:K,7,FALSE)</f>
        <v>JWDDCD2025062200016</v>
      </c>
      <c r="E2863" s="41" t="str">
        <f>VLOOKUP(F2863,辅助信息!A:B,2,FALSE)</f>
        <v>盘螺</v>
      </c>
      <c r="F2863" s="41" t="s">
        <v>40</v>
      </c>
      <c r="G2863" s="37">
        <v>10</v>
      </c>
      <c r="H2863" s="135">
        <f>_xlfn.XLOOKUP(C2863&amp;F2863&amp;I2863&amp;J2863,'[1]2025年已发货'!$F:$F&amp;'[1]2025年已发货'!$C:$C&amp;'[1]2025年已发货'!$G:$G&amp;'[1]2025年已发货'!$H:$H,'[1]2025年已发货'!$E:$E,"未发货")</f>
        <v>10</v>
      </c>
      <c r="I2863" s="41" t="str">
        <f>VLOOKUP(B2863,辅助信息!E:I,3,FALSE)</f>
        <v>(武汉电气化局成达万高铁强电项目-南充营山)四川省南充市营山县保真路景阳名城南50米(保真路东)</v>
      </c>
      <c r="J2863" s="41" t="str">
        <f>VLOOKUP(B2863,辅助信息!E:I,4,FALSE)</f>
        <v>周开亮</v>
      </c>
      <c r="K2863" s="41">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30" t="str">
        <f>VLOOKUP(B2863,辅助信息!E:M,9,FALSE)</f>
        <v>ZTWM-CDGS-XS-2025-0033-中铁武汉电气化局集团有限公司成达万高速铁路强电工程项目</v>
      </c>
      <c r="R2863" s="30" t="str">
        <f>_xlfn._xlws.FILTER(辅助信息!D:D,辅助信息!E:E=B2863)</f>
        <v>武汉电气化局成达万高铁强电项目</v>
      </c>
    </row>
    <row r="2864" hidden="1" spans="2:18">
      <c r="B2864" s="41" t="s">
        <v>177</v>
      </c>
      <c r="C2864" s="71">
        <v>45889</v>
      </c>
      <c r="D2864" s="41" t="str">
        <f>VLOOKUP(B2864,辅助信息!E:K,7,FALSE)</f>
        <v>JWDDCD2025062200016</v>
      </c>
      <c r="E2864" s="41" t="str">
        <f>VLOOKUP(F2864,辅助信息!A:B,2,FALSE)</f>
        <v>盘螺</v>
      </c>
      <c r="F2864" s="41" t="s">
        <v>41</v>
      </c>
      <c r="G2864" s="37">
        <v>18</v>
      </c>
      <c r="H2864" s="135">
        <f>_xlfn.XLOOKUP(C2864&amp;F2864&amp;I2864&amp;J2864,'[1]2025年已发货'!$F:$F&amp;'[1]2025年已发货'!$C:$C&amp;'[1]2025年已发货'!$G:$G&amp;'[1]2025年已发货'!$H:$H,'[1]2025年已发货'!$E:$E,"未发货")</f>
        <v>18</v>
      </c>
      <c r="I2864" s="41" t="str">
        <f>VLOOKUP(B2864,辅助信息!E:I,3,FALSE)</f>
        <v>(武汉电气化局成达万高铁强电项目-南充营山)四川省南充市营山县保真路景阳名城南50米(保真路东)</v>
      </c>
      <c r="J2864" s="41" t="str">
        <f>VLOOKUP(B2864,辅助信息!E:I,4,FALSE)</f>
        <v>周开亮</v>
      </c>
      <c r="K2864" s="41">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30" t="str">
        <f>VLOOKUP(B2864,辅助信息!E:M,9,FALSE)</f>
        <v>ZTWM-CDGS-XS-2025-0033-中铁武汉电气化局集团有限公司成达万高速铁路强电工程项目</v>
      </c>
      <c r="R2864" s="30" t="str">
        <f>_xlfn._xlws.FILTER(辅助信息!D:D,辅助信息!E:E=B2864)</f>
        <v>武汉电气化局成达万高铁强电项目</v>
      </c>
    </row>
    <row r="2865" hidden="1" spans="2:18">
      <c r="B2865" s="41" t="s">
        <v>177</v>
      </c>
      <c r="C2865" s="71">
        <v>45889</v>
      </c>
      <c r="D2865" s="41" t="str">
        <f>VLOOKUP(B2865,辅助信息!E:K,7,FALSE)</f>
        <v>JWDDCD2025062200016</v>
      </c>
      <c r="E2865" s="41" t="str">
        <f>VLOOKUP(F2865,辅助信息!A:B,2,FALSE)</f>
        <v>螺纹钢</v>
      </c>
      <c r="F2865" s="41" t="s">
        <v>27</v>
      </c>
      <c r="G2865" s="37">
        <v>10</v>
      </c>
      <c r="H2865" s="135">
        <f>_xlfn.XLOOKUP(C2865&amp;F2865&amp;I2865&amp;J2865,'[1]2025年已发货'!$F:$F&amp;'[1]2025年已发货'!$C:$C&amp;'[1]2025年已发货'!$G:$G&amp;'[1]2025年已发货'!$H:$H,'[1]2025年已发货'!$E:$E,"未发货")</f>
        <v>10</v>
      </c>
      <c r="I2865" s="41" t="str">
        <f>VLOOKUP(B2865,辅助信息!E:I,3,FALSE)</f>
        <v>(武汉电气化局成达万高铁强电项目-南充营山)四川省南充市营山县保真路景阳名城南50米(保真路东)</v>
      </c>
      <c r="J2865" s="41" t="str">
        <f>VLOOKUP(B2865,辅助信息!E:I,4,FALSE)</f>
        <v>周开亮</v>
      </c>
      <c r="K2865" s="41">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30" t="str">
        <f>VLOOKUP(B2865,辅助信息!E:M,9,FALSE)</f>
        <v>ZTWM-CDGS-XS-2025-0033-中铁武汉电气化局集团有限公司成达万高速铁路强电工程项目</v>
      </c>
      <c r="R2865" s="30" t="str">
        <f>_xlfn._xlws.FILTER(辅助信息!D:D,辅助信息!E:E=B2865)</f>
        <v>武汉电气化局成达万高铁强电项目</v>
      </c>
    </row>
    <row r="2866" hidden="1" spans="2:18">
      <c r="B2866" s="41" t="s">
        <v>177</v>
      </c>
      <c r="C2866" s="71">
        <v>45889</v>
      </c>
      <c r="D2866" s="41" t="str">
        <f>VLOOKUP(B2866,辅助信息!E:K,7,FALSE)</f>
        <v>JWDDCD2025062200016</v>
      </c>
      <c r="E2866" s="41" t="str">
        <f>VLOOKUP(F2866,辅助信息!A:B,2,FALSE)</f>
        <v>螺纹钢</v>
      </c>
      <c r="F2866" s="41" t="s">
        <v>19</v>
      </c>
      <c r="G2866" s="37">
        <v>5</v>
      </c>
      <c r="H2866" s="135">
        <f>_xlfn.XLOOKUP(C2866&amp;F2866&amp;I2866&amp;J2866,'[1]2025年已发货'!$F:$F&amp;'[1]2025年已发货'!$C:$C&amp;'[1]2025年已发货'!$G:$G&amp;'[1]2025年已发货'!$H:$H,'[1]2025年已发货'!$E:$E,"未发货")</f>
        <v>5</v>
      </c>
      <c r="I2866" s="41" t="str">
        <f>VLOOKUP(B2866,辅助信息!E:I,3,FALSE)</f>
        <v>(武汉电气化局成达万高铁强电项目-南充营山)四川省南充市营山县保真路景阳名城南50米(保真路东)</v>
      </c>
      <c r="J2866" s="41" t="str">
        <f>VLOOKUP(B2866,辅助信息!E:I,4,FALSE)</f>
        <v>周开亮</v>
      </c>
      <c r="K2866" s="41">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30" t="str">
        <f>VLOOKUP(B2866,辅助信息!E:M,9,FALSE)</f>
        <v>ZTWM-CDGS-XS-2025-0033-中铁武汉电气化局集团有限公司成达万高速铁路强电工程项目</v>
      </c>
      <c r="R2866" s="30" t="str">
        <f>_xlfn._xlws.FILTER(辅助信息!D:D,辅助信息!E:E=B2866)</f>
        <v>武汉电气化局成达万高铁强电项目</v>
      </c>
    </row>
    <row r="2867" hidden="1" spans="2:18">
      <c r="B2867" s="41" t="s">
        <v>177</v>
      </c>
      <c r="C2867" s="71">
        <v>45889</v>
      </c>
      <c r="D2867" s="41" t="str">
        <f>VLOOKUP(B2867,辅助信息!E:K,7,FALSE)</f>
        <v>JWDDCD2025062200016</v>
      </c>
      <c r="E2867" s="41" t="str">
        <f>VLOOKUP(F2867,辅助信息!A:B,2,FALSE)</f>
        <v>螺纹钢</v>
      </c>
      <c r="F2867" s="41" t="s">
        <v>33</v>
      </c>
      <c r="G2867" s="37">
        <v>8</v>
      </c>
      <c r="H2867" s="135" t="str">
        <f>_xlfn.XLOOKUP(C2867&amp;F2867&amp;I2867&amp;J2867,'[1]2025年已发货'!$F:$F&amp;'[1]2025年已发货'!$C:$C&amp;'[1]2025年已发货'!$G:$G&amp;'[1]2025年已发货'!$H:$H,'[1]2025年已发货'!$E:$E,"未发货")</f>
        <v>未发货</v>
      </c>
      <c r="I2867" s="41" t="str">
        <f>VLOOKUP(B2867,辅助信息!E:I,3,FALSE)</f>
        <v>(武汉电气化局成达万高铁强电项目-南充营山)四川省南充市营山县保真路景阳名城南50米(保真路东)</v>
      </c>
      <c r="J2867" s="41" t="str">
        <f>VLOOKUP(B2867,辅助信息!E:I,4,FALSE)</f>
        <v>周开亮</v>
      </c>
      <c r="K2867" s="41">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30" t="str">
        <f>VLOOKUP(B2867,辅助信息!E:M,9,FALSE)</f>
        <v>ZTWM-CDGS-XS-2025-0033-中铁武汉电气化局集团有限公司成达万高速铁路强电工程项目</v>
      </c>
      <c r="R2867" s="30" t="str">
        <f>_xlfn._xlws.FILTER(辅助信息!D:D,辅助信息!E:E=B2867)</f>
        <v>武汉电气化局成达万高铁强电项目</v>
      </c>
    </row>
    <row r="2868" hidden="1" spans="2:18">
      <c r="B2868" s="41" t="s">
        <v>177</v>
      </c>
      <c r="C2868" s="71">
        <v>45889</v>
      </c>
      <c r="D2868" s="41" t="str">
        <f>VLOOKUP(B2868,辅助信息!E:K,7,FALSE)</f>
        <v>JWDDCD2025062200016</v>
      </c>
      <c r="E2868" s="41" t="str">
        <f>VLOOKUP(F2868,辅助信息!A:B,2,FALSE)</f>
        <v>螺纹钢</v>
      </c>
      <c r="F2868" s="41" t="s">
        <v>28</v>
      </c>
      <c r="G2868" s="37">
        <v>5</v>
      </c>
      <c r="H2868" s="135">
        <f>_xlfn.XLOOKUP(C2868&amp;F2868&amp;I2868&amp;J2868,'[1]2025年已发货'!$F:$F&amp;'[1]2025年已发货'!$C:$C&amp;'[1]2025年已发货'!$G:$G&amp;'[1]2025年已发货'!$H:$H,'[1]2025年已发货'!$E:$E,"未发货")</f>
        <v>5</v>
      </c>
      <c r="I2868" s="41" t="str">
        <f>VLOOKUP(B2868,辅助信息!E:I,3,FALSE)</f>
        <v>(武汉电气化局成达万高铁强电项目-南充营山)四川省南充市营山县保真路景阳名城南50米(保真路东)</v>
      </c>
      <c r="J2868" s="41" t="str">
        <f>VLOOKUP(B2868,辅助信息!E:I,4,FALSE)</f>
        <v>周开亮</v>
      </c>
      <c r="K2868" s="41">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30" t="str">
        <f>VLOOKUP(B2868,辅助信息!E:M,9,FALSE)</f>
        <v>ZTWM-CDGS-XS-2025-0033-中铁武汉电气化局集团有限公司成达万高速铁路强电工程项目</v>
      </c>
      <c r="R2868" s="30" t="str">
        <f>_xlfn._xlws.FILTER(辅助信息!D:D,辅助信息!E:E=B2868)</f>
        <v>武汉电气化局成达万高铁强电项目</v>
      </c>
    </row>
    <row r="2869" hidden="1" spans="2:18">
      <c r="B2869" s="41" t="s">
        <v>177</v>
      </c>
      <c r="C2869" s="71">
        <v>45889</v>
      </c>
      <c r="D2869" s="41" t="str">
        <f>VLOOKUP(B2869,辅助信息!E:K,7,FALSE)</f>
        <v>JWDDCD2025062200016</v>
      </c>
      <c r="E2869" s="41" t="str">
        <f>VLOOKUP(F2869,辅助信息!A:B,2,FALSE)</f>
        <v>螺纹钢</v>
      </c>
      <c r="F2869" s="41" t="s">
        <v>18</v>
      </c>
      <c r="G2869" s="37">
        <v>15</v>
      </c>
      <c r="H2869" s="135">
        <f>_xlfn.XLOOKUP(C2869&amp;F2869&amp;I2869&amp;J2869,'[1]2025年已发货'!$F:$F&amp;'[1]2025年已发货'!$C:$C&amp;'[1]2025年已发货'!$G:$G&amp;'[1]2025年已发货'!$H:$H,'[1]2025年已发货'!$E:$E,"未发货")</f>
        <v>15</v>
      </c>
      <c r="I2869" s="41" t="str">
        <f>VLOOKUP(B2869,辅助信息!E:I,3,FALSE)</f>
        <v>(武汉电气化局成达万高铁强电项目-南充营山)四川省南充市营山县保真路景阳名城南50米(保真路东)</v>
      </c>
      <c r="J2869" s="41" t="str">
        <f>VLOOKUP(B2869,辅助信息!E:I,4,FALSE)</f>
        <v>周开亮</v>
      </c>
      <c r="K2869" s="41">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30" t="str">
        <f>VLOOKUP(B2869,辅助信息!E:M,9,FALSE)</f>
        <v>ZTWM-CDGS-XS-2025-0033-中铁武汉电气化局集团有限公司成达万高速铁路强电工程项目</v>
      </c>
      <c r="R2869" s="30" t="str">
        <f>_xlfn._xlws.FILTER(辅助信息!D:D,辅助信息!E:E=B2869)</f>
        <v>武汉电气化局成达万高铁强电项目</v>
      </c>
    </row>
    <row r="2870" hidden="1" spans="2:18">
      <c r="B2870" s="41" t="s">
        <v>187</v>
      </c>
      <c r="C2870" s="71">
        <v>45889</v>
      </c>
      <c r="D2870" s="41" t="str">
        <f>VLOOKUP(B2870,辅助信息!E:K,7,FALSE)</f>
        <v>JWDDCD2025072900121</v>
      </c>
      <c r="E2870" s="41" t="str">
        <f>VLOOKUP(F2870,辅助信息!A:B,2,FALSE)</f>
        <v>高线</v>
      </c>
      <c r="F2870" s="41" t="s">
        <v>57</v>
      </c>
      <c r="G2870" s="37">
        <v>20</v>
      </c>
      <c r="H2870" s="135" t="str">
        <f>_xlfn.XLOOKUP(C2870&amp;F2870&amp;I2870&amp;J2870,'[1]2025年已发货'!$F:$F&amp;'[1]2025年已发货'!$C:$C&amp;'[1]2025年已发货'!$G:$G&amp;'[1]2025年已发货'!$H:$H,'[1]2025年已发货'!$E:$E,"未发货")</f>
        <v>未发货</v>
      </c>
      <c r="I2870" s="41" t="str">
        <f>VLOOKUP(B2870,辅助信息!E:I,3,FALSE)</f>
        <v>(乐山市校地共建产教融合基地建设项目一标段)四川省乐山市市中区苏稽镇周山嘴</v>
      </c>
      <c r="J2870" s="41" t="str">
        <f>VLOOKUP(B2870,辅助信息!E:I,4,FALSE)</f>
        <v>范增云</v>
      </c>
      <c r="K2870" s="41">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30" t="str">
        <f>VLOOKUP(B2870,辅助信息!E:M,9,FALSE)</f>
        <v>ZTWM-CDGS-XS-2025-0125-四川机司-乐山市校地共建产教融合基地配套设施项目施工一标段钢筋采购合同</v>
      </c>
      <c r="R2870" s="30" t="str">
        <f>_xlfn._xlws.FILTER(辅助信息!D:D,辅助信息!E:E=B2870)</f>
        <v>乐山市校地共建产教融合基地建设项目</v>
      </c>
    </row>
    <row r="2871" hidden="1" spans="2:18">
      <c r="B2871" s="41" t="s">
        <v>187</v>
      </c>
      <c r="C2871" s="71">
        <v>45889</v>
      </c>
      <c r="D2871" s="41" t="str">
        <f>VLOOKUP(B2871,辅助信息!E:K,7,FALSE)</f>
        <v>JWDDCD2025072900121</v>
      </c>
      <c r="E2871" s="41" t="str">
        <f>VLOOKUP(F2871,辅助信息!A:B,2,FALSE)</f>
        <v>盘螺</v>
      </c>
      <c r="F2871" s="41" t="s">
        <v>49</v>
      </c>
      <c r="G2871" s="37">
        <v>2</v>
      </c>
      <c r="H2871" s="135" t="str">
        <f>_xlfn.XLOOKUP(C2871&amp;F2871&amp;I2871&amp;J2871,'[1]2025年已发货'!$F:$F&amp;'[1]2025年已发货'!$C:$C&amp;'[1]2025年已发货'!$G:$G&amp;'[1]2025年已发货'!$H:$H,'[1]2025年已发货'!$E:$E,"未发货")</f>
        <v>未发货</v>
      </c>
      <c r="I2871" s="41" t="str">
        <f>VLOOKUP(B2871,辅助信息!E:I,3,FALSE)</f>
        <v>(乐山市校地共建产教融合基地建设项目一标段)四川省乐山市市中区苏稽镇周山嘴</v>
      </c>
      <c r="J2871" s="41" t="str">
        <f>VLOOKUP(B2871,辅助信息!E:I,4,FALSE)</f>
        <v>范增云</v>
      </c>
      <c r="K2871" s="41">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30" t="str">
        <f>VLOOKUP(B2871,辅助信息!E:M,9,FALSE)</f>
        <v>ZTWM-CDGS-XS-2025-0125-四川机司-乐山市校地共建产教融合基地配套设施项目施工一标段钢筋采购合同</v>
      </c>
      <c r="R2871" s="30" t="str">
        <f>_xlfn._xlws.FILTER(辅助信息!D:D,辅助信息!E:E=B2871)</f>
        <v>乐山市校地共建产教融合基地建设项目</v>
      </c>
    </row>
    <row r="2872" hidden="1" spans="2:18">
      <c r="B2872" s="41" t="s">
        <v>187</v>
      </c>
      <c r="C2872" s="71">
        <v>45889</v>
      </c>
      <c r="D2872" s="41" t="str">
        <f>VLOOKUP(B2872,辅助信息!E:K,7,FALSE)</f>
        <v>JWDDCD2025072900121</v>
      </c>
      <c r="E2872" s="41" t="str">
        <f>VLOOKUP(F2872,辅助信息!A:B,2,FALSE)</f>
        <v>盘螺</v>
      </c>
      <c r="F2872" s="41" t="s">
        <v>40</v>
      </c>
      <c r="G2872" s="37">
        <v>10</v>
      </c>
      <c r="H2872" s="135" t="str">
        <f>_xlfn.XLOOKUP(C2872&amp;F2872&amp;I2872&amp;J2872,'[1]2025年已发货'!$F:$F&amp;'[1]2025年已发货'!$C:$C&amp;'[1]2025年已发货'!$G:$G&amp;'[1]2025年已发货'!$H:$H,'[1]2025年已发货'!$E:$E,"未发货")</f>
        <v>未发货</v>
      </c>
      <c r="I2872" s="41" t="str">
        <f>VLOOKUP(B2872,辅助信息!E:I,3,FALSE)</f>
        <v>(乐山市校地共建产教融合基地建设项目一标段)四川省乐山市市中区苏稽镇周山嘴</v>
      </c>
      <c r="J2872" s="41" t="str">
        <f>VLOOKUP(B2872,辅助信息!E:I,4,FALSE)</f>
        <v>范增云</v>
      </c>
      <c r="K2872" s="41">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30" t="str">
        <f>VLOOKUP(B2872,辅助信息!E:M,9,FALSE)</f>
        <v>ZTWM-CDGS-XS-2025-0125-四川机司-乐山市校地共建产教融合基地配套设施项目施工一标段钢筋采购合同</v>
      </c>
      <c r="R2872" s="30" t="str">
        <f>_xlfn._xlws.FILTER(辅助信息!D:D,辅助信息!E:E=B2872)</f>
        <v>乐山市校地共建产教融合基地建设项目</v>
      </c>
    </row>
    <row r="2873" hidden="1" spans="2:18">
      <c r="B2873" s="41" t="s">
        <v>187</v>
      </c>
      <c r="C2873" s="71">
        <v>45889</v>
      </c>
      <c r="D2873" s="41" t="str">
        <f>VLOOKUP(B2873,辅助信息!E:K,7,FALSE)</f>
        <v>JWDDCD2025072900121</v>
      </c>
      <c r="E2873" s="41" t="str">
        <f>VLOOKUP(F2873,辅助信息!A:B,2,FALSE)</f>
        <v>盘螺</v>
      </c>
      <c r="F2873" s="41" t="s">
        <v>41</v>
      </c>
      <c r="G2873" s="37">
        <v>20</v>
      </c>
      <c r="H2873" s="135" t="str">
        <f>_xlfn.XLOOKUP(C2873&amp;F2873&amp;I2873&amp;J2873,'[1]2025年已发货'!$F:$F&amp;'[1]2025年已发货'!$C:$C&amp;'[1]2025年已发货'!$G:$G&amp;'[1]2025年已发货'!$H:$H,'[1]2025年已发货'!$E:$E,"未发货")</f>
        <v>未发货</v>
      </c>
      <c r="I2873" s="41" t="str">
        <f>VLOOKUP(B2873,辅助信息!E:I,3,FALSE)</f>
        <v>(乐山市校地共建产教融合基地建设项目一标段)四川省乐山市市中区苏稽镇周山嘴</v>
      </c>
      <c r="J2873" s="41" t="str">
        <f>VLOOKUP(B2873,辅助信息!E:I,4,FALSE)</f>
        <v>范增云</v>
      </c>
      <c r="K2873" s="41">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30" t="str">
        <f>VLOOKUP(B2873,辅助信息!E:M,9,FALSE)</f>
        <v>ZTWM-CDGS-XS-2025-0125-四川机司-乐山市校地共建产教融合基地配套设施项目施工一标段钢筋采购合同</v>
      </c>
      <c r="R2873" s="30" t="str">
        <f>_xlfn._xlws.FILTER(辅助信息!D:D,辅助信息!E:E=B2873)</f>
        <v>乐山市校地共建产教融合基地建设项目</v>
      </c>
    </row>
    <row r="2874" hidden="1" spans="2:18">
      <c r="B2874" s="41" t="s">
        <v>187</v>
      </c>
      <c r="C2874" s="71">
        <v>45889</v>
      </c>
      <c r="D2874" s="41" t="str">
        <f>VLOOKUP(B2874,辅助信息!E:K,7,FALSE)</f>
        <v>JWDDCD2025072900121</v>
      </c>
      <c r="E2874" s="41" t="str">
        <f>VLOOKUP(F2874,辅助信息!A:B,2,FALSE)</f>
        <v>盘螺</v>
      </c>
      <c r="F2874" s="41" t="s">
        <v>26</v>
      </c>
      <c r="G2874" s="37">
        <v>30</v>
      </c>
      <c r="H2874" s="135" t="str">
        <f>_xlfn.XLOOKUP(C2874&amp;F2874&amp;I2874&amp;J2874,'[1]2025年已发货'!$F:$F&amp;'[1]2025年已发货'!$C:$C&amp;'[1]2025年已发货'!$G:$G&amp;'[1]2025年已发货'!$H:$H,'[1]2025年已发货'!$E:$E,"未发货")</f>
        <v>未发货</v>
      </c>
      <c r="I2874" s="41" t="str">
        <f>VLOOKUP(B2874,辅助信息!E:I,3,FALSE)</f>
        <v>(乐山市校地共建产教融合基地建设项目一标段)四川省乐山市市中区苏稽镇周山嘴</v>
      </c>
      <c r="J2874" s="41" t="str">
        <f>VLOOKUP(B2874,辅助信息!E:I,4,FALSE)</f>
        <v>范增云</v>
      </c>
      <c r="K2874" s="41">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30" t="str">
        <f>VLOOKUP(B2874,辅助信息!E:M,9,FALSE)</f>
        <v>ZTWM-CDGS-XS-2025-0125-四川机司-乐山市校地共建产教融合基地配套设施项目施工一标段钢筋采购合同</v>
      </c>
      <c r="R2874" s="30" t="str">
        <f>_xlfn._xlws.FILTER(辅助信息!D:D,辅助信息!E:E=B2874)</f>
        <v>乐山市校地共建产教融合基地建设项目</v>
      </c>
    </row>
    <row r="2875" hidden="1" spans="2:18">
      <c r="B2875" s="41" t="s">
        <v>187</v>
      </c>
      <c r="C2875" s="71">
        <v>45889</v>
      </c>
      <c r="D2875" s="41" t="str">
        <f>VLOOKUP(B2875,辅助信息!E:K,7,FALSE)</f>
        <v>JWDDCD2025072900121</v>
      </c>
      <c r="E2875" s="41" t="str">
        <f>VLOOKUP(F2875,辅助信息!A:B,2,FALSE)</f>
        <v>螺纹钢</v>
      </c>
      <c r="F2875" s="41" t="s">
        <v>33</v>
      </c>
      <c r="G2875" s="37">
        <v>6</v>
      </c>
      <c r="H2875" s="135">
        <f>_xlfn.XLOOKUP(C2875&amp;F2875&amp;I2875&amp;J2875,'[1]2025年已发货'!$F:$F&amp;'[1]2025年已发货'!$C:$C&amp;'[1]2025年已发货'!$G:$G&amp;'[1]2025年已发货'!$H:$H,'[1]2025年已发货'!$E:$E,"未发货")</f>
        <v>6</v>
      </c>
      <c r="I2875" s="41" t="str">
        <f>VLOOKUP(B2875,辅助信息!E:I,3,FALSE)</f>
        <v>(乐山市校地共建产教融合基地建设项目一标段)四川省乐山市市中区苏稽镇周山嘴</v>
      </c>
      <c r="J2875" s="41" t="str">
        <f>VLOOKUP(B2875,辅助信息!E:I,4,FALSE)</f>
        <v>范增云</v>
      </c>
      <c r="K2875" s="41">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30" t="str">
        <f>VLOOKUP(B2875,辅助信息!E:M,9,FALSE)</f>
        <v>ZTWM-CDGS-XS-2025-0125-四川机司-乐山市校地共建产教融合基地配套设施项目施工一标段钢筋采购合同</v>
      </c>
      <c r="R2875" s="30" t="str">
        <f>_xlfn._xlws.FILTER(辅助信息!D:D,辅助信息!E:E=B2875)</f>
        <v>乐山市校地共建产教融合基地建设项目</v>
      </c>
    </row>
    <row r="2876" hidden="1" spans="2:18">
      <c r="B2876" s="41" t="s">
        <v>187</v>
      </c>
      <c r="C2876" s="71">
        <v>45889</v>
      </c>
      <c r="D2876" s="41" t="str">
        <f>VLOOKUP(B2876,辅助信息!E:K,7,FALSE)</f>
        <v>JWDDCD2025072900121</v>
      </c>
      <c r="E2876" s="41" t="str">
        <f>VLOOKUP(F2876,辅助信息!A:B,2,FALSE)</f>
        <v>螺纹钢</v>
      </c>
      <c r="F2876" s="41" t="s">
        <v>28</v>
      </c>
      <c r="G2876" s="37">
        <v>3</v>
      </c>
      <c r="H2876" s="135">
        <f>_xlfn.XLOOKUP(C2876&amp;F2876&amp;I2876&amp;J2876,'[1]2025年已发货'!$F:$F&amp;'[1]2025年已发货'!$C:$C&amp;'[1]2025年已发货'!$G:$G&amp;'[1]2025年已发货'!$H:$H,'[1]2025年已发货'!$E:$E,"未发货")</f>
        <v>3</v>
      </c>
      <c r="I2876" s="41" t="str">
        <f>VLOOKUP(B2876,辅助信息!E:I,3,FALSE)</f>
        <v>(乐山市校地共建产教融合基地建设项目一标段)四川省乐山市市中区苏稽镇周山嘴</v>
      </c>
      <c r="J2876" s="41" t="str">
        <f>VLOOKUP(B2876,辅助信息!E:I,4,FALSE)</f>
        <v>范增云</v>
      </c>
      <c r="K2876" s="41">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30" t="str">
        <f>VLOOKUP(B2876,辅助信息!E:M,9,FALSE)</f>
        <v>ZTWM-CDGS-XS-2025-0125-四川机司-乐山市校地共建产教融合基地配套设施项目施工一标段钢筋采购合同</v>
      </c>
      <c r="R2876" s="30" t="str">
        <f>_xlfn._xlws.FILTER(辅助信息!D:D,辅助信息!E:E=B2876)</f>
        <v>乐山市校地共建产教融合基地建设项目</v>
      </c>
    </row>
    <row r="2877" hidden="1" spans="2:18">
      <c r="B2877" s="41" t="s">
        <v>187</v>
      </c>
      <c r="C2877" s="71">
        <v>45889</v>
      </c>
      <c r="D2877" s="41" t="str">
        <f>VLOOKUP(B2877,辅助信息!E:K,7,FALSE)</f>
        <v>JWDDCD2025072900121</v>
      </c>
      <c r="E2877" s="41" t="str">
        <f>VLOOKUP(F2877,辅助信息!A:B,2,FALSE)</f>
        <v>螺纹钢</v>
      </c>
      <c r="F2877" s="41" t="s">
        <v>18</v>
      </c>
      <c r="G2877" s="37">
        <v>10</v>
      </c>
      <c r="H2877" s="135">
        <f>_xlfn.XLOOKUP(C2877&amp;F2877&amp;I2877&amp;J2877,'[1]2025年已发货'!$F:$F&amp;'[1]2025年已发货'!$C:$C&amp;'[1]2025年已发货'!$G:$G&amp;'[1]2025年已发货'!$H:$H,'[1]2025年已发货'!$E:$E,"未发货")</f>
        <v>10</v>
      </c>
      <c r="I2877" s="41" t="str">
        <f>VLOOKUP(B2877,辅助信息!E:I,3,FALSE)</f>
        <v>(乐山市校地共建产教融合基地建设项目一标段)四川省乐山市市中区苏稽镇周山嘴</v>
      </c>
      <c r="J2877" s="41" t="str">
        <f>VLOOKUP(B2877,辅助信息!E:I,4,FALSE)</f>
        <v>范增云</v>
      </c>
      <c r="K2877" s="41">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30" t="str">
        <f>VLOOKUP(B2877,辅助信息!E:M,9,FALSE)</f>
        <v>ZTWM-CDGS-XS-2025-0125-四川机司-乐山市校地共建产教融合基地配套设施项目施工一标段钢筋采购合同</v>
      </c>
      <c r="R2877" s="30" t="str">
        <f>_xlfn._xlws.FILTER(辅助信息!D:D,辅助信息!E:E=B2877)</f>
        <v>乐山市校地共建产教融合基地建设项目</v>
      </c>
    </row>
    <row r="2878" hidden="1" spans="2:18">
      <c r="B2878" s="41" t="s">
        <v>187</v>
      </c>
      <c r="C2878" s="71">
        <v>45889</v>
      </c>
      <c r="D2878" s="41" t="str">
        <f>VLOOKUP(B2878,辅助信息!E:K,7,FALSE)</f>
        <v>JWDDCD2025072900121</v>
      </c>
      <c r="E2878" s="41" t="str">
        <f>VLOOKUP(F2878,辅助信息!A:B,2,FALSE)</f>
        <v>螺纹钢</v>
      </c>
      <c r="F2878" s="41" t="s">
        <v>65</v>
      </c>
      <c r="G2878" s="37">
        <v>36</v>
      </c>
      <c r="H2878" s="135">
        <f>_xlfn.XLOOKUP(C2878&amp;F2878&amp;I2878&amp;J2878,'[1]2025年已发货'!$F:$F&amp;'[1]2025年已发货'!$C:$C&amp;'[1]2025年已发货'!$G:$G&amp;'[1]2025年已发货'!$H:$H,'[1]2025年已发货'!$E:$E,"未发货")</f>
        <v>14</v>
      </c>
      <c r="I2878" s="41" t="str">
        <f>VLOOKUP(B2878,辅助信息!E:I,3,FALSE)</f>
        <v>(乐山市校地共建产教融合基地建设项目一标段)四川省乐山市市中区苏稽镇周山嘴</v>
      </c>
      <c r="J2878" s="41" t="str">
        <f>VLOOKUP(B2878,辅助信息!E:I,4,FALSE)</f>
        <v>范增云</v>
      </c>
      <c r="K2878" s="41">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30" t="str">
        <f>VLOOKUP(B2878,辅助信息!E:M,9,FALSE)</f>
        <v>ZTWM-CDGS-XS-2025-0125-四川机司-乐山市校地共建产教融合基地配套设施项目施工一标段钢筋采购合同</v>
      </c>
      <c r="R2878" s="30" t="str">
        <f>_xlfn._xlws.FILTER(辅助信息!D:D,辅助信息!E:E=B2878)</f>
        <v>乐山市校地共建产教融合基地建设项目</v>
      </c>
    </row>
    <row r="2879" hidden="1" spans="2:18">
      <c r="B2879" s="41" t="s">
        <v>187</v>
      </c>
      <c r="C2879" s="71">
        <v>45889</v>
      </c>
      <c r="D2879" s="41" t="str">
        <f>VLOOKUP(B2879,辅助信息!E:K,7,FALSE)</f>
        <v>JWDDCD2025072900121</v>
      </c>
      <c r="E2879" s="41" t="str">
        <f>VLOOKUP(F2879,辅助信息!A:B,2,FALSE)</f>
        <v>螺纹钢</v>
      </c>
      <c r="F2879" s="41" t="s">
        <v>52</v>
      </c>
      <c r="G2879" s="37">
        <v>3</v>
      </c>
      <c r="H2879" s="135">
        <f>_xlfn.XLOOKUP(C2879&amp;F2879&amp;I2879&amp;J2879,'[1]2025年已发货'!$F:$F&amp;'[1]2025年已发货'!$C:$C&amp;'[1]2025年已发货'!$G:$G&amp;'[1]2025年已发货'!$H:$H,'[1]2025年已发货'!$E:$E,"未发货")</f>
        <v>3</v>
      </c>
      <c r="I2879" s="41" t="str">
        <f>VLOOKUP(B2879,辅助信息!E:I,3,FALSE)</f>
        <v>(乐山市校地共建产教融合基地建设项目一标段)四川省乐山市市中区苏稽镇周山嘴</v>
      </c>
      <c r="J2879" s="41" t="str">
        <f>VLOOKUP(B2879,辅助信息!E:I,4,FALSE)</f>
        <v>范增云</v>
      </c>
      <c r="K2879" s="41">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30" t="str">
        <f>VLOOKUP(B2879,辅助信息!E:M,9,FALSE)</f>
        <v>ZTWM-CDGS-XS-2025-0125-四川机司-乐山市校地共建产教融合基地配套设施项目施工一标段钢筋采购合同</v>
      </c>
      <c r="R2879" s="30" t="str">
        <f>_xlfn._xlws.FILTER(辅助信息!D:D,辅助信息!E:E=B2879)</f>
        <v>乐山市校地共建产教融合基地建设项目</v>
      </c>
    </row>
    <row r="2880" hidden="1" spans="2:18">
      <c r="B2880" s="41" t="s">
        <v>186</v>
      </c>
      <c r="C2880" s="71">
        <v>45889</v>
      </c>
      <c r="D2880" s="41" t="str">
        <f>VLOOKUP(B2880,辅助信息!E:K,7,FALSE)</f>
        <v>JWDDCD2025072900123</v>
      </c>
      <c r="E2880" s="41" t="str">
        <f>VLOOKUP(F2880,辅助信息!A:B,2,FALSE)</f>
        <v>螺纹钢</v>
      </c>
      <c r="F2880" s="41" t="s">
        <v>76</v>
      </c>
      <c r="G2880" s="37">
        <v>3</v>
      </c>
      <c r="H2880" s="135" t="str">
        <f>_xlfn.XLOOKUP(C2880&amp;F2880&amp;I2880&amp;J2880,'[1]2025年已发货'!$F:$F&amp;'[1]2025年已发货'!$C:$C&amp;'[1]2025年已发货'!$G:$G&amp;'[1]2025年已发货'!$H:$H,'[1]2025年已发货'!$E:$E,"未发货")</f>
        <v>未发货</v>
      </c>
      <c r="I2880" s="41" t="str">
        <f>VLOOKUP(B2880,辅助信息!E:I,3,FALSE)</f>
        <v>(乐山市校地共建产教融合基地建设项目二标段)四川省乐山市市中区苏稽镇</v>
      </c>
      <c r="J2880" s="41" t="str">
        <f>VLOOKUP(B2880,辅助信息!E:I,4,FALSE)</f>
        <v>彭江涛</v>
      </c>
      <c r="K2880" s="41">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30" t="str">
        <f>VLOOKUP(B2880,辅助信息!E:M,9,FALSE)</f>
        <v>ZTWM-CDGS-XS-2025-0126-四川机司-乐山市校地共建产教融合基地配套设施项目施工二标段钢筋采购合同</v>
      </c>
      <c r="R2880" s="30" t="str">
        <f>_xlfn._xlws.FILTER(辅助信息!D:D,辅助信息!E:E=B2880)</f>
        <v>乐山市校地共建产教融合基地建设项目</v>
      </c>
    </row>
    <row r="2881" hidden="1" spans="2:18">
      <c r="B2881" s="41" t="s">
        <v>186</v>
      </c>
      <c r="C2881" s="71">
        <v>45889</v>
      </c>
      <c r="D2881" s="41" t="str">
        <f>VLOOKUP(B2881,辅助信息!E:K,7,FALSE)</f>
        <v>JWDDCD2025072900123</v>
      </c>
      <c r="E2881" s="41" t="str">
        <f>VLOOKUP(F2881,辅助信息!A:B,2,FALSE)</f>
        <v>螺纹钢</v>
      </c>
      <c r="F2881" s="41" t="s">
        <v>199</v>
      </c>
      <c r="G2881" s="37">
        <v>5</v>
      </c>
      <c r="H2881" s="135" t="str">
        <f>_xlfn.XLOOKUP(C2881&amp;F2881&amp;I2881&amp;J2881,'[1]2025年已发货'!$F:$F&amp;'[1]2025年已发货'!$C:$C&amp;'[1]2025年已发货'!$G:$G&amp;'[1]2025年已发货'!$H:$H,'[1]2025年已发货'!$E:$E,"未发货")</f>
        <v>未发货</v>
      </c>
      <c r="I2881" s="41" t="str">
        <f>VLOOKUP(B2881,辅助信息!E:I,3,FALSE)</f>
        <v>(乐山市校地共建产教融合基地建设项目二标段)四川省乐山市市中区苏稽镇</v>
      </c>
      <c r="J2881" s="41" t="str">
        <f>VLOOKUP(B2881,辅助信息!E:I,4,FALSE)</f>
        <v>彭江涛</v>
      </c>
      <c r="K2881" s="41">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30" t="str">
        <f>VLOOKUP(B2881,辅助信息!E:M,9,FALSE)</f>
        <v>ZTWM-CDGS-XS-2025-0126-四川机司-乐山市校地共建产教融合基地配套设施项目施工二标段钢筋采购合同</v>
      </c>
      <c r="R2881" s="30" t="str">
        <f>_xlfn._xlws.FILTER(辅助信息!D:D,辅助信息!E:E=B2881)</f>
        <v>乐山市校地共建产教融合基地建设项目</v>
      </c>
    </row>
    <row r="2882" hidden="1" spans="2:18">
      <c r="B2882" s="41" t="s">
        <v>186</v>
      </c>
      <c r="C2882" s="71">
        <v>45889</v>
      </c>
      <c r="D2882" s="41" t="str">
        <f>VLOOKUP(B2882,辅助信息!E:K,7,FALSE)</f>
        <v>JWDDCD2025072900123</v>
      </c>
      <c r="E2882" s="41" t="str">
        <f>VLOOKUP(F2882,辅助信息!A:B,2,FALSE)</f>
        <v>螺纹钢</v>
      </c>
      <c r="F2882" s="41" t="s">
        <v>141</v>
      </c>
      <c r="G2882" s="37">
        <v>10</v>
      </c>
      <c r="H2882" s="135">
        <v>10</v>
      </c>
      <c r="I2882" s="41" t="str">
        <f>VLOOKUP(B2882,辅助信息!E:I,3,FALSE)</f>
        <v>(乐山市校地共建产教融合基地建设项目二标段)四川省乐山市市中区苏稽镇</v>
      </c>
      <c r="J2882" s="41" t="str">
        <f>VLOOKUP(B2882,辅助信息!E:I,4,FALSE)</f>
        <v>彭江涛</v>
      </c>
      <c r="K2882" s="41">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30" t="str">
        <f>VLOOKUP(B2882,辅助信息!E:M,9,FALSE)</f>
        <v>ZTWM-CDGS-XS-2025-0126-四川机司-乐山市校地共建产教融合基地配套设施项目施工二标段钢筋采购合同</v>
      </c>
      <c r="R2882" s="30" t="str">
        <f>_xlfn._xlws.FILTER(辅助信息!D:D,辅助信息!E:E=B2882)</f>
        <v>乐山市校地共建产教融合基地建设项目</v>
      </c>
    </row>
    <row r="2883" hidden="1" spans="2:18">
      <c r="B2883" s="41" t="s">
        <v>186</v>
      </c>
      <c r="C2883" s="71">
        <v>45889</v>
      </c>
      <c r="D2883" s="41" t="str">
        <f>VLOOKUP(B2883,辅助信息!E:K,7,FALSE)</f>
        <v>JWDDCD2025072900123</v>
      </c>
      <c r="E2883" s="41" t="str">
        <f>VLOOKUP(F2883,辅助信息!A:B,2,FALSE)</f>
        <v>螺纹钢</v>
      </c>
      <c r="F2883" s="41" t="s">
        <v>142</v>
      </c>
      <c r="G2883" s="37">
        <v>47</v>
      </c>
      <c r="H2883" s="135" t="str">
        <f>_xlfn.XLOOKUP(C2883&amp;F2883&amp;I2883&amp;J2883,'[1]2025年已发货'!$F:$F&amp;'[1]2025年已发货'!$C:$C&amp;'[1]2025年已发货'!$G:$G&amp;'[1]2025年已发货'!$H:$H,'[1]2025年已发货'!$E:$E,"未发货")</f>
        <v>未发货</v>
      </c>
      <c r="I2883" s="41" t="str">
        <f>VLOOKUP(B2883,辅助信息!E:I,3,FALSE)</f>
        <v>(乐山市校地共建产教融合基地建设项目二标段)四川省乐山市市中区苏稽镇</v>
      </c>
      <c r="J2883" s="41" t="str">
        <f>VLOOKUP(B2883,辅助信息!E:I,4,FALSE)</f>
        <v>彭江涛</v>
      </c>
      <c r="K2883" s="41">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30" t="str">
        <f>VLOOKUP(B2883,辅助信息!E:M,9,FALSE)</f>
        <v>ZTWM-CDGS-XS-2025-0126-四川机司-乐山市校地共建产教融合基地配套设施项目施工二标段钢筋采购合同</v>
      </c>
      <c r="R2883" s="30" t="str">
        <f>_xlfn._xlws.FILTER(辅助信息!D:D,辅助信息!E:E=B2883)</f>
        <v>乐山市校地共建产教融合基地建设项目</v>
      </c>
    </row>
    <row r="2884" hidden="1" spans="2:18">
      <c r="B2884" s="41" t="s">
        <v>186</v>
      </c>
      <c r="C2884" s="71">
        <v>45889</v>
      </c>
      <c r="D2884" s="41" t="str">
        <f>VLOOKUP(B2884,辅助信息!E:K,7,FALSE)</f>
        <v>JWDDCD2025072900123</v>
      </c>
      <c r="E2884" s="41" t="str">
        <f>VLOOKUP(F2884,辅助信息!A:B,2,FALSE)</f>
        <v>螺纹钢</v>
      </c>
      <c r="F2884" s="41" t="s">
        <v>205</v>
      </c>
      <c r="G2884" s="37">
        <v>15</v>
      </c>
      <c r="H2884" s="135" t="str">
        <f>_xlfn.XLOOKUP(C2884&amp;F2884&amp;I2884&amp;J2884,'[1]2025年已发货'!$F:$F&amp;'[1]2025年已发货'!$C:$C&amp;'[1]2025年已发货'!$G:$G&amp;'[1]2025年已发货'!$H:$H,'[1]2025年已发货'!$E:$E,"未发货")</f>
        <v>未发货</v>
      </c>
      <c r="I2884" s="41" t="str">
        <f>VLOOKUP(B2884,辅助信息!E:I,3,FALSE)</f>
        <v>(乐山市校地共建产教融合基地建设项目二标段)四川省乐山市市中区苏稽镇</v>
      </c>
      <c r="J2884" s="41" t="str">
        <f>VLOOKUP(B2884,辅助信息!E:I,4,FALSE)</f>
        <v>彭江涛</v>
      </c>
      <c r="K2884" s="41">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30" t="str">
        <f>VLOOKUP(B2884,辅助信息!E:M,9,FALSE)</f>
        <v>ZTWM-CDGS-XS-2025-0126-四川机司-乐山市校地共建产教融合基地配套设施项目施工二标段钢筋采购合同</v>
      </c>
      <c r="R2884" s="30" t="str">
        <f>_xlfn._xlws.FILTER(辅助信息!D:D,辅助信息!E:E=B2884)</f>
        <v>乐山市校地共建产教融合基地建设项目</v>
      </c>
    </row>
    <row r="2885" hidden="1" spans="2:18">
      <c r="B2885" s="41" t="s">
        <v>186</v>
      </c>
      <c r="C2885" s="71">
        <v>45889</v>
      </c>
      <c r="D2885" s="41" t="str">
        <f>VLOOKUP(B2885,辅助信息!E:K,7,FALSE)</f>
        <v>JWDDCD2025072900123</v>
      </c>
      <c r="E2885" s="41" t="str">
        <f>VLOOKUP(F2885,辅助信息!A:B,2,FALSE)</f>
        <v>螺纹钢</v>
      </c>
      <c r="F2885" s="41" t="s">
        <v>140</v>
      </c>
      <c r="G2885" s="37">
        <v>15</v>
      </c>
      <c r="H2885" s="135" t="str">
        <f>_xlfn.XLOOKUP(C2885&amp;F2885&amp;I2885&amp;J2885,'[1]2025年已发货'!$F:$F&amp;'[1]2025年已发货'!$C:$C&amp;'[1]2025年已发货'!$G:$G&amp;'[1]2025年已发货'!$H:$H,'[1]2025年已发货'!$E:$E,"未发货")</f>
        <v>未发货</v>
      </c>
      <c r="I2885" s="41" t="str">
        <f>VLOOKUP(B2885,辅助信息!E:I,3,FALSE)</f>
        <v>(乐山市校地共建产教融合基地建设项目二标段)四川省乐山市市中区苏稽镇</v>
      </c>
      <c r="J2885" s="41" t="str">
        <f>VLOOKUP(B2885,辅助信息!E:I,4,FALSE)</f>
        <v>彭江涛</v>
      </c>
      <c r="K2885" s="41">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30" t="str">
        <f>VLOOKUP(B2885,辅助信息!E:M,9,FALSE)</f>
        <v>ZTWM-CDGS-XS-2025-0126-四川机司-乐山市校地共建产教融合基地配套设施项目施工二标段钢筋采购合同</v>
      </c>
      <c r="R2885" s="30" t="str">
        <f>_xlfn._xlws.FILTER(辅助信息!D:D,辅助信息!E:E=B2885)</f>
        <v>乐山市校地共建产教融合基地建设项目</v>
      </c>
    </row>
    <row r="2886" hidden="1" spans="2:18">
      <c r="B2886" s="41" t="s">
        <v>186</v>
      </c>
      <c r="C2886" s="71">
        <v>45889</v>
      </c>
      <c r="D2886" s="41" t="str">
        <f>VLOOKUP(B2886,辅助信息!E:K,7,FALSE)</f>
        <v>JWDDCD2025072900123</v>
      </c>
      <c r="E2886" s="41" t="str">
        <f>VLOOKUP(F2886,辅助信息!A:B,2,FALSE)</f>
        <v>螺纹钢</v>
      </c>
      <c r="F2886" s="41" t="s">
        <v>142</v>
      </c>
      <c r="G2886" s="37">
        <v>25</v>
      </c>
      <c r="H2886" s="135" t="str">
        <f>_xlfn.XLOOKUP(C2886&amp;F2886&amp;I2886&amp;J2886,'[1]2025年已发货'!$F:$F&amp;'[1]2025年已发货'!$C:$C&amp;'[1]2025年已发货'!$G:$G&amp;'[1]2025年已发货'!$H:$H,'[1]2025年已发货'!$E:$E,"未发货")</f>
        <v>未发货</v>
      </c>
      <c r="I2886" s="41" t="str">
        <f>VLOOKUP(B2886,辅助信息!E:I,3,FALSE)</f>
        <v>(乐山市校地共建产教融合基地建设项目二标段)四川省乐山市市中区苏稽镇</v>
      </c>
      <c r="J2886" s="41" t="str">
        <f>VLOOKUP(B2886,辅助信息!E:I,4,FALSE)</f>
        <v>彭江涛</v>
      </c>
      <c r="K2886" s="41">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30" t="str">
        <f>VLOOKUP(B2886,辅助信息!E:M,9,FALSE)</f>
        <v>ZTWM-CDGS-XS-2025-0126-四川机司-乐山市校地共建产教融合基地配套设施项目施工二标段钢筋采购合同</v>
      </c>
      <c r="R2886" s="30" t="str">
        <f>_xlfn._xlws.FILTER(辅助信息!D:D,辅助信息!E:E=B2886)</f>
        <v>乐山市校地共建产教融合基地建设项目</v>
      </c>
    </row>
    <row r="2887" hidden="1" spans="2:18">
      <c r="B2887" s="41" t="s">
        <v>186</v>
      </c>
      <c r="C2887" s="71">
        <v>45889</v>
      </c>
      <c r="D2887" s="41" t="str">
        <f>VLOOKUP(B2887,辅助信息!E:K,7,FALSE)</f>
        <v>JWDDCD2025072900123</v>
      </c>
      <c r="E2887" s="41" t="str">
        <f>VLOOKUP(F2887,辅助信息!A:B,2,FALSE)</f>
        <v>螺纹钢</v>
      </c>
      <c r="F2887" s="41" t="s">
        <v>200</v>
      </c>
      <c r="G2887" s="37">
        <v>10</v>
      </c>
      <c r="H2887" s="135" t="str">
        <f>_xlfn.XLOOKUP(C2887&amp;F2887&amp;I2887&amp;J2887,'[1]2025年已发货'!$F:$F&amp;'[1]2025年已发货'!$C:$C&amp;'[1]2025年已发货'!$G:$G&amp;'[1]2025年已发货'!$H:$H,'[1]2025年已发货'!$E:$E,"未发货")</f>
        <v>未发货</v>
      </c>
      <c r="I2887" s="41" t="str">
        <f>VLOOKUP(B2887,辅助信息!E:I,3,FALSE)</f>
        <v>(乐山市校地共建产教融合基地建设项目二标段)四川省乐山市市中区苏稽镇</v>
      </c>
      <c r="J2887" s="41" t="str">
        <f>VLOOKUP(B2887,辅助信息!E:I,4,FALSE)</f>
        <v>彭江涛</v>
      </c>
      <c r="K2887" s="41">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30" t="str">
        <f>VLOOKUP(B2887,辅助信息!E:M,9,FALSE)</f>
        <v>ZTWM-CDGS-XS-2025-0126-四川机司-乐山市校地共建产教融合基地配套设施项目施工二标段钢筋采购合同</v>
      </c>
      <c r="R2887" s="30" t="str">
        <f>_xlfn._xlws.FILTER(辅助信息!D:D,辅助信息!E:E=B2887)</f>
        <v>乐山市校地共建产教融合基地建设项目</v>
      </c>
    </row>
    <row r="2888" hidden="1" spans="2:18">
      <c r="B2888" s="41" t="s">
        <v>186</v>
      </c>
      <c r="C2888" s="71">
        <v>45889</v>
      </c>
      <c r="D2888" s="41" t="str">
        <f>VLOOKUP(B2888,辅助信息!E:K,7,FALSE)</f>
        <v>JWDDCD2025072900123</v>
      </c>
      <c r="E2888" s="41" t="str">
        <f>VLOOKUP(F2888,辅助信息!A:B,2,FALSE)</f>
        <v>螺纹钢</v>
      </c>
      <c r="F2888" s="41" t="s">
        <v>201</v>
      </c>
      <c r="G2888" s="37">
        <v>5</v>
      </c>
      <c r="H2888" s="135">
        <v>5</v>
      </c>
      <c r="I2888" s="41" t="str">
        <f>VLOOKUP(B2888,辅助信息!E:I,3,FALSE)</f>
        <v>(乐山市校地共建产教融合基地建设项目二标段)四川省乐山市市中区苏稽镇</v>
      </c>
      <c r="J2888" s="41" t="str">
        <f>VLOOKUP(B2888,辅助信息!E:I,4,FALSE)</f>
        <v>彭江涛</v>
      </c>
      <c r="K2888" s="41">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30" t="str">
        <f>VLOOKUP(B2888,辅助信息!E:M,9,FALSE)</f>
        <v>ZTWM-CDGS-XS-2025-0126-四川机司-乐山市校地共建产教融合基地配套设施项目施工二标段钢筋采购合同</v>
      </c>
      <c r="R2888" s="30" t="str">
        <f>_xlfn._xlws.FILTER(辅助信息!D:D,辅助信息!E:E=B2888)</f>
        <v>乐山市校地共建产教融合基地建设项目</v>
      </c>
    </row>
    <row r="2889" hidden="1" spans="2:18">
      <c r="B2889" s="41" t="s">
        <v>186</v>
      </c>
      <c r="C2889" s="71">
        <v>45889</v>
      </c>
      <c r="D2889" s="41" t="str">
        <f>VLOOKUP(B2889,辅助信息!E:K,7,FALSE)</f>
        <v>JWDDCD2025072900123</v>
      </c>
      <c r="E2889" s="41" t="str">
        <f>VLOOKUP(F2889,辅助信息!A:B,2,FALSE)</f>
        <v>螺纹钢</v>
      </c>
      <c r="F2889" s="41" t="s">
        <v>141</v>
      </c>
      <c r="G2889" s="37">
        <v>10</v>
      </c>
      <c r="H2889" s="135">
        <v>5</v>
      </c>
      <c r="I2889" s="41" t="str">
        <f>VLOOKUP(B2889,辅助信息!E:I,3,FALSE)</f>
        <v>(乐山市校地共建产教融合基地建设项目二标段)四川省乐山市市中区苏稽镇</v>
      </c>
      <c r="J2889" s="41" t="str">
        <f>VLOOKUP(B2889,辅助信息!E:I,4,FALSE)</f>
        <v>彭江涛</v>
      </c>
      <c r="K2889" s="41">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30" t="str">
        <f>VLOOKUP(B2889,辅助信息!E:M,9,FALSE)</f>
        <v>ZTWM-CDGS-XS-2025-0126-四川机司-乐山市校地共建产教融合基地配套设施项目施工二标段钢筋采购合同</v>
      </c>
      <c r="R2889" s="30" t="str">
        <f>_xlfn._xlws.FILTER(辅助信息!D:D,辅助信息!E:E=B2889)</f>
        <v>乐山市校地共建产教融合基地建设项目</v>
      </c>
    </row>
    <row r="2890" hidden="1" spans="2:18">
      <c r="B2890" s="41" t="s">
        <v>186</v>
      </c>
      <c r="C2890" s="71">
        <v>45889</v>
      </c>
      <c r="D2890" s="41" t="str">
        <f>VLOOKUP(B2890,辅助信息!E:K,7,FALSE)</f>
        <v>JWDDCD2025072900123</v>
      </c>
      <c r="E2890" s="41" t="str">
        <f>VLOOKUP(F2890,辅助信息!A:B,2,FALSE)</f>
        <v>螺纹钢</v>
      </c>
      <c r="F2890" s="41" t="s">
        <v>200</v>
      </c>
      <c r="G2890" s="37">
        <v>10</v>
      </c>
      <c r="H2890" s="135" t="str">
        <f>_xlfn.XLOOKUP(C2890&amp;F2890&amp;I2890&amp;J2890,'[1]2025年已发货'!$F:$F&amp;'[1]2025年已发货'!$C:$C&amp;'[1]2025年已发货'!$G:$G&amp;'[1]2025年已发货'!$H:$H,'[1]2025年已发货'!$E:$E,"未发货")</f>
        <v>未发货</v>
      </c>
      <c r="I2890" s="41" t="str">
        <f>VLOOKUP(B2890,辅助信息!E:I,3,FALSE)</f>
        <v>(乐山市校地共建产教融合基地建设项目二标段)四川省乐山市市中区苏稽镇</v>
      </c>
      <c r="J2890" s="41" t="str">
        <f>VLOOKUP(B2890,辅助信息!E:I,4,FALSE)</f>
        <v>彭江涛</v>
      </c>
      <c r="K2890" s="41">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30" t="str">
        <f>VLOOKUP(B2890,辅助信息!E:M,9,FALSE)</f>
        <v>ZTWM-CDGS-XS-2025-0126-四川机司-乐山市校地共建产教融合基地配套设施项目施工二标段钢筋采购合同</v>
      </c>
      <c r="R2890" s="30" t="str">
        <f>_xlfn._xlws.FILTER(辅助信息!D:D,辅助信息!E:E=B2890)</f>
        <v>乐山市校地共建产教融合基地建设项目</v>
      </c>
    </row>
    <row r="2891" hidden="1" spans="2:18">
      <c r="B2891" s="41" t="s">
        <v>186</v>
      </c>
      <c r="C2891" s="71">
        <v>45889</v>
      </c>
      <c r="D2891" s="41" t="str">
        <f>VLOOKUP(B2891,辅助信息!E:K,7,FALSE)</f>
        <v>JWDDCD2025072900123</v>
      </c>
      <c r="E2891" s="41" t="str">
        <f>VLOOKUP(F2891,辅助信息!A:B,2,FALSE)</f>
        <v>螺纹钢</v>
      </c>
      <c r="F2891" s="41" t="s">
        <v>201</v>
      </c>
      <c r="G2891" s="37">
        <v>15</v>
      </c>
      <c r="H2891" s="135">
        <v>15</v>
      </c>
      <c r="I2891" s="41" t="str">
        <f>VLOOKUP(B2891,辅助信息!E:I,3,FALSE)</f>
        <v>(乐山市校地共建产教融合基地建设项目二标段)四川省乐山市市中区苏稽镇</v>
      </c>
      <c r="J2891" s="41" t="str">
        <f>VLOOKUP(B2891,辅助信息!E:I,4,FALSE)</f>
        <v>彭江涛</v>
      </c>
      <c r="K2891" s="41">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30" t="str">
        <f>VLOOKUP(B2891,辅助信息!E:M,9,FALSE)</f>
        <v>ZTWM-CDGS-XS-2025-0126-四川机司-乐山市校地共建产教融合基地配套设施项目施工二标段钢筋采购合同</v>
      </c>
      <c r="R2891" s="30" t="str">
        <f>_xlfn._xlws.FILTER(辅助信息!D:D,辅助信息!E:E=B2891)</f>
        <v>乐山市校地共建产教融合基地建设项目</v>
      </c>
    </row>
    <row r="2892" hidden="1" spans="2:18">
      <c r="B2892" s="41" t="s">
        <v>187</v>
      </c>
      <c r="C2892" s="71">
        <v>45889</v>
      </c>
      <c r="D2892" s="41" t="str">
        <f>VLOOKUP(B2892,辅助信息!E:K,7,FALSE)</f>
        <v>JWDDCD2025072900121</v>
      </c>
      <c r="E2892" s="41" t="str">
        <f>VLOOKUP(F2892,辅助信息!A:B,2,FALSE)</f>
        <v>螺纹钢</v>
      </c>
      <c r="F2892" s="41" t="s">
        <v>66</v>
      </c>
      <c r="G2892" s="37">
        <v>10</v>
      </c>
      <c r="H2892" s="135">
        <f>_xlfn.XLOOKUP(C2892&amp;F2892&amp;I2892&amp;J2892,'[1]2025年已发货'!$F:$F&amp;'[1]2025年已发货'!$C:$C&amp;'[1]2025年已发货'!$G:$G&amp;'[1]2025年已发货'!$H:$H,'[1]2025年已发货'!$E:$E,"未发货")</f>
        <v>10</v>
      </c>
      <c r="I2892" s="41" t="str">
        <f>VLOOKUP(B2892,辅助信息!E:I,3,FALSE)</f>
        <v>(乐山市校地共建产教融合基地建设项目一标段)四川省乐山市市中区苏稽镇周山嘴</v>
      </c>
      <c r="J2892" s="41" t="str">
        <f>VLOOKUP(B2892,辅助信息!E:I,4,FALSE)</f>
        <v>范增云</v>
      </c>
      <c r="K2892" s="41">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30" t="str">
        <f>VLOOKUP(B2892,辅助信息!E:M,9,FALSE)</f>
        <v>ZTWM-CDGS-XS-2025-0125-四川机司-乐山市校地共建产教融合基地配套设施项目施工一标段钢筋采购合同</v>
      </c>
      <c r="R2892" s="30" t="str">
        <f>_xlfn._xlws.FILTER(辅助信息!D:D,辅助信息!E:E=B2892)</f>
        <v>乐山市校地共建产教融合基地建设项目</v>
      </c>
    </row>
    <row r="2893" hidden="1" spans="2:18">
      <c r="B2893" s="41" t="s">
        <v>187</v>
      </c>
      <c r="C2893" s="71">
        <v>45889</v>
      </c>
      <c r="D2893" s="41" t="str">
        <f>VLOOKUP(B2893,辅助信息!E:K,7,FALSE)</f>
        <v>JWDDCD2025072900121</v>
      </c>
      <c r="E2893" s="41" t="str">
        <f>VLOOKUP(F2893,辅助信息!A:B,2,FALSE)</f>
        <v>螺纹钢</v>
      </c>
      <c r="F2893" s="41" t="s">
        <v>82</v>
      </c>
      <c r="G2893" s="37">
        <v>6</v>
      </c>
      <c r="H2893" s="135">
        <f>_xlfn.XLOOKUP(C2893&amp;F2893&amp;I2893&amp;J2893,'[1]2025年已发货'!$F:$F&amp;'[1]2025年已发货'!$C:$C&amp;'[1]2025年已发货'!$G:$G&amp;'[1]2025年已发货'!$H:$H,'[1]2025年已发货'!$E:$E,"未发货")</f>
        <v>6</v>
      </c>
      <c r="I2893" s="41" t="str">
        <f>VLOOKUP(B2893,辅助信息!E:I,3,FALSE)</f>
        <v>(乐山市校地共建产教融合基地建设项目一标段)四川省乐山市市中区苏稽镇周山嘴</v>
      </c>
      <c r="J2893" s="41" t="str">
        <f>VLOOKUP(B2893,辅助信息!E:I,4,FALSE)</f>
        <v>范增云</v>
      </c>
      <c r="K2893" s="41">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30" t="str">
        <f>VLOOKUP(B2893,辅助信息!E:M,9,FALSE)</f>
        <v>ZTWM-CDGS-XS-2025-0125-四川机司-乐山市校地共建产教融合基地配套设施项目施工一标段钢筋采购合同</v>
      </c>
      <c r="R2893" s="30" t="str">
        <f>_xlfn._xlws.FILTER(辅助信息!D:D,辅助信息!E:E=B2893)</f>
        <v>乐山市校地共建产教融合基地建设项目</v>
      </c>
    </row>
    <row r="2894" hidden="1" spans="2:18">
      <c r="B2894" s="41" t="s">
        <v>187</v>
      </c>
      <c r="C2894" s="71">
        <v>45889</v>
      </c>
      <c r="D2894" s="41" t="str">
        <f>VLOOKUP(B2894,辅助信息!E:K,7,FALSE)</f>
        <v>JWDDCD2025072900121</v>
      </c>
      <c r="E2894" s="41" t="str">
        <f>VLOOKUP(F2894,辅助信息!A:B,2,FALSE)</f>
        <v>螺纹钢</v>
      </c>
      <c r="F2894" s="41" t="s">
        <v>45</v>
      </c>
      <c r="G2894" s="37">
        <v>3</v>
      </c>
      <c r="H2894" s="135">
        <f>_xlfn.XLOOKUP(C2894&amp;F2894&amp;I2894&amp;J2894,'[1]2025年已发货'!$F:$F&amp;'[1]2025年已发货'!$C:$C&amp;'[1]2025年已发货'!$G:$G&amp;'[1]2025年已发货'!$H:$H,'[1]2025年已发货'!$E:$E,"未发货")</f>
        <v>3</v>
      </c>
      <c r="I2894" s="41" t="str">
        <f>VLOOKUP(B2894,辅助信息!E:I,3,FALSE)</f>
        <v>(乐山市校地共建产教融合基地建设项目一标段)四川省乐山市市中区苏稽镇周山嘴</v>
      </c>
      <c r="J2894" s="41" t="str">
        <f>VLOOKUP(B2894,辅助信息!E:I,4,FALSE)</f>
        <v>范增云</v>
      </c>
      <c r="K2894" s="41">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30" t="str">
        <f>VLOOKUP(B2894,辅助信息!E:M,9,FALSE)</f>
        <v>ZTWM-CDGS-XS-2025-0125-四川机司-乐山市校地共建产教融合基地配套设施项目施工一标段钢筋采购合同</v>
      </c>
      <c r="R2894" s="30" t="str">
        <f>_xlfn._xlws.FILTER(辅助信息!D:D,辅助信息!E:E=B2894)</f>
        <v>乐山市校地共建产教融合基地建设项目</v>
      </c>
    </row>
    <row r="2895" hidden="1" spans="2:18">
      <c r="B2895" s="41" t="s">
        <v>187</v>
      </c>
      <c r="C2895" s="71">
        <v>45889</v>
      </c>
      <c r="D2895" s="41" t="str">
        <f>VLOOKUP(B2895,辅助信息!E:K,7,FALSE)</f>
        <v>JWDDCD2025072900121</v>
      </c>
      <c r="E2895" s="41" t="str">
        <f>VLOOKUP(F2895,辅助信息!A:B,2,FALSE)</f>
        <v>螺纹钢</v>
      </c>
      <c r="F2895" s="41" t="s">
        <v>21</v>
      </c>
      <c r="G2895" s="37">
        <v>3</v>
      </c>
      <c r="H2895" s="135">
        <f>_xlfn.XLOOKUP(C2895&amp;F2895&amp;I2895&amp;J2895,'[1]2025年已发货'!$F:$F&amp;'[1]2025年已发货'!$C:$C&amp;'[1]2025年已发货'!$G:$G&amp;'[1]2025年已发货'!$H:$H,'[1]2025年已发货'!$E:$E,"未发货")</f>
        <v>3</v>
      </c>
      <c r="I2895" s="41" t="str">
        <f>VLOOKUP(B2895,辅助信息!E:I,3,FALSE)</f>
        <v>(乐山市校地共建产教融合基地建设项目一标段)四川省乐山市市中区苏稽镇周山嘴</v>
      </c>
      <c r="J2895" s="41" t="str">
        <f>VLOOKUP(B2895,辅助信息!E:I,4,FALSE)</f>
        <v>范增云</v>
      </c>
      <c r="K2895" s="41">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30" t="str">
        <f>VLOOKUP(B2895,辅助信息!E:M,9,FALSE)</f>
        <v>ZTWM-CDGS-XS-2025-0125-四川机司-乐山市校地共建产教融合基地配套设施项目施工一标段钢筋采购合同</v>
      </c>
      <c r="R2895" s="30" t="str">
        <f>_xlfn._xlws.FILTER(辅助信息!D:D,辅助信息!E:E=B2895)</f>
        <v>乐山市校地共建产教融合基地建设项目</v>
      </c>
    </row>
    <row r="2896" hidden="1" spans="2:18">
      <c r="B2896" s="41" t="s">
        <v>187</v>
      </c>
      <c r="C2896" s="71">
        <v>45889</v>
      </c>
      <c r="D2896" s="41" t="str">
        <f>VLOOKUP(B2896,辅助信息!E:K,7,FALSE)</f>
        <v>JWDDCD2025072900121</v>
      </c>
      <c r="E2896" s="41" t="str">
        <f>VLOOKUP(F2896,辅助信息!A:B,2,FALSE)</f>
        <v>螺纹钢</v>
      </c>
      <c r="F2896" s="41" t="s">
        <v>58</v>
      </c>
      <c r="G2896" s="37">
        <v>9</v>
      </c>
      <c r="H2896" s="135">
        <f>_xlfn.XLOOKUP(C2896&amp;F2896&amp;I2896&amp;J2896,'[1]2025年已发货'!$F:$F&amp;'[1]2025年已发货'!$C:$C&amp;'[1]2025年已发货'!$G:$G&amp;'[1]2025年已发货'!$H:$H,'[1]2025年已发货'!$E:$E,"未发货")</f>
        <v>9</v>
      </c>
      <c r="I2896" s="41" t="str">
        <f>VLOOKUP(B2896,辅助信息!E:I,3,FALSE)</f>
        <v>(乐山市校地共建产教融合基地建设项目一标段)四川省乐山市市中区苏稽镇周山嘴</v>
      </c>
      <c r="J2896" s="41" t="str">
        <f>VLOOKUP(B2896,辅助信息!E:I,4,FALSE)</f>
        <v>范增云</v>
      </c>
      <c r="K2896" s="41">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30" t="str">
        <f>VLOOKUP(B2896,辅助信息!E:M,9,FALSE)</f>
        <v>ZTWM-CDGS-XS-2025-0125-四川机司-乐山市校地共建产教融合基地配套设施项目施工一标段钢筋采购合同</v>
      </c>
      <c r="R2896" s="30" t="str">
        <f>_xlfn._xlws.FILTER(辅助信息!D:D,辅助信息!E:E=B2896)</f>
        <v>乐山市校地共建产教融合基地建设项目</v>
      </c>
    </row>
    <row r="2897" hidden="1" spans="2:18">
      <c r="B2897" s="41" t="s">
        <v>187</v>
      </c>
      <c r="C2897" s="71">
        <v>45889</v>
      </c>
      <c r="D2897" s="41" t="str">
        <f>VLOOKUP(B2897,辅助信息!E:K,7,FALSE)</f>
        <v>JWDDCD2025072900121</v>
      </c>
      <c r="E2897" s="41" t="str">
        <f>VLOOKUP(F2897,辅助信息!A:B,2,FALSE)</f>
        <v>螺纹钢</v>
      </c>
      <c r="F2897" s="41" t="s">
        <v>46</v>
      </c>
      <c r="G2897" s="37">
        <v>18</v>
      </c>
      <c r="H2897" s="135">
        <f>_xlfn.XLOOKUP(C2897&amp;F2897&amp;I2897&amp;J2897,'[1]2025年已发货'!$F:$F&amp;'[1]2025年已发货'!$C:$C&amp;'[1]2025年已发货'!$G:$G&amp;'[1]2025年已发货'!$H:$H,'[1]2025年已发货'!$E:$E,"未发货")</f>
        <v>18</v>
      </c>
      <c r="I2897" s="41" t="str">
        <f>VLOOKUP(B2897,辅助信息!E:I,3,FALSE)</f>
        <v>(乐山市校地共建产教融合基地建设项目一标段)四川省乐山市市中区苏稽镇周山嘴</v>
      </c>
      <c r="J2897" s="41" t="str">
        <f>VLOOKUP(B2897,辅助信息!E:I,4,FALSE)</f>
        <v>范增云</v>
      </c>
      <c r="K2897" s="41">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30" t="str">
        <f>VLOOKUP(B2897,辅助信息!E:M,9,FALSE)</f>
        <v>ZTWM-CDGS-XS-2025-0125-四川机司-乐山市校地共建产教融合基地配套设施项目施工一标段钢筋采购合同</v>
      </c>
      <c r="R2897" s="30" t="str">
        <f>_xlfn._xlws.FILTER(辅助信息!D:D,辅助信息!E:E=B2897)</f>
        <v>乐山市校地共建产教融合基地建设项目</v>
      </c>
    </row>
    <row r="2898" hidden="1" spans="2:18">
      <c r="B2898" s="41" t="s">
        <v>187</v>
      </c>
      <c r="C2898" s="71">
        <v>45889</v>
      </c>
      <c r="D2898" s="41" t="str">
        <f>VLOOKUP(B2898,辅助信息!E:K,7,FALSE)</f>
        <v>JWDDCD2025072900121</v>
      </c>
      <c r="E2898" s="41" t="str">
        <f>VLOOKUP(F2898,辅助信息!A:B,2,FALSE)</f>
        <v>螺纹钢</v>
      </c>
      <c r="F2898" s="41" t="s">
        <v>22</v>
      </c>
      <c r="G2898" s="37">
        <v>30</v>
      </c>
      <c r="H2898" s="135">
        <f>_xlfn.XLOOKUP(C2898&amp;F2898&amp;I2898&amp;J2898,'[1]2025年已发货'!$F:$F&amp;'[1]2025年已发货'!$C:$C&amp;'[1]2025年已发货'!$G:$G&amp;'[1]2025年已发货'!$H:$H,'[1]2025年已发货'!$E:$E,"未发货")</f>
        <v>30</v>
      </c>
      <c r="I2898" s="41" t="str">
        <f>VLOOKUP(B2898,辅助信息!E:I,3,FALSE)</f>
        <v>(乐山市校地共建产教融合基地建设项目一标段)四川省乐山市市中区苏稽镇周山嘴</v>
      </c>
      <c r="J2898" s="41" t="str">
        <f>VLOOKUP(B2898,辅助信息!E:I,4,FALSE)</f>
        <v>范增云</v>
      </c>
      <c r="K2898" s="41">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30" t="str">
        <f>VLOOKUP(B2898,辅助信息!E:M,9,FALSE)</f>
        <v>ZTWM-CDGS-XS-2025-0125-四川机司-乐山市校地共建产教融合基地配套设施项目施工一标段钢筋采购合同</v>
      </c>
      <c r="R2898" s="30" t="str">
        <f>_xlfn._xlws.FILTER(辅助信息!D:D,辅助信息!E:E=B2898)</f>
        <v>乐山市校地共建产教融合基地建设项目</v>
      </c>
    </row>
    <row r="2899" hidden="1" spans="2:18">
      <c r="B2899" s="41" t="s">
        <v>187</v>
      </c>
      <c r="C2899" s="71">
        <v>45889</v>
      </c>
      <c r="D2899" s="41" t="str">
        <f>VLOOKUP(B2899,辅助信息!E:K,7,FALSE)</f>
        <v>JWDDCD2025072900121</v>
      </c>
      <c r="E2899" s="41" t="str">
        <f>VLOOKUP(F2899,辅助信息!A:B,2,FALSE)</f>
        <v>螺纹钢</v>
      </c>
      <c r="F2899" s="41" t="s">
        <v>181</v>
      </c>
      <c r="G2899" s="37">
        <v>23</v>
      </c>
      <c r="H2899" s="135">
        <f>_xlfn.XLOOKUP(C2899&amp;F2899&amp;I2899&amp;J2899,'[1]2025年已发货'!$F:$F&amp;'[1]2025年已发货'!$C:$C&amp;'[1]2025年已发货'!$G:$G&amp;'[1]2025年已发货'!$H:$H,'[1]2025年已发货'!$E:$E,"未发货")</f>
        <v>23</v>
      </c>
      <c r="I2899" s="41" t="str">
        <f>VLOOKUP(B2899,辅助信息!E:I,3,FALSE)</f>
        <v>(乐山市校地共建产教融合基地建设项目一标段)四川省乐山市市中区苏稽镇周山嘴</v>
      </c>
      <c r="J2899" s="41" t="str">
        <f>VLOOKUP(B2899,辅助信息!E:I,4,FALSE)</f>
        <v>范增云</v>
      </c>
      <c r="K2899" s="41">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30" t="str">
        <f>VLOOKUP(B2899,辅助信息!E:M,9,FALSE)</f>
        <v>ZTWM-CDGS-XS-2025-0125-四川机司-乐山市校地共建产教融合基地配套设施项目施工一标段钢筋采购合同</v>
      </c>
      <c r="R2899" s="30" t="str">
        <f>_xlfn._xlws.FILTER(辅助信息!D:D,辅助信息!E:E=B2899)</f>
        <v>乐山市校地共建产教融合基地建设项目</v>
      </c>
    </row>
    <row r="2900" hidden="1" spans="2:18">
      <c r="B2900" s="41" t="s">
        <v>187</v>
      </c>
      <c r="C2900" s="71">
        <v>45889</v>
      </c>
      <c r="D2900" s="41" t="str">
        <f>VLOOKUP(B2900,辅助信息!E:K,7,FALSE)</f>
        <v>JWDDCD2025072900121</v>
      </c>
      <c r="E2900" s="41" t="str">
        <f>VLOOKUP(F2900,辅助信息!A:B,2,FALSE)</f>
        <v>螺纹钢</v>
      </c>
      <c r="F2900" s="41" t="s">
        <v>182</v>
      </c>
      <c r="G2900" s="37">
        <v>3</v>
      </c>
      <c r="H2900" s="135">
        <f>_xlfn.XLOOKUP(C2900&amp;F2900&amp;I2900&amp;J2900,'[1]2025年已发货'!$F:$F&amp;'[1]2025年已发货'!$C:$C&amp;'[1]2025年已发货'!$G:$G&amp;'[1]2025年已发货'!$H:$H,'[1]2025年已发货'!$E:$E,"未发货")</f>
        <v>3</v>
      </c>
      <c r="I2900" s="41" t="str">
        <f>VLOOKUP(B2900,辅助信息!E:I,3,FALSE)</f>
        <v>(乐山市校地共建产教融合基地建设项目一标段)四川省乐山市市中区苏稽镇周山嘴</v>
      </c>
      <c r="J2900" s="41" t="str">
        <f>VLOOKUP(B2900,辅助信息!E:I,4,FALSE)</f>
        <v>范增云</v>
      </c>
      <c r="K2900" s="41">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30" t="str">
        <f>VLOOKUP(B2900,辅助信息!E:M,9,FALSE)</f>
        <v>ZTWM-CDGS-XS-2025-0125-四川机司-乐山市校地共建产教融合基地配套设施项目施工一标段钢筋采购合同</v>
      </c>
      <c r="R2900" s="30" t="str">
        <f>_xlfn._xlws.FILTER(辅助信息!D:D,辅助信息!E:E=B2900)</f>
        <v>乐山市校地共建产教融合基地建设项目</v>
      </c>
    </row>
    <row r="2901" s="27"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89</v>
      </c>
      <c r="Q2901" s="27" t="str">
        <f>VLOOKUP(B2901,辅助信息!E:M,9,FALSE)</f>
        <v>ZTWM-CDGS-XS-2025-0125-四川机司-乐山市校地共建产教融合基地配套设施项目施工一标段钢筋采购合同</v>
      </c>
      <c r="R2901" s="27" t="str">
        <f>_xlfn._xlws.FILTER(辅助信息!D:D,辅助信息!E:E=B2901)</f>
        <v>乐山市校地共建产教融合基地建设项目</v>
      </c>
    </row>
    <row r="2902" s="27"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89</v>
      </c>
      <c r="Q2902" s="27" t="str">
        <f>VLOOKUP(B2902,辅助信息!E:M,9,FALSE)</f>
        <v>ZTWM-CDGS-XS-2025-0125-四川机司-乐山市校地共建产教融合基地配套设施项目施工一标段钢筋采购合同</v>
      </c>
      <c r="R2902" s="27" t="str">
        <f>_xlfn._xlws.FILTER(辅助信息!D:D,辅助信息!E:E=B2902)</f>
        <v>乐山市校地共建产教融合基地建设项目</v>
      </c>
    </row>
    <row r="2903" s="27"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89</v>
      </c>
      <c r="Q2903" s="27" t="str">
        <f>VLOOKUP(B2903,辅助信息!E:M,9,FALSE)</f>
        <v>ZTWM-CDGS-XS-2025-0125-四川机司-乐山市校地共建产教融合基地配套设施项目施工一标段钢筋采购合同</v>
      </c>
      <c r="R2903" s="27" t="str">
        <f>_xlfn._xlws.FILTER(辅助信息!D:D,辅助信息!E:E=B2903)</f>
        <v>乐山市校地共建产教融合基地建设项目</v>
      </c>
    </row>
    <row r="2904" s="27"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89</v>
      </c>
      <c r="Q2904" s="27" t="str">
        <f>VLOOKUP(B2904,辅助信息!E:M,9,FALSE)</f>
        <v>ZTWM-CDGS-XS-2025-0125-四川机司-乐山市校地共建产教融合基地配套设施项目施工一标段钢筋采购合同</v>
      </c>
      <c r="R2904" s="27" t="str">
        <f>_xlfn._xlws.FILTER(辅助信息!D:D,辅助信息!E:E=B2904)</f>
        <v>乐山市校地共建产教融合基地建设项目</v>
      </c>
    </row>
    <row r="2905" s="27"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89</v>
      </c>
      <c r="Q2905" s="27" t="str">
        <f>VLOOKUP(B2905,辅助信息!E:M,9,FALSE)</f>
        <v>ZTWM-CDGS-XS-2025-0125-四川机司-乐山市校地共建产教融合基地配套设施项目施工一标段钢筋采购合同</v>
      </c>
      <c r="R2905" s="27" t="str">
        <f>_xlfn._xlws.FILTER(辅助信息!D:D,辅助信息!E:E=B2905)</f>
        <v>乐山市校地共建产教融合基地建设项目</v>
      </c>
    </row>
    <row r="2906" s="27"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89</v>
      </c>
      <c r="Q2906" s="27" t="str">
        <f>VLOOKUP(B2906,辅助信息!E:M,9,FALSE)</f>
        <v>ZTWM-CDGS-XS-2025-0125-四川机司-乐山市校地共建产教融合基地配套设施项目施工一标段钢筋采购合同</v>
      </c>
      <c r="R2906" s="27" t="str">
        <f>_xlfn._xlws.FILTER(辅助信息!D:D,辅助信息!E:E=B2906)</f>
        <v>乐山市校地共建产教融合基地建设项目</v>
      </c>
    </row>
    <row r="2907" s="27"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89</v>
      </c>
      <c r="Q2907" s="27" t="str">
        <f>VLOOKUP(B2907,辅助信息!E:M,9,FALSE)</f>
        <v>ZTWM-CDGS-XS-2025-0125-四川机司-乐山市校地共建产教融合基地配套设施项目施工一标段钢筋采购合同</v>
      </c>
      <c r="R2907" s="27" t="str">
        <f>_xlfn._xlws.FILTER(辅助信息!D:D,辅助信息!E:E=B2907)</f>
        <v>乐山市校地共建产教融合基地建设项目</v>
      </c>
    </row>
    <row r="2908" s="27"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89</v>
      </c>
      <c r="Q2908" s="27" t="str">
        <f>VLOOKUP(B2908,辅助信息!E:M,9,FALSE)</f>
        <v>ZTWM-CDGS-XS-2025-0126-四川机司-乐山市校地共建产教融合基地配套设施项目施工二标段钢筋采购合同</v>
      </c>
      <c r="R2908" s="27" t="str">
        <f>_xlfn._xlws.FILTER(辅助信息!D:D,辅助信息!E:E=B2908)</f>
        <v>乐山市校地共建产教融合基地建设项目</v>
      </c>
    </row>
    <row r="2909" s="27"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89</v>
      </c>
      <c r="Q2909" s="27" t="str">
        <f>VLOOKUP(B2909,辅助信息!E:M,9,FALSE)</f>
        <v>ZTWM-CDGS-XS-2025-0126-四川机司-乐山市校地共建产教融合基地配套设施项目施工二标段钢筋采购合同</v>
      </c>
      <c r="R2909" s="27" t="str">
        <f>_xlfn._xlws.FILTER(辅助信息!D:D,辅助信息!E:E=B2909)</f>
        <v>乐山市校地共建产教融合基地建设项目</v>
      </c>
    </row>
    <row r="2910" s="27"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89</v>
      </c>
      <c r="Q2910" s="27" t="str">
        <f>VLOOKUP(B2910,辅助信息!E:M,9,FALSE)</f>
        <v>ZTWM-CDGS-XS-2025-0126-四川机司-乐山市校地共建产教融合基地配套设施项目施工二标段钢筋采购合同</v>
      </c>
      <c r="R2910" s="27" t="str">
        <f>_xlfn._xlws.FILTER(辅助信息!D:D,辅助信息!E:E=B2910)</f>
        <v>乐山市校地共建产教融合基地建设项目</v>
      </c>
    </row>
    <row r="2911" s="27"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89</v>
      </c>
      <c r="Q2911" s="27" t="str">
        <f>VLOOKUP(B2911,辅助信息!E:M,9,FALSE)</f>
        <v>ZTWM-CDGS-XS-2025-0126-四川机司-乐山市校地共建产教融合基地配套设施项目施工二标段钢筋采购合同</v>
      </c>
      <c r="R2911" s="27" t="str">
        <f>_xlfn._xlws.FILTER(辅助信息!D:D,辅助信息!E:E=B2911)</f>
        <v>乐山市校地共建产教融合基地建设项目</v>
      </c>
    </row>
    <row r="2912" s="27"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89</v>
      </c>
      <c r="Q2912" s="27" t="str">
        <f>VLOOKUP(B2912,辅助信息!E:M,9,FALSE)</f>
        <v>ZTWM-CDGS-XS-2025-0126-四川机司-乐山市校地共建产教融合基地配套设施项目施工二标段钢筋采购合同</v>
      </c>
      <c r="R2912" s="27" t="str">
        <f>_xlfn._xlws.FILTER(辅助信息!D:D,辅助信息!E:E=B2912)</f>
        <v>乐山市校地共建产教融合基地建设项目</v>
      </c>
    </row>
    <row r="2913" s="27"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89</v>
      </c>
      <c r="Q2913" s="27" t="str">
        <f>VLOOKUP(B2913,辅助信息!E:M,9,FALSE)</f>
        <v>ZTWM-CDGS-XS-2025-0126-四川机司-乐山市校地共建产教融合基地配套设施项目施工二标段钢筋采购合同</v>
      </c>
      <c r="R2913" s="27" t="str">
        <f>_xlfn._xlws.FILTER(辅助信息!D:D,辅助信息!E:E=B2913)</f>
        <v>乐山市校地共建产教融合基地建设项目</v>
      </c>
    </row>
    <row r="2914" s="27"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89</v>
      </c>
      <c r="Q2914" s="27" t="str">
        <f>VLOOKUP(B2914,辅助信息!E:M,9,FALSE)</f>
        <v>ZTWM-CDGS-XS-2025-0126-四川机司-乐山市校地共建产教融合基地配套设施项目施工二标段钢筋采购合同</v>
      </c>
      <c r="R2914" s="27" t="str">
        <f>_xlfn._xlws.FILTER(辅助信息!D:D,辅助信息!E:E=B2914)</f>
        <v>乐山市校地共建产教融合基地建设项目</v>
      </c>
    </row>
    <row r="2915" s="27"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89</v>
      </c>
      <c r="Q2915" s="27" t="str">
        <f>VLOOKUP(B2915,辅助信息!E:M,9,FALSE)</f>
        <v>ZTWM-CDGS-XS-2025-0126-四川机司-乐山市校地共建产教融合基地配套设施项目施工二标段钢筋采购合同</v>
      </c>
      <c r="R2915" s="27" t="str">
        <f>_xlfn._xlws.FILTER(辅助信息!D:D,辅助信息!E:E=B2915)</f>
        <v>乐山市校地共建产教融合基地建设项目</v>
      </c>
    </row>
    <row r="2916" hidden="1" spans="2:18">
      <c r="B2916" s="41" t="s">
        <v>167</v>
      </c>
      <c r="C2916" s="71">
        <v>45890</v>
      </c>
      <c r="D2916" s="41" t="str">
        <f>VLOOKUP(B2916,辅助信息!E:K,7,FALSE)</f>
        <v>JWDDCD2025102100473</v>
      </c>
      <c r="E2916" s="41" t="str">
        <f>VLOOKUP(F2916,辅助信息!A:B,2,FALSE)</f>
        <v>盘螺</v>
      </c>
      <c r="F2916" s="41" t="s">
        <v>49</v>
      </c>
      <c r="G2916" s="37">
        <v>4</v>
      </c>
      <c r="H2916" s="135">
        <v>4</v>
      </c>
      <c r="I2916" s="41" t="str">
        <f>VLOOKUP(B2916,辅助信息!E:I,3,FALSE)</f>
        <v>(五冶建设扩建艺体中学二期工程)四川省成都市双流区光荣路成都艺体中学南200米</v>
      </c>
      <c r="J2916" s="41" t="str">
        <f>VLOOKUP(B2916,辅助信息!E:I,4,FALSE)</f>
        <v>谢序强</v>
      </c>
      <c r="K2916" s="41">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89</v>
      </c>
      <c r="Q2916" s="30" t="str">
        <f>VLOOKUP(B2916,辅助信息!E:M,9,FALSE)</f>
        <v>ZTWM-CDGS-XS-2025-0073-五冶天府-成都怡心湖片区及龙泉驿医院等项目</v>
      </c>
      <c r="R2916" s="30" t="str">
        <f>_xlfn._xlws.FILTER(辅助信息!D:D,辅助信息!E:E=B2916)</f>
        <v>五冶建设扩建艺体中学二期工程</v>
      </c>
    </row>
    <row r="2917" hidden="1" spans="2:18">
      <c r="B2917" s="41" t="s">
        <v>167</v>
      </c>
      <c r="C2917" s="71">
        <v>45890</v>
      </c>
      <c r="D2917" s="41" t="str">
        <f>VLOOKUP(B2917,辅助信息!E:K,7,FALSE)</f>
        <v>JWDDCD2025102100473</v>
      </c>
      <c r="E2917" s="41" t="str">
        <f>VLOOKUP(F2917,辅助信息!A:B,2,FALSE)</f>
        <v>盘螺</v>
      </c>
      <c r="F2917" s="41" t="s">
        <v>40</v>
      </c>
      <c r="G2917" s="37">
        <v>10</v>
      </c>
      <c r="H2917" s="135">
        <v>10</v>
      </c>
      <c r="I2917" s="41" t="str">
        <f>VLOOKUP(B2917,辅助信息!E:I,3,FALSE)</f>
        <v>(五冶建设扩建艺体中学二期工程)四川省成都市双流区光荣路成都艺体中学南200米</v>
      </c>
      <c r="J2917" s="41" t="str">
        <f>VLOOKUP(B2917,辅助信息!E:I,4,FALSE)</f>
        <v>谢序强</v>
      </c>
      <c r="K2917" s="41">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89</v>
      </c>
      <c r="Q2917" s="30" t="str">
        <f>VLOOKUP(B2917,辅助信息!E:M,9,FALSE)</f>
        <v>ZTWM-CDGS-XS-2025-0073-五冶天府-成都怡心湖片区及龙泉驿医院等项目</v>
      </c>
      <c r="R2917" s="30" t="str">
        <f>_xlfn._xlws.FILTER(辅助信息!D:D,辅助信息!E:E=B2917)</f>
        <v>五冶建设扩建艺体中学二期工程</v>
      </c>
    </row>
    <row r="2918" hidden="1" spans="2:18">
      <c r="B2918" s="41" t="s">
        <v>167</v>
      </c>
      <c r="C2918" s="71">
        <v>45890</v>
      </c>
      <c r="D2918" s="41" t="str">
        <f>VLOOKUP(B2918,辅助信息!E:K,7,FALSE)</f>
        <v>JWDDCD2025102100473</v>
      </c>
      <c r="E2918" s="41" t="str">
        <f>VLOOKUP(F2918,辅助信息!A:B,2,FALSE)</f>
        <v>盘螺</v>
      </c>
      <c r="F2918" s="41" t="s">
        <v>41</v>
      </c>
      <c r="G2918" s="37">
        <v>20</v>
      </c>
      <c r="H2918" s="135">
        <v>20</v>
      </c>
      <c r="I2918" s="41" t="str">
        <f>VLOOKUP(B2918,辅助信息!E:I,3,FALSE)</f>
        <v>(五冶建设扩建艺体中学二期工程)四川省成都市双流区光荣路成都艺体中学南200米</v>
      </c>
      <c r="J2918" s="41" t="str">
        <f>VLOOKUP(B2918,辅助信息!E:I,4,FALSE)</f>
        <v>谢序强</v>
      </c>
      <c r="K2918" s="41">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89</v>
      </c>
      <c r="Q2918" s="30" t="str">
        <f>VLOOKUP(B2918,辅助信息!E:M,9,FALSE)</f>
        <v>ZTWM-CDGS-XS-2025-0073-五冶天府-成都怡心湖片区及龙泉驿医院等项目</v>
      </c>
      <c r="R2918" s="30" t="str">
        <f>_xlfn._xlws.FILTER(辅助信息!D:D,辅助信息!E:E=B2918)</f>
        <v>五冶建设扩建艺体中学二期工程</v>
      </c>
    </row>
    <row r="2919" hidden="1" spans="2:18">
      <c r="B2919" s="41" t="s">
        <v>167</v>
      </c>
      <c r="C2919" s="71">
        <v>45890</v>
      </c>
      <c r="D2919" s="41" t="str">
        <f>VLOOKUP(B2919,辅助信息!E:K,7,FALSE)</f>
        <v>JWDDCD2025102100473</v>
      </c>
      <c r="E2919" s="41" t="str">
        <f>VLOOKUP(F2919,辅助信息!A:B,2,FALSE)</f>
        <v>螺纹钢</v>
      </c>
      <c r="F2919" s="41" t="s">
        <v>27</v>
      </c>
      <c r="G2919" s="37">
        <v>15</v>
      </c>
      <c r="H2919" s="135">
        <v>15</v>
      </c>
      <c r="I2919" s="41" t="str">
        <f>VLOOKUP(B2919,辅助信息!E:I,3,FALSE)</f>
        <v>(五冶建设扩建艺体中学二期工程)四川省成都市双流区光荣路成都艺体中学南200米</v>
      </c>
      <c r="J2919" s="41" t="str">
        <f>VLOOKUP(B2919,辅助信息!E:I,4,FALSE)</f>
        <v>谢序强</v>
      </c>
      <c r="K2919" s="41">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30" t="str">
        <f>VLOOKUP(B2919,辅助信息!E:M,9,FALSE)</f>
        <v>ZTWM-CDGS-XS-2025-0073-五冶天府-成都怡心湖片区及龙泉驿医院等项目</v>
      </c>
      <c r="R2919" s="30" t="str">
        <f>_xlfn._xlws.FILTER(辅助信息!D:D,辅助信息!E:E=B2919)</f>
        <v>五冶建设扩建艺体中学二期工程</v>
      </c>
    </row>
    <row r="2920" hidden="1" spans="2:18">
      <c r="B2920" s="41" t="s">
        <v>167</v>
      </c>
      <c r="C2920" s="71">
        <v>45890</v>
      </c>
      <c r="D2920" s="41" t="str">
        <f>VLOOKUP(B2920,辅助信息!E:K,7,FALSE)</f>
        <v>JWDDCD2025102100473</v>
      </c>
      <c r="E2920" s="41" t="str">
        <f>VLOOKUP(F2920,辅助信息!A:B,2,FALSE)</f>
        <v>螺纹钢</v>
      </c>
      <c r="F2920" s="41" t="s">
        <v>21</v>
      </c>
      <c r="G2920" s="37">
        <v>5</v>
      </c>
      <c r="H2920" s="135">
        <v>5</v>
      </c>
      <c r="I2920" s="41" t="str">
        <f>VLOOKUP(B2920,辅助信息!E:I,3,FALSE)</f>
        <v>(五冶建设扩建艺体中学二期工程)四川省成都市双流区光荣路成都艺体中学南200米</v>
      </c>
      <c r="J2920" s="41" t="str">
        <f>VLOOKUP(B2920,辅助信息!E:I,4,FALSE)</f>
        <v>谢序强</v>
      </c>
      <c r="K2920" s="41">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30" t="str">
        <f>VLOOKUP(B2920,辅助信息!E:M,9,FALSE)</f>
        <v>ZTWM-CDGS-XS-2025-0073-五冶天府-成都怡心湖片区及龙泉驿医院等项目</v>
      </c>
      <c r="R2920" s="30" t="str">
        <f>_xlfn._xlws.FILTER(辅助信息!D:D,辅助信息!E:E=B2920)</f>
        <v>五冶建设扩建艺体中学二期工程</v>
      </c>
    </row>
    <row r="2921" hidden="1" spans="2:18">
      <c r="B2921" s="41" t="s">
        <v>167</v>
      </c>
      <c r="C2921" s="71">
        <v>45890</v>
      </c>
      <c r="D2921" s="41" t="str">
        <f>VLOOKUP(B2921,辅助信息!E:K,7,FALSE)</f>
        <v>JWDDCD2025102100473</v>
      </c>
      <c r="E2921" s="41" t="str">
        <f>VLOOKUP(F2921,辅助信息!A:B,2,FALSE)</f>
        <v>螺纹钢</v>
      </c>
      <c r="F2921" s="41" t="s">
        <v>58</v>
      </c>
      <c r="G2921" s="37">
        <v>5</v>
      </c>
      <c r="H2921" s="135">
        <v>5</v>
      </c>
      <c r="I2921" s="41" t="str">
        <f>VLOOKUP(B2921,辅助信息!E:I,3,FALSE)</f>
        <v>(五冶建设扩建艺体中学二期工程)四川省成都市双流区光荣路成都艺体中学南200米</v>
      </c>
      <c r="J2921" s="41" t="str">
        <f>VLOOKUP(B2921,辅助信息!E:I,4,FALSE)</f>
        <v>谢序强</v>
      </c>
      <c r="K2921" s="41">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30" t="str">
        <f>VLOOKUP(B2921,辅助信息!E:M,9,FALSE)</f>
        <v>ZTWM-CDGS-XS-2025-0073-五冶天府-成都怡心湖片区及龙泉驿医院等项目</v>
      </c>
      <c r="R2921" s="30" t="str">
        <f>_xlfn._xlws.FILTER(辅助信息!D:D,辅助信息!E:E=B2921)</f>
        <v>五冶建设扩建艺体中学二期工程</v>
      </c>
    </row>
    <row r="2922" hidden="1" spans="2:18">
      <c r="B2922" s="41" t="s">
        <v>167</v>
      </c>
      <c r="C2922" s="71">
        <v>45890</v>
      </c>
      <c r="D2922" s="41" t="str">
        <f>VLOOKUP(B2922,辅助信息!E:K,7,FALSE)</f>
        <v>JWDDCD2025102100473</v>
      </c>
      <c r="E2922" s="41" t="str">
        <f>VLOOKUP(F2922,辅助信息!A:B,2,FALSE)</f>
        <v>螺纹钢</v>
      </c>
      <c r="F2922" s="41" t="s">
        <v>22</v>
      </c>
      <c r="G2922" s="37">
        <v>46</v>
      </c>
      <c r="H2922" s="135">
        <v>46</v>
      </c>
      <c r="I2922" s="41" t="str">
        <f>VLOOKUP(B2922,辅助信息!E:I,3,FALSE)</f>
        <v>(五冶建设扩建艺体中学二期工程)四川省成都市双流区光荣路成都艺体中学南200米</v>
      </c>
      <c r="J2922" s="41" t="str">
        <f>VLOOKUP(B2922,辅助信息!E:I,4,FALSE)</f>
        <v>谢序强</v>
      </c>
      <c r="K2922" s="41">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30" t="str">
        <f>VLOOKUP(B2922,辅助信息!E:M,9,FALSE)</f>
        <v>ZTWM-CDGS-XS-2025-0073-五冶天府-成都怡心湖片区及龙泉驿医院等项目</v>
      </c>
      <c r="R2922" s="30" t="str">
        <f>_xlfn._xlws.FILTER(辅助信息!D:D,辅助信息!E:E=B2922)</f>
        <v>五冶建设扩建艺体中学二期工程</v>
      </c>
    </row>
    <row r="2923" hidden="1" spans="2:18">
      <c r="B2923" s="41" t="s">
        <v>167</v>
      </c>
      <c r="C2923" s="71">
        <v>45890</v>
      </c>
      <c r="D2923" s="41" t="str">
        <f>VLOOKUP(B2923,辅助信息!E:K,7,FALSE)</f>
        <v>JWDDCD2025102100473</v>
      </c>
      <c r="E2923" s="41" t="str">
        <f>VLOOKUP(F2923,辅助信息!A:B,2,FALSE)</f>
        <v>螺纹钢</v>
      </c>
      <c r="F2923" s="41" t="s">
        <v>27</v>
      </c>
      <c r="G2923" s="37">
        <v>50</v>
      </c>
      <c r="H2923" s="135">
        <v>50</v>
      </c>
      <c r="I2923" s="41" t="str">
        <f>VLOOKUP(B2923,辅助信息!E:I,3,FALSE)</f>
        <v>(五冶建设扩建艺体中学二期工程)四川省成都市双流区光荣路成都艺体中学南200米</v>
      </c>
      <c r="J2923" s="41" t="str">
        <f>VLOOKUP(B2923,辅助信息!E:I,4,FALSE)</f>
        <v>谢序强</v>
      </c>
      <c r="K2923" s="41">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30" t="str">
        <f>VLOOKUP(B2923,辅助信息!E:M,9,FALSE)</f>
        <v>ZTWM-CDGS-XS-2025-0073-五冶天府-成都怡心湖片区及龙泉驿医院等项目</v>
      </c>
      <c r="R2923" s="30" t="str">
        <f>_xlfn._xlws.FILTER(辅助信息!D:D,辅助信息!E:E=B2923)</f>
        <v>五冶建设扩建艺体中学二期工程</v>
      </c>
    </row>
    <row r="2924" hidden="1" spans="2:18">
      <c r="B2924" s="41" t="s">
        <v>167</v>
      </c>
      <c r="C2924" s="71">
        <v>45890</v>
      </c>
      <c r="D2924" s="41" t="str">
        <f>VLOOKUP(B2924,辅助信息!E:K,7,FALSE)</f>
        <v>JWDDCD2025102100473</v>
      </c>
      <c r="E2924" s="41" t="str">
        <f>VLOOKUP(F2924,辅助信息!A:B,2,FALSE)</f>
        <v>螺纹钢</v>
      </c>
      <c r="F2924" s="41" t="s">
        <v>19</v>
      </c>
      <c r="G2924" s="37">
        <v>20</v>
      </c>
      <c r="H2924" s="135">
        <v>20</v>
      </c>
      <c r="I2924" s="41" t="str">
        <f>VLOOKUP(B2924,辅助信息!E:I,3,FALSE)</f>
        <v>(五冶建设扩建艺体中学二期工程)四川省成都市双流区光荣路成都艺体中学南200米</v>
      </c>
      <c r="J2924" s="41" t="str">
        <f>VLOOKUP(B2924,辅助信息!E:I,4,FALSE)</f>
        <v>谢序强</v>
      </c>
      <c r="K2924" s="41">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30" t="str">
        <f>VLOOKUP(B2924,辅助信息!E:M,9,FALSE)</f>
        <v>ZTWM-CDGS-XS-2025-0073-五冶天府-成都怡心湖片区及龙泉驿医院等项目</v>
      </c>
      <c r="R2924" s="30" t="str">
        <f>_xlfn._xlws.FILTER(辅助信息!D:D,辅助信息!E:E=B2924)</f>
        <v>五冶建设扩建艺体中学二期工程</v>
      </c>
    </row>
    <row r="2925" hidden="1" spans="2:18">
      <c r="B2925" s="41" t="s">
        <v>167</v>
      </c>
      <c r="C2925" s="71">
        <v>45890</v>
      </c>
      <c r="D2925" s="41" t="str">
        <f>VLOOKUP(B2925,辅助信息!E:K,7,FALSE)</f>
        <v>JWDDCD2025102100473</v>
      </c>
      <c r="E2925" s="41" t="str">
        <f>VLOOKUP(F2925,辅助信息!A:B,2,FALSE)</f>
        <v>螺纹钢</v>
      </c>
      <c r="F2925" s="41" t="s">
        <v>66</v>
      </c>
      <c r="G2925" s="37">
        <v>5</v>
      </c>
      <c r="H2925" s="135">
        <v>5</v>
      </c>
      <c r="I2925" s="41" t="str">
        <f>VLOOKUP(B2925,辅助信息!E:I,3,FALSE)</f>
        <v>(五冶建设扩建艺体中学二期工程)四川省成都市双流区光荣路成都艺体中学南200米</v>
      </c>
      <c r="J2925" s="41" t="str">
        <f>VLOOKUP(B2925,辅助信息!E:I,4,FALSE)</f>
        <v>谢序强</v>
      </c>
      <c r="K2925" s="41">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30" t="str">
        <f>VLOOKUP(B2925,辅助信息!E:M,9,FALSE)</f>
        <v>ZTWM-CDGS-XS-2025-0073-五冶天府-成都怡心湖片区及龙泉驿医院等项目</v>
      </c>
      <c r="R2925" s="30" t="str">
        <f>_xlfn._xlws.FILTER(辅助信息!D:D,辅助信息!E:E=B2925)</f>
        <v>五冶建设扩建艺体中学二期工程</v>
      </c>
    </row>
    <row r="2926" hidden="1" spans="2:18">
      <c r="B2926" s="41" t="s">
        <v>167</v>
      </c>
      <c r="C2926" s="71">
        <v>45890</v>
      </c>
      <c r="D2926" s="41" t="str">
        <f>VLOOKUP(B2926,辅助信息!E:K,7,FALSE)</f>
        <v>JWDDCD2025102100473</v>
      </c>
      <c r="E2926" s="41" t="str">
        <f>VLOOKUP(F2926,辅助信息!A:B,2,FALSE)</f>
        <v>螺纹钢</v>
      </c>
      <c r="F2926" s="41" t="s">
        <v>82</v>
      </c>
      <c r="G2926" s="37">
        <v>5</v>
      </c>
      <c r="H2926" s="135">
        <v>5</v>
      </c>
      <c r="I2926" s="41" t="str">
        <f>VLOOKUP(B2926,辅助信息!E:I,3,FALSE)</f>
        <v>(五冶建设扩建艺体中学二期工程)四川省成都市双流区光荣路成都艺体中学南200米</v>
      </c>
      <c r="J2926" s="41" t="str">
        <f>VLOOKUP(B2926,辅助信息!E:I,4,FALSE)</f>
        <v>谢序强</v>
      </c>
      <c r="K2926" s="41">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30" t="str">
        <f>VLOOKUP(B2926,辅助信息!E:M,9,FALSE)</f>
        <v>ZTWM-CDGS-XS-2025-0073-五冶天府-成都怡心湖片区及龙泉驿医院等项目</v>
      </c>
      <c r="R2926" s="30" t="str">
        <f>_xlfn._xlws.FILTER(辅助信息!D:D,辅助信息!E:E=B2926)</f>
        <v>五冶建设扩建艺体中学二期工程</v>
      </c>
    </row>
    <row r="2927" hidden="1" spans="2:18">
      <c r="B2927" s="41" t="s">
        <v>167</v>
      </c>
      <c r="C2927" s="71">
        <v>45890</v>
      </c>
      <c r="D2927" s="41" t="str">
        <f>VLOOKUP(B2927,辅助信息!E:K,7,FALSE)</f>
        <v>JWDDCD2025102100473</v>
      </c>
      <c r="E2927" s="41" t="str">
        <f>VLOOKUP(F2927,辅助信息!A:B,2,FALSE)</f>
        <v>螺纹钢</v>
      </c>
      <c r="F2927" s="41" t="s">
        <v>22</v>
      </c>
      <c r="G2927" s="37">
        <v>60</v>
      </c>
      <c r="H2927" s="135">
        <v>60</v>
      </c>
      <c r="I2927" s="41" t="str">
        <f>VLOOKUP(B2927,辅助信息!E:I,3,FALSE)</f>
        <v>(五冶建设扩建艺体中学二期工程)四川省成都市双流区光荣路成都艺体中学南200米</v>
      </c>
      <c r="J2927" s="41" t="str">
        <f>VLOOKUP(B2927,辅助信息!E:I,4,FALSE)</f>
        <v>谢序强</v>
      </c>
      <c r="K2927" s="41">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30" t="str">
        <f>VLOOKUP(B2927,辅助信息!E:M,9,FALSE)</f>
        <v>ZTWM-CDGS-XS-2025-0073-五冶天府-成都怡心湖片区及龙泉驿医院等项目</v>
      </c>
      <c r="R2927" s="30" t="str">
        <f>_xlfn._xlws.FILTER(辅助信息!D:D,辅助信息!E:E=B2927)</f>
        <v>五冶建设扩建艺体中学二期工程</v>
      </c>
    </row>
    <row r="2928" hidden="1" spans="1:18">
      <c r="A2928" s="72" t="s">
        <v>209</v>
      </c>
      <c r="B2928" s="41" t="s">
        <v>208</v>
      </c>
      <c r="C2928" s="71">
        <v>45892</v>
      </c>
      <c r="D2928" s="41" t="str">
        <f>VLOOKUP(B2928,辅助信息!E:K,7,FALSE)</f>
        <v>JWDDCD2025102100480</v>
      </c>
      <c r="E2928" s="41" t="str">
        <f>VLOOKUP(F2928,辅助信息!A:B,2,FALSE)</f>
        <v>高线</v>
      </c>
      <c r="F2928" s="41" t="s">
        <v>51</v>
      </c>
      <c r="G2928" s="37">
        <v>10</v>
      </c>
      <c r="H2928" s="121" t="str">
        <f>_xlfn.XLOOKUP(C2928&amp;F2928&amp;I2928&amp;J2928,'[1]2025年已发货'!$F:$F&amp;'[1]2025年已发货'!$C:$C&amp;'[1]2025年已发货'!$G:$G&amp;'[1]2025年已发货'!$H:$H,'[1]2025年已发货'!$E:$E,"未发货")</f>
        <v>未发货</v>
      </c>
      <c r="I2928" s="41" t="str">
        <f>VLOOKUP(B2928,辅助信息!E:I,3,FALSE)</f>
        <v>(五冶建设锦江区林家坝片区20号地块商业项目)锦江区泰昌路锦江28亩项目部</v>
      </c>
      <c r="J2928" s="41" t="str">
        <f>VLOOKUP(B2928,辅助信息!E:I,4,FALSE)</f>
        <v>陶杰</v>
      </c>
      <c r="K2928" s="41">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30" t="str">
        <f>VLOOKUP(B2928,辅助信息!E:M,9,FALSE)</f>
        <v>ZTWM-CDGS-XS-2025-0073-五冶天府-成都怡心湖片区及龙泉驿医院等项目</v>
      </c>
      <c r="R2928" s="30" t="str">
        <f>_xlfn._xlws.FILTER(辅助信息!D:D,辅助信息!E:E=B2928)</f>
        <v>五冶建设锦江区林家坝片区20号地块商业项目</v>
      </c>
    </row>
    <row r="2929" hidden="1" spans="1:18">
      <c r="A2929" s="72"/>
      <c r="B2929" s="41" t="s">
        <v>208</v>
      </c>
      <c r="C2929" s="71">
        <v>45892</v>
      </c>
      <c r="D2929" s="41" t="str">
        <f>VLOOKUP(B2929,辅助信息!E:K,7,FALSE)</f>
        <v>JWDDCD2025102100480</v>
      </c>
      <c r="E2929" s="41" t="str">
        <f>VLOOKUP(F2929,辅助信息!A:B,2,FALSE)</f>
        <v>螺纹钢</v>
      </c>
      <c r="F2929" s="41" t="s">
        <v>30</v>
      </c>
      <c r="G2929" s="37">
        <v>2.7</v>
      </c>
      <c r="H2929" s="121">
        <f>_xlfn.XLOOKUP(C2929&amp;F2929&amp;I2929&amp;J2929,'[1]2025年已发货'!$F:$F&amp;'[1]2025年已发货'!$C:$C&amp;'[1]2025年已发货'!$G:$G&amp;'[1]2025年已发货'!$H:$H,'[1]2025年已发货'!$E:$E,"未发货")</f>
        <v>2.7</v>
      </c>
      <c r="I2929" s="41" t="str">
        <f>VLOOKUP(B2929,辅助信息!E:I,3,FALSE)</f>
        <v>(五冶建设锦江区林家坝片区20号地块商业项目)锦江区泰昌路锦江28亩项目部</v>
      </c>
      <c r="J2929" s="41" t="str">
        <f>VLOOKUP(B2929,辅助信息!E:I,4,FALSE)</f>
        <v>陶杰</v>
      </c>
      <c r="K2929" s="41">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30" t="str">
        <f>VLOOKUP(B2929,辅助信息!E:M,9,FALSE)</f>
        <v>ZTWM-CDGS-XS-2025-0073-五冶天府-成都怡心湖片区及龙泉驿医院等项目</v>
      </c>
      <c r="R2929" s="30" t="str">
        <f>_xlfn._xlws.FILTER(辅助信息!D:D,辅助信息!E:E=B2929)</f>
        <v>五冶建设锦江区林家坝片区20号地块商业项目</v>
      </c>
    </row>
    <row r="2930" hidden="1" spans="1:18">
      <c r="A2930" s="72"/>
      <c r="B2930" s="41" t="s">
        <v>208</v>
      </c>
      <c r="C2930" s="71">
        <v>45892</v>
      </c>
      <c r="D2930" s="41" t="str">
        <f>VLOOKUP(B2930,辅助信息!E:K,7,FALSE)</f>
        <v>JWDDCD2025102100480</v>
      </c>
      <c r="E2930" s="41" t="str">
        <f>VLOOKUP(F2930,辅助信息!A:B,2,FALSE)</f>
        <v>螺纹钢</v>
      </c>
      <c r="F2930" s="41" t="s">
        <v>28</v>
      </c>
      <c r="G2930" s="37">
        <v>50</v>
      </c>
      <c r="H2930" s="121">
        <f>_xlfn.XLOOKUP(C2930&amp;F2930&amp;I2930&amp;J2930,'[1]2025年已发货'!$F:$F&amp;'[1]2025年已发货'!$C:$C&amp;'[1]2025年已发货'!$G:$G&amp;'[1]2025年已发货'!$H:$H,'[1]2025年已发货'!$E:$E,"未发货")</f>
        <v>23</v>
      </c>
      <c r="I2930" s="41" t="str">
        <f>VLOOKUP(B2930,辅助信息!E:I,3,FALSE)</f>
        <v>(五冶建设锦江区林家坝片区20号地块商业项目)锦江区泰昌路锦江28亩项目部</v>
      </c>
      <c r="J2930" s="41" t="str">
        <f>VLOOKUP(B2930,辅助信息!E:I,4,FALSE)</f>
        <v>陶杰</v>
      </c>
      <c r="K2930" s="41">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30" t="str">
        <f>VLOOKUP(B2930,辅助信息!E:M,9,FALSE)</f>
        <v>ZTWM-CDGS-XS-2025-0073-五冶天府-成都怡心湖片区及龙泉驿医院等项目</v>
      </c>
      <c r="R2930" s="30" t="str">
        <f>_xlfn._xlws.FILTER(辅助信息!D:D,辅助信息!E:E=B2930)</f>
        <v>五冶建设锦江区林家坝片区20号地块商业项目</v>
      </c>
    </row>
    <row r="2931" hidden="1" spans="1:18">
      <c r="A2931" s="72"/>
      <c r="B2931" s="41" t="s">
        <v>208</v>
      </c>
      <c r="C2931" s="71">
        <v>45892</v>
      </c>
      <c r="D2931" s="41" t="str">
        <f>VLOOKUP(B2931,辅助信息!E:K,7,FALSE)</f>
        <v>JWDDCD2025102100480</v>
      </c>
      <c r="E2931" s="41" t="str">
        <f>VLOOKUP(F2931,辅助信息!A:B,2,FALSE)</f>
        <v>螺纹钢</v>
      </c>
      <c r="F2931" s="41" t="s">
        <v>18</v>
      </c>
      <c r="G2931" s="37">
        <v>9.1</v>
      </c>
      <c r="H2931" s="121">
        <f>_xlfn.XLOOKUP(C2931&amp;F2931&amp;I2931&amp;J2931,'[1]2025年已发货'!$F:$F&amp;'[1]2025年已发货'!$C:$C&amp;'[1]2025年已发货'!$G:$G&amp;'[1]2025年已发货'!$H:$H,'[1]2025年已发货'!$E:$E,"未发货")</f>
        <v>9.1</v>
      </c>
      <c r="I2931" s="41" t="str">
        <f>VLOOKUP(B2931,辅助信息!E:I,3,FALSE)</f>
        <v>(五冶建设锦江区林家坝片区20号地块商业项目)锦江区泰昌路锦江28亩项目部</v>
      </c>
      <c r="J2931" s="41" t="str">
        <f>VLOOKUP(B2931,辅助信息!E:I,4,FALSE)</f>
        <v>陶杰</v>
      </c>
      <c r="K2931" s="41">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30" t="str">
        <f>VLOOKUP(B2931,辅助信息!E:M,9,FALSE)</f>
        <v>ZTWM-CDGS-XS-2025-0073-五冶天府-成都怡心湖片区及龙泉驿医院等项目</v>
      </c>
      <c r="R2931" s="30" t="str">
        <f>_xlfn._xlws.FILTER(辅助信息!D:D,辅助信息!E:E=B2931)</f>
        <v>五冶建设锦江区林家坝片区20号地块商业项目</v>
      </c>
    </row>
    <row r="2932" hidden="1" spans="2:18">
      <c r="B2932" s="41" t="s">
        <v>186</v>
      </c>
      <c r="C2932" s="71">
        <v>45892</v>
      </c>
      <c r="D2932" s="41" t="str">
        <f>VLOOKUP(B2932,辅助信息!E:K,7,FALSE)</f>
        <v>JWDDCD2025072900123</v>
      </c>
      <c r="E2932" s="41" t="str">
        <f>VLOOKUP(F2932,辅助信息!A:B,2,FALSE)</f>
        <v>盘螺</v>
      </c>
      <c r="F2932" s="41" t="s">
        <v>49</v>
      </c>
      <c r="G2932" s="37">
        <v>7</v>
      </c>
      <c r="H2932" s="121">
        <f>_xlfn.XLOOKUP(C2932&amp;F2932&amp;I2932&amp;J2932,'[1]2025年已发货'!$F:$F&amp;'[1]2025年已发货'!$C:$C&amp;'[1]2025年已发货'!$G:$G&amp;'[1]2025年已发货'!$H:$H,'[1]2025年已发货'!$E:$E,"未发货")</f>
        <v>7</v>
      </c>
      <c r="I2932" s="41" t="str">
        <f>VLOOKUP(B2932,辅助信息!E:I,3,FALSE)</f>
        <v>(乐山市校地共建产教融合基地建设项目二标段)四川省乐山市市中区苏稽镇</v>
      </c>
      <c r="J2932" s="41" t="str">
        <f>VLOOKUP(B2932,辅助信息!E:I,4,FALSE)</f>
        <v>彭江涛</v>
      </c>
      <c r="K2932" s="41">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30" t="str">
        <f>VLOOKUP(B2932,辅助信息!E:M,9,FALSE)</f>
        <v>ZTWM-CDGS-XS-2025-0126-四川机司-乐山市校地共建产教融合基地配套设施项目施工二标段钢筋采购合同</v>
      </c>
      <c r="R2932" s="30" t="str">
        <f>_xlfn._xlws.FILTER(辅助信息!D:D,辅助信息!E:E=B2932)</f>
        <v>乐山市校地共建产教融合基地建设项目</v>
      </c>
    </row>
    <row r="2933" hidden="1" spans="2:18">
      <c r="B2933" s="41" t="s">
        <v>186</v>
      </c>
      <c r="C2933" s="71">
        <v>45892</v>
      </c>
      <c r="D2933" s="41" t="str">
        <f>VLOOKUP(B2933,辅助信息!E:K,7,FALSE)</f>
        <v>JWDDCD2025072900123</v>
      </c>
      <c r="E2933" s="41" t="str">
        <f>VLOOKUP(F2933,辅助信息!A:B,2,FALSE)</f>
        <v>盘螺</v>
      </c>
      <c r="F2933" s="41" t="s">
        <v>40</v>
      </c>
      <c r="G2933" s="37">
        <v>27</v>
      </c>
      <c r="H2933" s="121">
        <f>_xlfn.XLOOKUP(C2933&amp;F2933&amp;I2933&amp;J2933,'[1]2025年已发货'!$F:$F&amp;'[1]2025年已发货'!$C:$C&amp;'[1]2025年已发货'!$G:$G&amp;'[1]2025年已发货'!$H:$H,'[1]2025年已发货'!$E:$E,"未发货")</f>
        <v>27</v>
      </c>
      <c r="I2933" s="41" t="str">
        <f>VLOOKUP(B2933,辅助信息!E:I,3,FALSE)</f>
        <v>(乐山市校地共建产教融合基地建设项目二标段)四川省乐山市市中区苏稽镇</v>
      </c>
      <c r="J2933" s="41" t="str">
        <f>VLOOKUP(B2933,辅助信息!E:I,4,FALSE)</f>
        <v>彭江涛</v>
      </c>
      <c r="K2933" s="41">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30" t="str">
        <f>VLOOKUP(B2933,辅助信息!E:M,9,FALSE)</f>
        <v>ZTWM-CDGS-XS-2025-0126-四川机司-乐山市校地共建产教融合基地配套设施项目施工二标段钢筋采购合同</v>
      </c>
      <c r="R2933" s="30" t="str">
        <f>_xlfn._xlws.FILTER(辅助信息!D:D,辅助信息!E:E=B2933)</f>
        <v>乐山市校地共建产教融合基地建设项目</v>
      </c>
    </row>
    <row r="2934" hidden="1" spans="2:18">
      <c r="B2934" s="41" t="s">
        <v>186</v>
      </c>
      <c r="C2934" s="71">
        <v>45892</v>
      </c>
      <c r="D2934" s="41" t="str">
        <f>VLOOKUP(B2934,辅助信息!E:K,7,FALSE)</f>
        <v>JWDDCD2025072900123</v>
      </c>
      <c r="E2934" s="41" t="str">
        <f>VLOOKUP(F2934,辅助信息!A:B,2,FALSE)</f>
        <v>盘螺</v>
      </c>
      <c r="F2934" s="41" t="s">
        <v>41</v>
      </c>
      <c r="G2934" s="37">
        <v>25</v>
      </c>
      <c r="H2934" s="121">
        <f>_xlfn.XLOOKUP(C2934&amp;F2934&amp;I2934&amp;J2934,'[1]2025年已发货'!$F:$F&amp;'[1]2025年已发货'!$C:$C&amp;'[1]2025年已发货'!$G:$G&amp;'[1]2025年已发货'!$H:$H,'[1]2025年已发货'!$E:$E,"未发货")</f>
        <v>25</v>
      </c>
      <c r="I2934" s="41" t="str">
        <f>VLOOKUP(B2934,辅助信息!E:I,3,FALSE)</f>
        <v>(乐山市校地共建产教融合基地建设项目二标段)四川省乐山市市中区苏稽镇</v>
      </c>
      <c r="J2934" s="41" t="str">
        <f>VLOOKUP(B2934,辅助信息!E:I,4,FALSE)</f>
        <v>彭江涛</v>
      </c>
      <c r="K2934" s="41">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30" t="str">
        <f>VLOOKUP(B2934,辅助信息!E:M,9,FALSE)</f>
        <v>ZTWM-CDGS-XS-2025-0126-四川机司-乐山市校地共建产教融合基地配套设施项目施工二标段钢筋采购合同</v>
      </c>
      <c r="R2934" s="30" t="str">
        <f>_xlfn._xlws.FILTER(辅助信息!D:D,辅助信息!E:E=B2934)</f>
        <v>乐山市校地共建产教融合基地建设项目</v>
      </c>
    </row>
    <row r="2935" hidden="1" spans="2:18">
      <c r="B2935" s="41" t="s">
        <v>186</v>
      </c>
      <c r="C2935" s="71">
        <v>45892</v>
      </c>
      <c r="D2935" s="41" t="str">
        <f>VLOOKUP(B2935,辅助信息!E:K,7,FALSE)</f>
        <v>JWDDCD2025072900123</v>
      </c>
      <c r="E2935" s="41" t="str">
        <f>VLOOKUP(F2935,辅助信息!A:B,2,FALSE)</f>
        <v>盘螺</v>
      </c>
      <c r="F2935" s="41" t="s">
        <v>26</v>
      </c>
      <c r="G2935" s="37">
        <v>21</v>
      </c>
      <c r="H2935" s="121">
        <f>_xlfn.XLOOKUP(C2935&amp;F2935&amp;I2935&amp;J2935,'[1]2025年已发货'!$F:$F&amp;'[1]2025年已发货'!$C:$C&amp;'[1]2025年已发货'!$G:$G&amp;'[1]2025年已发货'!$H:$H,'[1]2025年已发货'!$E:$E,"未发货")</f>
        <v>21</v>
      </c>
      <c r="I2935" s="41" t="str">
        <f>VLOOKUP(B2935,辅助信息!E:I,3,FALSE)</f>
        <v>(乐山市校地共建产教融合基地建设项目二标段)四川省乐山市市中区苏稽镇</v>
      </c>
      <c r="J2935" s="41" t="str">
        <f>VLOOKUP(B2935,辅助信息!E:I,4,FALSE)</f>
        <v>彭江涛</v>
      </c>
      <c r="K2935" s="41">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30" t="str">
        <f>VLOOKUP(B2935,辅助信息!E:M,9,FALSE)</f>
        <v>ZTWM-CDGS-XS-2025-0126-四川机司-乐山市校地共建产教融合基地配套设施项目施工二标段钢筋采购合同</v>
      </c>
      <c r="R2935" s="30" t="str">
        <f>_xlfn._xlws.FILTER(辅助信息!D:D,辅助信息!E:E=B2935)</f>
        <v>乐山市校地共建产教融合基地建设项目</v>
      </c>
    </row>
    <row r="2936" hidden="1" spans="2:18">
      <c r="B2936" s="41" t="s">
        <v>186</v>
      </c>
      <c r="C2936" s="71">
        <v>45892</v>
      </c>
      <c r="D2936" s="41" t="str">
        <f>VLOOKUP(B2936,辅助信息!E:K,7,FALSE)</f>
        <v>JWDDCD2025072900123</v>
      </c>
      <c r="E2936" s="41" t="str">
        <f>VLOOKUP(F2936,辅助信息!A:B,2,FALSE)</f>
        <v>螺纹钢</v>
      </c>
      <c r="F2936" s="41" t="s">
        <v>19</v>
      </c>
      <c r="G2936" s="37">
        <v>15</v>
      </c>
      <c r="H2936" s="121">
        <f>_xlfn.XLOOKUP(C2936&amp;F2936&amp;I2936&amp;J2936,'[1]2025年已发货'!$F:$F&amp;'[1]2025年已发货'!$C:$C&amp;'[1]2025年已发货'!$G:$G&amp;'[1]2025年已发货'!$H:$H,'[1]2025年已发货'!$E:$E,"未发货")</f>
        <v>15</v>
      </c>
      <c r="I2936" s="41" t="str">
        <f>VLOOKUP(B2936,辅助信息!E:I,3,FALSE)</f>
        <v>(乐山市校地共建产教融合基地建设项目二标段)四川省乐山市市中区苏稽镇</v>
      </c>
      <c r="J2936" s="41" t="str">
        <f>VLOOKUP(B2936,辅助信息!E:I,4,FALSE)</f>
        <v>彭江涛</v>
      </c>
      <c r="K2936" s="41">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30" t="str">
        <f>VLOOKUP(B2936,辅助信息!E:M,9,FALSE)</f>
        <v>ZTWM-CDGS-XS-2025-0126-四川机司-乐山市校地共建产教融合基地配套设施项目施工二标段钢筋采购合同</v>
      </c>
      <c r="R2936" s="30" t="str">
        <f>_xlfn._xlws.FILTER(辅助信息!D:D,辅助信息!E:E=B2936)</f>
        <v>乐山市校地共建产教融合基地建设项目</v>
      </c>
    </row>
    <row r="2937" hidden="1" spans="2:18">
      <c r="B2937" s="41" t="s">
        <v>186</v>
      </c>
      <c r="C2937" s="71">
        <v>45892</v>
      </c>
      <c r="D2937" s="41" t="str">
        <f>VLOOKUP(B2937,辅助信息!E:K,7,FALSE)</f>
        <v>JWDDCD2025072900123</v>
      </c>
      <c r="E2937" s="41" t="str">
        <f>VLOOKUP(F2937,辅助信息!A:B,2,FALSE)</f>
        <v>螺纹钢</v>
      </c>
      <c r="F2937" s="41" t="s">
        <v>76</v>
      </c>
      <c r="G2937" s="37">
        <v>4</v>
      </c>
      <c r="H2937" s="121">
        <f>_xlfn.XLOOKUP(C2937&amp;F2937&amp;I2937&amp;J2937,'[1]2025年已发货'!$F:$F&amp;'[1]2025年已发货'!$C:$C&amp;'[1]2025年已发货'!$G:$G&amp;'[1]2025年已发货'!$H:$H,'[1]2025年已发货'!$E:$E,"未发货")</f>
        <v>4</v>
      </c>
      <c r="I2937" s="41" t="str">
        <f>VLOOKUP(B2937,辅助信息!E:I,3,FALSE)</f>
        <v>(乐山市校地共建产教融合基地建设项目二标段)四川省乐山市市中区苏稽镇</v>
      </c>
      <c r="J2937" s="41" t="str">
        <f>VLOOKUP(B2937,辅助信息!E:I,4,FALSE)</f>
        <v>彭江涛</v>
      </c>
      <c r="K2937" s="41">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30" t="str">
        <f>VLOOKUP(B2937,辅助信息!E:M,9,FALSE)</f>
        <v>ZTWM-CDGS-XS-2025-0126-四川机司-乐山市校地共建产教融合基地配套设施项目施工二标段钢筋采购合同</v>
      </c>
      <c r="R2937" s="30" t="str">
        <f>_xlfn._xlws.FILTER(辅助信息!D:D,辅助信息!E:E=B2937)</f>
        <v>乐山市校地共建产教融合基地建设项目</v>
      </c>
    </row>
    <row r="2938" hidden="1" spans="2:18">
      <c r="B2938" s="41" t="s">
        <v>186</v>
      </c>
      <c r="C2938" s="71">
        <v>45892</v>
      </c>
      <c r="D2938" s="41" t="str">
        <f>VLOOKUP(B2938,辅助信息!E:K,7,FALSE)</f>
        <v>JWDDCD2025072900123</v>
      </c>
      <c r="E2938" s="41" t="str">
        <f>VLOOKUP(F2938,辅助信息!A:B,2,FALSE)</f>
        <v>螺纹钢</v>
      </c>
      <c r="F2938" s="41" t="s">
        <v>205</v>
      </c>
      <c r="G2938" s="37">
        <v>6</v>
      </c>
      <c r="H2938" s="121">
        <f>_xlfn.XLOOKUP(C2938&amp;F2938&amp;I2938&amp;J2938,'[1]2025年已发货'!$F:$F&amp;'[1]2025年已发货'!$C:$C&amp;'[1]2025年已发货'!$G:$G&amp;'[1]2025年已发货'!$H:$H,'[1]2025年已发货'!$E:$E,"未发货")</f>
        <v>6</v>
      </c>
      <c r="I2938" s="41" t="str">
        <f>VLOOKUP(B2938,辅助信息!E:I,3,FALSE)</f>
        <v>(乐山市校地共建产教融合基地建设项目二标段)四川省乐山市市中区苏稽镇</v>
      </c>
      <c r="J2938" s="41" t="str">
        <f>VLOOKUP(B2938,辅助信息!E:I,4,FALSE)</f>
        <v>彭江涛</v>
      </c>
      <c r="K2938" s="41">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30" t="str">
        <f>VLOOKUP(B2938,辅助信息!E:M,9,FALSE)</f>
        <v>ZTWM-CDGS-XS-2025-0126-四川机司-乐山市校地共建产教融合基地配套设施项目施工二标段钢筋采购合同</v>
      </c>
      <c r="R2938" s="30" t="str">
        <f>_xlfn._xlws.FILTER(辅助信息!D:D,辅助信息!E:E=B2938)</f>
        <v>乐山市校地共建产教融合基地建设项目</v>
      </c>
    </row>
    <row r="2939" hidden="1" spans="2:18">
      <c r="B2939" s="41" t="s">
        <v>186</v>
      </c>
      <c r="C2939" s="71">
        <v>45892</v>
      </c>
      <c r="D2939" s="41" t="str">
        <f>VLOOKUP(B2939,辅助信息!E:K,7,FALSE)</f>
        <v>JWDDCD2025072900123</v>
      </c>
      <c r="E2939" s="41" t="str">
        <f>VLOOKUP(F2939,辅助信息!A:B,2,FALSE)</f>
        <v>螺纹钢</v>
      </c>
      <c r="F2939" s="41" t="s">
        <v>140</v>
      </c>
      <c r="G2939" s="37">
        <v>27</v>
      </c>
      <c r="H2939" s="121">
        <v>27.5</v>
      </c>
      <c r="I2939" s="41" t="str">
        <f>VLOOKUP(B2939,辅助信息!E:I,3,FALSE)</f>
        <v>(乐山市校地共建产教融合基地建设项目二标段)四川省乐山市市中区苏稽镇</v>
      </c>
      <c r="J2939" s="41" t="str">
        <f>VLOOKUP(B2939,辅助信息!E:I,4,FALSE)</f>
        <v>彭江涛</v>
      </c>
      <c r="K2939" s="41">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30" t="str">
        <f>VLOOKUP(B2939,辅助信息!E:M,9,FALSE)</f>
        <v>ZTWM-CDGS-XS-2025-0126-四川机司-乐山市校地共建产教融合基地配套设施项目施工二标段钢筋采购合同</v>
      </c>
      <c r="R2939" s="30" t="str">
        <f>_xlfn._xlws.FILTER(辅助信息!D:D,辅助信息!E:E=B2939)</f>
        <v>乐山市校地共建产教融合基地建设项目</v>
      </c>
    </row>
    <row r="2940" hidden="1" spans="2:18">
      <c r="B2940" s="41" t="s">
        <v>186</v>
      </c>
      <c r="C2940" s="71">
        <v>45892</v>
      </c>
      <c r="D2940" s="41" t="str">
        <f>VLOOKUP(B2940,辅助信息!E:K,7,FALSE)</f>
        <v>JWDDCD2025072900123</v>
      </c>
      <c r="E2940" s="41" t="str">
        <f>VLOOKUP(F2940,辅助信息!A:B,2,FALSE)</f>
        <v>螺纹钢</v>
      </c>
      <c r="F2940" s="41" t="s">
        <v>197</v>
      </c>
      <c r="G2940" s="37">
        <v>2</v>
      </c>
      <c r="H2940" s="121">
        <f>_xlfn.XLOOKUP(C2940&amp;F2940&amp;I2940&amp;J2940,'[1]2025年已发货'!$F:$F&amp;'[1]2025年已发货'!$C:$C&amp;'[1]2025年已发货'!$G:$G&amp;'[1]2025年已发货'!$H:$H,'[1]2025年已发货'!$E:$E,"未发货")</f>
        <v>2</v>
      </c>
      <c r="I2940" s="41" t="str">
        <f>VLOOKUP(B2940,辅助信息!E:I,3,FALSE)</f>
        <v>(乐山市校地共建产教融合基地建设项目二标段)四川省乐山市市中区苏稽镇</v>
      </c>
      <c r="J2940" s="41" t="str">
        <f>VLOOKUP(B2940,辅助信息!E:I,4,FALSE)</f>
        <v>彭江涛</v>
      </c>
      <c r="K2940" s="41">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30" t="str">
        <f>VLOOKUP(B2940,辅助信息!E:M,9,FALSE)</f>
        <v>ZTWM-CDGS-XS-2025-0126-四川机司-乐山市校地共建产教融合基地配套设施项目施工二标段钢筋采购合同</v>
      </c>
      <c r="R2940" s="30" t="str">
        <f>_xlfn._xlws.FILTER(辅助信息!D:D,辅助信息!E:E=B2940)</f>
        <v>乐山市校地共建产教融合基地建设项目</v>
      </c>
    </row>
    <row r="2941" hidden="1" spans="2:18">
      <c r="B2941" s="41" t="s">
        <v>186</v>
      </c>
      <c r="C2941" s="71">
        <v>45892</v>
      </c>
      <c r="D2941" s="41" t="str">
        <f>VLOOKUP(B2941,辅助信息!E:K,7,FALSE)</f>
        <v>JWDDCD2025072900123</v>
      </c>
      <c r="E2941" s="41" t="str">
        <f>VLOOKUP(F2941,辅助信息!A:B,2,FALSE)</f>
        <v>螺纹钢</v>
      </c>
      <c r="F2941" s="41" t="s">
        <v>198</v>
      </c>
      <c r="G2941" s="37">
        <v>5</v>
      </c>
      <c r="H2941" s="121">
        <f>_xlfn.XLOOKUP(C2941&amp;F2941&amp;I2941&amp;J2941,'[1]2025年已发货'!$F:$F&amp;'[1]2025年已发货'!$C:$C&amp;'[1]2025年已发货'!$G:$G&amp;'[1]2025年已发货'!$H:$H,'[1]2025年已发货'!$E:$E,"未发货")</f>
        <v>5</v>
      </c>
      <c r="I2941" s="41" t="str">
        <f>VLOOKUP(B2941,辅助信息!E:I,3,FALSE)</f>
        <v>(乐山市校地共建产教融合基地建设项目二标段)四川省乐山市市中区苏稽镇</v>
      </c>
      <c r="J2941" s="41" t="str">
        <f>VLOOKUP(B2941,辅助信息!E:I,4,FALSE)</f>
        <v>彭江涛</v>
      </c>
      <c r="K2941" s="41">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30" t="str">
        <f>VLOOKUP(B2941,辅助信息!E:M,9,FALSE)</f>
        <v>ZTWM-CDGS-XS-2025-0126-四川机司-乐山市校地共建产教融合基地配套设施项目施工二标段钢筋采购合同</v>
      </c>
      <c r="R2941" s="30" t="str">
        <f>_xlfn._xlws.FILTER(辅助信息!D:D,辅助信息!E:E=B2941)</f>
        <v>乐山市校地共建产教融合基地建设项目</v>
      </c>
    </row>
    <row r="2942" hidden="1" spans="2:18">
      <c r="B2942" s="41" t="s">
        <v>186</v>
      </c>
      <c r="C2942" s="71">
        <v>45892</v>
      </c>
      <c r="D2942" s="41" t="str">
        <f>VLOOKUP(B2942,辅助信息!E:K,7,FALSE)</f>
        <v>JWDDCD2025072900123</v>
      </c>
      <c r="E2942" s="41" t="str">
        <f>VLOOKUP(F2942,辅助信息!A:B,2,FALSE)</f>
        <v>螺纹钢</v>
      </c>
      <c r="F2942" s="41" t="s">
        <v>199</v>
      </c>
      <c r="G2942" s="37">
        <v>6.5</v>
      </c>
      <c r="H2942" s="121">
        <f>_xlfn.XLOOKUP(C2942&amp;F2942&amp;I2942&amp;J2942,'[1]2025年已发货'!$F:$F&amp;'[1]2025年已发货'!$C:$C&amp;'[1]2025年已发货'!$G:$G&amp;'[1]2025年已发货'!$H:$H,'[1]2025年已发货'!$E:$E,"未发货")</f>
        <v>6.5</v>
      </c>
      <c r="I2942" s="41" t="str">
        <f>VLOOKUP(B2942,辅助信息!E:I,3,FALSE)</f>
        <v>(乐山市校地共建产教融合基地建设项目二标段)四川省乐山市市中区苏稽镇</v>
      </c>
      <c r="J2942" s="41" t="str">
        <f>VLOOKUP(B2942,辅助信息!E:I,4,FALSE)</f>
        <v>彭江涛</v>
      </c>
      <c r="K2942" s="41">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30" t="str">
        <f>VLOOKUP(B2942,辅助信息!E:M,9,FALSE)</f>
        <v>ZTWM-CDGS-XS-2025-0126-四川机司-乐山市校地共建产教融合基地配套设施项目施工二标段钢筋采购合同</v>
      </c>
      <c r="R2942" s="30" t="str">
        <f>_xlfn._xlws.FILTER(辅助信息!D:D,辅助信息!E:E=B2942)</f>
        <v>乐山市校地共建产教融合基地建设项目</v>
      </c>
    </row>
    <row r="2943" hidden="1" spans="2:18">
      <c r="B2943" s="41" t="s">
        <v>186</v>
      </c>
      <c r="C2943" s="71">
        <v>45892</v>
      </c>
      <c r="D2943" s="41" t="str">
        <f>VLOOKUP(B2943,辅助信息!E:K,7,FALSE)</f>
        <v>JWDDCD2025072900123</v>
      </c>
      <c r="E2943" s="41" t="str">
        <f>VLOOKUP(F2943,辅助信息!A:B,2,FALSE)</f>
        <v>螺纹钢</v>
      </c>
      <c r="F2943" s="41" t="s">
        <v>46</v>
      </c>
      <c r="G2943" s="37">
        <v>10</v>
      </c>
      <c r="H2943" s="121">
        <f>_xlfn.XLOOKUP(C2943&amp;F2943&amp;I2943&amp;J2943,'[1]2025年已发货'!$F:$F&amp;'[1]2025年已发货'!$C:$C&amp;'[1]2025年已发货'!$G:$G&amp;'[1]2025年已发货'!$H:$H,'[1]2025年已发货'!$E:$E,"未发货")</f>
        <v>10</v>
      </c>
      <c r="I2943" s="41" t="str">
        <f>VLOOKUP(B2943,辅助信息!E:I,3,FALSE)</f>
        <v>(乐山市校地共建产教融合基地建设项目二标段)四川省乐山市市中区苏稽镇</v>
      </c>
      <c r="J2943" s="41" t="str">
        <f>VLOOKUP(B2943,辅助信息!E:I,4,FALSE)</f>
        <v>彭江涛</v>
      </c>
      <c r="K2943" s="41">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30" t="str">
        <f>VLOOKUP(B2943,辅助信息!E:M,9,FALSE)</f>
        <v>ZTWM-CDGS-XS-2025-0126-四川机司-乐山市校地共建产教融合基地配套设施项目施工二标段钢筋采购合同</v>
      </c>
      <c r="R2943" s="30" t="str">
        <f>_xlfn._xlws.FILTER(辅助信息!D:D,辅助信息!E:E=B2943)</f>
        <v>乐山市校地共建产教融合基地建设项目</v>
      </c>
    </row>
    <row r="2944" hidden="1" spans="2:18">
      <c r="B2944" s="41" t="s">
        <v>186</v>
      </c>
      <c r="C2944" s="71">
        <v>45892</v>
      </c>
      <c r="D2944" s="41" t="str">
        <f>VLOOKUP(B2944,辅助信息!E:K,7,FALSE)</f>
        <v>JWDDCD2025072900123</v>
      </c>
      <c r="E2944" s="41" t="str">
        <f>VLOOKUP(F2944,辅助信息!A:B,2,FALSE)</f>
        <v>螺纹钢</v>
      </c>
      <c r="F2944" s="41" t="s">
        <v>141</v>
      </c>
      <c r="G2944" s="37">
        <v>14</v>
      </c>
      <c r="H2944" s="121" t="str">
        <f>_xlfn.XLOOKUP(C2944&amp;F2944&amp;I2944&amp;J2944,'[1]2025年已发货'!$F:$F&amp;'[1]2025年已发货'!$C:$C&amp;'[1]2025年已发货'!$G:$G&amp;'[1]2025年已发货'!$H:$H,'[1]2025年已发货'!$E:$E,"未发货")</f>
        <v>未发货</v>
      </c>
      <c r="I2944" s="41" t="str">
        <f>VLOOKUP(B2944,辅助信息!E:I,3,FALSE)</f>
        <v>(乐山市校地共建产教融合基地建设项目二标段)四川省乐山市市中区苏稽镇</v>
      </c>
      <c r="J2944" s="41" t="str">
        <f>VLOOKUP(B2944,辅助信息!E:I,4,FALSE)</f>
        <v>彭江涛</v>
      </c>
      <c r="K2944" s="41">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30" t="str">
        <f>VLOOKUP(B2944,辅助信息!E:M,9,FALSE)</f>
        <v>ZTWM-CDGS-XS-2025-0126-四川机司-乐山市校地共建产教融合基地配套设施项目施工二标段钢筋采购合同</v>
      </c>
      <c r="R2944" s="30" t="str">
        <f>_xlfn._xlws.FILTER(辅助信息!D:D,辅助信息!E:E=B2944)</f>
        <v>乐山市校地共建产教融合基地建设项目</v>
      </c>
    </row>
    <row r="2945" hidden="1" spans="2:18">
      <c r="B2945" s="41" t="s">
        <v>186</v>
      </c>
      <c r="C2945" s="71">
        <v>45892</v>
      </c>
      <c r="D2945" s="41" t="str">
        <f>VLOOKUP(B2945,辅助信息!E:K,7,FALSE)</f>
        <v>JWDDCD2025072900123</v>
      </c>
      <c r="E2945" s="41" t="str">
        <f>VLOOKUP(F2945,辅助信息!A:B,2,FALSE)</f>
        <v>螺纹钢</v>
      </c>
      <c r="F2945" s="41" t="s">
        <v>22</v>
      </c>
      <c r="G2945" s="37">
        <v>48</v>
      </c>
      <c r="H2945" s="121">
        <v>32.5</v>
      </c>
      <c r="I2945" s="41" t="str">
        <f>VLOOKUP(B2945,辅助信息!E:I,3,FALSE)</f>
        <v>(乐山市校地共建产教融合基地建设项目二标段)四川省乐山市市中区苏稽镇</v>
      </c>
      <c r="J2945" s="41" t="str">
        <f>VLOOKUP(B2945,辅助信息!E:I,4,FALSE)</f>
        <v>彭江涛</v>
      </c>
      <c r="K2945" s="41">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30" t="str">
        <f>VLOOKUP(B2945,辅助信息!E:M,9,FALSE)</f>
        <v>ZTWM-CDGS-XS-2025-0126-四川机司-乐山市校地共建产教融合基地配套设施项目施工二标段钢筋采购合同</v>
      </c>
      <c r="R2945" s="30" t="str">
        <f>_xlfn._xlws.FILTER(辅助信息!D:D,辅助信息!E:E=B2945)</f>
        <v>乐山市校地共建产教融合基地建设项目</v>
      </c>
    </row>
    <row r="2946" hidden="1" spans="2:18">
      <c r="B2946" s="41" t="s">
        <v>186</v>
      </c>
      <c r="C2946" s="71">
        <v>45892</v>
      </c>
      <c r="D2946" s="41" t="str">
        <f>VLOOKUP(B2946,辅助信息!E:K,7,FALSE)</f>
        <v>JWDDCD2025072900123</v>
      </c>
      <c r="E2946" s="41" t="str">
        <f>VLOOKUP(F2946,辅助信息!A:B,2,FALSE)</f>
        <v>螺纹钢</v>
      </c>
      <c r="F2946" s="41" t="s">
        <v>142</v>
      </c>
      <c r="G2946" s="37">
        <v>142</v>
      </c>
      <c r="H2946" s="121">
        <f>_xlfn.XLOOKUP(C2946&amp;F2946&amp;I2946&amp;J2946,'[1]2025年已发货'!$F:$F&amp;'[1]2025年已发货'!$C:$C&amp;'[1]2025年已发货'!$G:$G&amp;'[1]2025年已发货'!$H:$H,'[1]2025年已发货'!$E:$E,"未发货")</f>
        <v>70</v>
      </c>
      <c r="I2946" s="41" t="str">
        <f>VLOOKUP(B2946,辅助信息!E:I,3,FALSE)</f>
        <v>(乐山市校地共建产教融合基地建设项目二标段)四川省乐山市市中区苏稽镇</v>
      </c>
      <c r="J2946" s="41" t="str">
        <f>VLOOKUP(B2946,辅助信息!E:I,4,FALSE)</f>
        <v>彭江涛</v>
      </c>
      <c r="K2946" s="41">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30" t="str">
        <f>VLOOKUP(B2946,辅助信息!E:M,9,FALSE)</f>
        <v>ZTWM-CDGS-XS-2025-0126-四川机司-乐山市校地共建产教融合基地配套设施项目施工二标段钢筋采购合同</v>
      </c>
      <c r="R2946" s="30" t="str">
        <f>_xlfn._xlws.FILTER(辅助信息!D:D,辅助信息!E:E=B2946)</f>
        <v>乐山市校地共建产教融合基地建设项目</v>
      </c>
    </row>
    <row r="2947" hidden="1" spans="2:18">
      <c r="B2947" s="41" t="s">
        <v>186</v>
      </c>
      <c r="C2947" s="71">
        <v>45892</v>
      </c>
      <c r="D2947" s="41" t="str">
        <f>VLOOKUP(B2947,辅助信息!E:K,7,FALSE)</f>
        <v>JWDDCD2025072900123</v>
      </c>
      <c r="E2947" s="41" t="str">
        <f>VLOOKUP(F2947,辅助信息!A:B,2,FALSE)</f>
        <v>螺纹钢</v>
      </c>
      <c r="F2947" s="41" t="s">
        <v>182</v>
      </c>
      <c r="G2947" s="37">
        <v>12</v>
      </c>
      <c r="H2947" s="121">
        <f>_xlfn.XLOOKUP(C2947&amp;F2947&amp;I2947&amp;J2947,'[1]2025年已发货'!$F:$F&amp;'[1]2025年已发货'!$C:$C&amp;'[1]2025年已发货'!$G:$G&amp;'[1]2025年已发货'!$H:$H,'[1]2025年已发货'!$E:$E,"未发货")</f>
        <v>12</v>
      </c>
      <c r="I2947" s="41" t="str">
        <f>VLOOKUP(B2947,辅助信息!E:I,3,FALSE)</f>
        <v>(乐山市校地共建产教融合基地建设项目二标段)四川省乐山市市中区苏稽镇</v>
      </c>
      <c r="J2947" s="41" t="str">
        <f>VLOOKUP(B2947,辅助信息!E:I,4,FALSE)</f>
        <v>彭江涛</v>
      </c>
      <c r="K2947" s="41">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30" t="str">
        <f>VLOOKUP(B2947,辅助信息!E:M,9,FALSE)</f>
        <v>ZTWM-CDGS-XS-2025-0126-四川机司-乐山市校地共建产教融合基地配套设施项目施工二标段钢筋采购合同</v>
      </c>
      <c r="R2947" s="30" t="str">
        <f>_xlfn._xlws.FILTER(辅助信息!D:D,辅助信息!E:E=B2947)</f>
        <v>乐山市校地共建产教融合基地建设项目</v>
      </c>
    </row>
    <row r="2948" hidden="1" spans="2:18">
      <c r="B2948" s="41" t="s">
        <v>186</v>
      </c>
      <c r="C2948" s="71">
        <v>45892</v>
      </c>
      <c r="D2948" s="41" t="str">
        <f>VLOOKUP(B2948,辅助信息!E:K,7,FALSE)</f>
        <v>JWDDCD2025072900123</v>
      </c>
      <c r="E2948" s="41" t="str">
        <f>VLOOKUP(F2948,辅助信息!A:B,2,FALSE)</f>
        <v>螺纹钢</v>
      </c>
      <c r="F2948" s="41" t="s">
        <v>201</v>
      </c>
      <c r="G2948" s="37">
        <v>12.5</v>
      </c>
      <c r="H2948" s="121">
        <f>_xlfn.XLOOKUP(C2948&amp;F2948&amp;I2948&amp;J2948,'[1]2025年已发货'!$F:$F&amp;'[1]2025年已发货'!$C:$C&amp;'[1]2025年已发货'!$G:$G&amp;'[1]2025年已发货'!$H:$H,'[1]2025年已发货'!$E:$E,"未发货")</f>
        <v>12.5</v>
      </c>
      <c r="I2948" s="41" t="str">
        <f>VLOOKUP(B2948,辅助信息!E:I,3,FALSE)</f>
        <v>(乐山市校地共建产教融合基地建设项目二标段)四川省乐山市市中区苏稽镇</v>
      </c>
      <c r="J2948" s="41" t="str">
        <f>VLOOKUP(B2948,辅助信息!E:I,4,FALSE)</f>
        <v>彭江涛</v>
      </c>
      <c r="K2948" s="41">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30" t="str">
        <f>VLOOKUP(B2948,辅助信息!E:M,9,FALSE)</f>
        <v>ZTWM-CDGS-XS-2025-0126-四川机司-乐山市校地共建产教融合基地配套设施项目施工二标段钢筋采购合同</v>
      </c>
      <c r="R2948" s="30" t="str">
        <f>_xlfn._xlws.FILTER(辅助信息!D:D,辅助信息!E:E=B2948)</f>
        <v>乐山市校地共建产教融合基地建设项目</v>
      </c>
    </row>
    <row r="2949" hidden="1" spans="2:18">
      <c r="B2949" s="41" t="s">
        <v>208</v>
      </c>
      <c r="C2949" s="71">
        <v>45893</v>
      </c>
      <c r="D2949" s="41" t="str">
        <f>VLOOKUP(B2949,辅助信息!E:K,7,FALSE)</f>
        <v>JWDDCD2025102100480</v>
      </c>
      <c r="E2949" s="41" t="str">
        <f>VLOOKUP(F2949,辅助信息!A:B,2,FALSE)</f>
        <v>高线</v>
      </c>
      <c r="F2949" s="41" t="s">
        <v>51</v>
      </c>
      <c r="G2949" s="37">
        <v>10</v>
      </c>
      <c r="H2949" s="121">
        <f>_xlfn.XLOOKUP(C2949&amp;F2949&amp;I2949&amp;J2949,'[1]2025年已发货'!$F:$F&amp;'[1]2025年已发货'!$C:$C&amp;'[1]2025年已发货'!$G:$G&amp;'[1]2025年已发货'!$H:$H,'[1]2025年已发货'!$E:$E,"未发货")</f>
        <v>10</v>
      </c>
      <c r="I2949" s="41" t="str">
        <f>VLOOKUP(B2949,辅助信息!E:I,3,FALSE)</f>
        <v>(五冶建设锦江区林家坝片区20号地块商业项目)锦江区泰昌路锦江28亩项目部</v>
      </c>
      <c r="J2949" s="41" t="str">
        <f>VLOOKUP(B2949,辅助信息!E:I,4,FALSE)</f>
        <v>陶杰</v>
      </c>
      <c r="K2949" s="41">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30" t="str">
        <f>VLOOKUP(B2949,辅助信息!E:M,9,FALSE)</f>
        <v>ZTWM-CDGS-XS-2025-0073-五冶天府-成都怡心湖片区及龙泉驿医院等项目</v>
      </c>
      <c r="R2949" s="30" t="str">
        <f>_xlfn._xlws.FILTER(辅助信息!D:D,辅助信息!E:E=B2949)</f>
        <v>五冶建设锦江区林家坝片区20号地块商业项目</v>
      </c>
    </row>
    <row r="2950" hidden="1" spans="2:18">
      <c r="B2950" s="41" t="s">
        <v>208</v>
      </c>
      <c r="C2950" s="71">
        <v>45893</v>
      </c>
      <c r="D2950" s="41" t="str">
        <f>VLOOKUP(B2950,辅助信息!E:K,7,FALSE)</f>
        <v>JWDDCD2025102100480</v>
      </c>
      <c r="E2950" s="41" t="str">
        <f>VLOOKUP(F2950,辅助信息!A:B,2,FALSE)</f>
        <v>螺纹钢</v>
      </c>
      <c r="F2950" s="41" t="s">
        <v>28</v>
      </c>
      <c r="G2950" s="37">
        <v>27</v>
      </c>
      <c r="H2950" s="121">
        <f>_xlfn.XLOOKUP(C2950&amp;F2950&amp;I2950&amp;J2950,'[1]2025年已发货'!$F:$F&amp;'[1]2025年已发货'!$C:$C&amp;'[1]2025年已发货'!$G:$G&amp;'[1]2025年已发货'!$H:$H,'[1]2025年已发货'!$E:$E,"未发货")</f>
        <v>25</v>
      </c>
      <c r="I2950" s="41" t="str">
        <f>VLOOKUP(B2950,辅助信息!E:I,3,FALSE)</f>
        <v>(五冶建设锦江区林家坝片区20号地块商业项目)锦江区泰昌路锦江28亩项目部</v>
      </c>
      <c r="J2950" s="41" t="str">
        <f>VLOOKUP(B2950,辅助信息!E:I,4,FALSE)</f>
        <v>陶杰</v>
      </c>
      <c r="K2950" s="41">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30" t="str">
        <f>VLOOKUP(B2950,辅助信息!E:M,9,FALSE)</f>
        <v>ZTWM-CDGS-XS-2025-0073-五冶天府-成都怡心湖片区及龙泉驿医院等项目</v>
      </c>
      <c r="R2950" s="30" t="str">
        <f>_xlfn._xlws.FILTER(辅助信息!D:D,辅助信息!E:E=B2950)</f>
        <v>五冶建设锦江区林家坝片区20号地块商业项目</v>
      </c>
    </row>
    <row r="2951" hidden="1" spans="2:18">
      <c r="B2951" s="41" t="s">
        <v>186</v>
      </c>
      <c r="C2951" s="71">
        <v>45893</v>
      </c>
      <c r="D2951" s="41" t="str">
        <f>VLOOKUP(B2951,辅助信息!E:K,7,FALSE)</f>
        <v>JWDDCD2025072900123</v>
      </c>
      <c r="E2951" s="41" t="str">
        <f>VLOOKUP(F2951,辅助信息!A:B,2,FALSE)</f>
        <v>螺纹钢</v>
      </c>
      <c r="F2951" s="41" t="s">
        <v>141</v>
      </c>
      <c r="G2951" s="37">
        <v>14</v>
      </c>
      <c r="H2951" s="121" t="str">
        <f>_xlfn.XLOOKUP(C2951&amp;F2951&amp;I2951&amp;J2951,'[1]2025年已发货'!$F:$F&amp;'[1]2025年已发货'!$C:$C&amp;'[1]2025年已发货'!$G:$G&amp;'[1]2025年已发货'!$H:$H,'[1]2025年已发货'!$E:$E,"未发货")</f>
        <v>未发货</v>
      </c>
      <c r="I2951" s="41" t="str">
        <f>VLOOKUP(B2951,辅助信息!E:I,3,FALSE)</f>
        <v>(乐山市校地共建产教融合基地建设项目二标段)四川省乐山市市中区苏稽镇</v>
      </c>
      <c r="J2951" s="41" t="str">
        <f>VLOOKUP(B2951,辅助信息!E:I,4,FALSE)</f>
        <v>彭江涛</v>
      </c>
      <c r="K2951" s="41">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30" t="str">
        <f>VLOOKUP(B2951,辅助信息!E:M,9,FALSE)</f>
        <v>ZTWM-CDGS-XS-2025-0126-四川机司-乐山市校地共建产教融合基地配套设施项目施工二标段钢筋采购合同</v>
      </c>
      <c r="R2951" s="30" t="str">
        <f>_xlfn._xlws.FILTER(辅助信息!D:D,辅助信息!E:E=B2951)</f>
        <v>乐山市校地共建产教融合基地建设项目</v>
      </c>
    </row>
    <row r="2952" hidden="1" spans="2:18">
      <c r="B2952" s="41" t="s">
        <v>186</v>
      </c>
      <c r="C2952" s="71">
        <v>45893</v>
      </c>
      <c r="D2952" s="41" t="str">
        <f>VLOOKUP(B2952,辅助信息!E:K,7,FALSE)</f>
        <v>JWDDCD2025072900123</v>
      </c>
      <c r="E2952" s="41" t="str">
        <f>VLOOKUP(F2952,辅助信息!A:B,2,FALSE)</f>
        <v>螺纹钢</v>
      </c>
      <c r="F2952" s="41" t="s">
        <v>22</v>
      </c>
      <c r="G2952" s="37">
        <v>15.5</v>
      </c>
      <c r="H2952" s="121" t="str">
        <f>_xlfn.XLOOKUP(C2952&amp;F2952&amp;I2952&amp;J2952,'[1]2025年已发货'!$F:$F&amp;'[1]2025年已发货'!$C:$C&amp;'[1]2025年已发货'!$G:$G&amp;'[1]2025年已发货'!$H:$H,'[1]2025年已发货'!$E:$E,"未发货")</f>
        <v>未发货</v>
      </c>
      <c r="I2952" s="41" t="str">
        <f>VLOOKUP(B2952,辅助信息!E:I,3,FALSE)</f>
        <v>(乐山市校地共建产教融合基地建设项目二标段)四川省乐山市市中区苏稽镇</v>
      </c>
      <c r="J2952" s="41" t="str">
        <f>VLOOKUP(B2952,辅助信息!E:I,4,FALSE)</f>
        <v>彭江涛</v>
      </c>
      <c r="K2952" s="41">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30" t="str">
        <f>VLOOKUP(B2952,辅助信息!E:M,9,FALSE)</f>
        <v>ZTWM-CDGS-XS-2025-0126-四川机司-乐山市校地共建产教融合基地配套设施项目施工二标段钢筋采购合同</v>
      </c>
      <c r="R2952" s="30" t="str">
        <f>_xlfn._xlws.FILTER(辅助信息!D:D,辅助信息!E:E=B2952)</f>
        <v>乐山市校地共建产教融合基地建设项目</v>
      </c>
    </row>
    <row r="2953" hidden="1" spans="2:18">
      <c r="B2953" s="41" t="s">
        <v>186</v>
      </c>
      <c r="C2953" s="71">
        <v>45893</v>
      </c>
      <c r="D2953" s="41" t="str">
        <f>VLOOKUP(B2953,辅助信息!E:K,7,FALSE)</f>
        <v>JWDDCD2025072900123</v>
      </c>
      <c r="E2953" s="41" t="str">
        <f>VLOOKUP(F2953,辅助信息!A:B,2,FALSE)</f>
        <v>螺纹钢</v>
      </c>
      <c r="F2953" s="41" t="s">
        <v>142</v>
      </c>
      <c r="G2953" s="37">
        <v>72</v>
      </c>
      <c r="H2953" s="121" t="str">
        <f>_xlfn.XLOOKUP(C2953&amp;F2953&amp;I2953&amp;J2953,'[1]2025年已发货'!$F:$F&amp;'[1]2025年已发货'!$C:$C&amp;'[1]2025年已发货'!$G:$G&amp;'[1]2025年已发货'!$H:$H,'[1]2025年已发货'!$E:$E,"未发货")</f>
        <v>未发货</v>
      </c>
      <c r="I2953" s="41" t="str">
        <f>VLOOKUP(B2953,辅助信息!E:I,3,FALSE)</f>
        <v>(乐山市校地共建产教融合基地建设项目二标段)四川省乐山市市中区苏稽镇</v>
      </c>
      <c r="J2953" s="41" t="str">
        <f>VLOOKUP(B2953,辅助信息!E:I,4,FALSE)</f>
        <v>彭江涛</v>
      </c>
      <c r="K2953" s="41">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30" t="str">
        <f>VLOOKUP(B2953,辅助信息!E:M,9,FALSE)</f>
        <v>ZTWM-CDGS-XS-2025-0126-四川机司-乐山市校地共建产教融合基地配套设施项目施工二标段钢筋采购合同</v>
      </c>
      <c r="R2953" s="30" t="str">
        <f>_xlfn._xlws.FILTER(辅助信息!D:D,辅助信息!E:E=B2953)</f>
        <v>乐山市校地共建产教融合基地建设项目</v>
      </c>
    </row>
    <row r="2954" hidden="1" spans="2:18">
      <c r="B2954" s="41" t="s">
        <v>167</v>
      </c>
      <c r="C2954" s="71">
        <v>45893</v>
      </c>
      <c r="D2954" s="41" t="str">
        <f>VLOOKUP(B2954,辅助信息!E:K,7,FALSE)</f>
        <v>JWDDCD2025102100473</v>
      </c>
      <c r="E2954" s="41" t="str">
        <f>VLOOKUP(F2954,辅助信息!A:B,2,FALSE)</f>
        <v>螺纹钢</v>
      </c>
      <c r="F2954" s="41" t="s">
        <v>19</v>
      </c>
      <c r="G2954" s="37">
        <v>25</v>
      </c>
      <c r="H2954" s="121">
        <f>_xlfn.XLOOKUP(C2954&amp;F2954&amp;I2954&amp;J2954,'[1]2025年已发货'!$F:$F&amp;'[1]2025年已发货'!$C:$C&amp;'[1]2025年已发货'!$G:$G&amp;'[1]2025年已发货'!$H:$H,'[1]2025年已发货'!$E:$E,"未发货")</f>
        <v>25</v>
      </c>
      <c r="I2954" s="41" t="str">
        <f>VLOOKUP(B2954,辅助信息!E:I,3,FALSE)</f>
        <v>(五冶建设扩建艺体中学二期工程)四川省成都市双流区光荣路成都艺体中学南200米</v>
      </c>
      <c r="J2954" s="41" t="str">
        <f>VLOOKUP(B2954,辅助信息!E:I,4,FALSE)</f>
        <v>谢序强</v>
      </c>
      <c r="K2954" s="41">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30" t="str">
        <f>VLOOKUP(B2954,辅助信息!E:M,9,FALSE)</f>
        <v>ZTWM-CDGS-XS-2025-0073-五冶天府-成都怡心湖片区及龙泉驿医院等项目</v>
      </c>
      <c r="R2954" s="30" t="str">
        <f>_xlfn._xlws.FILTER(辅助信息!D:D,辅助信息!E:E=B2954)</f>
        <v>五冶建设扩建艺体中学二期工程</v>
      </c>
    </row>
    <row r="2955" hidden="1" spans="2:18">
      <c r="B2955" s="41" t="s">
        <v>167</v>
      </c>
      <c r="C2955" s="71">
        <v>45893</v>
      </c>
      <c r="D2955" s="41" t="str">
        <f>VLOOKUP(B2955,辅助信息!E:K,7,FALSE)</f>
        <v>JWDDCD2025102100473</v>
      </c>
      <c r="E2955" s="41" t="str">
        <f>VLOOKUP(F2955,辅助信息!A:B,2,FALSE)</f>
        <v>螺纹钢</v>
      </c>
      <c r="F2955" s="41" t="s">
        <v>32</v>
      </c>
      <c r="G2955" s="37">
        <v>20</v>
      </c>
      <c r="H2955" s="121">
        <f>_xlfn.XLOOKUP(C2955&amp;F2955&amp;I2955&amp;J2955,'[1]2025年已发货'!$F:$F&amp;'[1]2025年已发货'!$C:$C&amp;'[1]2025年已发货'!$G:$G&amp;'[1]2025年已发货'!$H:$H,'[1]2025年已发货'!$E:$E,"未发货")</f>
        <v>20</v>
      </c>
      <c r="I2955" s="41" t="str">
        <f>VLOOKUP(B2955,辅助信息!E:I,3,FALSE)</f>
        <v>(五冶建设扩建艺体中学二期工程)四川省成都市双流区光荣路成都艺体中学南200米</v>
      </c>
      <c r="J2955" s="41" t="str">
        <f>VLOOKUP(B2955,辅助信息!E:I,4,FALSE)</f>
        <v>谢序强</v>
      </c>
      <c r="K2955" s="41">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30" t="str">
        <f>VLOOKUP(B2955,辅助信息!E:M,9,FALSE)</f>
        <v>ZTWM-CDGS-XS-2025-0073-五冶天府-成都怡心湖片区及龙泉驿医院等项目</v>
      </c>
      <c r="R2955" s="30" t="str">
        <f>_xlfn._xlws.FILTER(辅助信息!D:D,辅助信息!E:E=B2955)</f>
        <v>五冶建设扩建艺体中学二期工程</v>
      </c>
    </row>
    <row r="2956" hidden="1" spans="2:18">
      <c r="B2956" s="41" t="s">
        <v>167</v>
      </c>
      <c r="C2956" s="71">
        <v>45893</v>
      </c>
      <c r="D2956" s="41" t="str">
        <f>VLOOKUP(B2956,辅助信息!E:K,7,FALSE)</f>
        <v>JWDDCD2025102100473</v>
      </c>
      <c r="E2956" s="41" t="str">
        <f>VLOOKUP(F2956,辅助信息!A:B,2,FALSE)</f>
        <v>螺纹钢</v>
      </c>
      <c r="F2956" s="41" t="s">
        <v>30</v>
      </c>
      <c r="G2956" s="37">
        <v>5</v>
      </c>
      <c r="H2956" s="121">
        <f>_xlfn.XLOOKUP(C2956&amp;F2956&amp;I2956&amp;J2956,'[1]2025年已发货'!$F:$F&amp;'[1]2025年已发货'!$C:$C&amp;'[1]2025年已发货'!$G:$G&amp;'[1]2025年已发货'!$H:$H,'[1]2025年已发货'!$E:$E,"未发货")</f>
        <v>5</v>
      </c>
      <c r="I2956" s="41" t="str">
        <f>VLOOKUP(B2956,辅助信息!E:I,3,FALSE)</f>
        <v>(五冶建设扩建艺体中学二期工程)四川省成都市双流区光荣路成都艺体中学南200米</v>
      </c>
      <c r="J2956" s="41" t="str">
        <f>VLOOKUP(B2956,辅助信息!E:I,4,FALSE)</f>
        <v>谢序强</v>
      </c>
      <c r="K2956" s="41">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30" t="str">
        <f>VLOOKUP(B2956,辅助信息!E:M,9,FALSE)</f>
        <v>ZTWM-CDGS-XS-2025-0073-五冶天府-成都怡心湖片区及龙泉驿医院等项目</v>
      </c>
      <c r="R2956" s="30" t="str">
        <f>_xlfn._xlws.FILTER(辅助信息!D:D,辅助信息!E:E=B2956)</f>
        <v>五冶建设扩建艺体中学二期工程</v>
      </c>
    </row>
    <row r="2957" hidden="1" spans="2:18">
      <c r="B2957" s="41" t="s">
        <v>167</v>
      </c>
      <c r="C2957" s="71">
        <v>45893</v>
      </c>
      <c r="D2957" s="41" t="str">
        <f>VLOOKUP(B2957,辅助信息!E:K,7,FALSE)</f>
        <v>JWDDCD2025102100473</v>
      </c>
      <c r="E2957" s="41" t="str">
        <f>VLOOKUP(F2957,辅助信息!A:B,2,FALSE)</f>
        <v>螺纹钢</v>
      </c>
      <c r="F2957" s="41" t="s">
        <v>28</v>
      </c>
      <c r="G2957" s="37">
        <v>25</v>
      </c>
      <c r="H2957" s="121">
        <f>_xlfn.XLOOKUP(C2957&amp;F2957&amp;I2957&amp;J2957,'[1]2025年已发货'!$F:$F&amp;'[1]2025年已发货'!$C:$C&amp;'[1]2025年已发货'!$G:$G&amp;'[1]2025年已发货'!$H:$H,'[1]2025年已发货'!$E:$E,"未发货")</f>
        <v>25</v>
      </c>
      <c r="I2957" s="41" t="str">
        <f>VLOOKUP(B2957,辅助信息!E:I,3,FALSE)</f>
        <v>(五冶建设扩建艺体中学二期工程)四川省成都市双流区光荣路成都艺体中学南200米</v>
      </c>
      <c r="J2957" s="41" t="str">
        <f>VLOOKUP(B2957,辅助信息!E:I,4,FALSE)</f>
        <v>谢序强</v>
      </c>
      <c r="K2957" s="41">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30" t="str">
        <f>VLOOKUP(B2957,辅助信息!E:M,9,FALSE)</f>
        <v>ZTWM-CDGS-XS-2025-0073-五冶天府-成都怡心湖片区及龙泉驿医院等项目</v>
      </c>
      <c r="R2957" s="30" t="str">
        <f>_xlfn._xlws.FILTER(辅助信息!D:D,辅助信息!E:E=B2957)</f>
        <v>五冶建设扩建艺体中学二期工程</v>
      </c>
    </row>
    <row r="2958" hidden="1" spans="2:18">
      <c r="B2958" s="41" t="s">
        <v>186</v>
      </c>
      <c r="C2958" s="71">
        <v>45894</v>
      </c>
      <c r="D2958" s="41" t="str">
        <f>VLOOKUP(B2958,辅助信息!E:K,7,FALSE)</f>
        <v>JWDDCD2025072900123</v>
      </c>
      <c r="E2958" s="41" t="str">
        <f>VLOOKUP(F2958,辅助信息!A:B,2,FALSE)</f>
        <v>螺纹钢</v>
      </c>
      <c r="F2958" s="41" t="s">
        <v>141</v>
      </c>
      <c r="G2958" s="37">
        <v>14</v>
      </c>
      <c r="H2958" s="142">
        <f>_xlfn.XLOOKUP(C2958&amp;F2958&amp;I2958&amp;J2958,'[1]2025年已发货'!$F:$F&amp;'[1]2025年已发货'!$C:$C&amp;'[1]2025年已发货'!$G:$G&amp;'[1]2025年已发货'!$H:$H,'[1]2025年已发货'!$E:$E,"未发货")</f>
        <v>14</v>
      </c>
      <c r="I2958" s="41" t="str">
        <f>VLOOKUP(B2958,辅助信息!E:I,3,FALSE)</f>
        <v>(乐山市校地共建产教融合基地建设项目二标段)四川省乐山市市中区苏稽镇</v>
      </c>
      <c r="J2958" s="41" t="str">
        <f>VLOOKUP(B2958,辅助信息!E:I,4,FALSE)</f>
        <v>彭江涛</v>
      </c>
      <c r="K2958" s="41">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30" t="str">
        <f>VLOOKUP(B2958,辅助信息!E:M,9,FALSE)</f>
        <v>ZTWM-CDGS-XS-2025-0126-四川机司-乐山市校地共建产教融合基地配套设施项目施工二标段钢筋采购合同</v>
      </c>
      <c r="R2958" s="30" t="str">
        <f>_xlfn._xlws.FILTER(辅助信息!D:D,辅助信息!E:E=B2958)</f>
        <v>乐山市校地共建产教融合基地建设项目</v>
      </c>
    </row>
    <row r="2959" hidden="1" spans="2:18">
      <c r="B2959" s="41" t="s">
        <v>186</v>
      </c>
      <c r="C2959" s="71">
        <v>45894</v>
      </c>
      <c r="D2959" s="41" t="str">
        <f>VLOOKUP(B2959,辅助信息!E:K,7,FALSE)</f>
        <v>JWDDCD2025072900123</v>
      </c>
      <c r="E2959" s="41" t="str">
        <f>VLOOKUP(F2959,辅助信息!A:B,2,FALSE)</f>
        <v>螺纹钢</v>
      </c>
      <c r="F2959" s="41" t="s">
        <v>22</v>
      </c>
      <c r="G2959" s="37">
        <v>15.5</v>
      </c>
      <c r="H2959" s="142">
        <f>_xlfn.XLOOKUP(C2959&amp;F2959&amp;I2959&amp;J2959,'[1]2025年已发货'!$F:$F&amp;'[1]2025年已发货'!$C:$C&amp;'[1]2025年已发货'!$G:$G&amp;'[1]2025年已发货'!$H:$H,'[1]2025年已发货'!$E:$E,"未发货")</f>
        <v>15.5</v>
      </c>
      <c r="I2959" s="41" t="str">
        <f>VLOOKUP(B2959,辅助信息!E:I,3,FALSE)</f>
        <v>(乐山市校地共建产教融合基地建设项目二标段)四川省乐山市市中区苏稽镇</v>
      </c>
      <c r="J2959" s="41" t="str">
        <f>VLOOKUP(B2959,辅助信息!E:I,4,FALSE)</f>
        <v>彭江涛</v>
      </c>
      <c r="K2959" s="41">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30" t="str">
        <f>VLOOKUP(B2959,辅助信息!E:M,9,FALSE)</f>
        <v>ZTWM-CDGS-XS-2025-0126-四川机司-乐山市校地共建产教融合基地配套设施项目施工二标段钢筋采购合同</v>
      </c>
      <c r="R2959" s="30" t="str">
        <f>_xlfn._xlws.FILTER(辅助信息!D:D,辅助信息!E:E=B2959)</f>
        <v>乐山市校地共建产教融合基地建设项目</v>
      </c>
    </row>
    <row r="2960" hidden="1" spans="2:18">
      <c r="B2960" s="41" t="s">
        <v>186</v>
      </c>
      <c r="C2960" s="71">
        <v>45894</v>
      </c>
      <c r="D2960" s="41" t="str">
        <f>VLOOKUP(B2960,辅助信息!E:K,7,FALSE)</f>
        <v>JWDDCD2025072900123</v>
      </c>
      <c r="E2960" s="41" t="str">
        <f>VLOOKUP(F2960,辅助信息!A:B,2,FALSE)</f>
        <v>螺纹钢</v>
      </c>
      <c r="F2960" s="41" t="s">
        <v>142</v>
      </c>
      <c r="G2960" s="37">
        <v>72</v>
      </c>
      <c r="H2960" s="142">
        <f>_xlfn.XLOOKUP(C2960&amp;F2960&amp;I2960&amp;J2960,'[1]2025年已发货'!$F:$F&amp;'[1]2025年已发货'!$C:$C&amp;'[1]2025年已发货'!$G:$G&amp;'[1]2025年已发货'!$H:$H,'[1]2025年已发货'!$E:$E,"未发货")</f>
        <v>72</v>
      </c>
      <c r="I2960" s="41" t="str">
        <f>VLOOKUP(B2960,辅助信息!E:I,3,FALSE)</f>
        <v>(乐山市校地共建产教融合基地建设项目二标段)四川省乐山市市中区苏稽镇</v>
      </c>
      <c r="J2960" s="41" t="str">
        <f>VLOOKUP(B2960,辅助信息!E:I,4,FALSE)</f>
        <v>彭江涛</v>
      </c>
      <c r="K2960" s="41">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30" t="str">
        <f>VLOOKUP(B2960,辅助信息!E:M,9,FALSE)</f>
        <v>ZTWM-CDGS-XS-2025-0126-四川机司-乐山市校地共建产教融合基地配套设施项目施工二标段钢筋采购合同</v>
      </c>
      <c r="R2960" s="30" t="str">
        <f>_xlfn._xlws.FILTER(辅助信息!D:D,辅助信息!E:E=B2960)</f>
        <v>乐山市校地共建产教融合基地建设项目</v>
      </c>
    </row>
    <row r="2961" hidden="1" spans="2:18">
      <c r="B2961" s="41" t="s">
        <v>147</v>
      </c>
      <c r="C2961" s="71">
        <v>45894</v>
      </c>
      <c r="D2961" s="41" t="str">
        <f>VLOOKUP(B2961,辅助信息!E:K,7,FALSE)</f>
        <v>JWDDCD2025052800131</v>
      </c>
      <c r="E2961" s="41" t="str">
        <f>VLOOKUP(F2961,辅助信息!A:B,2,FALSE)</f>
        <v>盘螺</v>
      </c>
      <c r="F2961" s="41" t="s">
        <v>40</v>
      </c>
      <c r="G2961" s="37">
        <v>45</v>
      </c>
      <c r="H2961" s="121" t="str">
        <f>_xlfn.XLOOKUP(C2961&amp;F2961&amp;I2961&amp;J2961,'[1]2025年已发货'!$F:$F&amp;'[1]2025年已发货'!$C:$C&amp;'[1]2025年已发货'!$G:$G&amp;'[1]2025年已发货'!$H:$H,'[1]2025年已发货'!$E:$E,"未发货")</f>
        <v>未发货</v>
      </c>
      <c r="I2961" s="41" t="str">
        <f>VLOOKUP(B2961,辅助信息!E:I,3,FALSE)</f>
        <v>（商投建工达州中医药科技园-4工区-11号楼）达州市通川区达州中医药职业学院犀牛大道北段</v>
      </c>
      <c r="J2961" s="41" t="str">
        <f>VLOOKUP(B2961,辅助信息!E:I,4,FALSE)</f>
        <v>张扬</v>
      </c>
      <c r="K2961" s="41">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30" t="str">
        <f>VLOOKUP(B2961,辅助信息!E:M,9,FALSE)</f>
        <v>ZTWM-CDGS-XS-2024-0134-商投建工达州中医药科技成果示范园项目</v>
      </c>
      <c r="R2961" s="30" t="str">
        <f>_xlfn._xlws.FILTER(辅助信息!D:D,辅助信息!E:E=B2961)</f>
        <v>商投建工达州中医药科技园</v>
      </c>
    </row>
    <row r="2962" hidden="1" spans="2:18">
      <c r="B2962" s="41" t="s">
        <v>147</v>
      </c>
      <c r="C2962" s="71">
        <v>45894</v>
      </c>
      <c r="D2962" s="41" t="str">
        <f>VLOOKUP(B2962,辅助信息!E:K,7,FALSE)</f>
        <v>JWDDCD2025052800131</v>
      </c>
      <c r="E2962" s="41" t="str">
        <f>VLOOKUP(F2962,辅助信息!A:B,2,FALSE)</f>
        <v>盘螺</v>
      </c>
      <c r="F2962" s="41" t="s">
        <v>41</v>
      </c>
      <c r="G2962" s="37">
        <v>21</v>
      </c>
      <c r="H2962" s="121">
        <f>_xlfn.XLOOKUP(C2962&amp;F2962&amp;I2962&amp;J2962,'[1]2025年已发货'!$F:$F&amp;'[1]2025年已发货'!$C:$C&amp;'[1]2025年已发货'!$G:$G&amp;'[1]2025年已发货'!$H:$H,'[1]2025年已发货'!$E:$E,"未发货")</f>
        <v>21</v>
      </c>
      <c r="I2962" s="41" t="str">
        <f>VLOOKUP(B2962,辅助信息!E:I,3,FALSE)</f>
        <v>（商投建工达州中医药科技园-4工区-11号楼）达州市通川区达州中医药职业学院犀牛大道北段</v>
      </c>
      <c r="J2962" s="41" t="str">
        <f>VLOOKUP(B2962,辅助信息!E:I,4,FALSE)</f>
        <v>张扬</v>
      </c>
      <c r="K2962" s="41">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30" t="str">
        <f>VLOOKUP(B2962,辅助信息!E:M,9,FALSE)</f>
        <v>ZTWM-CDGS-XS-2024-0134-商投建工达州中医药科技成果示范园项目</v>
      </c>
      <c r="R2962" s="30" t="str">
        <f>_xlfn._xlws.FILTER(辅助信息!D:D,辅助信息!E:E=B2962)</f>
        <v>商投建工达州中医药科技园</v>
      </c>
    </row>
    <row r="2963" hidden="1" spans="2:18">
      <c r="B2963" s="41" t="s">
        <v>147</v>
      </c>
      <c r="C2963" s="71">
        <v>45894</v>
      </c>
      <c r="D2963" s="41" t="str">
        <f>VLOOKUP(B2963,辅助信息!E:K,7,FALSE)</f>
        <v>JWDDCD2025052800131</v>
      </c>
      <c r="E2963" s="41" t="str">
        <f>VLOOKUP(F2963,辅助信息!A:B,2,FALSE)</f>
        <v>螺纹钢</v>
      </c>
      <c r="F2963" s="41" t="s">
        <v>32</v>
      </c>
      <c r="G2963" s="37">
        <v>3</v>
      </c>
      <c r="H2963" s="121" t="str">
        <f>_xlfn.XLOOKUP(C2963&amp;F2963&amp;I2963&amp;J2963,'[1]2025年已发货'!$F:$F&amp;'[1]2025年已发货'!$C:$C&amp;'[1]2025年已发货'!$G:$G&amp;'[1]2025年已发货'!$H:$H,'[1]2025年已发货'!$E:$E,"未发货")</f>
        <v>未发货</v>
      </c>
      <c r="I2963" s="41" t="str">
        <f>VLOOKUP(B2963,辅助信息!E:I,3,FALSE)</f>
        <v>（商投建工达州中医药科技园-4工区-11号楼）达州市通川区达州中医药职业学院犀牛大道北段</v>
      </c>
      <c r="J2963" s="41" t="str">
        <f>VLOOKUP(B2963,辅助信息!E:I,4,FALSE)</f>
        <v>张扬</v>
      </c>
      <c r="K2963" s="41">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30" t="str">
        <f>VLOOKUP(B2963,辅助信息!E:M,9,FALSE)</f>
        <v>ZTWM-CDGS-XS-2024-0134-商投建工达州中医药科技成果示范园项目</v>
      </c>
      <c r="R2963" s="30" t="str">
        <f>_xlfn._xlws.FILTER(辅助信息!D:D,辅助信息!E:E=B2963)</f>
        <v>商投建工达州中医药科技园</v>
      </c>
    </row>
    <row r="2964" hidden="1" spans="2:18">
      <c r="B2964" s="41" t="s">
        <v>147</v>
      </c>
      <c r="C2964" s="71">
        <v>45894</v>
      </c>
      <c r="D2964" s="41" t="str">
        <f>VLOOKUP(B2964,辅助信息!E:K,7,FALSE)</f>
        <v>JWDDCD2025052800131</v>
      </c>
      <c r="E2964" s="41" t="str">
        <f>VLOOKUP(F2964,辅助信息!A:B,2,FALSE)</f>
        <v>螺纹钢</v>
      </c>
      <c r="F2964" s="41" t="s">
        <v>30</v>
      </c>
      <c r="G2964" s="37">
        <v>6</v>
      </c>
      <c r="H2964" s="121" t="str">
        <f>_xlfn.XLOOKUP(C2964&amp;F2964&amp;I2964&amp;J2964,'[1]2025年已发货'!$F:$F&amp;'[1]2025年已发货'!$C:$C&amp;'[1]2025年已发货'!$G:$G&amp;'[1]2025年已发货'!$H:$H,'[1]2025年已发货'!$E:$E,"未发货")</f>
        <v>未发货</v>
      </c>
      <c r="I2964" s="41" t="str">
        <f>VLOOKUP(B2964,辅助信息!E:I,3,FALSE)</f>
        <v>（商投建工达州中医药科技园-4工区-11号楼）达州市通川区达州中医药职业学院犀牛大道北段</v>
      </c>
      <c r="J2964" s="41" t="str">
        <f>VLOOKUP(B2964,辅助信息!E:I,4,FALSE)</f>
        <v>张扬</v>
      </c>
      <c r="K2964" s="41">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30" t="str">
        <f>VLOOKUP(B2964,辅助信息!E:M,9,FALSE)</f>
        <v>ZTWM-CDGS-XS-2024-0134-商投建工达州中医药科技成果示范园项目</v>
      </c>
      <c r="R2964" s="30" t="str">
        <f>_xlfn._xlws.FILTER(辅助信息!D:D,辅助信息!E:E=B2964)</f>
        <v>商投建工达州中医药科技园</v>
      </c>
    </row>
    <row r="2965" hidden="1" spans="2:18">
      <c r="B2965" s="41" t="s">
        <v>147</v>
      </c>
      <c r="C2965" s="71">
        <v>45894</v>
      </c>
      <c r="D2965" s="41" t="str">
        <f>VLOOKUP(B2965,辅助信息!E:K,7,FALSE)</f>
        <v>JWDDCD2025052800131</v>
      </c>
      <c r="E2965" s="41" t="str">
        <f>VLOOKUP(F2965,辅助信息!A:B,2,FALSE)</f>
        <v>螺纹钢</v>
      </c>
      <c r="F2965" s="41" t="s">
        <v>33</v>
      </c>
      <c r="G2965" s="37">
        <v>6</v>
      </c>
      <c r="H2965" s="121">
        <f>_xlfn.XLOOKUP(C2965&amp;F2965&amp;I2965&amp;J2965,'[1]2025年已发货'!$F:$F&amp;'[1]2025年已发货'!$C:$C&amp;'[1]2025年已发货'!$G:$G&amp;'[1]2025年已发货'!$H:$H,'[1]2025年已发货'!$E:$E,"未发货")</f>
        <v>6</v>
      </c>
      <c r="I2965" s="41" t="str">
        <f>VLOOKUP(B2965,辅助信息!E:I,3,FALSE)</f>
        <v>（商投建工达州中医药科技园-4工区-11号楼）达州市通川区达州中医药职业学院犀牛大道北段</v>
      </c>
      <c r="J2965" s="41" t="str">
        <f>VLOOKUP(B2965,辅助信息!E:I,4,FALSE)</f>
        <v>张扬</v>
      </c>
      <c r="K2965" s="41">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30" t="str">
        <f>VLOOKUP(B2965,辅助信息!E:M,9,FALSE)</f>
        <v>ZTWM-CDGS-XS-2024-0134-商投建工达州中医药科技成果示范园项目</v>
      </c>
      <c r="R2965" s="30" t="str">
        <f>_xlfn._xlws.FILTER(辅助信息!D:D,辅助信息!E:E=B2965)</f>
        <v>商投建工达州中医药科技园</v>
      </c>
    </row>
    <row r="2966" hidden="1" spans="2:18">
      <c r="B2966" s="41" t="s">
        <v>147</v>
      </c>
      <c r="C2966" s="71">
        <v>45894</v>
      </c>
      <c r="D2966" s="41" t="str">
        <f>VLOOKUP(B2966,辅助信息!E:K,7,FALSE)</f>
        <v>JWDDCD2025052800131</v>
      </c>
      <c r="E2966" s="41" t="str">
        <f>VLOOKUP(F2966,辅助信息!A:B,2,FALSE)</f>
        <v>螺纹钢</v>
      </c>
      <c r="F2966" s="41" t="s">
        <v>18</v>
      </c>
      <c r="G2966" s="37">
        <v>15</v>
      </c>
      <c r="H2966" s="121">
        <f>_xlfn.XLOOKUP(C2966&amp;F2966&amp;I2966&amp;J2966,'[1]2025年已发货'!$F:$F&amp;'[1]2025年已发货'!$C:$C&amp;'[1]2025年已发货'!$G:$G&amp;'[1]2025年已发货'!$H:$H,'[1]2025年已发货'!$E:$E,"未发货")</f>
        <v>15</v>
      </c>
      <c r="I2966" s="41" t="str">
        <f>VLOOKUP(B2966,辅助信息!E:I,3,FALSE)</f>
        <v>（商投建工达州中医药科技园-4工区-11号楼）达州市通川区达州中医药职业学院犀牛大道北段</v>
      </c>
      <c r="J2966" s="41" t="str">
        <f>VLOOKUP(B2966,辅助信息!E:I,4,FALSE)</f>
        <v>张扬</v>
      </c>
      <c r="K2966" s="41">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30" t="str">
        <f>VLOOKUP(B2966,辅助信息!E:M,9,FALSE)</f>
        <v>ZTWM-CDGS-XS-2024-0134-商投建工达州中医药科技成果示范园项目</v>
      </c>
      <c r="R2966" s="30" t="str">
        <f>_xlfn._xlws.FILTER(辅助信息!D:D,辅助信息!E:E=B2966)</f>
        <v>商投建工达州中医药科技园</v>
      </c>
    </row>
    <row r="2967" hidden="1" spans="2:18">
      <c r="B2967" s="41" t="s">
        <v>163</v>
      </c>
      <c r="C2967" s="71">
        <v>45894</v>
      </c>
      <c r="D2967" s="41" t="str">
        <f>VLOOKUP(B2967,辅助信息!E:K,7,FALSE)</f>
        <v>JWDDCD2025052800131</v>
      </c>
      <c r="E2967" s="41" t="str">
        <f>VLOOKUP(F2967,辅助信息!A:B,2,FALSE)</f>
        <v>盘螺</v>
      </c>
      <c r="F2967" s="41" t="s">
        <v>40</v>
      </c>
      <c r="G2967" s="37">
        <v>30</v>
      </c>
      <c r="H2967" s="121">
        <f>_xlfn.XLOOKUP(C2967&amp;F2967&amp;I2967&amp;J2967,'[1]2025年已发货'!$F:$F&amp;'[1]2025年已发货'!$C:$C&amp;'[1]2025年已发货'!$G:$G&amp;'[1]2025年已发货'!$H:$H,'[1]2025年已发货'!$E:$E,"未发货")</f>
        <v>17</v>
      </c>
      <c r="I2967" s="41" t="str">
        <f>VLOOKUP(B2967,辅助信息!E:I,3,FALSE)</f>
        <v>（商投建工达州中医药科技园-4工区-9号楼）达州市通川区达州中医药职业学院犀牛大道北段</v>
      </c>
      <c r="J2967" s="41" t="str">
        <f>VLOOKUP(B2967,辅助信息!E:I,4,FALSE)</f>
        <v>张扬</v>
      </c>
      <c r="K2967" s="41">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30" t="str">
        <f>VLOOKUP(B2967,辅助信息!E:M,9,FALSE)</f>
        <v>ZTWM-CDGS-XS-2024-0134-商投建工达州中医药科技成果示范园项目</v>
      </c>
      <c r="R2967" s="30" t="str">
        <f>_xlfn._xlws.FILTER(辅助信息!D:D,辅助信息!E:E=B2967)</f>
        <v>商投建工达州中医药科技园</v>
      </c>
    </row>
    <row r="2968" hidden="1" spans="2:18">
      <c r="B2968" s="41" t="s">
        <v>163</v>
      </c>
      <c r="C2968" s="71">
        <v>45894</v>
      </c>
      <c r="D2968" s="41" t="str">
        <f>VLOOKUP(B2968,辅助信息!E:K,7,FALSE)</f>
        <v>JWDDCD2025052800131</v>
      </c>
      <c r="E2968" s="41" t="str">
        <f>VLOOKUP(F2968,辅助信息!A:B,2,FALSE)</f>
        <v>盘螺</v>
      </c>
      <c r="F2968" s="41" t="s">
        <v>41</v>
      </c>
      <c r="G2968" s="37">
        <v>18</v>
      </c>
      <c r="H2968" s="121">
        <f>_xlfn.XLOOKUP(C2968&amp;F2968&amp;I2968&amp;J2968,'[1]2025年已发货'!$F:$F&amp;'[1]2025年已发货'!$C:$C&amp;'[1]2025年已发货'!$G:$G&amp;'[1]2025年已发货'!$H:$H,'[1]2025年已发货'!$E:$E,"未发货")</f>
        <v>18</v>
      </c>
      <c r="I2968" s="41" t="str">
        <f>VLOOKUP(B2968,辅助信息!E:I,3,FALSE)</f>
        <v>（商投建工达州中医药科技园-4工区-9号楼）达州市通川区达州中医药职业学院犀牛大道北段</v>
      </c>
      <c r="J2968" s="41" t="str">
        <f>VLOOKUP(B2968,辅助信息!E:I,4,FALSE)</f>
        <v>张扬</v>
      </c>
      <c r="K2968" s="41">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30" t="str">
        <f>VLOOKUP(B2968,辅助信息!E:M,9,FALSE)</f>
        <v>ZTWM-CDGS-XS-2024-0134-商投建工达州中医药科技成果示范园项目</v>
      </c>
      <c r="R2968" s="30" t="str">
        <f>_xlfn._xlws.FILTER(辅助信息!D:D,辅助信息!E:E=B2968)</f>
        <v>商投建工达州中医药科技园</v>
      </c>
    </row>
    <row r="2969" hidden="1" spans="2:18">
      <c r="B2969" s="41" t="s">
        <v>163</v>
      </c>
      <c r="C2969" s="71">
        <v>45894</v>
      </c>
      <c r="D2969" s="41" t="str">
        <f>VLOOKUP(B2969,辅助信息!E:K,7,FALSE)</f>
        <v>JWDDCD2025052800131</v>
      </c>
      <c r="E2969" s="41" t="str">
        <f>VLOOKUP(F2969,辅助信息!A:B,2,FALSE)</f>
        <v>螺纹钢</v>
      </c>
      <c r="F2969" s="41" t="s">
        <v>30</v>
      </c>
      <c r="G2969" s="37">
        <v>6</v>
      </c>
      <c r="H2969" s="121" t="str">
        <f>_xlfn.XLOOKUP(C2969&amp;F2969&amp;I2969&amp;J2969,'[1]2025年已发货'!$F:$F&amp;'[1]2025年已发货'!$C:$C&amp;'[1]2025年已发货'!$G:$G&amp;'[1]2025年已发货'!$H:$H,'[1]2025年已发货'!$E:$E,"未发货")</f>
        <v>未发货</v>
      </c>
      <c r="I2969" s="41" t="str">
        <f>VLOOKUP(B2969,辅助信息!E:I,3,FALSE)</f>
        <v>（商投建工达州中医药科技园-4工区-9号楼）达州市通川区达州中医药职业学院犀牛大道北段</v>
      </c>
      <c r="J2969" s="41" t="str">
        <f>VLOOKUP(B2969,辅助信息!E:I,4,FALSE)</f>
        <v>张扬</v>
      </c>
      <c r="K2969" s="41">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30" t="str">
        <f>VLOOKUP(B2969,辅助信息!E:M,9,FALSE)</f>
        <v>ZTWM-CDGS-XS-2024-0134-商投建工达州中医药科技成果示范园项目</v>
      </c>
      <c r="R2969" s="30" t="str">
        <f>_xlfn._xlws.FILTER(辅助信息!D:D,辅助信息!E:E=B2969)</f>
        <v>商投建工达州中医药科技园</v>
      </c>
    </row>
    <row r="2970" hidden="1" spans="2:18">
      <c r="B2970" s="41" t="s">
        <v>163</v>
      </c>
      <c r="C2970" s="71">
        <v>45894</v>
      </c>
      <c r="D2970" s="41" t="str">
        <f>VLOOKUP(B2970,辅助信息!E:K,7,FALSE)</f>
        <v>JWDDCD2025052800131</v>
      </c>
      <c r="E2970" s="41" t="str">
        <f>VLOOKUP(F2970,辅助信息!A:B,2,FALSE)</f>
        <v>螺纹钢</v>
      </c>
      <c r="F2970" s="41" t="s">
        <v>33</v>
      </c>
      <c r="G2970" s="37">
        <v>12</v>
      </c>
      <c r="H2970" s="121">
        <f>_xlfn.XLOOKUP(C2970&amp;F2970&amp;I2970&amp;J2970,'[1]2025年已发货'!$F:$F&amp;'[1]2025年已发货'!$C:$C&amp;'[1]2025年已发货'!$G:$G&amp;'[1]2025年已发货'!$H:$H,'[1]2025年已发货'!$E:$E,"未发货")</f>
        <v>12</v>
      </c>
      <c r="I2970" s="41" t="str">
        <f>VLOOKUP(B2970,辅助信息!E:I,3,FALSE)</f>
        <v>（商投建工达州中医药科技园-4工区-9号楼）达州市通川区达州中医药职业学院犀牛大道北段</v>
      </c>
      <c r="J2970" s="41" t="str">
        <f>VLOOKUP(B2970,辅助信息!E:I,4,FALSE)</f>
        <v>张扬</v>
      </c>
      <c r="K2970" s="41">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30" t="str">
        <f>VLOOKUP(B2970,辅助信息!E:M,9,FALSE)</f>
        <v>ZTWM-CDGS-XS-2024-0134-商投建工达州中医药科技成果示范园项目</v>
      </c>
      <c r="R2970" s="30" t="str">
        <f>_xlfn._xlws.FILTER(辅助信息!D:D,辅助信息!E:E=B2970)</f>
        <v>商投建工达州中医药科技园</v>
      </c>
    </row>
    <row r="2971" hidden="1" spans="2:18">
      <c r="B2971" s="41" t="s">
        <v>163</v>
      </c>
      <c r="C2971" s="71">
        <v>45894</v>
      </c>
      <c r="D2971" s="41" t="str">
        <f>VLOOKUP(B2971,辅助信息!E:K,7,FALSE)</f>
        <v>JWDDCD2025052800131</v>
      </c>
      <c r="E2971" s="41" t="str">
        <f>VLOOKUP(F2971,辅助信息!A:B,2,FALSE)</f>
        <v>螺纹钢</v>
      </c>
      <c r="F2971" s="41" t="s">
        <v>18</v>
      </c>
      <c r="G2971" s="37">
        <v>12</v>
      </c>
      <c r="H2971" s="121">
        <f>_xlfn.XLOOKUP(C2971&amp;F2971&amp;I2971&amp;J2971,'[1]2025年已发货'!$F:$F&amp;'[1]2025年已发货'!$C:$C&amp;'[1]2025年已发货'!$G:$G&amp;'[1]2025年已发货'!$H:$H,'[1]2025年已发货'!$E:$E,"未发货")</f>
        <v>12</v>
      </c>
      <c r="I2971" s="41" t="str">
        <f>VLOOKUP(B2971,辅助信息!E:I,3,FALSE)</f>
        <v>（商投建工达州中医药科技园-4工区-9号楼）达州市通川区达州中医药职业学院犀牛大道北段</v>
      </c>
      <c r="J2971" s="41" t="str">
        <f>VLOOKUP(B2971,辅助信息!E:I,4,FALSE)</f>
        <v>张扬</v>
      </c>
      <c r="K2971" s="41">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30" t="str">
        <f>VLOOKUP(B2971,辅助信息!E:M,9,FALSE)</f>
        <v>ZTWM-CDGS-XS-2024-0134-商投建工达州中医药科技成果示范园项目</v>
      </c>
      <c r="R2971" s="30" t="str">
        <f>_xlfn._xlws.FILTER(辅助信息!D:D,辅助信息!E:E=B2971)</f>
        <v>商投建工达州中医药科技园</v>
      </c>
    </row>
    <row r="2972" hidden="1" spans="2:18">
      <c r="B2972" s="41" t="s">
        <v>163</v>
      </c>
      <c r="C2972" s="71">
        <v>45894</v>
      </c>
      <c r="D2972" s="41" t="str">
        <f>VLOOKUP(B2972,辅助信息!E:K,7,FALSE)</f>
        <v>JWDDCD2025052800131</v>
      </c>
      <c r="E2972" s="41" t="str">
        <f>VLOOKUP(F2972,辅助信息!A:B,2,FALSE)</f>
        <v>螺纹钢</v>
      </c>
      <c r="F2972" s="41" t="s">
        <v>21</v>
      </c>
      <c r="G2972" s="37">
        <v>6</v>
      </c>
      <c r="H2972" s="121" t="str">
        <f>_xlfn.XLOOKUP(C2972&amp;F2972&amp;I2972&amp;J2972,'[1]2025年已发货'!$F:$F&amp;'[1]2025年已发货'!$C:$C&amp;'[1]2025年已发货'!$G:$G&amp;'[1]2025年已发货'!$H:$H,'[1]2025年已发货'!$E:$E,"未发货")</f>
        <v>未发货</v>
      </c>
      <c r="I2972" s="41" t="str">
        <f>VLOOKUP(B2972,辅助信息!E:I,3,FALSE)</f>
        <v>（商投建工达州中医药科技园-4工区-9号楼）达州市通川区达州中医药职业学院犀牛大道北段</v>
      </c>
      <c r="J2972" s="41" t="str">
        <f>VLOOKUP(B2972,辅助信息!E:I,4,FALSE)</f>
        <v>张扬</v>
      </c>
      <c r="K2972" s="41">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30" t="str">
        <f>VLOOKUP(B2972,辅助信息!E:M,9,FALSE)</f>
        <v>ZTWM-CDGS-XS-2024-0134-商投建工达州中医药科技成果示范园项目</v>
      </c>
      <c r="R2972" s="30" t="str">
        <f>_xlfn._xlws.FILTER(辅助信息!D:D,辅助信息!E:E=B2972)</f>
        <v>商投建工达州中医药科技园</v>
      </c>
    </row>
    <row r="2973" hidden="1" spans="2:18">
      <c r="B2973" s="41" t="s">
        <v>163</v>
      </c>
      <c r="C2973" s="71">
        <v>45894</v>
      </c>
      <c r="D2973" s="41" t="str">
        <f>VLOOKUP(B2973,辅助信息!E:K,7,FALSE)</f>
        <v>JWDDCD2025052800131</v>
      </c>
      <c r="E2973" s="41" t="str">
        <f>VLOOKUP(F2973,辅助信息!A:B,2,FALSE)</f>
        <v>螺纹钢</v>
      </c>
      <c r="F2973" s="41" t="s">
        <v>58</v>
      </c>
      <c r="G2973" s="37">
        <v>12</v>
      </c>
      <c r="H2973" s="121" t="str">
        <f>_xlfn.XLOOKUP(C2973&amp;F2973&amp;I2973&amp;J2973,'[1]2025年已发货'!$F:$F&amp;'[1]2025年已发货'!$C:$C&amp;'[1]2025年已发货'!$G:$G&amp;'[1]2025年已发货'!$H:$H,'[1]2025年已发货'!$E:$E,"未发货")</f>
        <v>未发货</v>
      </c>
      <c r="I2973" s="41" t="str">
        <f>VLOOKUP(B2973,辅助信息!E:I,3,FALSE)</f>
        <v>（商投建工达州中医药科技园-4工区-9号楼）达州市通川区达州中医药职业学院犀牛大道北段</v>
      </c>
      <c r="J2973" s="41" t="str">
        <f>VLOOKUP(B2973,辅助信息!E:I,4,FALSE)</f>
        <v>张扬</v>
      </c>
      <c r="K2973" s="41">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30" t="str">
        <f>VLOOKUP(B2973,辅助信息!E:M,9,FALSE)</f>
        <v>ZTWM-CDGS-XS-2024-0134-商投建工达州中医药科技成果示范园项目</v>
      </c>
      <c r="R2973" s="30" t="str">
        <f>_xlfn._xlws.FILTER(辅助信息!D:D,辅助信息!E:E=B2973)</f>
        <v>商投建工达州中医药科技园</v>
      </c>
    </row>
    <row r="2974" hidden="1" spans="2:18">
      <c r="B2974" s="41" t="s">
        <v>194</v>
      </c>
      <c r="C2974" s="71">
        <v>45894</v>
      </c>
      <c r="D2974" s="41" t="str">
        <f>VLOOKUP(B2974,辅助信息!E:K,7,FALSE)</f>
        <v>JWDD2025071500089</v>
      </c>
      <c r="E2974" s="41" t="str">
        <f>VLOOKUP(F2974,辅助信息!A:B,2,FALSE)</f>
        <v>盘螺</v>
      </c>
      <c r="F2974" s="41" t="s">
        <v>40</v>
      </c>
      <c r="G2974" s="37">
        <v>35</v>
      </c>
      <c r="H2974" s="142">
        <f>_xlfn.XLOOKUP(C2974&amp;F2974&amp;I2974&amp;J2974,'[1]2025年已发货'!$F:$F&amp;'[1]2025年已发货'!$C:$C&amp;'[1]2025年已发货'!$G:$G&amp;'[1]2025年已发货'!$H:$H,'[1]2025年已发货'!$E:$E,"未发货")</f>
        <v>35</v>
      </c>
      <c r="I2974" s="41" t="str">
        <f>VLOOKUP(B2974,辅助信息!E:I,3,FALSE)</f>
        <v>(宜宾兴港三江新区长江工业园保障性租赁住房建设项目-土建)四川省宜宾市翠屏区永善路南段宜宾市三江新区长江工业园区</v>
      </c>
      <c r="J2974" s="41" t="str">
        <f>VLOOKUP(B2974,辅助信息!E:I,4,FALSE)</f>
        <v>赵元虎</v>
      </c>
      <c r="K2974" s="41">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30" t="str">
        <f>VLOOKUP(B2974,辅助信息!E:M,9,FALSE)</f>
        <v>ZTWM-CDYXGS-XS-2025-0014-宜宾兴港建材-三江新区长江工业园片区保障性租赁住房建设项目</v>
      </c>
      <c r="R2974" s="30" t="str">
        <f>_xlfn._xlws.FILTER(辅助信息!D:D,辅助信息!E:E=B2974)</f>
        <v>宜宾兴港三江新区长江工业园建设项目</v>
      </c>
    </row>
    <row r="2975" hidden="1" spans="2:18">
      <c r="B2975" s="41" t="s">
        <v>194</v>
      </c>
      <c r="C2975" s="71">
        <v>45894</v>
      </c>
      <c r="D2975" s="41" t="str">
        <f>VLOOKUP(B2975,辅助信息!E:K,7,FALSE)</f>
        <v>JWDD2025071500089</v>
      </c>
      <c r="E2975" s="41" t="str">
        <f>VLOOKUP(F2975,辅助信息!A:B,2,FALSE)</f>
        <v>螺纹钢</v>
      </c>
      <c r="F2975" s="41" t="s">
        <v>27</v>
      </c>
      <c r="G2975" s="37">
        <v>5</v>
      </c>
      <c r="H2975" s="142">
        <f>_xlfn.XLOOKUP(C2975&amp;F2975&amp;I2975&amp;J2975,'[1]2025年已发货'!$F:$F&amp;'[1]2025年已发货'!$C:$C&amp;'[1]2025年已发货'!$G:$G&amp;'[1]2025年已发货'!$H:$H,'[1]2025年已发货'!$E:$E,"未发货")</f>
        <v>5</v>
      </c>
      <c r="I2975" s="41" t="str">
        <f>VLOOKUP(B2975,辅助信息!E:I,3,FALSE)</f>
        <v>(宜宾兴港三江新区长江工业园保障性租赁住房建设项目-土建)四川省宜宾市翠屏区永善路南段宜宾市三江新区长江工业园区</v>
      </c>
      <c r="J2975" s="41" t="str">
        <f>VLOOKUP(B2975,辅助信息!E:I,4,FALSE)</f>
        <v>赵元虎</v>
      </c>
      <c r="K2975" s="41">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30" t="str">
        <f>VLOOKUP(B2975,辅助信息!E:M,9,FALSE)</f>
        <v>ZTWM-CDYXGS-XS-2025-0014-宜宾兴港建材-三江新区长江工业园片区保障性租赁住房建设项目</v>
      </c>
      <c r="R2975" s="30" t="str">
        <f>_xlfn._xlws.FILTER(辅助信息!D:D,辅助信息!E:E=B2975)</f>
        <v>宜宾兴港三江新区长江工业园建设项目</v>
      </c>
    </row>
    <row r="2976" hidden="1" spans="2:18">
      <c r="B2976" s="41" t="s">
        <v>194</v>
      </c>
      <c r="C2976" s="71">
        <v>45894</v>
      </c>
      <c r="D2976" s="41" t="str">
        <f>VLOOKUP(B2976,辅助信息!E:K,7,FALSE)</f>
        <v>JWDD2025071500089</v>
      </c>
      <c r="E2976" s="41" t="str">
        <f>VLOOKUP(F2976,辅助信息!A:B,2,FALSE)</f>
        <v>螺纹钢</v>
      </c>
      <c r="F2976" s="41" t="s">
        <v>19</v>
      </c>
      <c r="G2976" s="37">
        <v>40</v>
      </c>
      <c r="H2976" s="142">
        <v>40</v>
      </c>
      <c r="I2976" s="41" t="str">
        <f>VLOOKUP(B2976,辅助信息!E:I,3,FALSE)</f>
        <v>(宜宾兴港三江新区长江工业园保障性租赁住房建设项目-土建)四川省宜宾市翠屏区永善路南段宜宾市三江新区长江工业园区</v>
      </c>
      <c r="J2976" s="41" t="str">
        <f>VLOOKUP(B2976,辅助信息!E:I,4,FALSE)</f>
        <v>赵元虎</v>
      </c>
      <c r="K2976" s="41">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30" t="str">
        <f>VLOOKUP(B2976,辅助信息!E:M,9,FALSE)</f>
        <v>ZTWM-CDYXGS-XS-2025-0014-宜宾兴港建材-三江新区长江工业园片区保障性租赁住房建设项目</v>
      </c>
      <c r="R2976" s="30" t="str">
        <f>_xlfn._xlws.FILTER(辅助信息!D:D,辅助信息!E:E=B2976)</f>
        <v>宜宾兴港三江新区长江工业园建设项目</v>
      </c>
    </row>
    <row r="2977" hidden="1" spans="2:18">
      <c r="B2977" s="41" t="s">
        <v>194</v>
      </c>
      <c r="C2977" s="71">
        <v>45894</v>
      </c>
      <c r="D2977" s="41" t="str">
        <f>VLOOKUP(B2977,辅助信息!E:K,7,FALSE)</f>
        <v>JWDD2025071500089</v>
      </c>
      <c r="E2977" s="41" t="str">
        <f>VLOOKUP(F2977,辅助信息!A:B,2,FALSE)</f>
        <v>螺纹钢</v>
      </c>
      <c r="F2977" s="41" t="s">
        <v>32</v>
      </c>
      <c r="G2977" s="37">
        <v>20</v>
      </c>
      <c r="H2977" s="142">
        <f>_xlfn.XLOOKUP(C2977&amp;F2977&amp;I2977&amp;J2977,'[1]2025年已发货'!$F:$F&amp;'[1]2025年已发货'!$C:$C&amp;'[1]2025年已发货'!$G:$G&amp;'[1]2025年已发货'!$H:$H,'[1]2025年已发货'!$E:$E,"未发货")</f>
        <v>20</v>
      </c>
      <c r="I2977" s="41" t="str">
        <f>VLOOKUP(B2977,辅助信息!E:I,3,FALSE)</f>
        <v>(宜宾兴港三江新区长江工业园保障性租赁住房建设项目-土建)四川省宜宾市翠屏区永善路南段宜宾市三江新区长江工业园区</v>
      </c>
      <c r="J2977" s="41" t="str">
        <f>VLOOKUP(B2977,辅助信息!E:I,4,FALSE)</f>
        <v>赵元虎</v>
      </c>
      <c r="K2977" s="41">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30" t="str">
        <f>VLOOKUP(B2977,辅助信息!E:M,9,FALSE)</f>
        <v>ZTWM-CDYXGS-XS-2025-0014-宜宾兴港建材-三江新区长江工业园片区保障性租赁住房建设项目</v>
      </c>
      <c r="R2977" s="30" t="str">
        <f>_xlfn._xlws.FILTER(辅助信息!D:D,辅助信息!E:E=B2977)</f>
        <v>宜宾兴港三江新区长江工业园建设项目</v>
      </c>
    </row>
    <row r="2978" hidden="1" spans="2:18">
      <c r="B2978" s="41" t="s">
        <v>194</v>
      </c>
      <c r="C2978" s="71">
        <v>45894</v>
      </c>
      <c r="D2978" s="41" t="str">
        <f>VLOOKUP(B2978,辅助信息!E:K,7,FALSE)</f>
        <v>JWDD2025071500089</v>
      </c>
      <c r="E2978" s="41" t="str">
        <f>VLOOKUP(F2978,辅助信息!A:B,2,FALSE)</f>
        <v>螺纹钢</v>
      </c>
      <c r="F2978" s="41" t="s">
        <v>30</v>
      </c>
      <c r="G2978" s="37">
        <v>8</v>
      </c>
      <c r="H2978" s="142">
        <f>_xlfn.XLOOKUP(C2978&amp;F2978&amp;I2978&amp;J2978,'[1]2025年已发货'!$F:$F&amp;'[1]2025年已发货'!$C:$C&amp;'[1]2025年已发货'!$G:$G&amp;'[1]2025年已发货'!$H:$H,'[1]2025年已发货'!$E:$E,"未发货")</f>
        <v>8</v>
      </c>
      <c r="I2978" s="41" t="str">
        <f>VLOOKUP(B2978,辅助信息!E:I,3,FALSE)</f>
        <v>(宜宾兴港三江新区长江工业园保障性租赁住房建设项目-土建)四川省宜宾市翠屏区永善路南段宜宾市三江新区长江工业园区</v>
      </c>
      <c r="J2978" s="41" t="str">
        <f>VLOOKUP(B2978,辅助信息!E:I,4,FALSE)</f>
        <v>赵元虎</v>
      </c>
      <c r="K2978" s="41">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30" t="str">
        <f>VLOOKUP(B2978,辅助信息!E:M,9,FALSE)</f>
        <v>ZTWM-CDYXGS-XS-2025-0014-宜宾兴港建材-三江新区长江工业园片区保障性租赁住房建设项目</v>
      </c>
      <c r="R2978" s="30" t="str">
        <f>_xlfn._xlws.FILTER(辅助信息!D:D,辅助信息!E:E=B2978)</f>
        <v>宜宾兴港三江新区长江工业园建设项目</v>
      </c>
    </row>
    <row r="2979" hidden="1" spans="2:18">
      <c r="B2979" s="41" t="s">
        <v>194</v>
      </c>
      <c r="C2979" s="71">
        <v>45894</v>
      </c>
      <c r="D2979" s="41" t="str">
        <f>VLOOKUP(B2979,辅助信息!E:K,7,FALSE)</f>
        <v>JWDD2025071500089</v>
      </c>
      <c r="E2979" s="41" t="str">
        <f>VLOOKUP(F2979,辅助信息!A:B,2,FALSE)</f>
        <v>螺纹钢</v>
      </c>
      <c r="F2979" s="41" t="s">
        <v>28</v>
      </c>
      <c r="G2979" s="37">
        <v>15</v>
      </c>
      <c r="H2979" s="142">
        <f>_xlfn.XLOOKUP(C2979&amp;F2979&amp;I2979&amp;J2979,'[1]2025年已发货'!$F:$F&amp;'[1]2025年已发货'!$C:$C&amp;'[1]2025年已发货'!$G:$G&amp;'[1]2025年已发货'!$H:$H,'[1]2025年已发货'!$E:$E,"未发货")</f>
        <v>15</v>
      </c>
      <c r="I2979" s="41" t="str">
        <f>VLOOKUP(B2979,辅助信息!E:I,3,FALSE)</f>
        <v>(宜宾兴港三江新区长江工业园保障性租赁住房建设项目-土建)四川省宜宾市翠屏区永善路南段宜宾市三江新区长江工业园区</v>
      </c>
      <c r="J2979" s="41" t="str">
        <f>VLOOKUP(B2979,辅助信息!E:I,4,FALSE)</f>
        <v>赵元虎</v>
      </c>
      <c r="K2979" s="41">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30" t="str">
        <f>VLOOKUP(B2979,辅助信息!E:M,9,FALSE)</f>
        <v>ZTWM-CDYXGS-XS-2025-0014-宜宾兴港建材-三江新区长江工业园片区保障性租赁住房建设项目</v>
      </c>
      <c r="R2979" s="30" t="str">
        <f>_xlfn._xlws.FILTER(辅助信息!D:D,辅助信息!E:E=B2979)</f>
        <v>宜宾兴港三江新区长江工业园建设项目</v>
      </c>
    </row>
    <row r="2980" hidden="1" spans="2:18">
      <c r="B2980" s="41" t="s">
        <v>194</v>
      </c>
      <c r="C2980" s="71">
        <v>45894</v>
      </c>
      <c r="D2980" s="41" t="str">
        <f>VLOOKUP(B2980,辅助信息!E:K,7,FALSE)</f>
        <v>JWDD2025071500089</v>
      </c>
      <c r="E2980" s="41" t="str">
        <f>VLOOKUP(F2980,辅助信息!A:B,2,FALSE)</f>
        <v>螺纹钢</v>
      </c>
      <c r="F2980" s="41" t="s">
        <v>18</v>
      </c>
      <c r="G2980" s="37">
        <v>15</v>
      </c>
      <c r="H2980" s="142">
        <f>_xlfn.XLOOKUP(C2980&amp;F2980&amp;I2980&amp;J2980,'[1]2025年已发货'!$F:$F&amp;'[1]2025年已发货'!$C:$C&amp;'[1]2025年已发货'!$G:$G&amp;'[1]2025年已发货'!$H:$H,'[1]2025年已发货'!$E:$E,"未发货")</f>
        <v>15</v>
      </c>
      <c r="I2980" s="41" t="str">
        <f>VLOOKUP(B2980,辅助信息!E:I,3,FALSE)</f>
        <v>(宜宾兴港三江新区长江工业园保障性租赁住房建设项目-土建)四川省宜宾市翠屏区永善路南段宜宾市三江新区长江工业园区</v>
      </c>
      <c r="J2980" s="41" t="str">
        <f>VLOOKUP(B2980,辅助信息!E:I,4,FALSE)</f>
        <v>赵元虎</v>
      </c>
      <c r="K2980" s="41">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30" t="str">
        <f>VLOOKUP(B2980,辅助信息!E:M,9,FALSE)</f>
        <v>ZTWM-CDYXGS-XS-2025-0014-宜宾兴港建材-三江新区长江工业园片区保障性租赁住房建设项目</v>
      </c>
      <c r="R2980" s="30" t="str">
        <f>_xlfn._xlws.FILTER(辅助信息!D:D,辅助信息!E:E=B2980)</f>
        <v>宜宾兴港三江新区长江工业园建设项目</v>
      </c>
    </row>
    <row r="2981" hidden="1" spans="2:18">
      <c r="B2981" s="41" t="s">
        <v>187</v>
      </c>
      <c r="C2981" s="71">
        <v>45894</v>
      </c>
      <c r="D2981" s="41" t="str">
        <f>VLOOKUP(B2981,辅助信息!E:K,7,FALSE)</f>
        <v>JWDDCD2025072900121</v>
      </c>
      <c r="E2981" s="41" t="str">
        <f>VLOOKUP(F2981,辅助信息!A:B,2,FALSE)</f>
        <v>盘螺</v>
      </c>
      <c r="F2981" s="41" t="s">
        <v>49</v>
      </c>
      <c r="G2981" s="37">
        <v>20</v>
      </c>
      <c r="H2981" s="142">
        <f>_xlfn.XLOOKUP(C2981&amp;F2981&amp;I2981&amp;J2981,'[1]2025年已发货'!$F:$F&amp;'[1]2025年已发货'!$C:$C&amp;'[1]2025年已发货'!$G:$G&amp;'[1]2025年已发货'!$H:$H,'[1]2025年已发货'!$E:$E,"未发货")</f>
        <v>20</v>
      </c>
      <c r="I2981" s="41" t="str">
        <f>VLOOKUP(B2981,辅助信息!E:I,3,FALSE)</f>
        <v>(乐山市校地共建产教融合基地建设项目一标段)四川省乐山市市中区苏稽镇周山嘴</v>
      </c>
      <c r="J2981" s="41" t="str">
        <f>VLOOKUP(B2981,辅助信息!E:I,4,FALSE)</f>
        <v>范增云</v>
      </c>
      <c r="K2981" s="41">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30" t="str">
        <f>VLOOKUP(B2981,辅助信息!E:M,9,FALSE)</f>
        <v>ZTWM-CDGS-XS-2025-0125-四川机司-乐山市校地共建产教融合基地配套设施项目施工一标段钢筋采购合同</v>
      </c>
      <c r="R2981" s="30" t="str">
        <f>_xlfn._xlws.FILTER(辅助信息!D:D,辅助信息!E:E=B2981)</f>
        <v>乐山市校地共建产教融合基地建设项目</v>
      </c>
    </row>
    <row r="2982" hidden="1" spans="2:18">
      <c r="B2982" s="41" t="s">
        <v>187</v>
      </c>
      <c r="C2982" s="71">
        <v>45894</v>
      </c>
      <c r="D2982" s="41" t="str">
        <f>VLOOKUP(B2982,辅助信息!E:K,7,FALSE)</f>
        <v>JWDDCD2025072900121</v>
      </c>
      <c r="E2982" s="41" t="str">
        <f>VLOOKUP(F2982,辅助信息!A:B,2,FALSE)</f>
        <v>盘螺</v>
      </c>
      <c r="F2982" s="41" t="s">
        <v>40</v>
      </c>
      <c r="G2982" s="37">
        <v>40</v>
      </c>
      <c r="H2982" s="142">
        <f>_xlfn.XLOOKUP(C2982&amp;F2982&amp;I2982&amp;J2982,'[1]2025年已发货'!$F:$F&amp;'[1]2025年已发货'!$C:$C&amp;'[1]2025年已发货'!$G:$G&amp;'[1]2025年已发货'!$H:$H,'[1]2025年已发货'!$E:$E,"未发货")</f>
        <v>40</v>
      </c>
      <c r="I2982" s="41" t="str">
        <f>VLOOKUP(B2982,辅助信息!E:I,3,FALSE)</f>
        <v>(乐山市校地共建产教融合基地建设项目一标段)四川省乐山市市中区苏稽镇周山嘴</v>
      </c>
      <c r="J2982" s="41" t="str">
        <f>VLOOKUP(B2982,辅助信息!E:I,4,FALSE)</f>
        <v>范增云</v>
      </c>
      <c r="K2982" s="41">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30" t="str">
        <f>VLOOKUP(B2982,辅助信息!E:M,9,FALSE)</f>
        <v>ZTWM-CDGS-XS-2025-0125-四川机司-乐山市校地共建产教融合基地配套设施项目施工一标段钢筋采购合同</v>
      </c>
      <c r="R2982" s="30" t="str">
        <f>_xlfn._xlws.FILTER(辅助信息!D:D,辅助信息!E:E=B2982)</f>
        <v>乐山市校地共建产教融合基地建设项目</v>
      </c>
    </row>
    <row r="2983" hidden="1" spans="2:18">
      <c r="B2983" s="41" t="s">
        <v>187</v>
      </c>
      <c r="C2983" s="71">
        <v>45894</v>
      </c>
      <c r="D2983" s="41" t="str">
        <f>VLOOKUP(B2983,辅助信息!E:K,7,FALSE)</f>
        <v>JWDDCD2025072900121</v>
      </c>
      <c r="E2983" s="41" t="str">
        <f>VLOOKUP(F2983,辅助信息!A:B,2,FALSE)</f>
        <v>盘螺</v>
      </c>
      <c r="F2983" s="41" t="s">
        <v>41</v>
      </c>
      <c r="G2983" s="37">
        <v>30</v>
      </c>
      <c r="H2983" s="142">
        <f>_xlfn.XLOOKUP(C2983&amp;F2983&amp;I2983&amp;J2983,'[1]2025年已发货'!$F:$F&amp;'[1]2025年已发货'!$C:$C&amp;'[1]2025年已发货'!$G:$G&amp;'[1]2025年已发货'!$H:$H,'[1]2025年已发货'!$E:$E,"未发货")</f>
        <v>30</v>
      </c>
      <c r="I2983" s="41" t="str">
        <f>VLOOKUP(B2983,辅助信息!E:I,3,FALSE)</f>
        <v>(乐山市校地共建产教融合基地建设项目一标段)四川省乐山市市中区苏稽镇周山嘴</v>
      </c>
      <c r="J2983" s="41" t="str">
        <f>VLOOKUP(B2983,辅助信息!E:I,4,FALSE)</f>
        <v>范增云</v>
      </c>
      <c r="K2983" s="41">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30" t="str">
        <f>VLOOKUP(B2983,辅助信息!E:M,9,FALSE)</f>
        <v>ZTWM-CDGS-XS-2025-0125-四川机司-乐山市校地共建产教融合基地配套设施项目施工一标段钢筋采购合同</v>
      </c>
      <c r="R2983" s="30" t="str">
        <f>_xlfn._xlws.FILTER(辅助信息!D:D,辅助信息!E:E=B2983)</f>
        <v>乐山市校地共建产教融合基地建设项目</v>
      </c>
    </row>
    <row r="2984" hidden="1" spans="2:18">
      <c r="B2984" s="41" t="s">
        <v>187</v>
      </c>
      <c r="C2984" s="71">
        <v>45894</v>
      </c>
      <c r="D2984" s="41" t="str">
        <f>VLOOKUP(B2984,辅助信息!E:K,7,FALSE)</f>
        <v>JWDDCD2025072900121</v>
      </c>
      <c r="E2984" s="41" t="str">
        <f>VLOOKUP(F2984,辅助信息!A:B,2,FALSE)</f>
        <v>螺纹钢</v>
      </c>
      <c r="F2984" s="41" t="s">
        <v>19</v>
      </c>
      <c r="G2984" s="37">
        <v>10</v>
      </c>
      <c r="H2984" s="142">
        <f>_xlfn.XLOOKUP(C2984&amp;F2984&amp;I2984&amp;J2984,'[1]2025年已发货'!$F:$F&amp;'[1]2025年已发货'!$C:$C&amp;'[1]2025年已发货'!$G:$G&amp;'[1]2025年已发货'!$H:$H,'[1]2025年已发货'!$E:$E,"未发货")</f>
        <v>3</v>
      </c>
      <c r="I2984" s="41" t="str">
        <f>VLOOKUP(B2984,辅助信息!E:I,3,FALSE)</f>
        <v>(乐山市校地共建产教融合基地建设项目一标段)四川省乐山市市中区苏稽镇周山嘴</v>
      </c>
      <c r="J2984" s="41" t="str">
        <f>VLOOKUP(B2984,辅助信息!E:I,4,FALSE)</f>
        <v>范增云</v>
      </c>
      <c r="K2984" s="41">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30" t="str">
        <f>VLOOKUP(B2984,辅助信息!E:M,9,FALSE)</f>
        <v>ZTWM-CDGS-XS-2025-0125-四川机司-乐山市校地共建产教融合基地配套设施项目施工一标段钢筋采购合同</v>
      </c>
      <c r="R2984" s="30" t="str">
        <f>_xlfn._xlws.FILTER(辅助信息!D:D,辅助信息!E:E=B2984)</f>
        <v>乐山市校地共建产教融合基地建设项目</v>
      </c>
    </row>
    <row r="2985" hidden="1" spans="2:18">
      <c r="B2985" s="41" t="s">
        <v>187</v>
      </c>
      <c r="C2985" s="71">
        <v>45894</v>
      </c>
      <c r="D2985" s="41" t="str">
        <f>VLOOKUP(B2985,辅助信息!E:K,7,FALSE)</f>
        <v>JWDDCD2025072900121</v>
      </c>
      <c r="E2985" s="41" t="str">
        <f>VLOOKUP(F2985,辅助信息!A:B,2,FALSE)</f>
        <v>螺纹钢</v>
      </c>
      <c r="F2985" s="41" t="s">
        <v>33</v>
      </c>
      <c r="G2985" s="37">
        <v>7</v>
      </c>
      <c r="H2985" s="142">
        <f>_xlfn.XLOOKUP(C2985&amp;F2985&amp;I2985&amp;J2985,'[1]2025年已发货'!$F:$F&amp;'[1]2025年已发货'!$C:$C&amp;'[1]2025年已发货'!$G:$G&amp;'[1]2025年已发货'!$H:$H,'[1]2025年已发货'!$E:$E,"未发货")</f>
        <v>7</v>
      </c>
      <c r="I2985" s="41" t="str">
        <f>VLOOKUP(B2985,辅助信息!E:I,3,FALSE)</f>
        <v>(乐山市校地共建产教融合基地建设项目一标段)四川省乐山市市中区苏稽镇周山嘴</v>
      </c>
      <c r="J2985" s="41" t="str">
        <f>VLOOKUP(B2985,辅助信息!E:I,4,FALSE)</f>
        <v>范增云</v>
      </c>
      <c r="K2985" s="41">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30" t="str">
        <f>VLOOKUP(B2985,辅助信息!E:M,9,FALSE)</f>
        <v>ZTWM-CDGS-XS-2025-0125-四川机司-乐山市校地共建产教融合基地配套设施项目施工一标段钢筋采购合同</v>
      </c>
      <c r="R2985" s="30" t="str">
        <f>_xlfn._xlws.FILTER(辅助信息!D:D,辅助信息!E:E=B2985)</f>
        <v>乐山市校地共建产教融合基地建设项目</v>
      </c>
    </row>
    <row r="2986" hidden="1" spans="2:18">
      <c r="B2986" s="41" t="s">
        <v>187</v>
      </c>
      <c r="C2986" s="71">
        <v>45894</v>
      </c>
      <c r="D2986" s="41" t="str">
        <f>VLOOKUP(B2986,辅助信息!E:K,7,FALSE)</f>
        <v>JWDDCD2025072900121</v>
      </c>
      <c r="E2986" s="41" t="str">
        <f>VLOOKUP(F2986,辅助信息!A:B,2,FALSE)</f>
        <v>螺纹钢</v>
      </c>
      <c r="F2986" s="41" t="s">
        <v>28</v>
      </c>
      <c r="G2986" s="37">
        <v>3</v>
      </c>
      <c r="H2986" s="142">
        <f>_xlfn.XLOOKUP(C2986&amp;F2986&amp;I2986&amp;J2986,'[1]2025年已发货'!$F:$F&amp;'[1]2025年已发货'!$C:$C&amp;'[1]2025年已发货'!$G:$G&amp;'[1]2025年已发货'!$H:$H,'[1]2025年已发货'!$E:$E,"未发货")</f>
        <v>3</v>
      </c>
      <c r="I2986" s="41" t="str">
        <f>VLOOKUP(B2986,辅助信息!E:I,3,FALSE)</f>
        <v>(乐山市校地共建产教融合基地建设项目一标段)四川省乐山市市中区苏稽镇周山嘴</v>
      </c>
      <c r="J2986" s="41" t="str">
        <f>VLOOKUP(B2986,辅助信息!E:I,4,FALSE)</f>
        <v>范增云</v>
      </c>
      <c r="K2986" s="41">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30" t="str">
        <f>VLOOKUP(B2986,辅助信息!E:M,9,FALSE)</f>
        <v>ZTWM-CDGS-XS-2025-0125-四川机司-乐山市校地共建产教融合基地配套设施项目施工一标段钢筋采购合同</v>
      </c>
      <c r="R2986" s="30" t="str">
        <f>_xlfn._xlws.FILTER(辅助信息!D:D,辅助信息!E:E=B2986)</f>
        <v>乐山市校地共建产教融合基地建设项目</v>
      </c>
    </row>
    <row r="2987" hidden="1" spans="2:18">
      <c r="B2987" s="41" t="s">
        <v>187</v>
      </c>
      <c r="C2987" s="71">
        <v>45894</v>
      </c>
      <c r="D2987" s="41" t="str">
        <f>VLOOKUP(B2987,辅助信息!E:K,7,FALSE)</f>
        <v>JWDDCD2025072900121</v>
      </c>
      <c r="E2987" s="41" t="str">
        <f>VLOOKUP(F2987,辅助信息!A:B,2,FALSE)</f>
        <v>螺纹钢</v>
      </c>
      <c r="F2987" s="41" t="s">
        <v>18</v>
      </c>
      <c r="G2987" s="37">
        <v>17</v>
      </c>
      <c r="H2987" s="142">
        <f>_xlfn.XLOOKUP(C2987&amp;F2987&amp;I2987&amp;J2987,'[1]2025年已发货'!$F:$F&amp;'[1]2025年已发货'!$C:$C&amp;'[1]2025年已发货'!$G:$G&amp;'[1]2025年已发货'!$H:$H,'[1]2025年已发货'!$E:$E,"未发货")</f>
        <v>17</v>
      </c>
      <c r="I2987" s="41" t="str">
        <f>VLOOKUP(B2987,辅助信息!E:I,3,FALSE)</f>
        <v>(乐山市校地共建产教融合基地建设项目一标段)四川省乐山市市中区苏稽镇周山嘴</v>
      </c>
      <c r="J2987" s="41" t="str">
        <f>VLOOKUP(B2987,辅助信息!E:I,4,FALSE)</f>
        <v>范增云</v>
      </c>
      <c r="K2987" s="41">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30" t="str">
        <f>VLOOKUP(B2987,辅助信息!E:M,9,FALSE)</f>
        <v>ZTWM-CDGS-XS-2025-0125-四川机司-乐山市校地共建产教融合基地配套设施项目施工一标段钢筋采购合同</v>
      </c>
      <c r="R2987" s="30" t="str">
        <f>_xlfn._xlws.FILTER(辅助信息!D:D,辅助信息!E:E=B2987)</f>
        <v>乐山市校地共建产教融合基地建设项目</v>
      </c>
    </row>
    <row r="2988" hidden="1" spans="2:18">
      <c r="B2988" s="41" t="s">
        <v>187</v>
      </c>
      <c r="C2988" s="71">
        <v>45894</v>
      </c>
      <c r="D2988" s="41" t="str">
        <f>VLOOKUP(B2988,辅助信息!E:K,7,FALSE)</f>
        <v>JWDDCD2025072900121</v>
      </c>
      <c r="E2988" s="41" t="str">
        <f>VLOOKUP(F2988,辅助信息!A:B,2,FALSE)</f>
        <v>螺纹钢</v>
      </c>
      <c r="F2988" s="41" t="s">
        <v>65</v>
      </c>
      <c r="G2988" s="37">
        <v>26</v>
      </c>
      <c r="H2988" s="142">
        <f>_xlfn.XLOOKUP(C2988&amp;F2988&amp;I2988&amp;J2988,'[1]2025年已发货'!$F:$F&amp;'[1]2025年已发货'!$C:$C&amp;'[1]2025年已发货'!$G:$G&amp;'[1]2025年已发货'!$H:$H,'[1]2025年已发货'!$E:$E,"未发货")</f>
        <v>26</v>
      </c>
      <c r="I2988" s="41" t="str">
        <f>VLOOKUP(B2988,辅助信息!E:I,3,FALSE)</f>
        <v>(乐山市校地共建产教融合基地建设项目一标段)四川省乐山市市中区苏稽镇周山嘴</v>
      </c>
      <c r="J2988" s="41" t="str">
        <f>VLOOKUP(B2988,辅助信息!E:I,4,FALSE)</f>
        <v>范增云</v>
      </c>
      <c r="K2988" s="41">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30" t="str">
        <f>VLOOKUP(B2988,辅助信息!E:M,9,FALSE)</f>
        <v>ZTWM-CDGS-XS-2025-0125-四川机司-乐山市校地共建产教融合基地配套设施项目施工一标段钢筋采购合同</v>
      </c>
      <c r="R2988" s="30" t="str">
        <f>_xlfn._xlws.FILTER(辅助信息!D:D,辅助信息!E:E=B2988)</f>
        <v>乐山市校地共建产教融合基地建设项目</v>
      </c>
    </row>
    <row r="2989" hidden="1" spans="2:18">
      <c r="B2989" s="41" t="s">
        <v>187</v>
      </c>
      <c r="C2989" s="71">
        <v>45894</v>
      </c>
      <c r="D2989" s="41" t="str">
        <f>VLOOKUP(B2989,辅助信息!E:K,7,FALSE)</f>
        <v>JWDDCD2025072900121</v>
      </c>
      <c r="E2989" s="41" t="str">
        <f>VLOOKUP(F2989,辅助信息!A:B,2,FALSE)</f>
        <v>螺纹钢</v>
      </c>
      <c r="F2989" s="41" t="s">
        <v>52</v>
      </c>
      <c r="G2989" s="37">
        <v>3</v>
      </c>
      <c r="H2989" s="142">
        <f>_xlfn.XLOOKUP(C2989&amp;F2989&amp;I2989&amp;J2989,'[1]2025年已发货'!$F:$F&amp;'[1]2025年已发货'!$C:$C&amp;'[1]2025年已发货'!$G:$G&amp;'[1]2025年已发货'!$H:$H,'[1]2025年已发货'!$E:$E,"未发货")</f>
        <v>3</v>
      </c>
      <c r="I2989" s="41" t="str">
        <f>VLOOKUP(B2989,辅助信息!E:I,3,FALSE)</f>
        <v>(乐山市校地共建产教融合基地建设项目一标段)四川省乐山市市中区苏稽镇周山嘴</v>
      </c>
      <c r="J2989" s="41" t="str">
        <f>VLOOKUP(B2989,辅助信息!E:I,4,FALSE)</f>
        <v>范增云</v>
      </c>
      <c r="K2989" s="41">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30" t="str">
        <f>VLOOKUP(B2989,辅助信息!E:M,9,FALSE)</f>
        <v>ZTWM-CDGS-XS-2025-0125-四川机司-乐山市校地共建产教融合基地配套设施项目施工一标段钢筋采购合同</v>
      </c>
      <c r="R2989" s="30" t="str">
        <f>_xlfn._xlws.FILTER(辅助信息!D:D,辅助信息!E:E=B2989)</f>
        <v>乐山市校地共建产教融合基地建设项目</v>
      </c>
    </row>
    <row r="2990" hidden="1" spans="2:18">
      <c r="B2990" s="41" t="s">
        <v>187</v>
      </c>
      <c r="C2990" s="71">
        <v>45894</v>
      </c>
      <c r="D2990" s="41" t="str">
        <f>VLOOKUP(B2990,辅助信息!E:K,7,FALSE)</f>
        <v>JWDDCD2025072900121</v>
      </c>
      <c r="E2990" s="41" t="str">
        <f>VLOOKUP(F2990,辅助信息!A:B,2,FALSE)</f>
        <v>螺纹钢</v>
      </c>
      <c r="F2990" s="41" t="s">
        <v>82</v>
      </c>
      <c r="G2990" s="37">
        <v>6</v>
      </c>
      <c r="H2990" s="142">
        <f>_xlfn.XLOOKUP(C2990&amp;F2990&amp;I2990&amp;J2990,'[1]2025年已发货'!$F:$F&amp;'[1]2025年已发货'!$C:$C&amp;'[1]2025年已发货'!$G:$G&amp;'[1]2025年已发货'!$H:$H,'[1]2025年已发货'!$E:$E,"未发货")</f>
        <v>6</v>
      </c>
      <c r="I2990" s="41" t="str">
        <f>VLOOKUP(B2990,辅助信息!E:I,3,FALSE)</f>
        <v>(乐山市校地共建产教融合基地建设项目一标段)四川省乐山市市中区苏稽镇周山嘴</v>
      </c>
      <c r="J2990" s="41" t="str">
        <f>VLOOKUP(B2990,辅助信息!E:I,4,FALSE)</f>
        <v>范增云</v>
      </c>
      <c r="K2990" s="41">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30" t="str">
        <f>VLOOKUP(B2990,辅助信息!E:M,9,FALSE)</f>
        <v>ZTWM-CDGS-XS-2025-0125-四川机司-乐山市校地共建产教融合基地配套设施项目施工一标段钢筋采购合同</v>
      </c>
      <c r="R2990" s="30" t="str">
        <f>_xlfn._xlws.FILTER(辅助信息!D:D,辅助信息!E:E=B2990)</f>
        <v>乐山市校地共建产教融合基地建设项目</v>
      </c>
    </row>
    <row r="2991" hidden="1" spans="2:18">
      <c r="B2991" s="41" t="s">
        <v>187</v>
      </c>
      <c r="C2991" s="71">
        <v>45894</v>
      </c>
      <c r="D2991" s="41" t="str">
        <f>VLOOKUP(B2991,辅助信息!E:K,7,FALSE)</f>
        <v>JWDDCD2025072900121</v>
      </c>
      <c r="E2991" s="41" t="str">
        <f>VLOOKUP(F2991,辅助信息!A:B,2,FALSE)</f>
        <v>螺纹钢</v>
      </c>
      <c r="F2991" s="41" t="s">
        <v>45</v>
      </c>
      <c r="G2991" s="37">
        <v>6</v>
      </c>
      <c r="H2991" s="142">
        <f>_xlfn.XLOOKUP(C2991&amp;F2991&amp;I2991&amp;J2991,'[1]2025年已发货'!$F:$F&amp;'[1]2025年已发货'!$C:$C&amp;'[1]2025年已发货'!$G:$G&amp;'[1]2025年已发货'!$H:$H,'[1]2025年已发货'!$E:$E,"未发货")</f>
        <v>6</v>
      </c>
      <c r="I2991" s="41" t="str">
        <f>VLOOKUP(B2991,辅助信息!E:I,3,FALSE)</f>
        <v>(乐山市校地共建产教融合基地建设项目一标段)四川省乐山市市中区苏稽镇周山嘴</v>
      </c>
      <c r="J2991" s="41" t="str">
        <f>VLOOKUP(B2991,辅助信息!E:I,4,FALSE)</f>
        <v>范增云</v>
      </c>
      <c r="K2991" s="41">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30" t="str">
        <f>VLOOKUP(B2991,辅助信息!E:M,9,FALSE)</f>
        <v>ZTWM-CDGS-XS-2025-0125-四川机司-乐山市校地共建产教融合基地配套设施项目施工一标段钢筋采购合同</v>
      </c>
      <c r="R2991" s="30" t="str">
        <f>_xlfn._xlws.FILTER(辅助信息!D:D,辅助信息!E:E=B2991)</f>
        <v>乐山市校地共建产教融合基地建设项目</v>
      </c>
    </row>
    <row r="2992" hidden="1" spans="2:18">
      <c r="B2992" s="41" t="s">
        <v>187</v>
      </c>
      <c r="C2992" s="71">
        <v>45894</v>
      </c>
      <c r="D2992" s="41" t="str">
        <f>VLOOKUP(B2992,辅助信息!E:K,7,FALSE)</f>
        <v>JWDDCD2025072900121</v>
      </c>
      <c r="E2992" s="41" t="str">
        <f>VLOOKUP(F2992,辅助信息!A:B,2,FALSE)</f>
        <v>螺纹钢</v>
      </c>
      <c r="F2992" s="41" t="s">
        <v>21</v>
      </c>
      <c r="G2992" s="37">
        <v>3</v>
      </c>
      <c r="H2992" s="142">
        <f>_xlfn.XLOOKUP(C2992&amp;F2992&amp;I2992&amp;J2992,'[1]2025年已发货'!$F:$F&amp;'[1]2025年已发货'!$C:$C&amp;'[1]2025年已发货'!$G:$G&amp;'[1]2025年已发货'!$H:$H,'[1]2025年已发货'!$E:$E,"未发货")</f>
        <v>3</v>
      </c>
      <c r="I2992" s="41" t="str">
        <f>VLOOKUP(B2992,辅助信息!E:I,3,FALSE)</f>
        <v>(乐山市校地共建产教融合基地建设项目一标段)四川省乐山市市中区苏稽镇周山嘴</v>
      </c>
      <c r="J2992" s="41" t="str">
        <f>VLOOKUP(B2992,辅助信息!E:I,4,FALSE)</f>
        <v>范增云</v>
      </c>
      <c r="K2992" s="41">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30" t="str">
        <f>VLOOKUP(B2992,辅助信息!E:M,9,FALSE)</f>
        <v>ZTWM-CDGS-XS-2025-0125-四川机司-乐山市校地共建产教融合基地配套设施项目施工一标段钢筋采购合同</v>
      </c>
      <c r="R2992" s="30" t="str">
        <f>_xlfn._xlws.FILTER(辅助信息!D:D,辅助信息!E:E=B2992)</f>
        <v>乐山市校地共建产教融合基地建设项目</v>
      </c>
    </row>
    <row r="2993" hidden="1" spans="2:18">
      <c r="B2993" s="41" t="s">
        <v>187</v>
      </c>
      <c r="C2993" s="71">
        <v>45894</v>
      </c>
      <c r="D2993" s="41" t="str">
        <f>VLOOKUP(B2993,辅助信息!E:K,7,FALSE)</f>
        <v>JWDDCD2025072900121</v>
      </c>
      <c r="E2993" s="41" t="str">
        <f>VLOOKUP(F2993,辅助信息!A:B,2,FALSE)</f>
        <v>螺纹钢</v>
      </c>
      <c r="F2993" s="41" t="s">
        <v>46</v>
      </c>
      <c r="G2993" s="37">
        <v>15</v>
      </c>
      <c r="H2993" s="142">
        <f>_xlfn.XLOOKUP(C2993&amp;F2993&amp;I2993&amp;J2993,'[1]2025年已发货'!$F:$F&amp;'[1]2025年已发货'!$C:$C&amp;'[1]2025年已发货'!$G:$G&amp;'[1]2025年已发货'!$H:$H,'[1]2025年已发货'!$E:$E,"未发货")</f>
        <v>15</v>
      </c>
      <c r="I2993" s="41" t="str">
        <f>VLOOKUP(B2993,辅助信息!E:I,3,FALSE)</f>
        <v>(乐山市校地共建产教融合基地建设项目一标段)四川省乐山市市中区苏稽镇周山嘴</v>
      </c>
      <c r="J2993" s="41" t="str">
        <f>VLOOKUP(B2993,辅助信息!E:I,4,FALSE)</f>
        <v>范增云</v>
      </c>
      <c r="K2993" s="41">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30" t="str">
        <f>VLOOKUP(B2993,辅助信息!E:M,9,FALSE)</f>
        <v>ZTWM-CDGS-XS-2025-0125-四川机司-乐山市校地共建产教融合基地配套设施项目施工一标段钢筋采购合同</v>
      </c>
      <c r="R2993" s="30" t="str">
        <f>_xlfn._xlws.FILTER(辅助信息!D:D,辅助信息!E:E=B2993)</f>
        <v>乐山市校地共建产教融合基地建设项目</v>
      </c>
    </row>
    <row r="2994" hidden="1" spans="2:18">
      <c r="B2994" s="41" t="s">
        <v>187</v>
      </c>
      <c r="C2994" s="71">
        <v>45894</v>
      </c>
      <c r="D2994" s="41" t="str">
        <f>VLOOKUP(B2994,辅助信息!E:K,7,FALSE)</f>
        <v>JWDDCD2025072900121</v>
      </c>
      <c r="E2994" s="41" t="str">
        <f>VLOOKUP(F2994,辅助信息!A:B,2,FALSE)</f>
        <v>螺纹钢</v>
      </c>
      <c r="F2994" s="41" t="s">
        <v>22</v>
      </c>
      <c r="G2994" s="37">
        <v>20</v>
      </c>
      <c r="H2994" s="142">
        <f>_xlfn.XLOOKUP(C2994&amp;F2994&amp;I2994&amp;J2994,'[1]2025年已发货'!$F:$F&amp;'[1]2025年已发货'!$C:$C&amp;'[1]2025年已发货'!$G:$G&amp;'[1]2025年已发货'!$H:$H,'[1]2025年已发货'!$E:$E,"未发货")</f>
        <v>20</v>
      </c>
      <c r="I2994" s="41" t="str">
        <f>VLOOKUP(B2994,辅助信息!E:I,3,FALSE)</f>
        <v>(乐山市校地共建产教融合基地建设项目一标段)四川省乐山市市中区苏稽镇周山嘴</v>
      </c>
      <c r="J2994" s="41" t="str">
        <f>VLOOKUP(B2994,辅助信息!E:I,4,FALSE)</f>
        <v>范增云</v>
      </c>
      <c r="K2994" s="41">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30" t="str">
        <f>VLOOKUP(B2994,辅助信息!E:M,9,FALSE)</f>
        <v>ZTWM-CDGS-XS-2025-0125-四川机司-乐山市校地共建产教融合基地配套设施项目施工一标段钢筋采购合同</v>
      </c>
      <c r="R2994" s="30" t="str">
        <f>_xlfn._xlws.FILTER(辅助信息!D:D,辅助信息!E:E=B2994)</f>
        <v>乐山市校地共建产教融合基地建设项目</v>
      </c>
    </row>
    <row r="2995" hidden="1" spans="2:18">
      <c r="B2995" s="41" t="s">
        <v>169</v>
      </c>
      <c r="C2995" s="71">
        <v>45894</v>
      </c>
      <c r="D2995" s="41" t="str">
        <f>VLOOKUP(B2995,辅助信息!E:K,7,FALSE)</f>
        <v>JWDDCD2025051800044</v>
      </c>
      <c r="E2995" s="41" t="str">
        <f>VLOOKUP(F2995,辅助信息!A:B,2,FALSE)</f>
        <v>螺纹钢</v>
      </c>
      <c r="F2995" s="41" t="s">
        <v>28</v>
      </c>
      <c r="G2995" s="37">
        <v>35</v>
      </c>
      <c r="H2995" s="142" t="str">
        <f>_xlfn.XLOOKUP(C2995&amp;F2995&amp;I2995&amp;J2995,'[1]2025年已发货'!$F:$F&amp;'[1]2025年已发货'!$C:$C&amp;'[1]2025年已发货'!$G:$G&amp;'[1]2025年已发货'!$H:$H,'[1]2025年已发货'!$E:$E,"未发货")</f>
        <v>未发货</v>
      </c>
      <c r="I2995" s="41" t="str">
        <f>VLOOKUP(B2995,辅助信息!E:I,3,FALSE)</f>
        <v>(五冶建设龙泉芙蓉花语项目-1,3地块)龙泉驿区北川路双堰塘钓鱼东100米(北川路)</v>
      </c>
      <c r="J2995" s="41" t="str">
        <f>VLOOKUP(B2995,辅助信息!E:I,4,FALSE)</f>
        <v>祝斯阳</v>
      </c>
      <c r="K2995" s="41">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30" t="str">
        <f>VLOOKUP(B2995,辅助信息!E:M,9,FALSE)</f>
        <v>ZTWM-CDGS-XS-2025-0073-五冶天府-成都怡心湖片区及龙泉驿医院等项目</v>
      </c>
      <c r="R2995" s="30" t="str">
        <f>_xlfn._xlws.FILTER(辅助信息!D:D,辅助信息!E:E=B2995)</f>
        <v>五冶建设龙泉芙蓉花语项目</v>
      </c>
    </row>
    <row r="2996" hidden="1" spans="2:18">
      <c r="B2996" s="41" t="s">
        <v>147</v>
      </c>
      <c r="C2996" s="71">
        <v>45895</v>
      </c>
      <c r="D2996" s="41" t="str">
        <f>VLOOKUP(B2996,辅助信息!E:K,7,FALSE)</f>
        <v>JWDDCD2025052800131</v>
      </c>
      <c r="E2996" s="41" t="str">
        <f>VLOOKUP(F2996,辅助信息!A:B,2,FALSE)</f>
        <v>盘螺</v>
      </c>
      <c r="F2996" s="41" t="s">
        <v>40</v>
      </c>
      <c r="G2996" s="37">
        <v>45</v>
      </c>
      <c r="H2996" s="121">
        <f>_xlfn.XLOOKUP(C2996&amp;F2996&amp;I2996&amp;J2996,'[1]2025年已发货'!$F:$F&amp;'[1]2025年已发货'!$C:$C&amp;'[1]2025年已发货'!$G:$G&amp;'[1]2025年已发货'!$H:$H,'[1]2025年已发货'!$E:$E,"未发货")</f>
        <v>45</v>
      </c>
      <c r="I2996" s="41" t="str">
        <f>VLOOKUP(B2996,辅助信息!E:I,3,FALSE)</f>
        <v>（商投建工达州中医药科技园-4工区-11号楼）达州市通川区达州中医药职业学院犀牛大道北段</v>
      </c>
      <c r="J2996" s="41" t="str">
        <f>VLOOKUP(B2996,辅助信息!E:I,4,FALSE)</f>
        <v>张扬</v>
      </c>
      <c r="K2996" s="41">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30" t="str">
        <f>VLOOKUP(B2996,辅助信息!E:M,9,FALSE)</f>
        <v>ZTWM-CDGS-XS-2024-0134-商投建工达州中医药科技成果示范园项目</v>
      </c>
      <c r="R2996" s="30" t="str">
        <f>_xlfn._xlws.FILTER(辅助信息!D:D,辅助信息!E:E=B2996)</f>
        <v>商投建工达州中医药科技园</v>
      </c>
    </row>
    <row r="2997" hidden="1" spans="2:18">
      <c r="B2997" s="41" t="s">
        <v>147</v>
      </c>
      <c r="C2997" s="71">
        <v>45895</v>
      </c>
      <c r="D2997" s="41" t="str">
        <f>VLOOKUP(B2997,辅助信息!E:K,7,FALSE)</f>
        <v>JWDDCD2025052800131</v>
      </c>
      <c r="E2997" s="41" t="str">
        <f>VLOOKUP(F2997,辅助信息!A:B,2,FALSE)</f>
        <v>螺纹钢</v>
      </c>
      <c r="F2997" s="41" t="s">
        <v>32</v>
      </c>
      <c r="G2997" s="37">
        <v>3</v>
      </c>
      <c r="H2997" s="121" t="str">
        <f>_xlfn.XLOOKUP(C2997&amp;F2997&amp;I2997&amp;J2997,'[1]2025年已发货'!$F:$F&amp;'[1]2025年已发货'!$C:$C&amp;'[1]2025年已发货'!$G:$G&amp;'[1]2025年已发货'!$H:$H,'[1]2025年已发货'!$E:$E,"未发货")</f>
        <v>未发货</v>
      </c>
      <c r="I2997" s="41" t="str">
        <f>VLOOKUP(B2997,辅助信息!E:I,3,FALSE)</f>
        <v>（商投建工达州中医药科技园-4工区-11号楼）达州市通川区达州中医药职业学院犀牛大道北段</v>
      </c>
      <c r="J2997" s="41" t="str">
        <f>VLOOKUP(B2997,辅助信息!E:I,4,FALSE)</f>
        <v>张扬</v>
      </c>
      <c r="K2997" s="41">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30" t="str">
        <f>VLOOKUP(B2997,辅助信息!E:M,9,FALSE)</f>
        <v>ZTWM-CDGS-XS-2024-0134-商投建工达州中医药科技成果示范园项目</v>
      </c>
      <c r="R2997" s="30" t="str">
        <f>_xlfn._xlws.FILTER(辅助信息!D:D,辅助信息!E:E=B2997)</f>
        <v>商投建工达州中医药科技园</v>
      </c>
    </row>
    <row r="2998" hidden="1" spans="2:18">
      <c r="B2998" s="41" t="s">
        <v>147</v>
      </c>
      <c r="C2998" s="71">
        <v>45895</v>
      </c>
      <c r="D2998" s="41" t="str">
        <f>VLOOKUP(B2998,辅助信息!E:K,7,FALSE)</f>
        <v>JWDDCD2025052800131</v>
      </c>
      <c r="E2998" s="41" t="str">
        <f>VLOOKUP(F2998,辅助信息!A:B,2,FALSE)</f>
        <v>螺纹钢</v>
      </c>
      <c r="F2998" s="41" t="s">
        <v>30</v>
      </c>
      <c r="G2998" s="37">
        <v>6</v>
      </c>
      <c r="H2998" s="121" t="str">
        <f>_xlfn.XLOOKUP(C2998&amp;F2998&amp;I2998&amp;J2998,'[1]2025年已发货'!$F:$F&amp;'[1]2025年已发货'!$C:$C&amp;'[1]2025年已发货'!$G:$G&amp;'[1]2025年已发货'!$H:$H,'[1]2025年已发货'!$E:$E,"未发货")</f>
        <v>未发货</v>
      </c>
      <c r="I2998" s="41" t="str">
        <f>VLOOKUP(B2998,辅助信息!E:I,3,FALSE)</f>
        <v>（商投建工达州中医药科技园-4工区-11号楼）达州市通川区达州中医药职业学院犀牛大道北段</v>
      </c>
      <c r="J2998" s="41" t="str">
        <f>VLOOKUP(B2998,辅助信息!E:I,4,FALSE)</f>
        <v>张扬</v>
      </c>
      <c r="K2998" s="41">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30" t="str">
        <f>VLOOKUP(B2998,辅助信息!E:M,9,FALSE)</f>
        <v>ZTWM-CDGS-XS-2024-0134-商投建工达州中医药科技成果示范园项目</v>
      </c>
      <c r="R2998" s="30" t="str">
        <f>_xlfn._xlws.FILTER(辅助信息!D:D,辅助信息!E:E=B2998)</f>
        <v>商投建工达州中医药科技园</v>
      </c>
    </row>
    <row r="2999" hidden="1" spans="2:18">
      <c r="B2999" s="41" t="s">
        <v>163</v>
      </c>
      <c r="C2999" s="71">
        <v>45895</v>
      </c>
      <c r="D2999" s="41" t="str">
        <f>VLOOKUP(B2999,辅助信息!E:K,7,FALSE)</f>
        <v>JWDDCD2025052800131</v>
      </c>
      <c r="E2999" s="41" t="str">
        <f>VLOOKUP(F2999,辅助信息!A:B,2,FALSE)</f>
        <v>盘螺</v>
      </c>
      <c r="F2999" s="41" t="s">
        <v>40</v>
      </c>
      <c r="G2999" s="37">
        <v>13</v>
      </c>
      <c r="H2999" s="121" t="str">
        <f>_xlfn.XLOOKUP(C2999&amp;F2999&amp;I2999&amp;J2999,'[1]2025年已发货'!$F:$F&amp;'[1]2025年已发货'!$C:$C&amp;'[1]2025年已发货'!$G:$G&amp;'[1]2025年已发货'!$H:$H,'[1]2025年已发货'!$E:$E,"未发货")</f>
        <v>未发货</v>
      </c>
      <c r="I2999" s="41" t="str">
        <f>VLOOKUP(B2999,辅助信息!E:I,3,FALSE)</f>
        <v>（商投建工达州中医药科技园-4工区-9号楼）达州市通川区达州中医药职业学院犀牛大道北段</v>
      </c>
      <c r="J2999" s="41" t="str">
        <f>VLOOKUP(B2999,辅助信息!E:I,4,FALSE)</f>
        <v>张扬</v>
      </c>
      <c r="K2999" s="41">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30" t="str">
        <f>VLOOKUP(B2999,辅助信息!E:M,9,FALSE)</f>
        <v>ZTWM-CDGS-XS-2024-0134-商投建工达州中医药科技成果示范园项目</v>
      </c>
      <c r="R2999" s="30" t="str">
        <f>_xlfn._xlws.FILTER(辅助信息!D:D,辅助信息!E:E=B2999)</f>
        <v>商投建工达州中医药科技园</v>
      </c>
    </row>
    <row r="3000" hidden="1" spans="2:18">
      <c r="B3000" s="41" t="s">
        <v>163</v>
      </c>
      <c r="C3000" s="71">
        <v>45895</v>
      </c>
      <c r="D3000" s="41" t="str">
        <f>VLOOKUP(B3000,辅助信息!E:K,7,FALSE)</f>
        <v>JWDDCD2025052800131</v>
      </c>
      <c r="E3000" s="41" t="str">
        <f>VLOOKUP(F3000,辅助信息!A:B,2,FALSE)</f>
        <v>螺纹钢</v>
      </c>
      <c r="F3000" s="41" t="s">
        <v>30</v>
      </c>
      <c r="G3000" s="37">
        <v>6</v>
      </c>
      <c r="H3000" s="121" t="str">
        <f>_xlfn.XLOOKUP(C3000&amp;F3000&amp;I3000&amp;J3000,'[1]2025年已发货'!$F:$F&amp;'[1]2025年已发货'!$C:$C&amp;'[1]2025年已发货'!$G:$G&amp;'[1]2025年已发货'!$H:$H,'[1]2025年已发货'!$E:$E,"未发货")</f>
        <v>未发货</v>
      </c>
      <c r="I3000" s="41" t="str">
        <f>VLOOKUP(B3000,辅助信息!E:I,3,FALSE)</f>
        <v>（商投建工达州中医药科技园-4工区-9号楼）达州市通川区达州中医药职业学院犀牛大道北段</v>
      </c>
      <c r="J3000" s="41" t="str">
        <f>VLOOKUP(B3000,辅助信息!E:I,4,FALSE)</f>
        <v>张扬</v>
      </c>
      <c r="K3000" s="41">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30" t="str">
        <f>VLOOKUP(B3000,辅助信息!E:M,9,FALSE)</f>
        <v>ZTWM-CDGS-XS-2024-0134-商投建工达州中医药科技成果示范园项目</v>
      </c>
      <c r="R3000" s="30" t="str">
        <f>_xlfn._xlws.FILTER(辅助信息!D:D,辅助信息!E:E=B3000)</f>
        <v>商投建工达州中医药科技园</v>
      </c>
    </row>
    <row r="3001" hidden="1" spans="2:18">
      <c r="B3001" s="41" t="s">
        <v>163</v>
      </c>
      <c r="C3001" s="71">
        <v>45895</v>
      </c>
      <c r="D3001" s="41" t="str">
        <f>VLOOKUP(B3001,辅助信息!E:K,7,FALSE)</f>
        <v>JWDDCD2025052800131</v>
      </c>
      <c r="E3001" s="41" t="str">
        <f>VLOOKUP(F3001,辅助信息!A:B,2,FALSE)</f>
        <v>螺纹钢</v>
      </c>
      <c r="F3001" s="41" t="s">
        <v>21</v>
      </c>
      <c r="G3001" s="37">
        <v>6</v>
      </c>
      <c r="H3001" s="121" t="str">
        <f>_xlfn.XLOOKUP(C3001&amp;F3001&amp;I3001&amp;J3001,'[1]2025年已发货'!$F:$F&amp;'[1]2025年已发货'!$C:$C&amp;'[1]2025年已发货'!$G:$G&amp;'[1]2025年已发货'!$H:$H,'[1]2025年已发货'!$E:$E,"未发货")</f>
        <v>未发货</v>
      </c>
      <c r="I3001" s="41" t="str">
        <f>VLOOKUP(B3001,辅助信息!E:I,3,FALSE)</f>
        <v>（商投建工达州中医药科技园-4工区-9号楼）达州市通川区达州中医药职业学院犀牛大道北段</v>
      </c>
      <c r="J3001" s="41" t="str">
        <f>VLOOKUP(B3001,辅助信息!E:I,4,FALSE)</f>
        <v>张扬</v>
      </c>
      <c r="K3001" s="41">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30" t="str">
        <f>VLOOKUP(B3001,辅助信息!E:M,9,FALSE)</f>
        <v>ZTWM-CDGS-XS-2024-0134-商投建工达州中医药科技成果示范园项目</v>
      </c>
      <c r="R3001" s="30" t="str">
        <f>_xlfn._xlws.FILTER(辅助信息!D:D,辅助信息!E:E=B3001)</f>
        <v>商投建工达州中医药科技园</v>
      </c>
    </row>
    <row r="3002" hidden="1" spans="2:18">
      <c r="B3002" s="41" t="s">
        <v>163</v>
      </c>
      <c r="C3002" s="71">
        <v>45895</v>
      </c>
      <c r="D3002" s="41" t="str">
        <f>VLOOKUP(B3002,辅助信息!E:K,7,FALSE)</f>
        <v>JWDDCD2025052800131</v>
      </c>
      <c r="E3002" s="41" t="str">
        <f>VLOOKUP(F3002,辅助信息!A:B,2,FALSE)</f>
        <v>螺纹钢</v>
      </c>
      <c r="F3002" s="41" t="s">
        <v>58</v>
      </c>
      <c r="G3002" s="37">
        <v>12</v>
      </c>
      <c r="H3002" s="121" t="str">
        <f>_xlfn.XLOOKUP(C3002&amp;F3002&amp;I3002&amp;J3002,'[1]2025年已发货'!$F:$F&amp;'[1]2025年已发货'!$C:$C&amp;'[1]2025年已发货'!$G:$G&amp;'[1]2025年已发货'!$H:$H,'[1]2025年已发货'!$E:$E,"未发货")</f>
        <v>未发货</v>
      </c>
      <c r="I3002" s="41" t="str">
        <f>VLOOKUP(B3002,辅助信息!E:I,3,FALSE)</f>
        <v>（商投建工达州中医药科技园-4工区-9号楼）达州市通川区达州中医药职业学院犀牛大道北段</v>
      </c>
      <c r="J3002" s="41" t="str">
        <f>VLOOKUP(B3002,辅助信息!E:I,4,FALSE)</f>
        <v>张扬</v>
      </c>
      <c r="K3002" s="41">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30" t="str">
        <f>VLOOKUP(B3002,辅助信息!E:M,9,FALSE)</f>
        <v>ZTWM-CDGS-XS-2024-0134-商投建工达州中医药科技成果示范园项目</v>
      </c>
      <c r="R3002" s="30" t="str">
        <f>_xlfn._xlws.FILTER(辅助信息!D:D,辅助信息!E:E=B3002)</f>
        <v>商投建工达州中医药科技园</v>
      </c>
    </row>
    <row r="3003" hidden="1" spans="2:18">
      <c r="B3003" s="41" t="s">
        <v>208</v>
      </c>
      <c r="C3003" s="71">
        <v>45895</v>
      </c>
      <c r="D3003" s="41" t="str">
        <f>VLOOKUP(B3003,辅助信息!E:K,7,FALSE)</f>
        <v>JWDDCD2025102100480</v>
      </c>
      <c r="E3003" s="41" t="str">
        <f>VLOOKUP(F3003,辅助信息!A:B,2,FALSE)</f>
        <v>高线</v>
      </c>
      <c r="F3003" s="41" t="s">
        <v>61</v>
      </c>
      <c r="G3003" s="37">
        <v>21.6</v>
      </c>
      <c r="H3003" s="121" t="str">
        <f>_xlfn.XLOOKUP(C3003&amp;F3003&amp;I3003&amp;J3003,'[1]2025年已发货'!$F:$F&amp;'[1]2025年已发货'!$C:$C&amp;'[1]2025年已发货'!$G:$G&amp;'[1]2025年已发货'!$H:$H,'[1]2025年已发货'!$E:$E,"未发货")</f>
        <v>未发货</v>
      </c>
      <c r="I3003" s="41" t="str">
        <f>VLOOKUP(B3003,辅助信息!E:I,3,FALSE)</f>
        <v>(五冶建设锦江区林家坝片区20号地块商业项目)锦江区泰昌路锦江28亩项目部</v>
      </c>
      <c r="J3003" s="41" t="str">
        <f>VLOOKUP(B3003,辅助信息!E:I,4,FALSE)</f>
        <v>陶杰</v>
      </c>
      <c r="K3003" s="41">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30" t="str">
        <f>VLOOKUP(B3003,辅助信息!E:M,9,FALSE)</f>
        <v>ZTWM-CDGS-XS-2025-0073-五冶天府-成都怡心湖片区及龙泉驿医院等项目</v>
      </c>
      <c r="R3003" s="30" t="str">
        <f>_xlfn._xlws.FILTER(辅助信息!D:D,辅助信息!E:E=B3003)</f>
        <v>五冶建设锦江区林家坝片区20号地块商业项目</v>
      </c>
    </row>
    <row r="3004" hidden="1" spans="2:18">
      <c r="B3004" s="41" t="s">
        <v>208</v>
      </c>
      <c r="C3004" s="71">
        <v>45895</v>
      </c>
      <c r="D3004" s="41" t="str">
        <f>VLOOKUP(B3004,辅助信息!E:K,7,FALSE)</f>
        <v>JWDDCD2025102100480</v>
      </c>
      <c r="E3004" s="41" t="str">
        <f>VLOOKUP(F3004,辅助信息!A:B,2,FALSE)</f>
        <v>螺纹钢</v>
      </c>
      <c r="F3004" s="41" t="s">
        <v>30</v>
      </c>
      <c r="G3004" s="37">
        <v>11</v>
      </c>
      <c r="H3004" s="121" t="str">
        <f>_xlfn.XLOOKUP(C3004&amp;F3004&amp;I3004&amp;J3004,'[1]2025年已发货'!$F:$F&amp;'[1]2025年已发货'!$C:$C&amp;'[1]2025年已发货'!$G:$G&amp;'[1]2025年已发货'!$H:$H,'[1]2025年已发货'!$E:$E,"未发货")</f>
        <v>未发货</v>
      </c>
      <c r="I3004" s="41" t="str">
        <f>VLOOKUP(B3004,辅助信息!E:I,3,FALSE)</f>
        <v>(五冶建设锦江区林家坝片区20号地块商业项目)锦江区泰昌路锦江28亩项目部</v>
      </c>
      <c r="J3004" s="41" t="str">
        <f>VLOOKUP(B3004,辅助信息!E:I,4,FALSE)</f>
        <v>陶杰</v>
      </c>
      <c r="K3004" s="41">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30" t="str">
        <f>VLOOKUP(B3004,辅助信息!E:M,9,FALSE)</f>
        <v>ZTWM-CDGS-XS-2025-0073-五冶天府-成都怡心湖片区及龙泉驿医院等项目</v>
      </c>
      <c r="R3004" s="30" t="str">
        <f>_xlfn._xlws.FILTER(辅助信息!D:D,辅助信息!E:E=B3004)</f>
        <v>五冶建设锦江区林家坝片区20号地块商业项目</v>
      </c>
    </row>
    <row r="3005" hidden="1" spans="2:18">
      <c r="B3005" s="41" t="s">
        <v>208</v>
      </c>
      <c r="C3005" s="71">
        <v>45895</v>
      </c>
      <c r="D3005" s="41" t="str">
        <f>VLOOKUP(B3005,辅助信息!E:K,7,FALSE)</f>
        <v>JWDDCD2025102100480</v>
      </c>
      <c r="E3005" s="41" t="str">
        <f>VLOOKUP(F3005,辅助信息!A:B,2,FALSE)</f>
        <v>螺纹钢</v>
      </c>
      <c r="F3005" s="41" t="s">
        <v>28</v>
      </c>
      <c r="G3005" s="37">
        <v>2.7</v>
      </c>
      <c r="H3005" s="121" t="str">
        <f>_xlfn.XLOOKUP(C3005&amp;F3005&amp;I3005&amp;J3005,'[1]2025年已发货'!$F:$F&amp;'[1]2025年已发货'!$C:$C&amp;'[1]2025年已发货'!$G:$G&amp;'[1]2025年已发货'!$H:$H,'[1]2025年已发货'!$E:$E,"未发货")</f>
        <v>未发货</v>
      </c>
      <c r="I3005" s="41" t="str">
        <f>VLOOKUP(B3005,辅助信息!E:I,3,FALSE)</f>
        <v>(五冶建设锦江区林家坝片区20号地块商业项目)锦江区泰昌路锦江28亩项目部</v>
      </c>
      <c r="J3005" s="41" t="str">
        <f>VLOOKUP(B3005,辅助信息!E:I,4,FALSE)</f>
        <v>陶杰</v>
      </c>
      <c r="K3005" s="41">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30" t="str">
        <f>VLOOKUP(B3005,辅助信息!E:M,9,FALSE)</f>
        <v>ZTWM-CDGS-XS-2025-0073-五冶天府-成都怡心湖片区及龙泉驿医院等项目</v>
      </c>
      <c r="R3005" s="30" t="str">
        <f>_xlfn._xlws.FILTER(辅助信息!D:D,辅助信息!E:E=B3005)</f>
        <v>五冶建设锦江区林家坝片区20号地块商业项目</v>
      </c>
    </row>
    <row r="3006" hidden="1" spans="2:18">
      <c r="B3006" s="41" t="s">
        <v>192</v>
      </c>
      <c r="C3006" s="71">
        <v>45895</v>
      </c>
      <c r="D3006" s="41" t="str">
        <f>VLOOKUP(B3006,辅助信息!E:K,7,FALSE)</f>
        <v>JWDDCD2025102100475</v>
      </c>
      <c r="E3006" s="41" t="str">
        <f>VLOOKUP(F3006,辅助信息!A:B,2,FALSE)</f>
        <v>盘螺</v>
      </c>
      <c r="F3006" s="41" t="s">
        <v>40</v>
      </c>
      <c r="G3006" s="37">
        <v>9</v>
      </c>
      <c r="H3006" s="121">
        <f>_xlfn.XLOOKUP(C3006&amp;F3006&amp;I3006&amp;J3006,'[1]2025年已发货'!$F:$F&amp;'[1]2025年已发货'!$C:$C&amp;'[1]2025年已发货'!$G:$G&amp;'[1]2025年已发货'!$H:$H,'[1]2025年已发货'!$E:$E,"未发货")</f>
        <v>9</v>
      </c>
      <c r="I3006" s="41" t="str">
        <f>VLOOKUP(B3006,辅助信息!E:I,3,FALSE)</f>
        <v>(五冶建设成都国际铁路港多式联项目)四川省成都市青白江区桂平大道成都中远海运陆港多式联运有限公司</v>
      </c>
      <c r="J3006" s="41" t="str">
        <f>VLOOKUP(B3006,辅助信息!E:I,4,FALSE)</f>
        <v>黄勇杰</v>
      </c>
      <c r="K3006" s="41">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30" t="str">
        <f>VLOOKUP(B3006,辅助信息!E:M,9,FALSE)</f>
        <v>ZTWM-CDGS-XS-2025-0073-五冶天府-成都怡心湖片区及龙泉驿医院等项目</v>
      </c>
      <c r="R3006" s="30" t="str">
        <f>_xlfn._xlws.FILTER(辅助信息!D:D,辅助信息!E:E=B3006)</f>
        <v>五冶建设成都国际铁路港多式联项目</v>
      </c>
    </row>
    <row r="3007" hidden="1" spans="2:18">
      <c r="B3007" s="41" t="s">
        <v>192</v>
      </c>
      <c r="C3007" s="71">
        <v>45895</v>
      </c>
      <c r="D3007" s="41" t="str">
        <f>VLOOKUP(B3007,辅助信息!E:K,7,FALSE)</f>
        <v>JWDDCD2025102100475</v>
      </c>
      <c r="E3007" s="41" t="str">
        <f>VLOOKUP(F3007,辅助信息!A:B,2,FALSE)</f>
        <v>盘螺</v>
      </c>
      <c r="F3007" s="41" t="s">
        <v>26</v>
      </c>
      <c r="G3007" s="37">
        <v>9</v>
      </c>
      <c r="H3007" s="121">
        <f>_xlfn.XLOOKUP(C3007&amp;F3007&amp;I3007&amp;J3007,'[1]2025年已发货'!$F:$F&amp;'[1]2025年已发货'!$C:$C&amp;'[1]2025年已发货'!$G:$G&amp;'[1]2025年已发货'!$H:$H,'[1]2025年已发货'!$E:$E,"未发货")</f>
        <v>9</v>
      </c>
      <c r="I3007" s="41" t="str">
        <f>VLOOKUP(B3007,辅助信息!E:I,3,FALSE)</f>
        <v>(五冶建设成都国际铁路港多式联项目)四川省成都市青白江区桂平大道成都中远海运陆港多式联运有限公司</v>
      </c>
      <c r="J3007" s="41" t="str">
        <f>VLOOKUP(B3007,辅助信息!E:I,4,FALSE)</f>
        <v>黄勇杰</v>
      </c>
      <c r="K3007" s="41">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30" t="str">
        <f>VLOOKUP(B3007,辅助信息!E:M,9,FALSE)</f>
        <v>ZTWM-CDGS-XS-2025-0073-五冶天府-成都怡心湖片区及龙泉驿医院等项目</v>
      </c>
      <c r="R3007" s="30" t="str">
        <f>_xlfn._xlws.FILTER(辅助信息!D:D,辅助信息!E:E=B3007)</f>
        <v>五冶建设成都国际铁路港多式联项目</v>
      </c>
    </row>
    <row r="3008" hidden="1" spans="2:18">
      <c r="B3008" s="41" t="s">
        <v>192</v>
      </c>
      <c r="C3008" s="71">
        <v>45895</v>
      </c>
      <c r="D3008" s="41" t="str">
        <f>VLOOKUP(B3008,辅助信息!E:K,7,FALSE)</f>
        <v>JWDDCD2025102100475</v>
      </c>
      <c r="E3008" s="41" t="str">
        <f>VLOOKUP(F3008,辅助信息!A:B,2,FALSE)</f>
        <v>螺纹钢</v>
      </c>
      <c r="F3008" s="41" t="s">
        <v>32</v>
      </c>
      <c r="G3008" s="37">
        <v>3</v>
      </c>
      <c r="H3008" s="121">
        <f>_xlfn.XLOOKUP(C3008&amp;F3008&amp;I3008&amp;J3008,'[1]2025年已发货'!$F:$F&amp;'[1]2025年已发货'!$C:$C&amp;'[1]2025年已发货'!$G:$G&amp;'[1]2025年已发货'!$H:$H,'[1]2025年已发货'!$E:$E,"未发货")</f>
        <v>2</v>
      </c>
      <c r="I3008" s="41" t="str">
        <f>VLOOKUP(B3008,辅助信息!E:I,3,FALSE)</f>
        <v>(五冶建设成都国际铁路港多式联项目)四川省成都市青白江区桂平大道成都中远海运陆港多式联运有限公司</v>
      </c>
      <c r="J3008" s="41" t="str">
        <f>VLOOKUP(B3008,辅助信息!E:I,4,FALSE)</f>
        <v>黄勇杰</v>
      </c>
      <c r="K3008" s="41">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30" t="str">
        <f>VLOOKUP(B3008,辅助信息!E:M,9,FALSE)</f>
        <v>ZTWM-CDGS-XS-2025-0073-五冶天府-成都怡心湖片区及龙泉驿医院等项目</v>
      </c>
      <c r="R3008" s="30" t="str">
        <f>_xlfn._xlws.FILTER(辅助信息!D:D,辅助信息!E:E=B3008)</f>
        <v>五冶建设成都国际铁路港多式联项目</v>
      </c>
    </row>
    <row r="3009" hidden="1" spans="2:18">
      <c r="B3009" s="41" t="s">
        <v>192</v>
      </c>
      <c r="C3009" s="71">
        <v>45895</v>
      </c>
      <c r="D3009" s="41" t="str">
        <f>VLOOKUP(B3009,辅助信息!E:K,7,FALSE)</f>
        <v>JWDDCD2025102100475</v>
      </c>
      <c r="E3009" s="41" t="str">
        <f>VLOOKUP(F3009,辅助信息!A:B,2,FALSE)</f>
        <v>螺纹钢</v>
      </c>
      <c r="F3009" s="41" t="s">
        <v>30</v>
      </c>
      <c r="G3009" s="37">
        <v>5</v>
      </c>
      <c r="H3009" s="121">
        <f>_xlfn.XLOOKUP(C3009&amp;F3009&amp;I3009&amp;J3009,'[1]2025年已发货'!$F:$F&amp;'[1]2025年已发货'!$C:$C&amp;'[1]2025年已发货'!$G:$G&amp;'[1]2025年已发货'!$H:$H,'[1]2025年已发货'!$E:$E,"未发货")</f>
        <v>5</v>
      </c>
      <c r="I3009" s="41" t="str">
        <f>VLOOKUP(B3009,辅助信息!E:I,3,FALSE)</f>
        <v>(五冶建设成都国际铁路港多式联项目)四川省成都市青白江区桂平大道成都中远海运陆港多式联运有限公司</v>
      </c>
      <c r="J3009" s="41" t="str">
        <f>VLOOKUP(B3009,辅助信息!E:I,4,FALSE)</f>
        <v>黄勇杰</v>
      </c>
      <c r="K3009" s="41">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30" t="str">
        <f>VLOOKUP(B3009,辅助信息!E:M,9,FALSE)</f>
        <v>ZTWM-CDGS-XS-2025-0073-五冶天府-成都怡心湖片区及龙泉驿医院等项目</v>
      </c>
      <c r="R3009" s="30" t="str">
        <f>_xlfn._xlws.FILTER(辅助信息!D:D,辅助信息!E:E=B3009)</f>
        <v>五冶建设成都国际铁路港多式联项目</v>
      </c>
    </row>
    <row r="3010" hidden="1" spans="2:18">
      <c r="B3010" s="41" t="s">
        <v>192</v>
      </c>
      <c r="C3010" s="71">
        <v>45895</v>
      </c>
      <c r="D3010" s="41" t="str">
        <f>VLOOKUP(B3010,辅助信息!E:K,7,FALSE)</f>
        <v>JWDDCD2025102100475</v>
      </c>
      <c r="E3010" s="41" t="str">
        <f>VLOOKUP(F3010,辅助信息!A:B,2,FALSE)</f>
        <v>螺纹钢</v>
      </c>
      <c r="F3010" s="41" t="s">
        <v>33</v>
      </c>
      <c r="G3010" s="37">
        <v>9</v>
      </c>
      <c r="H3010" s="121">
        <f>_xlfn.XLOOKUP(C3010&amp;F3010&amp;I3010&amp;J3010,'[1]2025年已发货'!$F:$F&amp;'[1]2025年已发货'!$C:$C&amp;'[1]2025年已发货'!$G:$G&amp;'[1]2025年已发货'!$H:$H,'[1]2025年已发货'!$E:$E,"未发货")</f>
        <v>9</v>
      </c>
      <c r="I3010" s="41" t="str">
        <f>VLOOKUP(B3010,辅助信息!E:I,3,FALSE)</f>
        <v>(五冶建设成都国际铁路港多式联项目)四川省成都市青白江区桂平大道成都中远海运陆港多式联运有限公司</v>
      </c>
      <c r="J3010" s="41" t="str">
        <f>VLOOKUP(B3010,辅助信息!E:I,4,FALSE)</f>
        <v>黄勇杰</v>
      </c>
      <c r="K3010" s="41">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30" t="str">
        <f>VLOOKUP(B3010,辅助信息!E:M,9,FALSE)</f>
        <v>ZTWM-CDGS-XS-2025-0073-五冶天府-成都怡心湖片区及龙泉驿医院等项目</v>
      </c>
      <c r="R3010" s="30" t="str">
        <f>_xlfn._xlws.FILTER(辅助信息!D:D,辅助信息!E:E=B3010)</f>
        <v>五冶建设成都国际铁路港多式联项目</v>
      </c>
    </row>
    <row r="3011" hidden="1" spans="2:18">
      <c r="B3011" s="41" t="s">
        <v>186</v>
      </c>
      <c r="C3011" s="71">
        <v>45895</v>
      </c>
      <c r="D3011" s="41" t="str">
        <f>VLOOKUP(B3011,辅助信息!E:K,7,FALSE)</f>
        <v>JWDDCD2025072900123</v>
      </c>
      <c r="E3011" s="41" t="str">
        <f>VLOOKUP(F3011,辅助信息!A:B,2,FALSE)</f>
        <v>螺纹钢</v>
      </c>
      <c r="F3011" s="41" t="s">
        <v>27</v>
      </c>
      <c r="G3011" s="37">
        <v>1.5</v>
      </c>
      <c r="H3011" s="121">
        <f>_xlfn.XLOOKUP(C3011&amp;F3011&amp;I3011&amp;J3011,'[1]2025年已发货'!$F:$F&amp;'[1]2025年已发货'!$C:$C&amp;'[1]2025年已发货'!$G:$G&amp;'[1]2025年已发货'!$H:$H,'[1]2025年已发货'!$E:$E,"未发货")</f>
        <v>2.8</v>
      </c>
      <c r="I3011" s="41" t="str">
        <f>VLOOKUP(B3011,辅助信息!E:I,3,FALSE)</f>
        <v>(乐山市校地共建产教融合基地建设项目二标段)四川省乐山市市中区苏稽镇</v>
      </c>
      <c r="J3011" s="41" t="str">
        <f>VLOOKUP(B3011,辅助信息!E:I,4,FALSE)</f>
        <v>彭江涛</v>
      </c>
      <c r="K3011" s="41">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30" t="str">
        <f>VLOOKUP(B3011,辅助信息!E:M,9,FALSE)</f>
        <v>ZTWM-CDGS-XS-2025-0126-四川机司-乐山市校地共建产教融合基地配套设施项目施工二标段钢筋采购合同</v>
      </c>
      <c r="R3011" s="30" t="str">
        <f>_xlfn._xlws.FILTER(辅助信息!D:D,辅助信息!E:E=B3011)</f>
        <v>乐山市校地共建产教融合基地建设项目</v>
      </c>
    </row>
    <row r="3012" hidden="1" spans="2:18">
      <c r="B3012" s="41" t="s">
        <v>186</v>
      </c>
      <c r="C3012" s="71">
        <v>45895</v>
      </c>
      <c r="D3012" s="41" t="str">
        <f>VLOOKUP(B3012,辅助信息!E:K,7,FALSE)</f>
        <v>JWDDCD2025072900123</v>
      </c>
      <c r="E3012" s="41" t="str">
        <f>VLOOKUP(F3012,辅助信息!A:B,2,FALSE)</f>
        <v>螺纹钢</v>
      </c>
      <c r="F3012" s="41" t="s">
        <v>19</v>
      </c>
      <c r="G3012" s="37">
        <v>1.5</v>
      </c>
      <c r="H3012" s="121">
        <f>_xlfn.XLOOKUP(C3012&amp;F3012&amp;I3012&amp;J3012,'[1]2025年已发货'!$F:$F&amp;'[1]2025年已发货'!$C:$C&amp;'[1]2025年已发货'!$G:$G&amp;'[1]2025年已发货'!$H:$H,'[1]2025年已发货'!$E:$E,"未发货")</f>
        <v>2.8</v>
      </c>
      <c r="I3012" s="41" t="str">
        <f>VLOOKUP(B3012,辅助信息!E:I,3,FALSE)</f>
        <v>(乐山市校地共建产教融合基地建设项目二标段)四川省乐山市市中区苏稽镇</v>
      </c>
      <c r="J3012" s="41" t="str">
        <f>VLOOKUP(B3012,辅助信息!E:I,4,FALSE)</f>
        <v>彭江涛</v>
      </c>
      <c r="K3012" s="41">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30" t="str">
        <f>VLOOKUP(B3012,辅助信息!E:M,9,FALSE)</f>
        <v>ZTWM-CDGS-XS-2025-0126-四川机司-乐山市校地共建产教融合基地配套设施项目施工二标段钢筋采购合同</v>
      </c>
      <c r="R3012" s="30" t="str">
        <f>_xlfn._xlws.FILTER(辅助信息!D:D,辅助信息!E:E=B3012)</f>
        <v>乐山市校地共建产教融合基地建设项目</v>
      </c>
    </row>
    <row r="3013" hidden="1" spans="2:18">
      <c r="B3013" s="41" t="s">
        <v>186</v>
      </c>
      <c r="C3013" s="71">
        <v>45895</v>
      </c>
      <c r="D3013" s="41" t="str">
        <f>VLOOKUP(B3013,辅助信息!E:K,7,FALSE)</f>
        <v>JWDDCD2025072900123</v>
      </c>
      <c r="E3013" s="41" t="str">
        <f>VLOOKUP(F3013,辅助信息!A:B,2,FALSE)</f>
        <v>螺纹钢</v>
      </c>
      <c r="F3013" s="41" t="s">
        <v>32</v>
      </c>
      <c r="G3013" s="37">
        <v>17</v>
      </c>
      <c r="H3013" s="121">
        <f>_xlfn.XLOOKUP(C3013&amp;F3013&amp;I3013&amp;J3013,'[1]2025年已发货'!$F:$F&amp;'[1]2025年已发货'!$C:$C&amp;'[1]2025年已发货'!$G:$G&amp;'[1]2025年已发货'!$H:$H,'[1]2025年已发货'!$E:$E,"未发货")</f>
        <v>12</v>
      </c>
      <c r="I3013" s="41" t="str">
        <f>VLOOKUP(B3013,辅助信息!E:I,3,FALSE)</f>
        <v>(乐山市校地共建产教融合基地建设项目二标段)四川省乐山市市中区苏稽镇</v>
      </c>
      <c r="J3013" s="41" t="str">
        <f>VLOOKUP(B3013,辅助信息!E:I,4,FALSE)</f>
        <v>彭江涛</v>
      </c>
      <c r="K3013" s="41">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30" t="str">
        <f>VLOOKUP(B3013,辅助信息!E:M,9,FALSE)</f>
        <v>ZTWM-CDGS-XS-2025-0126-四川机司-乐山市校地共建产教融合基地配套设施项目施工二标段钢筋采购合同</v>
      </c>
      <c r="R3013" s="30" t="str">
        <f>_xlfn._xlws.FILTER(辅助信息!D:D,辅助信息!E:E=B3013)</f>
        <v>乐山市校地共建产教融合基地建设项目</v>
      </c>
    </row>
    <row r="3014" hidden="1" spans="2:18">
      <c r="B3014" s="41" t="s">
        <v>186</v>
      </c>
      <c r="C3014" s="71">
        <v>45895</v>
      </c>
      <c r="D3014" s="41" t="str">
        <f>VLOOKUP(B3014,辅助信息!E:K,7,FALSE)</f>
        <v>JWDDCD2025072900123</v>
      </c>
      <c r="E3014" s="41" t="str">
        <f>VLOOKUP(F3014,辅助信息!A:B,2,FALSE)</f>
        <v>螺纹钢</v>
      </c>
      <c r="F3014" s="41" t="s">
        <v>30</v>
      </c>
      <c r="G3014" s="37">
        <v>3</v>
      </c>
      <c r="H3014" s="121">
        <f>_xlfn.XLOOKUP(C3014&amp;F3014&amp;I3014&amp;J3014,'[1]2025年已发货'!$F:$F&amp;'[1]2025年已发货'!$C:$C&amp;'[1]2025年已发货'!$G:$G&amp;'[1]2025年已发货'!$H:$H,'[1]2025年已发货'!$E:$E,"未发货")</f>
        <v>3</v>
      </c>
      <c r="I3014" s="41" t="str">
        <f>VLOOKUP(B3014,辅助信息!E:I,3,FALSE)</f>
        <v>(乐山市校地共建产教融合基地建设项目二标段)四川省乐山市市中区苏稽镇</v>
      </c>
      <c r="J3014" s="41" t="str">
        <f>VLOOKUP(B3014,辅助信息!E:I,4,FALSE)</f>
        <v>彭江涛</v>
      </c>
      <c r="K3014" s="41">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30" t="str">
        <f>VLOOKUP(B3014,辅助信息!E:M,9,FALSE)</f>
        <v>ZTWM-CDGS-XS-2025-0126-四川机司-乐山市校地共建产教融合基地配套设施项目施工二标段钢筋采购合同</v>
      </c>
      <c r="R3014" s="30" t="str">
        <f>_xlfn._xlws.FILTER(辅助信息!D:D,辅助信息!E:E=B3014)</f>
        <v>乐山市校地共建产教融合基地建设项目</v>
      </c>
    </row>
    <row r="3015" hidden="1" spans="2:18">
      <c r="B3015" s="41" t="s">
        <v>186</v>
      </c>
      <c r="C3015" s="71">
        <v>45895</v>
      </c>
      <c r="D3015" s="41" t="str">
        <f>VLOOKUP(B3015,辅助信息!E:K,7,FALSE)</f>
        <v>JWDDCD2025072900123</v>
      </c>
      <c r="E3015" s="41" t="str">
        <f>VLOOKUP(F3015,辅助信息!A:B,2,FALSE)</f>
        <v>螺纹钢</v>
      </c>
      <c r="F3015" s="41" t="s">
        <v>33</v>
      </c>
      <c r="G3015" s="37">
        <v>3</v>
      </c>
      <c r="H3015" s="121">
        <f>_xlfn.XLOOKUP(C3015&amp;F3015&amp;I3015&amp;J3015,'[1]2025年已发货'!$F:$F&amp;'[1]2025年已发货'!$C:$C&amp;'[1]2025年已发货'!$G:$G&amp;'[1]2025年已发货'!$H:$H,'[1]2025年已发货'!$E:$E,"未发货")</f>
        <v>3</v>
      </c>
      <c r="I3015" s="41" t="str">
        <f>VLOOKUP(B3015,辅助信息!E:I,3,FALSE)</f>
        <v>(乐山市校地共建产教融合基地建设项目二标段)四川省乐山市市中区苏稽镇</v>
      </c>
      <c r="J3015" s="41" t="str">
        <f>VLOOKUP(B3015,辅助信息!E:I,4,FALSE)</f>
        <v>彭江涛</v>
      </c>
      <c r="K3015" s="41">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30" t="str">
        <f>VLOOKUP(B3015,辅助信息!E:M,9,FALSE)</f>
        <v>ZTWM-CDGS-XS-2025-0126-四川机司-乐山市校地共建产教融合基地配套设施项目施工二标段钢筋采购合同</v>
      </c>
      <c r="R3015" s="30" t="str">
        <f>_xlfn._xlws.FILTER(辅助信息!D:D,辅助信息!E:E=B3015)</f>
        <v>乐山市校地共建产教融合基地建设项目</v>
      </c>
    </row>
    <row r="3016" hidden="1" spans="2:18">
      <c r="B3016" s="41" t="s">
        <v>186</v>
      </c>
      <c r="C3016" s="71">
        <v>45895</v>
      </c>
      <c r="D3016" s="41" t="str">
        <f>VLOOKUP(B3016,辅助信息!E:K,7,FALSE)</f>
        <v>JWDDCD2025072900123</v>
      </c>
      <c r="E3016" s="41" t="str">
        <f>VLOOKUP(F3016,辅助信息!A:B,2,FALSE)</f>
        <v>螺纹钢</v>
      </c>
      <c r="F3016" s="41" t="s">
        <v>28</v>
      </c>
      <c r="G3016" s="37">
        <v>2.5</v>
      </c>
      <c r="H3016" s="121">
        <f>_xlfn.XLOOKUP(C3016&amp;F3016&amp;I3016&amp;J3016,'[1]2025年已发货'!$F:$F&amp;'[1]2025年已发货'!$C:$C&amp;'[1]2025年已发货'!$G:$G&amp;'[1]2025年已发货'!$H:$H,'[1]2025年已发货'!$E:$E,"未发货")</f>
        <v>2.5</v>
      </c>
      <c r="I3016" s="41" t="str">
        <f>VLOOKUP(B3016,辅助信息!E:I,3,FALSE)</f>
        <v>(乐山市校地共建产教融合基地建设项目二标段)四川省乐山市市中区苏稽镇</v>
      </c>
      <c r="J3016" s="41" t="str">
        <f>VLOOKUP(B3016,辅助信息!E:I,4,FALSE)</f>
        <v>彭江涛</v>
      </c>
      <c r="K3016" s="41">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30" t="str">
        <f>VLOOKUP(B3016,辅助信息!E:M,9,FALSE)</f>
        <v>ZTWM-CDGS-XS-2025-0126-四川机司-乐山市校地共建产教融合基地配套设施项目施工二标段钢筋采购合同</v>
      </c>
      <c r="R3016" s="30" t="str">
        <f>_xlfn._xlws.FILTER(辅助信息!D:D,辅助信息!E:E=B3016)</f>
        <v>乐山市校地共建产教融合基地建设项目</v>
      </c>
    </row>
    <row r="3017" hidden="1" spans="2:18">
      <c r="B3017" s="41" t="s">
        <v>186</v>
      </c>
      <c r="C3017" s="71">
        <v>45895</v>
      </c>
      <c r="D3017" s="41" t="str">
        <f>VLOOKUP(B3017,辅助信息!E:K,7,FALSE)</f>
        <v>JWDDCD2025072900123</v>
      </c>
      <c r="E3017" s="41" t="str">
        <f>VLOOKUP(F3017,辅助信息!A:B,2,FALSE)</f>
        <v>螺纹钢</v>
      </c>
      <c r="F3017" s="41" t="s">
        <v>18</v>
      </c>
      <c r="G3017" s="37">
        <v>18</v>
      </c>
      <c r="H3017" s="121" t="str">
        <f>_xlfn.XLOOKUP(C3017&amp;F3017&amp;I3017&amp;J3017,'[1]2025年已发货'!$F:$F&amp;'[1]2025年已发货'!$C:$C&amp;'[1]2025年已发货'!$G:$G&amp;'[1]2025年已发货'!$H:$H,'[1]2025年已发货'!$E:$E,"未发货")</f>
        <v>未发货</v>
      </c>
      <c r="I3017" s="41" t="str">
        <f>VLOOKUP(B3017,辅助信息!E:I,3,FALSE)</f>
        <v>(乐山市校地共建产教融合基地建设项目二标段)四川省乐山市市中区苏稽镇</v>
      </c>
      <c r="J3017" s="41" t="str">
        <f>VLOOKUP(B3017,辅助信息!E:I,4,FALSE)</f>
        <v>彭江涛</v>
      </c>
      <c r="K3017" s="41">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30" t="str">
        <f>VLOOKUP(B3017,辅助信息!E:M,9,FALSE)</f>
        <v>ZTWM-CDGS-XS-2025-0126-四川机司-乐山市校地共建产教融合基地配套设施项目施工二标段钢筋采购合同</v>
      </c>
      <c r="R3017" s="30" t="str">
        <f>_xlfn._xlws.FILTER(辅助信息!D:D,辅助信息!E:E=B3017)</f>
        <v>乐山市校地共建产教融合基地建设项目</v>
      </c>
    </row>
    <row r="3018" hidden="1" spans="2:18">
      <c r="B3018" s="41" t="s">
        <v>186</v>
      </c>
      <c r="C3018" s="71">
        <v>45895</v>
      </c>
      <c r="D3018" s="41" t="str">
        <f>VLOOKUP(B3018,辅助信息!E:K,7,FALSE)</f>
        <v>JWDDCD2025072900123</v>
      </c>
      <c r="E3018" s="41" t="str">
        <f>VLOOKUP(F3018,辅助信息!A:B,2,FALSE)</f>
        <v>盘螺</v>
      </c>
      <c r="F3018" s="41" t="s">
        <v>26</v>
      </c>
      <c r="G3018" s="37">
        <v>1.5</v>
      </c>
      <c r="H3018" s="121">
        <f>_xlfn.XLOOKUP(C3018&amp;F3018&amp;I3018&amp;J3018,'[1]2025年已发货'!$F:$F&amp;'[1]2025年已发货'!$C:$C&amp;'[1]2025年已发货'!$G:$G&amp;'[1]2025年已发货'!$H:$H,'[1]2025年已发货'!$E:$E,"未发货")</f>
        <v>2.5</v>
      </c>
      <c r="I3018" s="41" t="str">
        <f>VLOOKUP(B3018,辅助信息!E:I,3,FALSE)</f>
        <v>(乐山市校地共建产教融合基地建设项目二标段)四川省乐山市市中区苏稽镇</v>
      </c>
      <c r="J3018" s="41" t="str">
        <f>VLOOKUP(B3018,辅助信息!E:I,4,FALSE)</f>
        <v>彭江涛</v>
      </c>
      <c r="K3018" s="41">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30" t="str">
        <f>VLOOKUP(B3018,辅助信息!E:M,9,FALSE)</f>
        <v>ZTWM-CDGS-XS-2025-0126-四川机司-乐山市校地共建产教融合基地配套设施项目施工二标段钢筋采购合同</v>
      </c>
      <c r="R3018" s="30" t="str">
        <f>_xlfn._xlws.FILTER(辅助信息!D:D,辅助信息!E:E=B3018)</f>
        <v>乐山市校地共建产教融合基地建设项目</v>
      </c>
    </row>
    <row r="3019" hidden="1" spans="2:18">
      <c r="B3019" s="41" t="s">
        <v>186</v>
      </c>
      <c r="C3019" s="71">
        <v>45895</v>
      </c>
      <c r="D3019" s="41" t="str">
        <f>VLOOKUP(B3019,辅助信息!E:K,7,FALSE)</f>
        <v>JWDDCD2025072900123</v>
      </c>
      <c r="E3019" s="41" t="str">
        <f>VLOOKUP(F3019,辅助信息!A:B,2,FALSE)</f>
        <v>螺纹钢</v>
      </c>
      <c r="F3019" s="41" t="s">
        <v>76</v>
      </c>
      <c r="G3019" s="37">
        <v>36</v>
      </c>
      <c r="H3019" s="121">
        <f>_xlfn.XLOOKUP(C3019&amp;F3019&amp;I3019&amp;J3019,'[1]2025年已发货'!$F:$F&amp;'[1]2025年已发货'!$C:$C&amp;'[1]2025年已发货'!$G:$G&amp;'[1]2025年已发货'!$H:$H,'[1]2025年已发货'!$E:$E,"未发货")</f>
        <v>36</v>
      </c>
      <c r="I3019" s="41" t="str">
        <f>VLOOKUP(B3019,辅助信息!E:I,3,FALSE)</f>
        <v>(乐山市校地共建产教融合基地建设项目二标段)四川省乐山市市中区苏稽镇</v>
      </c>
      <c r="J3019" s="41" t="str">
        <f>VLOOKUP(B3019,辅助信息!E:I,4,FALSE)</f>
        <v>彭江涛</v>
      </c>
      <c r="K3019" s="41">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30" t="str">
        <f>VLOOKUP(B3019,辅助信息!E:M,9,FALSE)</f>
        <v>ZTWM-CDGS-XS-2025-0126-四川机司-乐山市校地共建产教融合基地配套设施项目施工二标段钢筋采购合同</v>
      </c>
      <c r="R3019" s="30" t="str">
        <f>_xlfn._xlws.FILTER(辅助信息!D:D,辅助信息!E:E=B3019)</f>
        <v>乐山市校地共建产教融合基地建设项目</v>
      </c>
    </row>
    <row r="3020" hidden="1" spans="2:18">
      <c r="B3020" s="41" t="s">
        <v>186</v>
      </c>
      <c r="C3020" s="71">
        <v>45895</v>
      </c>
      <c r="D3020" s="41" t="str">
        <f>VLOOKUP(B3020,辅助信息!E:K,7,FALSE)</f>
        <v>JWDDCD2025072900123</v>
      </c>
      <c r="E3020" s="41" t="str">
        <f>VLOOKUP(F3020,辅助信息!A:B,2,FALSE)</f>
        <v>螺纹钢</v>
      </c>
      <c r="F3020" s="41" t="s">
        <v>90</v>
      </c>
      <c r="G3020" s="37">
        <v>36</v>
      </c>
      <c r="H3020" s="121">
        <f>_xlfn.XLOOKUP(C3020&amp;F3020&amp;I3020&amp;J3020,'[1]2025年已发货'!$F:$F&amp;'[1]2025年已发货'!$C:$C&amp;'[1]2025年已发货'!$G:$G&amp;'[1]2025年已发货'!$H:$H,'[1]2025年已发货'!$E:$E,"未发货")</f>
        <v>36</v>
      </c>
      <c r="I3020" s="41" t="str">
        <f>VLOOKUP(B3020,辅助信息!E:I,3,FALSE)</f>
        <v>(乐山市校地共建产教融合基地建设项目二标段)四川省乐山市市中区苏稽镇</v>
      </c>
      <c r="J3020" s="41" t="str">
        <f>VLOOKUP(B3020,辅助信息!E:I,4,FALSE)</f>
        <v>彭江涛</v>
      </c>
      <c r="K3020" s="41">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30" t="str">
        <f>VLOOKUP(B3020,辅助信息!E:M,9,FALSE)</f>
        <v>ZTWM-CDGS-XS-2025-0126-四川机司-乐山市校地共建产教融合基地配套设施项目施工二标段钢筋采购合同</v>
      </c>
      <c r="R3020" s="30" t="str">
        <f>_xlfn._xlws.FILTER(辅助信息!D:D,辅助信息!E:E=B3020)</f>
        <v>乐山市校地共建产教融合基地建设项目</v>
      </c>
    </row>
    <row r="3021" hidden="1" spans="2:18">
      <c r="B3021" s="41" t="s">
        <v>186</v>
      </c>
      <c r="C3021" s="71">
        <v>45895</v>
      </c>
      <c r="D3021" s="41" t="str">
        <f>VLOOKUP(B3021,辅助信息!E:K,7,FALSE)</f>
        <v>JWDDCD2025072900123</v>
      </c>
      <c r="E3021" s="41" t="str">
        <f>VLOOKUP(F3021,辅助信息!A:B,2,FALSE)</f>
        <v>螺纹钢</v>
      </c>
      <c r="F3021" s="41" t="s">
        <v>130</v>
      </c>
      <c r="G3021" s="37">
        <v>3</v>
      </c>
      <c r="H3021" s="121">
        <f>_xlfn.XLOOKUP(C3021&amp;F3021&amp;I3021&amp;J3021,'[1]2025年已发货'!$F:$F&amp;'[1]2025年已发货'!$C:$C&amp;'[1]2025年已发货'!$G:$G&amp;'[1]2025年已发货'!$H:$H,'[1]2025年已发货'!$E:$E,"未发货")</f>
        <v>3</v>
      </c>
      <c r="I3021" s="41" t="str">
        <f>VLOOKUP(B3021,辅助信息!E:I,3,FALSE)</f>
        <v>(乐山市校地共建产教融合基地建设项目二标段)四川省乐山市市中区苏稽镇</v>
      </c>
      <c r="J3021" s="41" t="str">
        <f>VLOOKUP(B3021,辅助信息!E:I,4,FALSE)</f>
        <v>彭江涛</v>
      </c>
      <c r="K3021" s="41">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30" t="str">
        <f>VLOOKUP(B3021,辅助信息!E:M,9,FALSE)</f>
        <v>ZTWM-CDGS-XS-2025-0126-四川机司-乐山市校地共建产教融合基地配套设施项目施工二标段钢筋采购合同</v>
      </c>
      <c r="R3021" s="30" t="str">
        <f>_xlfn._xlws.FILTER(辅助信息!D:D,辅助信息!E:E=B3021)</f>
        <v>乐山市校地共建产教融合基地建设项目</v>
      </c>
    </row>
    <row r="3022" hidden="1" spans="2:18">
      <c r="B3022" s="41" t="s">
        <v>186</v>
      </c>
      <c r="C3022" s="71">
        <v>45895</v>
      </c>
      <c r="D3022" s="41" t="str">
        <f>VLOOKUP(B3022,辅助信息!E:K,7,FALSE)</f>
        <v>JWDDCD2025072900123</v>
      </c>
      <c r="E3022" s="41" t="str">
        <f>VLOOKUP(F3022,辅助信息!A:B,2,FALSE)</f>
        <v>螺纹钢</v>
      </c>
      <c r="F3022" s="41" t="s">
        <v>138</v>
      </c>
      <c r="G3022" s="37">
        <v>3</v>
      </c>
      <c r="H3022" s="121">
        <f>_xlfn.XLOOKUP(C3022&amp;F3022&amp;I3022&amp;J3022,'[1]2025年已发货'!$F:$F&amp;'[1]2025年已发货'!$C:$C&amp;'[1]2025年已发货'!$G:$G&amp;'[1]2025年已发货'!$H:$H,'[1]2025年已发货'!$E:$E,"未发货")</f>
        <v>3</v>
      </c>
      <c r="I3022" s="41" t="str">
        <f>VLOOKUP(B3022,辅助信息!E:I,3,FALSE)</f>
        <v>(乐山市校地共建产教融合基地建设项目二标段)四川省乐山市市中区苏稽镇</v>
      </c>
      <c r="J3022" s="41" t="str">
        <f>VLOOKUP(B3022,辅助信息!E:I,4,FALSE)</f>
        <v>彭江涛</v>
      </c>
      <c r="K3022" s="41">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30" t="str">
        <f>VLOOKUP(B3022,辅助信息!E:M,9,FALSE)</f>
        <v>ZTWM-CDGS-XS-2025-0126-四川机司-乐山市校地共建产教融合基地配套设施项目施工二标段钢筋采购合同</v>
      </c>
      <c r="R3022" s="30" t="str">
        <f>_xlfn._xlws.FILTER(辅助信息!D:D,辅助信息!E:E=B3022)</f>
        <v>乐山市校地共建产教融合基地建设项目</v>
      </c>
    </row>
    <row r="3023" hidden="1" spans="2:18">
      <c r="B3023" s="41" t="s">
        <v>186</v>
      </c>
      <c r="C3023" s="71">
        <v>45895</v>
      </c>
      <c r="D3023" s="41" t="str">
        <f>VLOOKUP(B3023,辅助信息!E:K,7,FALSE)</f>
        <v>JWDDCD2025072900123</v>
      </c>
      <c r="E3023" s="41" t="str">
        <f>VLOOKUP(F3023,辅助信息!A:B,2,FALSE)</f>
        <v>螺纹钢</v>
      </c>
      <c r="F3023" s="41" t="s">
        <v>133</v>
      </c>
      <c r="G3023" s="37">
        <v>2.5</v>
      </c>
      <c r="H3023" s="121">
        <f>_xlfn.XLOOKUP(C3023&amp;F3023&amp;I3023&amp;J3023,'[1]2025年已发货'!$F:$F&amp;'[1]2025年已发货'!$C:$C&amp;'[1]2025年已发货'!$G:$G&amp;'[1]2025年已发货'!$H:$H,'[1]2025年已发货'!$E:$E,"未发货")</f>
        <v>2.5</v>
      </c>
      <c r="I3023" s="41" t="str">
        <f>VLOOKUP(B3023,辅助信息!E:I,3,FALSE)</f>
        <v>(乐山市校地共建产教融合基地建设项目二标段)四川省乐山市市中区苏稽镇</v>
      </c>
      <c r="J3023" s="41" t="str">
        <f>VLOOKUP(B3023,辅助信息!E:I,4,FALSE)</f>
        <v>彭江涛</v>
      </c>
      <c r="K3023" s="41">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30" t="str">
        <f>VLOOKUP(B3023,辅助信息!E:M,9,FALSE)</f>
        <v>ZTWM-CDGS-XS-2025-0126-四川机司-乐山市校地共建产教融合基地配套设施项目施工二标段钢筋采购合同</v>
      </c>
      <c r="R3023" s="30" t="str">
        <f>_xlfn._xlws.FILTER(辅助信息!D:D,辅助信息!E:E=B3023)</f>
        <v>乐山市校地共建产教融合基地建设项目</v>
      </c>
    </row>
    <row r="3024" hidden="1" spans="2:18">
      <c r="B3024" s="41" t="s">
        <v>186</v>
      </c>
      <c r="C3024" s="71">
        <v>45895</v>
      </c>
      <c r="D3024" s="41" t="str">
        <f>VLOOKUP(B3024,辅助信息!E:K,7,FALSE)</f>
        <v>JWDDCD2025072900123</v>
      </c>
      <c r="E3024" s="41" t="str">
        <f>VLOOKUP(F3024,辅助信息!A:B,2,FALSE)</f>
        <v>螺纹钢</v>
      </c>
      <c r="F3024" s="41" t="s">
        <v>18</v>
      </c>
      <c r="G3024" s="37">
        <v>5</v>
      </c>
      <c r="H3024" s="121" t="str">
        <f>_xlfn.XLOOKUP(C3024&amp;F3024&amp;I3024&amp;J3024,'[1]2025年已发货'!$F:$F&amp;'[1]2025年已发货'!$C:$C&amp;'[1]2025年已发货'!$G:$G&amp;'[1]2025年已发货'!$H:$H,'[1]2025年已发货'!$E:$E,"未发货")</f>
        <v>未发货</v>
      </c>
      <c r="I3024" s="41" t="str">
        <f>VLOOKUP(B3024,辅助信息!E:I,3,FALSE)</f>
        <v>(乐山市校地共建产教融合基地建设项目二标段)四川省乐山市市中区苏稽镇</v>
      </c>
      <c r="J3024" s="41" t="str">
        <f>VLOOKUP(B3024,辅助信息!E:I,4,FALSE)</f>
        <v>彭江涛</v>
      </c>
      <c r="K3024" s="41">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30" t="str">
        <f>VLOOKUP(B3024,辅助信息!E:M,9,FALSE)</f>
        <v>ZTWM-CDGS-XS-2025-0126-四川机司-乐山市校地共建产教融合基地配套设施项目施工二标段钢筋采购合同</v>
      </c>
      <c r="R3024" s="30" t="str">
        <f>_xlfn._xlws.FILTER(辅助信息!D:D,辅助信息!E:E=B3024)</f>
        <v>乐山市校地共建产教融合基地建设项目</v>
      </c>
    </row>
    <row r="3025" hidden="1" spans="2:18">
      <c r="B3025" s="41" t="s">
        <v>186</v>
      </c>
      <c r="C3025" s="71">
        <v>45895</v>
      </c>
      <c r="D3025" s="41" t="str">
        <f>VLOOKUP(B3025,辅助信息!E:K,7,FALSE)</f>
        <v>JWDDCD2025072900123</v>
      </c>
      <c r="E3025" s="41" t="str">
        <f>VLOOKUP(F3025,辅助信息!A:B,2,FALSE)</f>
        <v>螺纹钢</v>
      </c>
      <c r="F3025" s="41" t="s">
        <v>91</v>
      </c>
      <c r="G3025" s="37">
        <v>5</v>
      </c>
      <c r="H3025" s="121" t="str">
        <f>_xlfn.XLOOKUP(C3025&amp;F3025&amp;I3025&amp;J3025,'[1]2025年已发货'!$F:$F&amp;'[1]2025年已发货'!$C:$C&amp;'[1]2025年已发货'!$G:$G&amp;'[1]2025年已发货'!$H:$H,'[1]2025年已发货'!$E:$E,"未发货")</f>
        <v>未发货</v>
      </c>
      <c r="I3025" s="41" t="str">
        <f>VLOOKUP(B3025,辅助信息!E:I,3,FALSE)</f>
        <v>(乐山市校地共建产教融合基地建设项目二标段)四川省乐山市市中区苏稽镇</v>
      </c>
      <c r="J3025" s="41" t="str">
        <f>VLOOKUP(B3025,辅助信息!E:I,4,FALSE)</f>
        <v>彭江涛</v>
      </c>
      <c r="K3025" s="41">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30" t="str">
        <f>VLOOKUP(B3025,辅助信息!E:M,9,FALSE)</f>
        <v>ZTWM-CDGS-XS-2025-0126-四川机司-乐山市校地共建产教融合基地配套设施项目施工二标段钢筋采购合同</v>
      </c>
      <c r="R3025" s="30" t="str">
        <f>_xlfn._xlws.FILTER(辅助信息!D:D,辅助信息!E:E=B3025)</f>
        <v>乐山市校地共建产教融合基地建设项目</v>
      </c>
    </row>
    <row r="3026" hidden="1" spans="2:18">
      <c r="B3026" s="41" t="s">
        <v>208</v>
      </c>
      <c r="C3026" s="71">
        <v>45896</v>
      </c>
      <c r="D3026" s="41" t="str">
        <f>VLOOKUP(B3026,辅助信息!E:K,7,FALSE)</f>
        <v>JWDDCD2025102100480</v>
      </c>
      <c r="E3026" s="41" t="str">
        <f>VLOOKUP(F3026,辅助信息!A:B,2,FALSE)</f>
        <v>高线</v>
      </c>
      <c r="F3026" s="41" t="s">
        <v>61</v>
      </c>
      <c r="G3026" s="37">
        <v>21.6</v>
      </c>
      <c r="H3026" s="121">
        <f>_xlfn.XLOOKUP(C3026&amp;F3026&amp;I3026&amp;J3026,'[1]2025年已发货'!$F:$F&amp;'[1]2025年已发货'!$C:$C&amp;'[1]2025年已发货'!$G:$G&amp;'[1]2025年已发货'!$H:$H,'[1]2025年已发货'!$E:$E,"未发货")</f>
        <v>21.6</v>
      </c>
      <c r="I3026" s="41" t="str">
        <f>VLOOKUP(B3026,辅助信息!E:I,3,FALSE)</f>
        <v>(五冶建设锦江区林家坝片区20号地块商业项目)锦江区泰昌路锦江28亩项目部</v>
      </c>
      <c r="J3026" s="41" t="str">
        <f>VLOOKUP(B3026,辅助信息!E:I,4,FALSE)</f>
        <v>陶杰</v>
      </c>
      <c r="K3026" s="41">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30" t="str">
        <f>VLOOKUP(B3026,辅助信息!E:M,9,FALSE)</f>
        <v>ZTWM-CDGS-XS-2025-0073-五冶天府-成都怡心湖片区及龙泉驿医院等项目</v>
      </c>
      <c r="R3026" s="30" t="str">
        <f>_xlfn._xlws.FILTER(辅助信息!D:D,辅助信息!E:E=B3026)</f>
        <v>五冶建设锦江区林家坝片区20号地块商业项目</v>
      </c>
    </row>
    <row r="3027" hidden="1" spans="2:18">
      <c r="B3027" s="41" t="s">
        <v>208</v>
      </c>
      <c r="C3027" s="71">
        <v>45896</v>
      </c>
      <c r="D3027" s="41" t="str">
        <f>VLOOKUP(B3027,辅助信息!E:K,7,FALSE)</f>
        <v>JWDDCD2025102100480</v>
      </c>
      <c r="E3027" s="41" t="str">
        <f>VLOOKUP(F3027,辅助信息!A:B,2,FALSE)</f>
        <v>螺纹钢</v>
      </c>
      <c r="F3027" s="41" t="s">
        <v>30</v>
      </c>
      <c r="G3027" s="37">
        <v>11</v>
      </c>
      <c r="H3027" s="121">
        <f>_xlfn.XLOOKUP(C3027&amp;F3027&amp;I3027&amp;J3027,'[1]2025年已发货'!$F:$F&amp;'[1]2025年已发货'!$C:$C&amp;'[1]2025年已发货'!$G:$G&amp;'[1]2025年已发货'!$H:$H,'[1]2025年已发货'!$E:$E,"未发货")</f>
        <v>11</v>
      </c>
      <c r="I3027" s="41" t="str">
        <f>VLOOKUP(B3027,辅助信息!E:I,3,FALSE)</f>
        <v>(五冶建设锦江区林家坝片区20号地块商业项目)锦江区泰昌路锦江28亩项目部</v>
      </c>
      <c r="J3027" s="41" t="str">
        <f>VLOOKUP(B3027,辅助信息!E:I,4,FALSE)</f>
        <v>陶杰</v>
      </c>
      <c r="K3027" s="41">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30" t="str">
        <f>VLOOKUP(B3027,辅助信息!E:M,9,FALSE)</f>
        <v>ZTWM-CDGS-XS-2025-0073-五冶天府-成都怡心湖片区及龙泉驿医院等项目</v>
      </c>
      <c r="R3027" s="30" t="str">
        <f>_xlfn._xlws.FILTER(辅助信息!D:D,辅助信息!E:E=B3027)</f>
        <v>五冶建设锦江区林家坝片区20号地块商业项目</v>
      </c>
    </row>
    <row r="3028" hidden="1" spans="2:18">
      <c r="B3028" s="41" t="s">
        <v>208</v>
      </c>
      <c r="C3028" s="71">
        <v>45896</v>
      </c>
      <c r="D3028" s="41" t="str">
        <f>VLOOKUP(B3028,辅助信息!E:K,7,FALSE)</f>
        <v>JWDDCD2025102100480</v>
      </c>
      <c r="E3028" s="41" t="str">
        <f>VLOOKUP(F3028,辅助信息!A:B,2,FALSE)</f>
        <v>螺纹钢</v>
      </c>
      <c r="F3028" s="41" t="s">
        <v>28</v>
      </c>
      <c r="G3028" s="37">
        <v>2.7</v>
      </c>
      <c r="H3028" s="121">
        <f>_xlfn.XLOOKUP(C3028&amp;F3028&amp;I3028&amp;J3028,'[1]2025年已发货'!$F:$F&amp;'[1]2025年已发货'!$C:$C&amp;'[1]2025年已发货'!$G:$G&amp;'[1]2025年已发货'!$H:$H,'[1]2025年已发货'!$E:$E,"未发货")</f>
        <v>2.7</v>
      </c>
      <c r="I3028" s="41" t="str">
        <f>VLOOKUP(B3028,辅助信息!E:I,3,FALSE)</f>
        <v>(五冶建设锦江区林家坝片区20号地块商业项目)锦江区泰昌路锦江28亩项目部</v>
      </c>
      <c r="J3028" s="41" t="str">
        <f>VLOOKUP(B3028,辅助信息!E:I,4,FALSE)</f>
        <v>陶杰</v>
      </c>
      <c r="K3028" s="41">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30" t="str">
        <f>VLOOKUP(B3028,辅助信息!E:M,9,FALSE)</f>
        <v>ZTWM-CDGS-XS-2025-0073-五冶天府-成都怡心湖片区及龙泉驿医院等项目</v>
      </c>
      <c r="R3028" s="30" t="str">
        <f>_xlfn._xlws.FILTER(辅助信息!D:D,辅助信息!E:E=B3028)</f>
        <v>五冶建设锦江区林家坝片区20号地块商业项目</v>
      </c>
    </row>
    <row r="3029" hidden="1" spans="2:18">
      <c r="B3029" s="41" t="s">
        <v>81</v>
      </c>
      <c r="C3029" s="71">
        <v>45897</v>
      </c>
      <c r="D3029" s="41" t="str">
        <f>VLOOKUP(B3029,辅助信息!E:K,7,FALSE)</f>
        <v>JWDDCD2025060900080</v>
      </c>
      <c r="E3029" s="41" t="str">
        <f>VLOOKUP(F3029,辅助信息!A:B,2,FALSE)</f>
        <v>盘螺</v>
      </c>
      <c r="F3029" s="41" t="s">
        <v>49</v>
      </c>
      <c r="G3029" s="37">
        <v>2</v>
      </c>
      <c r="H3029" s="121">
        <f>_xlfn.XLOOKUP(C3029&amp;F3029&amp;I3029&amp;J3029,'[1]2025年已发货'!$F:$F&amp;'[1]2025年已发货'!$C:$C&amp;'[1]2025年已发货'!$G:$G&amp;'[1]2025年已发货'!$H:$H,'[1]2025年已发货'!$E:$E,"未发货")</f>
        <v>2</v>
      </c>
      <c r="I3029" s="41" t="str">
        <f>VLOOKUP(B3029,辅助信息!E:I,3,FALSE)</f>
        <v>（华西简阳西城嘉苑）四川省成都市简阳市简城街道高屋村</v>
      </c>
      <c r="J3029" s="41" t="str">
        <f>VLOOKUP(B3029,辅助信息!E:I,4,FALSE)</f>
        <v>张瀚镭</v>
      </c>
      <c r="K3029" s="41">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62</v>
      </c>
      <c r="Q3029" s="30" t="str">
        <f>VLOOKUP(B3029,辅助信息!E:M,9,FALSE)</f>
        <v>ZTWM-CDGS-XS-2024-0030-华西集采-简州大道</v>
      </c>
      <c r="R3029" s="30" t="str">
        <f>_xlfn._xlws.FILTER(辅助信息!D:D,辅助信息!E:E=B3029)</f>
        <v>华西简阳西城嘉苑</v>
      </c>
    </row>
    <row r="3030" hidden="1" spans="2:18">
      <c r="B3030" s="41" t="s">
        <v>81</v>
      </c>
      <c r="C3030" s="71">
        <v>45897</v>
      </c>
      <c r="D3030" s="41" t="str">
        <f>VLOOKUP(B3030,辅助信息!E:K,7,FALSE)</f>
        <v>JWDDCD2025060900080</v>
      </c>
      <c r="E3030" s="41" t="str">
        <f>VLOOKUP(F3030,辅助信息!A:B,2,FALSE)</f>
        <v>盘螺</v>
      </c>
      <c r="F3030" s="41" t="s">
        <v>41</v>
      </c>
      <c r="G3030" s="37">
        <v>105</v>
      </c>
      <c r="H3030" s="121">
        <f>_xlfn.XLOOKUP(C3030&amp;F3030&amp;I3030&amp;J3030,'[1]2025年已发货'!$F:$F&amp;'[1]2025年已发货'!$C:$C&amp;'[1]2025年已发货'!$G:$G&amp;'[1]2025年已发货'!$H:$H,'[1]2025年已发货'!$E:$E,"未发货")</f>
        <v>105</v>
      </c>
      <c r="I3030" s="41" t="str">
        <f>VLOOKUP(B3030,辅助信息!E:I,3,FALSE)</f>
        <v>（华西简阳西城嘉苑）四川省成都市简阳市简城街道高屋村</v>
      </c>
      <c r="J3030" s="41" t="str">
        <f>VLOOKUP(B3030,辅助信息!E:I,4,FALSE)</f>
        <v>张瀚镭</v>
      </c>
      <c r="K3030" s="41">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62</v>
      </c>
      <c r="Q3030" s="30" t="str">
        <f>VLOOKUP(B3030,辅助信息!E:M,9,FALSE)</f>
        <v>ZTWM-CDGS-XS-2024-0030-华西集采-简州大道</v>
      </c>
      <c r="R3030" s="30" t="str">
        <f>_xlfn._xlws.FILTER(辅助信息!D:D,辅助信息!E:E=B3030)</f>
        <v>华西简阳西城嘉苑</v>
      </c>
    </row>
    <row r="3031" hidden="1" spans="2:18">
      <c r="B3031" s="41" t="s">
        <v>81</v>
      </c>
      <c r="C3031" s="71">
        <v>45897</v>
      </c>
      <c r="D3031" s="41" t="str">
        <f>VLOOKUP(B3031,辅助信息!E:K,7,FALSE)</f>
        <v>JWDDCD2025060900080</v>
      </c>
      <c r="E3031" s="41" t="str">
        <f>VLOOKUP(F3031,辅助信息!A:B,2,FALSE)</f>
        <v>盘螺</v>
      </c>
      <c r="F3031" s="41" t="s">
        <v>26</v>
      </c>
      <c r="G3031" s="37">
        <v>12</v>
      </c>
      <c r="H3031" s="121">
        <f>_xlfn.XLOOKUP(C3031&amp;F3031&amp;I3031&amp;J3031,'[1]2025年已发货'!$F:$F&amp;'[1]2025年已发货'!$C:$C&amp;'[1]2025年已发货'!$G:$G&amp;'[1]2025年已发货'!$H:$H,'[1]2025年已发货'!$E:$E,"未发货")</f>
        <v>12</v>
      </c>
      <c r="I3031" s="41" t="str">
        <f>VLOOKUP(B3031,辅助信息!E:I,3,FALSE)</f>
        <v>（华西简阳西城嘉苑）四川省成都市简阳市简城街道高屋村</v>
      </c>
      <c r="J3031" s="41" t="str">
        <f>VLOOKUP(B3031,辅助信息!E:I,4,FALSE)</f>
        <v>张瀚镭</v>
      </c>
      <c r="K3031" s="41">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62</v>
      </c>
      <c r="Q3031" s="30" t="str">
        <f>VLOOKUP(B3031,辅助信息!E:M,9,FALSE)</f>
        <v>ZTWM-CDGS-XS-2024-0030-华西集采-简州大道</v>
      </c>
      <c r="R3031" s="30" t="str">
        <f>_xlfn._xlws.FILTER(辅助信息!D:D,辅助信息!E:E=B3031)</f>
        <v>华西简阳西城嘉苑</v>
      </c>
    </row>
    <row r="3032" hidden="1" spans="2:18">
      <c r="B3032" s="41" t="s">
        <v>81</v>
      </c>
      <c r="C3032" s="71">
        <v>45897</v>
      </c>
      <c r="D3032" s="41" t="str">
        <f>VLOOKUP(B3032,辅助信息!E:K,7,FALSE)</f>
        <v>JWDDCD2025060900080</v>
      </c>
      <c r="E3032" s="41" t="str">
        <f>VLOOKUP(F3032,辅助信息!A:B,2,FALSE)</f>
        <v>螺纹钢</v>
      </c>
      <c r="F3032" s="41" t="s">
        <v>19</v>
      </c>
      <c r="G3032" s="37">
        <v>10</v>
      </c>
      <c r="H3032" s="121">
        <f>_xlfn.XLOOKUP(C3032&amp;F3032&amp;I3032&amp;J3032,'[1]2025年已发货'!$F:$F&amp;'[1]2025年已发货'!$C:$C&amp;'[1]2025年已发货'!$G:$G&amp;'[1]2025年已发货'!$H:$H,'[1]2025年已发货'!$E:$E,"未发货")</f>
        <v>10</v>
      </c>
      <c r="I3032" s="41" t="str">
        <f>VLOOKUP(B3032,辅助信息!E:I,3,FALSE)</f>
        <v>（华西简阳西城嘉苑）四川省成都市简阳市简城街道高屋村</v>
      </c>
      <c r="J3032" s="41" t="str">
        <f>VLOOKUP(B3032,辅助信息!E:I,4,FALSE)</f>
        <v>张瀚镭</v>
      </c>
      <c r="K3032" s="41">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62</v>
      </c>
      <c r="Q3032" s="30" t="str">
        <f>VLOOKUP(B3032,辅助信息!E:M,9,FALSE)</f>
        <v>ZTWM-CDGS-XS-2024-0030-华西集采-简州大道</v>
      </c>
      <c r="R3032" s="30" t="str">
        <f>_xlfn._xlws.FILTER(辅助信息!D:D,辅助信息!E:E=B3032)</f>
        <v>华西简阳西城嘉苑</v>
      </c>
    </row>
    <row r="3033" hidden="1" spans="2:18">
      <c r="B3033" s="41" t="s">
        <v>81</v>
      </c>
      <c r="C3033" s="71">
        <v>45897</v>
      </c>
      <c r="D3033" s="41" t="str">
        <f>VLOOKUP(B3033,辅助信息!E:K,7,FALSE)</f>
        <v>JWDDCD2025060900080</v>
      </c>
      <c r="E3033" s="41" t="str">
        <f>VLOOKUP(F3033,辅助信息!A:B,2,FALSE)</f>
        <v>螺纹钢</v>
      </c>
      <c r="F3033" s="41" t="s">
        <v>32</v>
      </c>
      <c r="G3033" s="37">
        <v>14</v>
      </c>
      <c r="H3033" s="121">
        <f>_xlfn.XLOOKUP(C3033&amp;F3033&amp;I3033&amp;J3033,'[1]2025年已发货'!$F:$F&amp;'[1]2025年已发货'!$C:$C&amp;'[1]2025年已发货'!$G:$G&amp;'[1]2025年已发货'!$H:$H,'[1]2025年已发货'!$E:$E,"未发货")</f>
        <v>14</v>
      </c>
      <c r="I3033" s="41" t="str">
        <f>VLOOKUP(B3033,辅助信息!E:I,3,FALSE)</f>
        <v>（华西简阳西城嘉苑）四川省成都市简阳市简城街道高屋村</v>
      </c>
      <c r="J3033" s="41" t="str">
        <f>VLOOKUP(B3033,辅助信息!E:I,4,FALSE)</f>
        <v>张瀚镭</v>
      </c>
      <c r="K3033" s="41">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62</v>
      </c>
      <c r="Q3033" s="30" t="str">
        <f>VLOOKUP(B3033,辅助信息!E:M,9,FALSE)</f>
        <v>ZTWM-CDGS-XS-2024-0030-华西集采-简州大道</v>
      </c>
      <c r="R3033" s="30" t="str">
        <f>_xlfn._xlws.FILTER(辅助信息!D:D,辅助信息!E:E=B3033)</f>
        <v>华西简阳西城嘉苑</v>
      </c>
    </row>
    <row r="3034" hidden="1" spans="2:18">
      <c r="B3034" s="41" t="s">
        <v>81</v>
      </c>
      <c r="C3034" s="71">
        <v>45897</v>
      </c>
      <c r="D3034" s="41" t="str">
        <f>VLOOKUP(B3034,辅助信息!E:K,7,FALSE)</f>
        <v>JWDDCD2025060900080</v>
      </c>
      <c r="E3034" s="41" t="str">
        <f>VLOOKUP(F3034,辅助信息!A:B,2,FALSE)</f>
        <v>螺纹钢</v>
      </c>
      <c r="F3034" s="41" t="s">
        <v>30</v>
      </c>
      <c r="G3034" s="37">
        <v>6</v>
      </c>
      <c r="H3034" s="121">
        <f>_xlfn.XLOOKUP(C3034&amp;F3034&amp;I3034&amp;J3034,'[1]2025年已发货'!$F:$F&amp;'[1]2025年已发货'!$C:$C&amp;'[1]2025年已发货'!$G:$G&amp;'[1]2025年已发货'!$H:$H,'[1]2025年已发货'!$E:$E,"未发货")</f>
        <v>6</v>
      </c>
      <c r="I3034" s="41" t="str">
        <f>VLOOKUP(B3034,辅助信息!E:I,3,FALSE)</f>
        <v>（华西简阳西城嘉苑）四川省成都市简阳市简城街道高屋村</v>
      </c>
      <c r="J3034" s="41" t="str">
        <f>VLOOKUP(B3034,辅助信息!E:I,4,FALSE)</f>
        <v>张瀚镭</v>
      </c>
      <c r="K3034" s="41">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62</v>
      </c>
      <c r="Q3034" s="30" t="str">
        <f>VLOOKUP(B3034,辅助信息!E:M,9,FALSE)</f>
        <v>ZTWM-CDGS-XS-2024-0030-华西集采-简州大道</v>
      </c>
      <c r="R3034" s="30" t="str">
        <f>_xlfn._xlws.FILTER(辅助信息!D:D,辅助信息!E:E=B3034)</f>
        <v>华西简阳西城嘉苑</v>
      </c>
    </row>
    <row r="3035" hidden="1" spans="2:18">
      <c r="B3035" s="41" t="s">
        <v>81</v>
      </c>
      <c r="C3035" s="71">
        <v>45897</v>
      </c>
      <c r="D3035" s="41" t="str">
        <f>VLOOKUP(B3035,辅助信息!E:K,7,FALSE)</f>
        <v>JWDDCD2025060900080</v>
      </c>
      <c r="E3035" s="41" t="str">
        <f>VLOOKUP(F3035,辅助信息!A:B,2,FALSE)</f>
        <v>螺纹钢</v>
      </c>
      <c r="F3035" s="41" t="s">
        <v>33</v>
      </c>
      <c r="G3035" s="37">
        <v>41</v>
      </c>
      <c r="H3035" s="121">
        <f>_xlfn.XLOOKUP(C3035&amp;F3035&amp;I3035&amp;J3035,'[1]2025年已发货'!$F:$F&amp;'[1]2025年已发货'!$C:$C&amp;'[1]2025年已发货'!$G:$G&amp;'[1]2025年已发货'!$H:$H,'[1]2025年已发货'!$E:$E,"未发货")</f>
        <v>41</v>
      </c>
      <c r="I3035" s="41" t="str">
        <f>VLOOKUP(B3035,辅助信息!E:I,3,FALSE)</f>
        <v>（华西简阳西城嘉苑）四川省成都市简阳市简城街道高屋村</v>
      </c>
      <c r="J3035" s="41" t="str">
        <f>VLOOKUP(B3035,辅助信息!E:I,4,FALSE)</f>
        <v>张瀚镭</v>
      </c>
      <c r="K3035" s="41">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62</v>
      </c>
      <c r="Q3035" s="30" t="str">
        <f>VLOOKUP(B3035,辅助信息!E:M,9,FALSE)</f>
        <v>ZTWM-CDGS-XS-2024-0030-华西集采-简州大道</v>
      </c>
      <c r="R3035" s="30" t="str">
        <f>_xlfn._xlws.FILTER(辅助信息!D:D,辅助信息!E:E=B3035)</f>
        <v>华西简阳西城嘉苑</v>
      </c>
    </row>
    <row r="3036" hidden="1" spans="2:18">
      <c r="B3036" s="41" t="s">
        <v>81</v>
      </c>
      <c r="C3036" s="71">
        <v>45897</v>
      </c>
      <c r="D3036" s="41" t="str">
        <f>VLOOKUP(B3036,辅助信息!E:K,7,FALSE)</f>
        <v>JWDDCD2025060900080</v>
      </c>
      <c r="E3036" s="41" t="str">
        <f>VLOOKUP(F3036,辅助信息!A:B,2,FALSE)</f>
        <v>螺纹钢</v>
      </c>
      <c r="F3036" s="41" t="s">
        <v>28</v>
      </c>
      <c r="G3036" s="37">
        <v>3</v>
      </c>
      <c r="H3036" s="121">
        <f>_xlfn.XLOOKUP(C3036&amp;F3036&amp;I3036&amp;J3036,'[1]2025年已发货'!$F:$F&amp;'[1]2025年已发货'!$C:$C&amp;'[1]2025年已发货'!$G:$G&amp;'[1]2025年已发货'!$H:$H,'[1]2025年已发货'!$E:$E,"未发货")</f>
        <v>3</v>
      </c>
      <c r="I3036" s="41" t="str">
        <f>VLOOKUP(B3036,辅助信息!E:I,3,FALSE)</f>
        <v>（华西简阳西城嘉苑）四川省成都市简阳市简城街道高屋村</v>
      </c>
      <c r="J3036" s="41" t="str">
        <f>VLOOKUP(B3036,辅助信息!E:I,4,FALSE)</f>
        <v>张瀚镭</v>
      </c>
      <c r="K3036" s="41">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62</v>
      </c>
      <c r="Q3036" s="30" t="str">
        <f>VLOOKUP(B3036,辅助信息!E:M,9,FALSE)</f>
        <v>ZTWM-CDGS-XS-2024-0030-华西集采-简州大道</v>
      </c>
      <c r="R3036" s="30" t="str">
        <f>_xlfn._xlws.FILTER(辅助信息!D:D,辅助信息!E:E=B3036)</f>
        <v>华西简阳西城嘉苑</v>
      </c>
    </row>
    <row r="3037" hidden="1" spans="2:18">
      <c r="B3037" s="41" t="s">
        <v>81</v>
      </c>
      <c r="C3037" s="71">
        <v>45897</v>
      </c>
      <c r="D3037" s="41" t="str">
        <f>VLOOKUP(B3037,辅助信息!E:K,7,FALSE)</f>
        <v>JWDDCD2025060900080</v>
      </c>
      <c r="E3037" s="41" t="str">
        <f>VLOOKUP(F3037,辅助信息!A:B,2,FALSE)</f>
        <v>螺纹钢</v>
      </c>
      <c r="F3037" s="41" t="s">
        <v>18</v>
      </c>
      <c r="G3037" s="37">
        <v>71</v>
      </c>
      <c r="H3037" s="121">
        <f>_xlfn.XLOOKUP(C3037&amp;F3037&amp;I3037&amp;J3037,'[1]2025年已发货'!$F:$F&amp;'[1]2025年已发货'!$C:$C&amp;'[1]2025年已发货'!$G:$G&amp;'[1]2025年已发货'!$H:$H,'[1]2025年已发货'!$E:$E,"未发货")</f>
        <v>71</v>
      </c>
      <c r="I3037" s="41" t="str">
        <f>VLOOKUP(B3037,辅助信息!E:I,3,FALSE)</f>
        <v>（华西简阳西城嘉苑）四川省成都市简阳市简城街道高屋村</v>
      </c>
      <c r="J3037" s="41" t="str">
        <f>VLOOKUP(B3037,辅助信息!E:I,4,FALSE)</f>
        <v>张瀚镭</v>
      </c>
      <c r="K3037" s="41">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62</v>
      </c>
      <c r="Q3037" s="30" t="str">
        <f>VLOOKUP(B3037,辅助信息!E:M,9,FALSE)</f>
        <v>ZTWM-CDGS-XS-2024-0030-华西集采-简州大道</v>
      </c>
      <c r="R3037" s="30" t="str">
        <f>_xlfn._xlws.FILTER(辅助信息!D:D,辅助信息!E:E=B3037)</f>
        <v>华西简阳西城嘉苑</v>
      </c>
    </row>
    <row r="3038" hidden="1" spans="2:18">
      <c r="B3038" s="41" t="s">
        <v>81</v>
      </c>
      <c r="C3038" s="71">
        <v>45897</v>
      </c>
      <c r="D3038" s="41" t="str">
        <f>VLOOKUP(B3038,辅助信息!E:K,7,FALSE)</f>
        <v>JWDDCD2025060900080</v>
      </c>
      <c r="E3038" s="41" t="str">
        <f>VLOOKUP(F3038,辅助信息!A:B,2,FALSE)</f>
        <v>螺纹钢</v>
      </c>
      <c r="F3038" s="41" t="s">
        <v>22</v>
      </c>
      <c r="G3038" s="37">
        <v>20</v>
      </c>
      <c r="H3038" s="121">
        <f>_xlfn.XLOOKUP(C3038&amp;F3038&amp;I3038&amp;J3038,'[1]2025年已发货'!$F:$F&amp;'[1]2025年已发货'!$C:$C&amp;'[1]2025年已发货'!$G:$G&amp;'[1]2025年已发货'!$H:$H,'[1]2025年已发货'!$E:$E,"未发货")</f>
        <v>20</v>
      </c>
      <c r="I3038" s="41" t="str">
        <f>VLOOKUP(B3038,辅助信息!E:I,3,FALSE)</f>
        <v>（华西简阳西城嘉苑）四川省成都市简阳市简城街道高屋村</v>
      </c>
      <c r="J3038" s="41" t="str">
        <f>VLOOKUP(B3038,辅助信息!E:I,4,FALSE)</f>
        <v>张瀚镭</v>
      </c>
      <c r="K3038" s="41">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62</v>
      </c>
      <c r="Q3038" s="30" t="str">
        <f>VLOOKUP(B3038,辅助信息!E:M,9,FALSE)</f>
        <v>ZTWM-CDGS-XS-2024-0030-华西集采-简州大道</v>
      </c>
      <c r="R3038" s="30" t="str">
        <f>_xlfn._xlws.FILTER(辅助信息!D:D,辅助信息!E:E=B3038)</f>
        <v>华西简阳西城嘉苑</v>
      </c>
    </row>
    <row r="3039" hidden="1" spans="2:18">
      <c r="B3039" s="41" t="s">
        <v>167</v>
      </c>
      <c r="C3039" s="71">
        <v>45896</v>
      </c>
      <c r="D3039" s="41" t="str">
        <f>VLOOKUP(B3039,辅助信息!E:K,7,FALSE)</f>
        <v>JWDDCD2025102100473</v>
      </c>
      <c r="E3039" s="41" t="str">
        <f>VLOOKUP(F3039,辅助信息!A:B,2,FALSE)</f>
        <v>盘螺</v>
      </c>
      <c r="F3039" s="41" t="s">
        <v>40</v>
      </c>
      <c r="G3039" s="37">
        <v>12</v>
      </c>
      <c r="H3039" s="121">
        <f>_xlfn.XLOOKUP(C3039&amp;F3039&amp;I3039&amp;J3039,'[1]2025年已发货'!$F:$F&amp;'[1]2025年已发货'!$C:$C&amp;'[1]2025年已发货'!$G:$G&amp;'[1]2025年已发货'!$H:$H,'[1]2025年已发货'!$E:$E,"未发货")</f>
        <v>12</v>
      </c>
      <c r="I3039" s="41" t="str">
        <f>VLOOKUP(B3039,辅助信息!E:I,3,FALSE)</f>
        <v>(五冶建设扩建艺体中学二期工程)四川省成都市双流区光荣路成都艺体中学南200米</v>
      </c>
      <c r="J3039" s="41" t="str">
        <f>VLOOKUP(B3039,辅助信息!E:I,4,FALSE)</f>
        <v>谢序强</v>
      </c>
      <c r="K3039" s="41">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30" t="str">
        <f>VLOOKUP(B3039,辅助信息!E:M,9,FALSE)</f>
        <v>ZTWM-CDGS-XS-2025-0073-五冶天府-成都怡心湖片区及龙泉驿医院等项目</v>
      </c>
      <c r="R3039" s="30" t="str">
        <f>_xlfn._xlws.FILTER(辅助信息!D:D,辅助信息!E:E=B3039)</f>
        <v>五冶建设扩建艺体中学二期工程</v>
      </c>
    </row>
    <row r="3040" hidden="1" spans="2:18">
      <c r="B3040" s="41" t="s">
        <v>167</v>
      </c>
      <c r="C3040" s="71">
        <v>45896</v>
      </c>
      <c r="D3040" s="41" t="str">
        <f>VLOOKUP(B3040,辅助信息!E:K,7,FALSE)</f>
        <v>JWDDCD2025102100473</v>
      </c>
      <c r="E3040" s="41" t="str">
        <f>VLOOKUP(F3040,辅助信息!A:B,2,FALSE)</f>
        <v>盘螺</v>
      </c>
      <c r="F3040" s="41" t="s">
        <v>41</v>
      </c>
      <c r="G3040" s="37">
        <v>10</v>
      </c>
      <c r="H3040" s="121">
        <f>_xlfn.XLOOKUP(C3040&amp;F3040&amp;I3040&amp;J3040,'[1]2025年已发货'!$F:$F&amp;'[1]2025年已发货'!$C:$C&amp;'[1]2025年已发货'!$G:$G&amp;'[1]2025年已发货'!$H:$H,'[1]2025年已发货'!$E:$E,"未发货")</f>
        <v>10</v>
      </c>
      <c r="I3040" s="41" t="str">
        <f>VLOOKUP(B3040,辅助信息!E:I,3,FALSE)</f>
        <v>(五冶建设扩建艺体中学二期工程)四川省成都市双流区光荣路成都艺体中学南200米</v>
      </c>
      <c r="J3040" s="41" t="str">
        <f>VLOOKUP(B3040,辅助信息!E:I,4,FALSE)</f>
        <v>谢序强</v>
      </c>
      <c r="K3040" s="41">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30" t="str">
        <f>VLOOKUP(B3040,辅助信息!E:M,9,FALSE)</f>
        <v>ZTWM-CDGS-XS-2025-0073-五冶天府-成都怡心湖片区及龙泉驿医院等项目</v>
      </c>
      <c r="R3040" s="30" t="str">
        <f>_xlfn._xlws.FILTER(辅助信息!D:D,辅助信息!E:E=B3040)</f>
        <v>五冶建设扩建艺体中学二期工程</v>
      </c>
    </row>
    <row r="3041" hidden="1" spans="2:18">
      <c r="B3041" s="41" t="s">
        <v>167</v>
      </c>
      <c r="C3041" s="71">
        <v>45896</v>
      </c>
      <c r="D3041" s="41" t="str">
        <f>VLOOKUP(B3041,辅助信息!E:K,7,FALSE)</f>
        <v>JWDDCD2025102100473</v>
      </c>
      <c r="E3041" s="41" t="str">
        <f>VLOOKUP(F3041,辅助信息!A:B,2,FALSE)</f>
        <v>螺纹钢</v>
      </c>
      <c r="F3041" s="41" t="s">
        <v>22</v>
      </c>
      <c r="G3041" s="37">
        <v>70</v>
      </c>
      <c r="H3041" s="121">
        <f>_xlfn.XLOOKUP(C3041&amp;F3041&amp;I3041&amp;J3041,'[1]2025年已发货'!$F:$F&amp;'[1]2025年已发货'!$C:$C&amp;'[1]2025年已发货'!$G:$G&amp;'[1]2025年已发货'!$H:$H,'[1]2025年已发货'!$E:$E,"未发货")</f>
        <v>50</v>
      </c>
      <c r="I3041" s="41" t="str">
        <f>VLOOKUP(B3041,辅助信息!E:I,3,FALSE)</f>
        <v>(五冶建设扩建艺体中学二期工程)四川省成都市双流区光荣路成都艺体中学南200米</v>
      </c>
      <c r="J3041" s="41" t="str">
        <f>VLOOKUP(B3041,辅助信息!E:I,4,FALSE)</f>
        <v>谢序强</v>
      </c>
      <c r="K3041" s="41">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30" t="str">
        <f>VLOOKUP(B3041,辅助信息!E:M,9,FALSE)</f>
        <v>ZTWM-CDGS-XS-2025-0073-五冶天府-成都怡心湖片区及龙泉驿医院等项目</v>
      </c>
      <c r="R3041" s="30" t="str">
        <f>_xlfn._xlws.FILTER(辅助信息!D:D,辅助信息!E:E=B3041)</f>
        <v>五冶建设扩建艺体中学二期工程</v>
      </c>
    </row>
    <row r="3042" hidden="1" spans="2:18">
      <c r="B3042" s="41" t="s">
        <v>169</v>
      </c>
      <c r="C3042" s="71">
        <v>45896</v>
      </c>
      <c r="D3042" s="41" t="str">
        <f>VLOOKUP(B3042,辅助信息!E:K,7,FALSE)</f>
        <v>JWDDCD2025051800044</v>
      </c>
      <c r="E3042" s="41" t="str">
        <f>VLOOKUP(F3042,辅助信息!A:B,2,FALSE)</f>
        <v>螺纹钢</v>
      </c>
      <c r="F3042" s="41" t="s">
        <v>28</v>
      </c>
      <c r="G3042" s="37">
        <v>70</v>
      </c>
      <c r="H3042" s="121" t="str">
        <f>_xlfn.XLOOKUP(C3042&amp;F3042&amp;I3042&amp;J3042,'[1]2025年已发货'!$F:$F&amp;'[1]2025年已发货'!$C:$C&amp;'[1]2025年已发货'!$G:$G&amp;'[1]2025年已发货'!$H:$H,'[1]2025年已发货'!$E:$E,"未发货")</f>
        <v>未发货</v>
      </c>
      <c r="I3042" s="41" t="str">
        <f>VLOOKUP(B3042,辅助信息!E:I,3,FALSE)</f>
        <v>(五冶建设龙泉芙蓉花语项目-1,3地块)龙泉驿区北川路双堰塘钓鱼东100米(北川路)</v>
      </c>
      <c r="J3042" s="41" t="str">
        <f>VLOOKUP(B3042,辅助信息!E:I,4,FALSE)</f>
        <v>祝斯阳</v>
      </c>
      <c r="K3042" s="41">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30" t="str">
        <f>VLOOKUP(B3042,辅助信息!E:M,9,FALSE)</f>
        <v>ZTWM-CDGS-XS-2025-0073-五冶天府-成都怡心湖片区及龙泉驿医院等项目</v>
      </c>
      <c r="R3042" s="30" t="str">
        <f>_xlfn._xlws.FILTER(辅助信息!D:D,辅助信息!E:E=B3042)</f>
        <v>五冶建设龙泉芙蓉花语项目</v>
      </c>
    </row>
    <row r="3043" hidden="1" spans="2:18">
      <c r="B3043" s="41" t="s">
        <v>147</v>
      </c>
      <c r="C3043" s="71">
        <v>45899</v>
      </c>
      <c r="D3043" s="41" t="str">
        <f>VLOOKUP(B3043,辅助信息!E:K,7,FALSE)</f>
        <v>JWDDCD2025052800131</v>
      </c>
      <c r="E3043" s="41" t="str">
        <f>VLOOKUP(F3043,辅助信息!A:B,2,FALSE)</f>
        <v>螺纹钢</v>
      </c>
      <c r="F3043" s="41" t="s">
        <v>32</v>
      </c>
      <c r="G3043" s="37">
        <v>3</v>
      </c>
      <c r="H3043" s="121" t="str">
        <f>_xlfn.XLOOKUP(C3043&amp;F3043&amp;I3043&amp;J3043,'[1]2025年已发货'!$F:$F&amp;'[1]2025年已发货'!$C:$C&amp;'[1]2025年已发货'!$G:$G&amp;'[1]2025年已发货'!$H:$H,'[1]2025年已发货'!$E:$E,"未发货")</f>
        <v>未发货</v>
      </c>
      <c r="I3043" s="41" t="str">
        <f>VLOOKUP(B3043,辅助信息!E:I,3,FALSE)</f>
        <v>（商投建工达州中医药科技园-4工区-11号楼）达州市通川区达州中医药职业学院犀牛大道北段</v>
      </c>
      <c r="J3043" s="41" t="str">
        <f>VLOOKUP(B3043,辅助信息!E:I,4,FALSE)</f>
        <v>张扬</v>
      </c>
      <c r="K3043" s="41">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62</v>
      </c>
      <c r="Q3043" s="30" t="str">
        <f>VLOOKUP(B3043,辅助信息!E:M,9,FALSE)</f>
        <v>ZTWM-CDGS-XS-2024-0134-商投建工达州中医药科技成果示范园项目</v>
      </c>
      <c r="R3043" s="30" t="str">
        <f>_xlfn._xlws.FILTER(辅助信息!D:D,辅助信息!E:E=B3043)</f>
        <v>商投建工达州中医药科技园</v>
      </c>
    </row>
    <row r="3044" hidden="1" spans="2:18">
      <c r="B3044" s="41" t="s">
        <v>147</v>
      </c>
      <c r="C3044" s="71">
        <v>45899</v>
      </c>
      <c r="D3044" s="41" t="str">
        <f>VLOOKUP(B3044,辅助信息!E:K,7,FALSE)</f>
        <v>JWDDCD2025052800131</v>
      </c>
      <c r="E3044" s="41" t="str">
        <f>VLOOKUP(F3044,辅助信息!A:B,2,FALSE)</f>
        <v>螺纹钢</v>
      </c>
      <c r="F3044" s="41" t="s">
        <v>30</v>
      </c>
      <c r="G3044" s="37">
        <v>6</v>
      </c>
      <c r="H3044" s="121" t="str">
        <f>_xlfn.XLOOKUP(C3044&amp;F3044&amp;I3044&amp;J3044,'[1]2025年已发货'!$F:$F&amp;'[1]2025年已发货'!$C:$C&amp;'[1]2025年已发货'!$G:$G&amp;'[1]2025年已发货'!$H:$H,'[1]2025年已发货'!$E:$E,"未发货")</f>
        <v>未发货</v>
      </c>
      <c r="I3044" s="41" t="str">
        <f>VLOOKUP(B3044,辅助信息!E:I,3,FALSE)</f>
        <v>（商投建工达州中医药科技园-4工区-11号楼）达州市通川区达州中医药职业学院犀牛大道北段</v>
      </c>
      <c r="J3044" s="41" t="str">
        <f>VLOOKUP(B3044,辅助信息!E:I,4,FALSE)</f>
        <v>张扬</v>
      </c>
      <c r="K3044" s="41">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62</v>
      </c>
      <c r="Q3044" s="30" t="str">
        <f>VLOOKUP(B3044,辅助信息!E:M,9,FALSE)</f>
        <v>ZTWM-CDGS-XS-2024-0134-商投建工达州中医药科技成果示范园项目</v>
      </c>
      <c r="R3044" s="30" t="str">
        <f>_xlfn._xlws.FILTER(辅助信息!D:D,辅助信息!E:E=B3044)</f>
        <v>商投建工达州中医药科技园</v>
      </c>
    </row>
    <row r="3045" hidden="1" spans="2:18">
      <c r="B3045" s="41" t="s">
        <v>163</v>
      </c>
      <c r="C3045" s="71">
        <v>45899</v>
      </c>
      <c r="D3045" s="41" t="str">
        <f>VLOOKUP(B3045,辅助信息!E:K,7,FALSE)</f>
        <v>JWDDCD2025052800131</v>
      </c>
      <c r="E3045" s="41" t="str">
        <f>VLOOKUP(F3045,辅助信息!A:B,2,FALSE)</f>
        <v>盘螺</v>
      </c>
      <c r="F3045" s="41" t="s">
        <v>40</v>
      </c>
      <c r="G3045" s="37">
        <v>13</v>
      </c>
      <c r="H3045" s="121">
        <f>_xlfn.XLOOKUP(C3045&amp;F3045&amp;I3045&amp;J3045,'[1]2025年已发货'!$F:$F&amp;'[1]2025年已发货'!$C:$C&amp;'[1]2025年已发货'!$G:$G&amp;'[1]2025年已发货'!$H:$H,'[1]2025年已发货'!$E:$E,"未发货")</f>
        <v>40</v>
      </c>
      <c r="I3045" s="41" t="str">
        <f>VLOOKUP(B3045,辅助信息!E:I,3,FALSE)</f>
        <v>（商投建工达州中医药科技园-4工区-9号楼）达州市通川区达州中医药职业学院犀牛大道北段</v>
      </c>
      <c r="J3045" s="41" t="str">
        <f>VLOOKUP(B3045,辅助信息!E:I,4,FALSE)</f>
        <v>张扬</v>
      </c>
      <c r="K3045" s="41">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62</v>
      </c>
      <c r="Q3045" s="30" t="str">
        <f>VLOOKUP(B3045,辅助信息!E:M,9,FALSE)</f>
        <v>ZTWM-CDGS-XS-2024-0134-商投建工达州中医药科技成果示范园项目</v>
      </c>
      <c r="R3045" s="30" t="str">
        <f>_xlfn._xlws.FILTER(辅助信息!D:D,辅助信息!E:E=B3045)</f>
        <v>商投建工达州中医药科技园</v>
      </c>
    </row>
    <row r="3046" hidden="1" spans="2:18">
      <c r="B3046" s="41" t="s">
        <v>163</v>
      </c>
      <c r="C3046" s="71">
        <v>45899</v>
      </c>
      <c r="D3046" s="41" t="str">
        <f>VLOOKUP(B3046,辅助信息!E:K,7,FALSE)</f>
        <v>JWDDCD2025052800131</v>
      </c>
      <c r="E3046" s="41" t="str">
        <f>VLOOKUP(F3046,辅助信息!A:B,2,FALSE)</f>
        <v>螺纹钢</v>
      </c>
      <c r="F3046" s="41" t="s">
        <v>30</v>
      </c>
      <c r="G3046" s="37">
        <v>6</v>
      </c>
      <c r="H3046" s="121" t="str">
        <f>_xlfn.XLOOKUP(C3046&amp;F3046&amp;I3046&amp;J3046,'[1]2025年已发货'!$F:$F&amp;'[1]2025年已发货'!$C:$C&amp;'[1]2025年已发货'!$G:$G&amp;'[1]2025年已发货'!$H:$H,'[1]2025年已发货'!$E:$E,"未发货")</f>
        <v>未发货</v>
      </c>
      <c r="I3046" s="41" t="str">
        <f>VLOOKUP(B3046,辅助信息!E:I,3,FALSE)</f>
        <v>（商投建工达州中医药科技园-4工区-9号楼）达州市通川区达州中医药职业学院犀牛大道北段</v>
      </c>
      <c r="J3046" s="41" t="str">
        <f>VLOOKUP(B3046,辅助信息!E:I,4,FALSE)</f>
        <v>张扬</v>
      </c>
      <c r="K3046" s="41">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62</v>
      </c>
      <c r="Q3046" s="30" t="str">
        <f>VLOOKUP(B3046,辅助信息!E:M,9,FALSE)</f>
        <v>ZTWM-CDGS-XS-2024-0134-商投建工达州中医药科技成果示范园项目</v>
      </c>
      <c r="R3046" s="30" t="str">
        <f>_xlfn._xlws.FILTER(辅助信息!D:D,辅助信息!E:E=B3046)</f>
        <v>商投建工达州中医药科技园</v>
      </c>
    </row>
    <row r="3047" hidden="1" spans="2:18">
      <c r="B3047" s="41" t="s">
        <v>163</v>
      </c>
      <c r="C3047" s="71">
        <v>45899</v>
      </c>
      <c r="D3047" s="41" t="str">
        <f>VLOOKUP(B3047,辅助信息!E:K,7,FALSE)</f>
        <v>JWDDCD2025052800131</v>
      </c>
      <c r="E3047" s="41" t="str">
        <f>VLOOKUP(F3047,辅助信息!A:B,2,FALSE)</f>
        <v>螺纹钢</v>
      </c>
      <c r="F3047" s="41" t="s">
        <v>21</v>
      </c>
      <c r="G3047" s="37">
        <v>6</v>
      </c>
      <c r="H3047" s="121" t="str">
        <f>_xlfn.XLOOKUP(C3047&amp;F3047&amp;I3047&amp;J3047,'[1]2025年已发货'!$F:$F&amp;'[1]2025年已发货'!$C:$C&amp;'[1]2025年已发货'!$G:$G&amp;'[1]2025年已发货'!$H:$H,'[1]2025年已发货'!$E:$E,"未发货")</f>
        <v>未发货</v>
      </c>
      <c r="I3047" s="41" t="str">
        <f>VLOOKUP(B3047,辅助信息!E:I,3,FALSE)</f>
        <v>（商投建工达州中医药科技园-4工区-9号楼）达州市通川区达州中医药职业学院犀牛大道北段</v>
      </c>
      <c r="J3047" s="41" t="str">
        <f>VLOOKUP(B3047,辅助信息!E:I,4,FALSE)</f>
        <v>张扬</v>
      </c>
      <c r="K3047" s="41">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62</v>
      </c>
      <c r="Q3047" s="30" t="str">
        <f>VLOOKUP(B3047,辅助信息!E:M,9,FALSE)</f>
        <v>ZTWM-CDGS-XS-2024-0134-商投建工达州中医药科技成果示范园项目</v>
      </c>
      <c r="R3047" s="30" t="str">
        <f>_xlfn._xlws.FILTER(辅助信息!D:D,辅助信息!E:E=B3047)</f>
        <v>商投建工达州中医药科技园</v>
      </c>
    </row>
    <row r="3048" hidden="1" spans="2:18">
      <c r="B3048" s="41" t="s">
        <v>163</v>
      </c>
      <c r="C3048" s="71">
        <v>45899</v>
      </c>
      <c r="D3048" s="41" t="str">
        <f>VLOOKUP(B3048,辅助信息!E:K,7,FALSE)</f>
        <v>JWDDCD2025052800131</v>
      </c>
      <c r="E3048" s="41" t="str">
        <f>VLOOKUP(F3048,辅助信息!A:B,2,FALSE)</f>
        <v>螺纹钢</v>
      </c>
      <c r="F3048" s="41" t="s">
        <v>58</v>
      </c>
      <c r="G3048" s="37">
        <v>12</v>
      </c>
      <c r="H3048" s="121" t="str">
        <f>_xlfn.XLOOKUP(C3048&amp;F3048&amp;I3048&amp;J3048,'[1]2025年已发货'!$F:$F&amp;'[1]2025年已发货'!$C:$C&amp;'[1]2025年已发货'!$G:$G&amp;'[1]2025年已发货'!$H:$H,'[1]2025年已发货'!$E:$E,"未发货")</f>
        <v>未发货</v>
      </c>
      <c r="I3048" s="41" t="str">
        <f>VLOOKUP(B3048,辅助信息!E:I,3,FALSE)</f>
        <v>（商投建工达州中医药科技园-4工区-9号楼）达州市通川区达州中医药职业学院犀牛大道北段</v>
      </c>
      <c r="J3048" s="41" t="str">
        <f>VLOOKUP(B3048,辅助信息!E:I,4,FALSE)</f>
        <v>张扬</v>
      </c>
      <c r="K3048" s="41">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62</v>
      </c>
      <c r="Q3048" s="30" t="str">
        <f>VLOOKUP(B3048,辅助信息!E:M,9,FALSE)</f>
        <v>ZTWM-CDGS-XS-2024-0134-商投建工达州中医药科技成果示范园项目</v>
      </c>
      <c r="R3048" s="30" t="str">
        <f>_xlfn._xlws.FILTER(辅助信息!D:D,辅助信息!E:E=B3048)</f>
        <v>商投建工达州中医药科技园</v>
      </c>
    </row>
    <row r="3049" hidden="1" spans="2:18">
      <c r="B3049" s="41" t="s">
        <v>186</v>
      </c>
      <c r="C3049" s="71">
        <v>45899</v>
      </c>
      <c r="D3049" s="41" t="str">
        <f>VLOOKUP(B3049,辅助信息!E:K,7,FALSE)</f>
        <v>JWDDCD2025072900123</v>
      </c>
      <c r="E3049" s="41" t="str">
        <f>VLOOKUP(F3049,辅助信息!A:B,2,FALSE)</f>
        <v>螺纹钢</v>
      </c>
      <c r="F3049" s="41" t="s">
        <v>18</v>
      </c>
      <c r="G3049" s="37">
        <v>18</v>
      </c>
      <c r="H3049" s="121" t="str">
        <f>_xlfn.XLOOKUP(C3049&amp;F3049&amp;I3049&amp;J3049,'[1]2025年已发货'!$F:$F&amp;'[1]2025年已发货'!$C:$C&amp;'[1]2025年已发货'!$G:$G&amp;'[1]2025年已发货'!$H:$H,'[1]2025年已发货'!$E:$E,"未发货")</f>
        <v>未发货</v>
      </c>
      <c r="I3049" s="41" t="str">
        <f>VLOOKUP(B3049,辅助信息!E:I,3,FALSE)</f>
        <v>(乐山市校地共建产教融合基地建设项目二标段)四川省乐山市市中区苏稽镇</v>
      </c>
      <c r="J3049" s="41" t="str">
        <f>VLOOKUP(B3049,辅助信息!E:I,4,FALSE)</f>
        <v>彭江涛</v>
      </c>
      <c r="K3049" s="41">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30" t="str">
        <f>VLOOKUP(B3049,辅助信息!E:M,9,FALSE)</f>
        <v>ZTWM-CDGS-XS-2025-0126-四川机司-乐山市校地共建产教融合基地配套设施项目施工二标段钢筋采购合同</v>
      </c>
      <c r="R3049" s="30" t="str">
        <f>_xlfn._xlws.FILTER(辅助信息!D:D,辅助信息!E:E=B3049)</f>
        <v>乐山市校地共建产教融合基地建设项目</v>
      </c>
    </row>
    <row r="3050" hidden="1" spans="2:18">
      <c r="B3050" s="41" t="s">
        <v>186</v>
      </c>
      <c r="C3050" s="71">
        <v>45899</v>
      </c>
      <c r="D3050" s="41" t="str">
        <f>VLOOKUP(B3050,辅助信息!E:K,7,FALSE)</f>
        <v>JWDDCD2025072900123</v>
      </c>
      <c r="E3050" s="41" t="str">
        <f>VLOOKUP(F3050,辅助信息!A:B,2,FALSE)</f>
        <v>螺纹钢</v>
      </c>
      <c r="F3050" s="41" t="s">
        <v>18</v>
      </c>
      <c r="G3050" s="37">
        <v>5</v>
      </c>
      <c r="H3050" s="121" t="str">
        <f>_xlfn.XLOOKUP(C3050&amp;F3050&amp;I3050&amp;J3050,'[1]2025年已发货'!$F:$F&amp;'[1]2025年已发货'!$C:$C&amp;'[1]2025年已发货'!$G:$G&amp;'[1]2025年已发货'!$H:$H,'[1]2025年已发货'!$E:$E,"未发货")</f>
        <v>未发货</v>
      </c>
      <c r="I3050" s="41" t="str">
        <f>VLOOKUP(B3050,辅助信息!E:I,3,FALSE)</f>
        <v>(乐山市校地共建产教融合基地建设项目二标段)四川省乐山市市中区苏稽镇</v>
      </c>
      <c r="J3050" s="41" t="str">
        <f>VLOOKUP(B3050,辅助信息!E:I,4,FALSE)</f>
        <v>彭江涛</v>
      </c>
      <c r="K3050" s="41">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30" t="str">
        <f>VLOOKUP(B3050,辅助信息!E:M,9,FALSE)</f>
        <v>ZTWM-CDGS-XS-2025-0126-四川机司-乐山市校地共建产教融合基地配套设施项目施工二标段钢筋采购合同</v>
      </c>
      <c r="R3050" s="30" t="str">
        <f>_xlfn._xlws.FILTER(辅助信息!D:D,辅助信息!E:E=B3050)</f>
        <v>乐山市校地共建产教融合基地建设项目</v>
      </c>
    </row>
    <row r="3051" hidden="1" spans="2:18">
      <c r="B3051" s="41" t="s">
        <v>186</v>
      </c>
      <c r="C3051" s="71">
        <v>45899</v>
      </c>
      <c r="D3051" s="41" t="str">
        <f>VLOOKUP(B3051,辅助信息!E:K,7,FALSE)</f>
        <v>JWDDCD2025072900123</v>
      </c>
      <c r="E3051" s="41" t="str">
        <f>VLOOKUP(F3051,辅助信息!A:B,2,FALSE)</f>
        <v>螺纹钢</v>
      </c>
      <c r="F3051" s="41" t="s">
        <v>91</v>
      </c>
      <c r="G3051" s="37">
        <v>5</v>
      </c>
      <c r="H3051" s="121" t="str">
        <f>_xlfn.XLOOKUP(C3051&amp;F3051&amp;I3051&amp;J3051,'[1]2025年已发货'!$F:$F&amp;'[1]2025年已发货'!$C:$C&amp;'[1]2025年已发货'!$G:$G&amp;'[1]2025年已发货'!$H:$H,'[1]2025年已发货'!$E:$E,"未发货")</f>
        <v>未发货</v>
      </c>
      <c r="I3051" s="41" t="str">
        <f>VLOOKUP(B3051,辅助信息!E:I,3,FALSE)</f>
        <v>(乐山市校地共建产教融合基地建设项目二标段)四川省乐山市市中区苏稽镇</v>
      </c>
      <c r="J3051" s="41" t="str">
        <f>VLOOKUP(B3051,辅助信息!E:I,4,FALSE)</f>
        <v>彭江涛</v>
      </c>
      <c r="K3051" s="41">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30" t="str">
        <f>VLOOKUP(B3051,辅助信息!E:M,9,FALSE)</f>
        <v>ZTWM-CDGS-XS-2025-0126-四川机司-乐山市校地共建产教融合基地配套设施项目施工二标段钢筋采购合同</v>
      </c>
      <c r="R3051" s="30" t="str">
        <f>_xlfn._xlws.FILTER(辅助信息!D:D,辅助信息!E:E=B3051)</f>
        <v>乐山市校地共建产教融合基地建设项目</v>
      </c>
    </row>
    <row r="3052" hidden="1" spans="2:18">
      <c r="B3052" s="41" t="s">
        <v>147</v>
      </c>
      <c r="C3052" s="71">
        <v>45899</v>
      </c>
      <c r="D3052" s="41" t="str">
        <f>VLOOKUP(B3052,辅助信息!E:K,7,FALSE)</f>
        <v>JWDDCD2025052800131</v>
      </c>
      <c r="E3052" s="41" t="str">
        <f>VLOOKUP(F3052,辅助信息!A:B,2,FALSE)</f>
        <v>螺纹钢</v>
      </c>
      <c r="F3052" s="41" t="s">
        <v>21</v>
      </c>
      <c r="G3052" s="37">
        <v>12</v>
      </c>
      <c r="H3052" s="121" t="str">
        <f>_xlfn.XLOOKUP(C3052&amp;F3052&amp;I3052&amp;J3052,'[1]2025年已发货'!$F:$F&amp;'[1]2025年已发货'!$C:$C&amp;'[1]2025年已发货'!$G:$G&amp;'[1]2025年已发货'!$H:$H,'[1]2025年已发货'!$E:$E,"未发货")</f>
        <v>未发货</v>
      </c>
      <c r="I3052" s="41" t="str">
        <f>VLOOKUP(B3052,辅助信息!E:I,3,FALSE)</f>
        <v>（商投建工达州中医药科技园-4工区-11号楼）达州市通川区达州中医药职业学院犀牛大道北段</v>
      </c>
      <c r="J3052" s="41" t="str">
        <f>VLOOKUP(B3052,辅助信息!E:I,4,FALSE)</f>
        <v>张扬</v>
      </c>
      <c r="K3052" s="41">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62</v>
      </c>
      <c r="Q3052" s="30" t="str">
        <f>VLOOKUP(B3052,辅助信息!E:M,9,FALSE)</f>
        <v>ZTWM-CDGS-XS-2024-0134-商投建工达州中医药科技成果示范园项目</v>
      </c>
      <c r="R3052" s="30" t="str">
        <f>_xlfn._xlws.FILTER(辅助信息!D:D,辅助信息!E:E=B3052)</f>
        <v>商投建工达州中医药科技园</v>
      </c>
    </row>
    <row r="3053" hidden="1" spans="2:18">
      <c r="B3053" s="41" t="s">
        <v>147</v>
      </c>
      <c r="C3053" s="71">
        <v>45899</v>
      </c>
      <c r="D3053" s="41" t="str">
        <f>VLOOKUP(B3053,辅助信息!E:K,7,FALSE)</f>
        <v>JWDDCD2025052800131</v>
      </c>
      <c r="E3053" s="41" t="str">
        <f>VLOOKUP(F3053,辅助信息!A:B,2,FALSE)</f>
        <v>螺纹钢</v>
      </c>
      <c r="F3053" s="41" t="s">
        <v>58</v>
      </c>
      <c r="G3053" s="37">
        <v>12</v>
      </c>
      <c r="H3053" s="121" t="str">
        <f>_xlfn.XLOOKUP(C3053&amp;F3053&amp;I3053&amp;J3053,'[1]2025年已发货'!$F:$F&amp;'[1]2025年已发货'!$C:$C&amp;'[1]2025年已发货'!$G:$G&amp;'[1]2025年已发货'!$H:$H,'[1]2025年已发货'!$E:$E,"未发货")</f>
        <v>未发货</v>
      </c>
      <c r="I3053" s="41" t="str">
        <f>VLOOKUP(B3053,辅助信息!E:I,3,FALSE)</f>
        <v>（商投建工达州中医药科技园-4工区-11号楼）达州市通川区达州中医药职业学院犀牛大道北段</v>
      </c>
      <c r="J3053" s="41" t="str">
        <f>VLOOKUP(B3053,辅助信息!E:I,4,FALSE)</f>
        <v>张扬</v>
      </c>
      <c r="K3053" s="41">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62</v>
      </c>
      <c r="Q3053" s="30" t="str">
        <f>VLOOKUP(B3053,辅助信息!E:M,9,FALSE)</f>
        <v>ZTWM-CDGS-XS-2024-0134-商投建工达州中医药科技成果示范园项目</v>
      </c>
      <c r="R3053" s="30" t="str">
        <f>_xlfn._xlws.FILTER(辅助信息!D:D,辅助信息!E:E=B3053)</f>
        <v>商投建工达州中医药科技园</v>
      </c>
    </row>
    <row r="3054" hidden="1" spans="2:18">
      <c r="B3054" s="41" t="s">
        <v>180</v>
      </c>
      <c r="C3054" s="71">
        <v>45899</v>
      </c>
      <c r="D3054" s="41" t="str">
        <f>VLOOKUP(B3054,辅助信息!E:K,7,FALSE)</f>
        <v>JWDDCD2025052800131</v>
      </c>
      <c r="E3054" s="41" t="str">
        <f>VLOOKUP(F3054,辅助信息!A:B,2,FALSE)</f>
        <v>螺纹钢</v>
      </c>
      <c r="F3054" s="41" t="s">
        <v>21</v>
      </c>
      <c r="G3054" s="37">
        <v>6</v>
      </c>
      <c r="H3054" s="121" t="str">
        <f>_xlfn.XLOOKUP(C3054&amp;F3054&amp;I3054&amp;J3054,'[1]2025年已发货'!$F:$F&amp;'[1]2025年已发货'!$C:$C&amp;'[1]2025年已发货'!$G:$G&amp;'[1]2025年已发货'!$H:$H,'[1]2025年已发货'!$E:$E,"未发货")</f>
        <v>未发货</v>
      </c>
      <c r="I3054" s="41" t="str">
        <f>VLOOKUP(B3054,辅助信息!E:I,3,FALSE)</f>
        <v>（商投建工达州中医药科技园-4工区-8号楼）达州市通川区达州中医药职业学院犀牛大道北段</v>
      </c>
      <c r="J3054" s="41" t="str">
        <f>VLOOKUP(B3054,辅助信息!E:I,4,FALSE)</f>
        <v>张扬</v>
      </c>
      <c r="K3054" s="41">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59</v>
      </c>
      <c r="Q3054" s="30" t="str">
        <f>VLOOKUP(B3054,辅助信息!E:M,9,FALSE)</f>
        <v>ZTWM-CDGS-XS-2024-0134-商投建工达州中医药科技成果示范园项目</v>
      </c>
      <c r="R3054" s="30" t="str">
        <f>_xlfn._xlws.FILTER(辅助信息!D:D,辅助信息!E:E=B3054)</f>
        <v>商投建工达州中医药科技园</v>
      </c>
    </row>
    <row r="3055" hidden="1" spans="1:18">
      <c r="A3055" s="72" t="s">
        <v>210</v>
      </c>
      <c r="B3055" s="41" t="s">
        <v>169</v>
      </c>
      <c r="C3055" s="71">
        <v>45901</v>
      </c>
      <c r="D3055" s="41" t="str">
        <f>VLOOKUP(B3055,辅助信息!E:K,7,FALSE)</f>
        <v>JWDDCD2025051800044</v>
      </c>
      <c r="E3055" s="41" t="str">
        <f>VLOOKUP(F3055,辅助信息!A:B,2,FALSE)</f>
        <v>高线</v>
      </c>
      <c r="F3055" s="41" t="s">
        <v>51</v>
      </c>
      <c r="G3055" s="37">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1" t="str">
        <f>VLOOKUP(B3055,辅助信息!E:I,3,FALSE)</f>
        <v>(五冶建设龙泉芙蓉花语项目-1,3地块)龙泉驿区北川路双堰塘钓鱼东100米(北川路)</v>
      </c>
      <c r="J3055" s="41" t="str">
        <f>VLOOKUP(B3055,辅助信息!E:I,4,FALSE)</f>
        <v>祝斯阳</v>
      </c>
      <c r="K3055" s="41">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58</v>
      </c>
      <c r="Q3055" s="30" t="str">
        <f>VLOOKUP(B3055,辅助信息!E:M,9,FALSE)</f>
        <v>ZTWM-CDGS-XS-2025-0073-五冶天府-成都怡心湖片区及龙泉驿医院等项目</v>
      </c>
      <c r="R3055" s="30" t="str">
        <f>_xlfn._xlws.FILTER(辅助信息!D:D,辅助信息!E:E=B3055)</f>
        <v>五冶建设龙泉芙蓉花语项目</v>
      </c>
    </row>
    <row r="3056" hidden="1" spans="1:18">
      <c r="A3056" s="72"/>
      <c r="B3056" s="41" t="s">
        <v>169</v>
      </c>
      <c r="C3056" s="71">
        <v>45901</v>
      </c>
      <c r="D3056" s="41" t="str">
        <f>VLOOKUP(B3056,辅助信息!E:K,7,FALSE)</f>
        <v>JWDDCD2025051800044</v>
      </c>
      <c r="E3056" s="41" t="str">
        <f>VLOOKUP(F3056,辅助信息!A:B,2,FALSE)</f>
        <v>螺纹钢</v>
      </c>
      <c r="F3056" s="41" t="s">
        <v>28</v>
      </c>
      <c r="G3056" s="37">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1" t="str">
        <f>VLOOKUP(B3056,辅助信息!E:I,3,FALSE)</f>
        <v>(五冶建设龙泉芙蓉花语项目-1,3地块)龙泉驿区北川路双堰塘钓鱼东100米(北川路)</v>
      </c>
      <c r="J3056" s="41" t="str">
        <f>VLOOKUP(B3056,辅助信息!E:I,4,FALSE)</f>
        <v>祝斯阳</v>
      </c>
      <c r="K3056" s="41">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57</v>
      </c>
      <c r="Q3056" s="30" t="str">
        <f>VLOOKUP(B3056,辅助信息!E:M,9,FALSE)</f>
        <v>ZTWM-CDGS-XS-2025-0073-五冶天府-成都怡心湖片区及龙泉驿医院等项目</v>
      </c>
      <c r="R3056" s="30" t="str">
        <f>_xlfn._xlws.FILTER(辅助信息!D:D,辅助信息!E:E=B3056)</f>
        <v>五冶建设龙泉芙蓉花语项目</v>
      </c>
    </row>
    <row r="3057" hidden="1" spans="2:18">
      <c r="B3057" s="41" t="s">
        <v>167</v>
      </c>
      <c r="C3057" s="71">
        <v>45901</v>
      </c>
      <c r="D3057" s="41" t="str">
        <f>VLOOKUP(B3057,辅助信息!E:K,7,FALSE)</f>
        <v>JWDDCD2025102100473</v>
      </c>
      <c r="E3057" s="41" t="str">
        <f>VLOOKUP(F3057,辅助信息!A:B,2,FALSE)</f>
        <v>螺纹钢</v>
      </c>
      <c r="F3057" s="41" t="s">
        <v>22</v>
      </c>
      <c r="G3057" s="37">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1" t="str">
        <f>VLOOKUP(B3057,辅助信息!E:I,3,FALSE)</f>
        <v>(五冶建设扩建艺体中学二期工程)四川省成都市双流区光荣路成都艺体中学南200米</v>
      </c>
      <c r="J3057" s="41" t="str">
        <f>VLOOKUP(B3057,辅助信息!E:I,4,FALSE)</f>
        <v>谢序强</v>
      </c>
      <c r="K3057" s="41">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57</v>
      </c>
      <c r="Q3057" s="30" t="str">
        <f>VLOOKUP(B3057,辅助信息!E:M,9,FALSE)</f>
        <v>ZTWM-CDGS-XS-2025-0073-五冶天府-成都怡心湖片区及龙泉驿医院等项目</v>
      </c>
      <c r="R3057" s="30" t="str">
        <f>_xlfn._xlws.FILTER(辅助信息!D:D,辅助信息!E:E=B3057)</f>
        <v>五冶建设扩建艺体中学二期工程</v>
      </c>
    </row>
    <row r="3058" hidden="1" spans="2:18">
      <c r="B3058" s="41" t="s">
        <v>167</v>
      </c>
      <c r="C3058" s="71">
        <v>45901</v>
      </c>
      <c r="D3058" s="41" t="str">
        <f>VLOOKUP(B3058,辅助信息!E:K,7,FALSE)</f>
        <v>JWDDCD2025102100473</v>
      </c>
      <c r="E3058" s="41" t="str">
        <f>VLOOKUP(F3058,辅助信息!A:B,2,FALSE)</f>
        <v>螺纹钢</v>
      </c>
      <c r="F3058" s="41" t="s">
        <v>27</v>
      </c>
      <c r="G3058" s="37">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1" t="str">
        <f>VLOOKUP(B3058,辅助信息!E:I,3,FALSE)</f>
        <v>(五冶建设扩建艺体中学二期工程)四川省成都市双流区光荣路成都艺体中学南200米</v>
      </c>
      <c r="J3058" s="41" t="str">
        <f>VLOOKUP(B3058,辅助信息!E:I,4,FALSE)</f>
        <v>谢序强</v>
      </c>
      <c r="K3058" s="41">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57</v>
      </c>
      <c r="Q3058" s="30" t="str">
        <f>VLOOKUP(B3058,辅助信息!E:M,9,FALSE)</f>
        <v>ZTWM-CDGS-XS-2025-0073-五冶天府-成都怡心湖片区及龙泉驿医院等项目</v>
      </c>
      <c r="R3058" s="30" t="str">
        <f>_xlfn._xlws.FILTER(辅助信息!D:D,辅助信息!E:E=B3058)</f>
        <v>五冶建设扩建艺体中学二期工程</v>
      </c>
    </row>
    <row r="3059" hidden="1" spans="2:18">
      <c r="B3059" s="41" t="s">
        <v>208</v>
      </c>
      <c r="C3059" s="71">
        <v>45901</v>
      </c>
      <c r="D3059" s="41" t="str">
        <f>VLOOKUP(B3059,辅助信息!E:K,7,FALSE)</f>
        <v>JWDDCD2025102100480</v>
      </c>
      <c r="E3059" s="41" t="str">
        <f>VLOOKUP(F3059,辅助信息!A:B,2,FALSE)</f>
        <v>高线</v>
      </c>
      <c r="F3059" s="41" t="s">
        <v>51</v>
      </c>
      <c r="G3059" s="37">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1" t="str">
        <f>VLOOKUP(B3059,辅助信息!E:I,3,FALSE)</f>
        <v>(五冶建设锦江区林家坝片区20号地块商业项目)锦江区泰昌路锦江28亩项目部</v>
      </c>
      <c r="J3059" s="41" t="str">
        <f>VLOOKUP(B3059,辅助信息!E:I,4,FALSE)</f>
        <v>陶杰</v>
      </c>
      <c r="K3059" s="41">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56</v>
      </c>
      <c r="Q3059" s="30" t="str">
        <f>VLOOKUP(B3059,辅助信息!E:M,9,FALSE)</f>
        <v>ZTWM-CDGS-XS-2025-0073-五冶天府-成都怡心湖片区及龙泉驿医院等项目</v>
      </c>
      <c r="R3059" s="30" t="str">
        <f>_xlfn._xlws.FILTER(辅助信息!D:D,辅助信息!E:E=B3059)</f>
        <v>五冶建设锦江区林家坝片区20号地块商业项目</v>
      </c>
    </row>
    <row r="3060" hidden="1" spans="2:18">
      <c r="B3060" s="41" t="s">
        <v>208</v>
      </c>
      <c r="C3060" s="71">
        <v>45901</v>
      </c>
      <c r="D3060" s="41" t="str">
        <f>VLOOKUP(B3060,辅助信息!E:K,7,FALSE)</f>
        <v>JWDDCD2025102100480</v>
      </c>
      <c r="E3060" s="41" t="str">
        <f>VLOOKUP(F3060,辅助信息!A:B,2,FALSE)</f>
        <v>高线</v>
      </c>
      <c r="F3060" s="41" t="s">
        <v>61</v>
      </c>
      <c r="G3060" s="37">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1" t="str">
        <f>VLOOKUP(B3060,辅助信息!E:I,3,FALSE)</f>
        <v>(五冶建设锦江区林家坝片区20号地块商业项目)锦江区泰昌路锦江28亩项目部</v>
      </c>
      <c r="J3060" s="41" t="str">
        <f>VLOOKUP(B3060,辅助信息!E:I,4,FALSE)</f>
        <v>陶杰</v>
      </c>
      <c r="K3060" s="41">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56</v>
      </c>
      <c r="Q3060" s="30" t="str">
        <f>VLOOKUP(B3060,辅助信息!E:M,9,FALSE)</f>
        <v>ZTWM-CDGS-XS-2025-0073-五冶天府-成都怡心湖片区及龙泉驿医院等项目</v>
      </c>
      <c r="R3060" s="30" t="str">
        <f>_xlfn._xlws.FILTER(辅助信息!D:D,辅助信息!E:E=B3060)</f>
        <v>五冶建设锦江区林家坝片区20号地块商业项目</v>
      </c>
    </row>
    <row r="3061" hidden="1" spans="2:18">
      <c r="B3061" s="41" t="s">
        <v>208</v>
      </c>
      <c r="C3061" s="71">
        <v>45901</v>
      </c>
      <c r="D3061" s="41" t="str">
        <f>VLOOKUP(B3061,辅助信息!E:K,7,FALSE)</f>
        <v>JWDDCD2025102100480</v>
      </c>
      <c r="E3061" s="41" t="str">
        <f>VLOOKUP(F3061,辅助信息!A:B,2,FALSE)</f>
        <v>螺纹钢</v>
      </c>
      <c r="F3061" s="41" t="s">
        <v>30</v>
      </c>
      <c r="G3061" s="37">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1" t="str">
        <f>VLOOKUP(B3061,辅助信息!E:I,3,FALSE)</f>
        <v>(五冶建设锦江区林家坝片区20号地块商业项目)锦江区泰昌路锦江28亩项目部</v>
      </c>
      <c r="J3061" s="41" t="str">
        <f>VLOOKUP(B3061,辅助信息!E:I,4,FALSE)</f>
        <v>陶杰</v>
      </c>
      <c r="K3061" s="41">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56</v>
      </c>
      <c r="Q3061" s="30" t="str">
        <f>VLOOKUP(B3061,辅助信息!E:M,9,FALSE)</f>
        <v>ZTWM-CDGS-XS-2025-0073-五冶天府-成都怡心湖片区及龙泉驿医院等项目</v>
      </c>
      <c r="R3061" s="30" t="str">
        <f>_xlfn._xlws.FILTER(辅助信息!D:D,辅助信息!E:E=B3061)</f>
        <v>五冶建设锦江区林家坝片区20号地块商业项目</v>
      </c>
    </row>
    <row r="3062" hidden="1" spans="2:18">
      <c r="B3062" s="41" t="s">
        <v>208</v>
      </c>
      <c r="C3062" s="71">
        <v>45901</v>
      </c>
      <c r="D3062" s="41" t="str">
        <f>VLOOKUP(B3062,辅助信息!E:K,7,FALSE)</f>
        <v>JWDDCD2025102100480</v>
      </c>
      <c r="E3062" s="41" t="str">
        <f>VLOOKUP(F3062,辅助信息!A:B,2,FALSE)</f>
        <v>螺纹钢</v>
      </c>
      <c r="F3062" s="41" t="s">
        <v>28</v>
      </c>
      <c r="G3062" s="37">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1" t="str">
        <f>VLOOKUP(B3062,辅助信息!E:I,3,FALSE)</f>
        <v>(五冶建设锦江区林家坝片区20号地块商业项目)锦江区泰昌路锦江28亩项目部</v>
      </c>
      <c r="J3062" s="41" t="str">
        <f>VLOOKUP(B3062,辅助信息!E:I,4,FALSE)</f>
        <v>陶杰</v>
      </c>
      <c r="K3062" s="41">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56</v>
      </c>
      <c r="Q3062" s="30" t="str">
        <f>VLOOKUP(B3062,辅助信息!E:M,9,FALSE)</f>
        <v>ZTWM-CDGS-XS-2025-0073-五冶天府-成都怡心湖片区及龙泉驿医院等项目</v>
      </c>
      <c r="R3062" s="30" t="str">
        <f>_xlfn._xlws.FILTER(辅助信息!D:D,辅助信息!E:E=B3062)</f>
        <v>五冶建设锦江区林家坝片区20号地块商业项目</v>
      </c>
    </row>
    <row r="3063" hidden="1" spans="2:18">
      <c r="B3063" s="41" t="s">
        <v>208</v>
      </c>
      <c r="C3063" s="71">
        <v>45901</v>
      </c>
      <c r="D3063" s="41" t="str">
        <f>VLOOKUP(B3063,辅助信息!E:K,7,FALSE)</f>
        <v>JWDDCD2025102100480</v>
      </c>
      <c r="E3063" s="41" t="str">
        <f>VLOOKUP(F3063,辅助信息!A:B,2,FALSE)</f>
        <v>螺纹钢</v>
      </c>
      <c r="F3063" s="41" t="s">
        <v>18</v>
      </c>
      <c r="G3063" s="37">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1" t="str">
        <f>VLOOKUP(B3063,辅助信息!E:I,3,FALSE)</f>
        <v>(五冶建设锦江区林家坝片区20号地块商业项目)锦江区泰昌路锦江28亩项目部</v>
      </c>
      <c r="J3063" s="41" t="str">
        <f>VLOOKUP(B3063,辅助信息!E:I,4,FALSE)</f>
        <v>陶杰</v>
      </c>
      <c r="K3063" s="41">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56</v>
      </c>
      <c r="Q3063" s="30" t="str">
        <f>VLOOKUP(B3063,辅助信息!E:M,9,FALSE)</f>
        <v>ZTWM-CDGS-XS-2025-0073-五冶天府-成都怡心湖片区及龙泉驿医院等项目</v>
      </c>
      <c r="R3063" s="30" t="str">
        <f>_xlfn._xlws.FILTER(辅助信息!D:D,辅助信息!E:E=B3063)</f>
        <v>五冶建设锦江区林家坝片区20号地块商业项目</v>
      </c>
    </row>
    <row r="3064" hidden="1" spans="2:18">
      <c r="B3064" s="41" t="s">
        <v>211</v>
      </c>
      <c r="C3064" s="71">
        <v>45901</v>
      </c>
      <c r="D3064" s="41" t="e">
        <f>VLOOKUP(B3064,辅助信息!E:K,7,FALSE)</f>
        <v>#N/A</v>
      </c>
      <c r="E3064" s="41" t="str">
        <f>VLOOKUP(F3064,辅助信息!A:B,2,FALSE)</f>
        <v>盘螺</v>
      </c>
      <c r="F3064" s="41" t="s">
        <v>49</v>
      </c>
      <c r="G3064" s="37">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1" t="e">
        <f>VLOOKUP(B3064,辅助信息!E:I,3,FALSE)</f>
        <v>#N/A</v>
      </c>
      <c r="J3064" s="41" t="e">
        <f>VLOOKUP(B3064,辅助信息!E:I,4,FALSE)</f>
        <v>#N/A</v>
      </c>
      <c r="K3064" s="41" t="e">
        <f>VLOOKUP(J3064,辅助信息!H:I,2,FALSE)</f>
        <v>#N/A</v>
      </c>
      <c r="L3064" s="110" t="e">
        <f>VLOOKUP(B3064,辅助信息!E:J,6,FALSE)</f>
        <v>#N/A</v>
      </c>
      <c r="M3064" s="92">
        <v>45903</v>
      </c>
      <c r="O3064" s="63">
        <f ca="1" t="shared" si="175"/>
        <v>0</v>
      </c>
      <c r="P3064" s="63">
        <f ca="1" t="shared" si="176"/>
        <v>56</v>
      </c>
      <c r="Q3064" s="30" t="e">
        <f>VLOOKUP(B3064,辅助信息!E:M,9,FALSE)</f>
        <v>#N/A</v>
      </c>
      <c r="R3064" s="30" vm="1" t="e">
        <f>_xlfn._xlws.FILTER(辅助信息!D:D,辅助信息!E:E=B3064)</f>
        <v>#VALUE!</v>
      </c>
    </row>
    <row r="3065" hidden="1" spans="2:18">
      <c r="B3065" s="41" t="s">
        <v>211</v>
      </c>
      <c r="C3065" s="71">
        <v>45901</v>
      </c>
      <c r="D3065" s="41" t="e">
        <f>VLOOKUP(B3065,辅助信息!E:K,7,FALSE)</f>
        <v>#N/A</v>
      </c>
      <c r="E3065" s="41" t="str">
        <f>VLOOKUP(F3065,辅助信息!A:B,2,FALSE)</f>
        <v>盘螺</v>
      </c>
      <c r="F3065" s="41" t="s">
        <v>40</v>
      </c>
      <c r="G3065" s="37">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1" t="e">
        <f>VLOOKUP(B3065,辅助信息!E:I,3,FALSE)</f>
        <v>#N/A</v>
      </c>
      <c r="J3065" s="41" t="e">
        <f>VLOOKUP(B3065,辅助信息!E:I,4,FALSE)</f>
        <v>#N/A</v>
      </c>
      <c r="K3065" s="41" t="e">
        <f>VLOOKUP(J3065,辅助信息!H:I,2,FALSE)</f>
        <v>#N/A</v>
      </c>
      <c r="L3065" s="110" t="e">
        <f>VLOOKUP(B3065,辅助信息!E:J,6,FALSE)</f>
        <v>#N/A</v>
      </c>
      <c r="M3065" s="92">
        <v>45903</v>
      </c>
      <c r="O3065" s="63">
        <f ca="1" t="shared" si="175"/>
        <v>0</v>
      </c>
      <c r="P3065" s="63">
        <f ca="1" t="shared" si="176"/>
        <v>56</v>
      </c>
      <c r="Q3065" s="30" t="e">
        <f>VLOOKUP(B3065,辅助信息!E:M,9,FALSE)</f>
        <v>#N/A</v>
      </c>
      <c r="R3065" s="30" vm="1" t="e">
        <f>_xlfn._xlws.FILTER(辅助信息!D:D,辅助信息!E:E=B3065)</f>
        <v>#VALUE!</v>
      </c>
    </row>
    <row r="3066" hidden="1" spans="2:18">
      <c r="B3066" s="41" t="s">
        <v>211</v>
      </c>
      <c r="C3066" s="71">
        <v>45901</v>
      </c>
      <c r="D3066" s="41" t="e">
        <f>VLOOKUP(B3066,辅助信息!E:K,7,FALSE)</f>
        <v>#N/A</v>
      </c>
      <c r="E3066" s="41" t="str">
        <f>VLOOKUP(F3066,辅助信息!A:B,2,FALSE)</f>
        <v>盘螺</v>
      </c>
      <c r="F3066" s="41" t="s">
        <v>41</v>
      </c>
      <c r="G3066" s="37">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1" t="e">
        <f>VLOOKUP(B3066,辅助信息!E:I,3,FALSE)</f>
        <v>#N/A</v>
      </c>
      <c r="J3066" s="41" t="e">
        <f>VLOOKUP(B3066,辅助信息!E:I,4,FALSE)</f>
        <v>#N/A</v>
      </c>
      <c r="K3066" s="41" t="e">
        <f>VLOOKUP(J3066,辅助信息!H:I,2,FALSE)</f>
        <v>#N/A</v>
      </c>
      <c r="L3066" s="110" t="e">
        <f>VLOOKUP(B3066,辅助信息!E:J,6,FALSE)</f>
        <v>#N/A</v>
      </c>
      <c r="M3066" s="92">
        <v>45903</v>
      </c>
      <c r="O3066" s="63">
        <f ca="1" t="shared" si="175"/>
        <v>0</v>
      </c>
      <c r="P3066" s="63">
        <f ca="1" t="shared" si="176"/>
        <v>56</v>
      </c>
      <c r="Q3066" s="30" t="e">
        <f>VLOOKUP(B3066,辅助信息!E:M,9,FALSE)</f>
        <v>#N/A</v>
      </c>
      <c r="R3066" s="30" vm="1" t="e">
        <f>_xlfn._xlws.FILTER(辅助信息!D:D,辅助信息!E:E=B3066)</f>
        <v>#VALUE!</v>
      </c>
    </row>
    <row r="3067" hidden="1" spans="2:18">
      <c r="B3067" s="41" t="s">
        <v>211</v>
      </c>
      <c r="C3067" s="71">
        <v>45901</v>
      </c>
      <c r="D3067" s="41" t="e">
        <f>VLOOKUP(B3067,辅助信息!E:K,7,FALSE)</f>
        <v>#N/A</v>
      </c>
      <c r="E3067" s="41" t="str">
        <f>VLOOKUP(F3067,辅助信息!A:B,2,FALSE)</f>
        <v>螺纹钢</v>
      </c>
      <c r="F3067" s="41" t="s">
        <v>27</v>
      </c>
      <c r="G3067" s="37">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1" t="e">
        <f>VLOOKUP(B3067,辅助信息!E:I,3,FALSE)</f>
        <v>#N/A</v>
      </c>
      <c r="J3067" s="41" t="e">
        <f>VLOOKUP(B3067,辅助信息!E:I,4,FALSE)</f>
        <v>#N/A</v>
      </c>
      <c r="K3067" s="41" t="e">
        <f>VLOOKUP(J3067,辅助信息!H:I,2,FALSE)</f>
        <v>#N/A</v>
      </c>
      <c r="L3067" s="110" t="e">
        <f>VLOOKUP(B3067,辅助信息!E:J,6,FALSE)</f>
        <v>#N/A</v>
      </c>
      <c r="M3067" s="92">
        <v>45903</v>
      </c>
      <c r="O3067" s="63">
        <f ca="1" t="shared" si="175"/>
        <v>0</v>
      </c>
      <c r="P3067" s="63">
        <f ca="1" t="shared" si="176"/>
        <v>56</v>
      </c>
      <c r="Q3067" s="30" t="e">
        <f>VLOOKUP(B3067,辅助信息!E:M,9,FALSE)</f>
        <v>#N/A</v>
      </c>
      <c r="R3067" s="30" vm="1" t="e">
        <f>_xlfn._xlws.FILTER(辅助信息!D:D,辅助信息!E:E=B3067)</f>
        <v>#VALUE!</v>
      </c>
    </row>
    <row r="3068" hidden="1" spans="2:18">
      <c r="B3068" s="41" t="s">
        <v>211</v>
      </c>
      <c r="C3068" s="71">
        <v>45901</v>
      </c>
      <c r="D3068" s="41" t="e">
        <f>VLOOKUP(B3068,辅助信息!E:K,7,FALSE)</f>
        <v>#N/A</v>
      </c>
      <c r="E3068" s="41" t="str">
        <f>VLOOKUP(F3068,辅助信息!A:B,2,FALSE)</f>
        <v>螺纹钢</v>
      </c>
      <c r="F3068" s="41" t="s">
        <v>19</v>
      </c>
      <c r="G3068" s="37">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1" t="e">
        <f>VLOOKUP(B3068,辅助信息!E:I,3,FALSE)</f>
        <v>#N/A</v>
      </c>
      <c r="J3068" s="41" t="e">
        <f>VLOOKUP(B3068,辅助信息!E:I,4,FALSE)</f>
        <v>#N/A</v>
      </c>
      <c r="K3068" s="41" t="e">
        <f>VLOOKUP(J3068,辅助信息!H:I,2,FALSE)</f>
        <v>#N/A</v>
      </c>
      <c r="L3068" s="110" t="e">
        <f>VLOOKUP(B3068,辅助信息!E:J,6,FALSE)</f>
        <v>#N/A</v>
      </c>
      <c r="M3068" s="92">
        <v>45903</v>
      </c>
      <c r="O3068" s="63">
        <f ca="1" t="shared" si="175"/>
        <v>0</v>
      </c>
      <c r="P3068" s="63">
        <f ca="1" t="shared" si="176"/>
        <v>56</v>
      </c>
      <c r="Q3068" s="30" t="e">
        <f>VLOOKUP(B3068,辅助信息!E:M,9,FALSE)</f>
        <v>#N/A</v>
      </c>
      <c r="R3068" s="30" vm="1" t="e">
        <f>_xlfn._xlws.FILTER(辅助信息!D:D,辅助信息!E:E=B3068)</f>
        <v>#VALUE!</v>
      </c>
    </row>
    <row r="3069" hidden="1" spans="2:18">
      <c r="B3069" s="41" t="s">
        <v>211</v>
      </c>
      <c r="C3069" s="71">
        <v>45901</v>
      </c>
      <c r="D3069" s="41" t="e">
        <f>VLOOKUP(B3069,辅助信息!E:K,7,FALSE)</f>
        <v>#N/A</v>
      </c>
      <c r="E3069" s="41" t="str">
        <f>VLOOKUP(F3069,辅助信息!A:B,2,FALSE)</f>
        <v>螺纹钢</v>
      </c>
      <c r="F3069" s="41" t="s">
        <v>32</v>
      </c>
      <c r="G3069" s="37">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1" t="e">
        <f>VLOOKUP(B3069,辅助信息!E:I,3,FALSE)</f>
        <v>#N/A</v>
      </c>
      <c r="J3069" s="41" t="e">
        <f>VLOOKUP(B3069,辅助信息!E:I,4,FALSE)</f>
        <v>#N/A</v>
      </c>
      <c r="K3069" s="41" t="e">
        <f>VLOOKUP(J3069,辅助信息!H:I,2,FALSE)</f>
        <v>#N/A</v>
      </c>
      <c r="L3069" s="110" t="e">
        <f>VLOOKUP(B3069,辅助信息!E:J,6,FALSE)</f>
        <v>#N/A</v>
      </c>
      <c r="M3069" s="92">
        <v>45903</v>
      </c>
      <c r="O3069" s="63">
        <f ca="1" t="shared" si="175"/>
        <v>0</v>
      </c>
      <c r="P3069" s="63">
        <f ca="1" t="shared" si="176"/>
        <v>56</v>
      </c>
      <c r="Q3069" s="30" t="e">
        <f>VLOOKUP(B3069,辅助信息!E:M,9,FALSE)</f>
        <v>#N/A</v>
      </c>
      <c r="R3069" s="30" vm="1" t="e">
        <f>_xlfn._xlws.FILTER(辅助信息!D:D,辅助信息!E:E=B3069)</f>
        <v>#VALUE!</v>
      </c>
    </row>
    <row r="3070" hidden="1" spans="2:18">
      <c r="B3070" s="41" t="s">
        <v>211</v>
      </c>
      <c r="C3070" s="71">
        <v>45901</v>
      </c>
      <c r="D3070" s="41" t="e">
        <f>VLOOKUP(B3070,辅助信息!E:K,7,FALSE)</f>
        <v>#N/A</v>
      </c>
      <c r="E3070" s="41" t="str">
        <f>VLOOKUP(F3070,辅助信息!A:B,2,FALSE)</f>
        <v>螺纹钢</v>
      </c>
      <c r="F3070" s="41" t="s">
        <v>30</v>
      </c>
      <c r="G3070" s="37">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1" t="e">
        <f>VLOOKUP(B3070,辅助信息!E:I,3,FALSE)</f>
        <v>#N/A</v>
      </c>
      <c r="J3070" s="41" t="e">
        <f>VLOOKUP(B3070,辅助信息!E:I,4,FALSE)</f>
        <v>#N/A</v>
      </c>
      <c r="K3070" s="41" t="e">
        <f>VLOOKUP(J3070,辅助信息!H:I,2,FALSE)</f>
        <v>#N/A</v>
      </c>
      <c r="L3070" s="110" t="e">
        <f>VLOOKUP(B3070,辅助信息!E:J,6,FALSE)</f>
        <v>#N/A</v>
      </c>
      <c r="M3070" s="92">
        <v>45903</v>
      </c>
      <c r="O3070" s="63">
        <f ca="1" t="shared" si="175"/>
        <v>0</v>
      </c>
      <c r="P3070" s="63">
        <f ca="1" t="shared" si="176"/>
        <v>56</v>
      </c>
      <c r="Q3070" s="30" t="e">
        <f>VLOOKUP(B3070,辅助信息!E:M,9,FALSE)</f>
        <v>#N/A</v>
      </c>
      <c r="R3070" s="30" vm="1" t="e">
        <f>_xlfn._xlws.FILTER(辅助信息!D:D,辅助信息!E:E=B3070)</f>
        <v>#VALUE!</v>
      </c>
    </row>
    <row r="3071" hidden="1" spans="2:18">
      <c r="B3071" s="41" t="s">
        <v>211</v>
      </c>
      <c r="C3071" s="71">
        <v>45901</v>
      </c>
      <c r="D3071" s="41" t="e">
        <f>VLOOKUP(B3071,辅助信息!E:K,7,FALSE)</f>
        <v>#N/A</v>
      </c>
      <c r="E3071" s="41" t="str">
        <f>VLOOKUP(F3071,辅助信息!A:B,2,FALSE)</f>
        <v>螺纹钢</v>
      </c>
      <c r="F3071" s="41" t="s">
        <v>33</v>
      </c>
      <c r="G3071" s="37">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1" t="e">
        <f>VLOOKUP(B3071,辅助信息!E:I,3,FALSE)</f>
        <v>#N/A</v>
      </c>
      <c r="J3071" s="41" t="e">
        <f>VLOOKUP(B3071,辅助信息!E:I,4,FALSE)</f>
        <v>#N/A</v>
      </c>
      <c r="K3071" s="41" t="e">
        <f>VLOOKUP(J3071,辅助信息!H:I,2,FALSE)</f>
        <v>#N/A</v>
      </c>
      <c r="L3071" s="110" t="e">
        <f>VLOOKUP(B3071,辅助信息!E:J,6,FALSE)</f>
        <v>#N/A</v>
      </c>
      <c r="M3071" s="92">
        <v>45903</v>
      </c>
      <c r="O3071" s="63">
        <f ca="1" t="shared" si="175"/>
        <v>0</v>
      </c>
      <c r="P3071" s="63">
        <f ca="1" t="shared" si="176"/>
        <v>56</v>
      </c>
      <c r="Q3071" s="30" t="e">
        <f>VLOOKUP(B3071,辅助信息!E:M,9,FALSE)</f>
        <v>#N/A</v>
      </c>
      <c r="R3071" s="30" vm="1" t="e">
        <f>_xlfn._xlws.FILTER(辅助信息!D:D,辅助信息!E:E=B3071)</f>
        <v>#VALUE!</v>
      </c>
    </row>
    <row r="3072" hidden="1" spans="2:18">
      <c r="B3072" s="41" t="s">
        <v>211</v>
      </c>
      <c r="C3072" s="71">
        <v>45901</v>
      </c>
      <c r="D3072" s="41" t="e">
        <f>VLOOKUP(B3072,辅助信息!E:K,7,FALSE)</f>
        <v>#N/A</v>
      </c>
      <c r="E3072" s="41" t="str">
        <f>VLOOKUP(F3072,辅助信息!A:B,2,FALSE)</f>
        <v>螺纹钢</v>
      </c>
      <c r="F3072" s="41" t="s">
        <v>28</v>
      </c>
      <c r="G3072" s="37">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1" t="e">
        <f>VLOOKUP(B3072,辅助信息!E:I,3,FALSE)</f>
        <v>#N/A</v>
      </c>
      <c r="J3072" s="41" t="e">
        <f>VLOOKUP(B3072,辅助信息!E:I,4,FALSE)</f>
        <v>#N/A</v>
      </c>
      <c r="K3072" s="41" t="e">
        <f>VLOOKUP(J3072,辅助信息!H:I,2,FALSE)</f>
        <v>#N/A</v>
      </c>
      <c r="L3072" s="110" t="e">
        <f>VLOOKUP(B3072,辅助信息!E:J,6,FALSE)</f>
        <v>#N/A</v>
      </c>
      <c r="M3072" s="92">
        <v>45903</v>
      </c>
      <c r="O3072" s="63">
        <f ca="1" t="shared" si="175"/>
        <v>0</v>
      </c>
      <c r="P3072" s="63">
        <f ca="1" t="shared" si="176"/>
        <v>56</v>
      </c>
      <c r="Q3072" s="30" t="e">
        <f>VLOOKUP(B3072,辅助信息!E:M,9,FALSE)</f>
        <v>#N/A</v>
      </c>
      <c r="R3072" s="30" vm="1" t="e">
        <f>_xlfn._xlws.FILTER(辅助信息!D:D,辅助信息!E:E=B3072)</f>
        <v>#VALUE!</v>
      </c>
    </row>
    <row r="3073" hidden="1" spans="2:18">
      <c r="B3073" s="41" t="s">
        <v>211</v>
      </c>
      <c r="C3073" s="71">
        <v>45901</v>
      </c>
      <c r="D3073" s="41" t="e">
        <f>VLOOKUP(B3073,辅助信息!E:K,7,FALSE)</f>
        <v>#N/A</v>
      </c>
      <c r="E3073" s="41" t="str">
        <f>VLOOKUP(F3073,辅助信息!A:B,2,FALSE)</f>
        <v>螺纹钢</v>
      </c>
      <c r="F3073" s="41" t="s">
        <v>18</v>
      </c>
      <c r="G3073" s="37">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1" t="e">
        <f>VLOOKUP(B3073,辅助信息!E:I,3,FALSE)</f>
        <v>#N/A</v>
      </c>
      <c r="J3073" s="41" t="e">
        <f>VLOOKUP(B3073,辅助信息!E:I,4,FALSE)</f>
        <v>#N/A</v>
      </c>
      <c r="K3073" s="41" t="e">
        <f>VLOOKUP(J3073,辅助信息!H:I,2,FALSE)</f>
        <v>#N/A</v>
      </c>
      <c r="L3073" s="110" t="e">
        <f>VLOOKUP(B3073,辅助信息!E:J,6,FALSE)</f>
        <v>#N/A</v>
      </c>
      <c r="M3073" s="92">
        <v>45903</v>
      </c>
      <c r="O3073" s="63">
        <f ca="1" t="shared" si="175"/>
        <v>0</v>
      </c>
      <c r="P3073" s="63">
        <f ca="1" t="shared" si="176"/>
        <v>56</v>
      </c>
      <c r="Q3073" s="30" t="e">
        <f>VLOOKUP(B3073,辅助信息!E:M,9,FALSE)</f>
        <v>#N/A</v>
      </c>
      <c r="R3073" s="30" vm="1" t="e">
        <f>_xlfn._xlws.FILTER(辅助信息!D:D,辅助信息!E:E=B3073)</f>
        <v>#VALUE!</v>
      </c>
    </row>
    <row r="3074" hidden="1" spans="2:18">
      <c r="B3074" s="41" t="s">
        <v>68</v>
      </c>
      <c r="C3074" s="71">
        <v>45901</v>
      </c>
      <c r="D3074" s="41" t="str">
        <f>VLOOKUP(B3074,辅助信息!E:K,7,FALSE)</f>
        <v>JWDDCD2025052800131</v>
      </c>
      <c r="E3074" s="41" t="str">
        <f>VLOOKUP(F3074,辅助信息!A:B,2,FALSE)</f>
        <v>螺纹钢</v>
      </c>
      <c r="F3074" s="41" t="s">
        <v>65</v>
      </c>
      <c r="G3074" s="37">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1" t="str">
        <f>VLOOKUP(B3074,辅助信息!E:I,3,FALSE)</f>
        <v>（商投建工达州中医药科技园-2工区-景观桥）达州市通川区达州中医药职业学院犀牛大道北段</v>
      </c>
      <c r="J3074" s="41" t="str">
        <f>VLOOKUP(B3074,辅助信息!E:I,4,FALSE)</f>
        <v>李波</v>
      </c>
      <c r="K3074" s="41">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55</v>
      </c>
      <c r="Q3074" s="30" t="str">
        <f>VLOOKUP(B3074,辅助信息!E:M,9,FALSE)</f>
        <v>ZTWM-CDGS-XS-2024-0134-商投建工达州中医药科技成果示范园项目</v>
      </c>
      <c r="R3074" s="30" t="str">
        <f>_xlfn._xlws.FILTER(辅助信息!D:D,辅助信息!E:E=B3074)</f>
        <v>商投建工达州中医药科技园</v>
      </c>
    </row>
    <row r="3075" hidden="1" spans="2:18">
      <c r="B3075" s="41" t="s">
        <v>47</v>
      </c>
      <c r="C3075" s="71">
        <v>45901</v>
      </c>
      <c r="D3075" s="41" t="str">
        <f>VLOOKUP(B3075,辅助信息!E:K,7,FALSE)</f>
        <v>JWDDCD2025052800131</v>
      </c>
      <c r="E3075" s="41" t="str">
        <f>VLOOKUP(F3075,辅助信息!A:B,2,FALSE)</f>
        <v>螺纹钢</v>
      </c>
      <c r="F3075" s="41" t="s">
        <v>30</v>
      </c>
      <c r="G3075" s="37">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1" t="str">
        <f>VLOOKUP(B3075,辅助信息!E:I,3,FALSE)</f>
        <v>（商投建工达州中医药科技园-1工区）达州市通川区达州中医药职业学院犀牛大道北段</v>
      </c>
      <c r="J3075" s="41" t="str">
        <f>VLOOKUP(B3075,辅助信息!E:I,4,FALSE)</f>
        <v>程黄刚</v>
      </c>
      <c r="K3075" s="41">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55</v>
      </c>
      <c r="Q3075" s="30" t="str">
        <f>VLOOKUP(B3075,辅助信息!E:M,9,FALSE)</f>
        <v>ZTWM-CDGS-XS-2024-0134-商投建工达州中医药科技成果示范园项目</v>
      </c>
      <c r="R3075" s="30" t="str">
        <f>_xlfn._xlws.FILTER(辅助信息!D:D,辅助信息!E:E=B3075)</f>
        <v>商投建工达州中医药科技园</v>
      </c>
    </row>
    <row r="3076" hidden="1" spans="2:18">
      <c r="B3076" s="41" t="s">
        <v>47</v>
      </c>
      <c r="C3076" s="71">
        <v>45901</v>
      </c>
      <c r="D3076" s="41" t="str">
        <f>VLOOKUP(B3076,辅助信息!E:K,7,FALSE)</f>
        <v>JWDDCD2025052800131</v>
      </c>
      <c r="E3076" s="41" t="str">
        <f>VLOOKUP(F3076,辅助信息!A:B,2,FALSE)</f>
        <v>螺纹钢</v>
      </c>
      <c r="F3076" s="41" t="s">
        <v>45</v>
      </c>
      <c r="G3076" s="37">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1" t="str">
        <f>VLOOKUP(B3076,辅助信息!E:I,3,FALSE)</f>
        <v>（商投建工达州中医药科技园-1工区）达州市通川区达州中医药职业学院犀牛大道北段</v>
      </c>
      <c r="J3076" s="41" t="str">
        <f>VLOOKUP(B3076,辅助信息!E:I,4,FALSE)</f>
        <v>程黄刚</v>
      </c>
      <c r="K3076" s="41">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55</v>
      </c>
      <c r="Q3076" s="30" t="str">
        <f>VLOOKUP(B3076,辅助信息!E:M,9,FALSE)</f>
        <v>ZTWM-CDGS-XS-2024-0134-商投建工达州中医药科技成果示范园项目</v>
      </c>
      <c r="R3076" s="30" t="str">
        <f>_xlfn._xlws.FILTER(辅助信息!D:D,辅助信息!E:E=B3076)</f>
        <v>商投建工达州中医药科技园</v>
      </c>
    </row>
    <row r="3077" hidden="1" spans="2:18">
      <c r="B3077" s="41" t="s">
        <v>47</v>
      </c>
      <c r="C3077" s="71">
        <v>45901</v>
      </c>
      <c r="D3077" s="41" t="str">
        <f>VLOOKUP(B3077,辅助信息!E:K,7,FALSE)</f>
        <v>JWDDCD2025052800131</v>
      </c>
      <c r="E3077" s="41" t="str">
        <f>VLOOKUP(F3077,辅助信息!A:B,2,FALSE)</f>
        <v>螺纹钢</v>
      </c>
      <c r="F3077" s="41" t="s">
        <v>21</v>
      </c>
      <c r="G3077" s="37">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1" t="str">
        <f>VLOOKUP(B3077,辅助信息!E:I,3,FALSE)</f>
        <v>（商投建工达州中医药科技园-1工区）达州市通川区达州中医药职业学院犀牛大道北段</v>
      </c>
      <c r="J3077" s="41" t="str">
        <f>VLOOKUP(B3077,辅助信息!E:I,4,FALSE)</f>
        <v>程黄刚</v>
      </c>
      <c r="K3077" s="41">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55</v>
      </c>
      <c r="Q3077" s="30" t="str">
        <f>VLOOKUP(B3077,辅助信息!E:M,9,FALSE)</f>
        <v>ZTWM-CDGS-XS-2024-0134-商投建工达州中医药科技成果示范园项目</v>
      </c>
      <c r="R3077" s="30" t="str">
        <f>_xlfn._xlws.FILTER(辅助信息!D:D,辅助信息!E:E=B3077)</f>
        <v>商投建工达州中医药科技园</v>
      </c>
    </row>
    <row r="3078" hidden="1" spans="2:18">
      <c r="B3078" s="41" t="s">
        <v>47</v>
      </c>
      <c r="C3078" s="71">
        <v>45901</v>
      </c>
      <c r="D3078" s="41" t="str">
        <f>VLOOKUP(B3078,辅助信息!E:K,7,FALSE)</f>
        <v>JWDDCD2025052800131</v>
      </c>
      <c r="E3078" s="41" t="str">
        <f>VLOOKUP(F3078,辅助信息!A:B,2,FALSE)</f>
        <v>螺纹钢</v>
      </c>
      <c r="F3078" s="41" t="s">
        <v>58</v>
      </c>
      <c r="G3078" s="37">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1" t="str">
        <f>VLOOKUP(B3078,辅助信息!E:I,3,FALSE)</f>
        <v>（商投建工达州中医药科技园-1工区）达州市通川区达州中医药职业学院犀牛大道北段</v>
      </c>
      <c r="J3078" s="41" t="str">
        <f>VLOOKUP(B3078,辅助信息!E:I,4,FALSE)</f>
        <v>程黄刚</v>
      </c>
      <c r="K3078" s="41">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55</v>
      </c>
      <c r="Q3078" s="30" t="str">
        <f>VLOOKUP(B3078,辅助信息!E:M,9,FALSE)</f>
        <v>ZTWM-CDGS-XS-2024-0134-商投建工达州中医药科技成果示范园项目</v>
      </c>
      <c r="R3078" s="30" t="str">
        <f>_xlfn._xlws.FILTER(辅助信息!D:D,辅助信息!E:E=B3078)</f>
        <v>商投建工达州中医药科技园</v>
      </c>
    </row>
    <row r="3079" hidden="1" spans="2:18">
      <c r="B3079" s="41" t="s">
        <v>47</v>
      </c>
      <c r="C3079" s="71">
        <v>45901</v>
      </c>
      <c r="D3079" s="41" t="str">
        <f>VLOOKUP(B3079,辅助信息!E:K,7,FALSE)</f>
        <v>JWDDCD2025052800131</v>
      </c>
      <c r="E3079" s="41" t="str">
        <f>VLOOKUP(F3079,辅助信息!A:B,2,FALSE)</f>
        <v>螺纹钢</v>
      </c>
      <c r="F3079" s="41" t="s">
        <v>46</v>
      </c>
      <c r="G3079" s="37">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1" t="str">
        <f>VLOOKUP(B3079,辅助信息!E:I,3,FALSE)</f>
        <v>（商投建工达州中医药科技园-1工区）达州市通川区达州中医药职业学院犀牛大道北段</v>
      </c>
      <c r="J3079" s="41" t="str">
        <f>VLOOKUP(B3079,辅助信息!E:I,4,FALSE)</f>
        <v>程黄刚</v>
      </c>
      <c r="K3079" s="41">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55</v>
      </c>
      <c r="Q3079" s="30" t="str">
        <f>VLOOKUP(B3079,辅助信息!E:M,9,FALSE)</f>
        <v>ZTWM-CDGS-XS-2024-0134-商投建工达州中医药科技成果示范园项目</v>
      </c>
      <c r="R3079" s="30" t="str">
        <f>_xlfn._xlws.FILTER(辅助信息!D:D,辅助信息!E:E=B3079)</f>
        <v>商投建工达州中医药科技园</v>
      </c>
    </row>
    <row r="3080" hidden="1" spans="2:18">
      <c r="B3080" s="41" t="s">
        <v>47</v>
      </c>
      <c r="C3080" s="71">
        <v>45901</v>
      </c>
      <c r="D3080" s="41" t="str">
        <f>VLOOKUP(B3080,辅助信息!E:K,7,FALSE)</f>
        <v>JWDDCD2025052800131</v>
      </c>
      <c r="E3080" s="41" t="str">
        <f>VLOOKUP(F3080,辅助信息!A:B,2,FALSE)</f>
        <v>螺纹钢</v>
      </c>
      <c r="F3080" s="41" t="s">
        <v>22</v>
      </c>
      <c r="G3080" s="37">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1" t="str">
        <f>VLOOKUP(B3080,辅助信息!E:I,3,FALSE)</f>
        <v>（商投建工达州中医药科技园-1工区）达州市通川区达州中医药职业学院犀牛大道北段</v>
      </c>
      <c r="J3080" s="41" t="str">
        <f>VLOOKUP(B3080,辅助信息!E:I,4,FALSE)</f>
        <v>程黄刚</v>
      </c>
      <c r="K3080" s="41">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55</v>
      </c>
      <c r="Q3080" s="30" t="str">
        <f>VLOOKUP(B3080,辅助信息!E:M,9,FALSE)</f>
        <v>ZTWM-CDGS-XS-2024-0134-商投建工达州中医药科技成果示范园项目</v>
      </c>
      <c r="R3080" s="30" t="str">
        <f>_xlfn._xlws.FILTER(辅助信息!D:D,辅助信息!E:E=B3080)</f>
        <v>商投建工达州中医药科技园</v>
      </c>
    </row>
    <row r="3081" hidden="1" spans="2:18">
      <c r="B3081" s="41" t="s">
        <v>68</v>
      </c>
      <c r="C3081" s="71">
        <v>45901</v>
      </c>
      <c r="D3081" s="41" t="str">
        <f>VLOOKUP(B3081,辅助信息!E:K,7,FALSE)</f>
        <v>JWDDCD2025052800131</v>
      </c>
      <c r="E3081" s="41" t="str">
        <f>VLOOKUP(F3081,辅助信息!A:B,2,FALSE)</f>
        <v>盘螺</v>
      </c>
      <c r="F3081" s="41" t="s">
        <v>40</v>
      </c>
      <c r="G3081" s="37">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1" t="str">
        <f>VLOOKUP(B3081,辅助信息!E:I,3,FALSE)</f>
        <v>（商投建工达州中医药科技园-2工区-景观桥）达州市通川区达州中医药职业学院犀牛大道北段</v>
      </c>
      <c r="J3081" s="41" t="str">
        <f>VLOOKUP(B3081,辅助信息!E:I,4,FALSE)</f>
        <v>李波</v>
      </c>
      <c r="K3081" s="41">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55</v>
      </c>
      <c r="Q3081" s="30" t="str">
        <f>VLOOKUP(B3081,辅助信息!E:M,9,FALSE)</f>
        <v>ZTWM-CDGS-XS-2024-0134-商投建工达州中医药科技成果示范园项目</v>
      </c>
      <c r="R3081" s="30" t="str">
        <f>_xlfn._xlws.FILTER(辅助信息!D:D,辅助信息!E:E=B3081)</f>
        <v>商投建工达州中医药科技园</v>
      </c>
    </row>
    <row r="3082" hidden="1" spans="2:18">
      <c r="B3082" s="41" t="s">
        <v>68</v>
      </c>
      <c r="C3082" s="71">
        <v>45901</v>
      </c>
      <c r="D3082" s="41" t="str">
        <f>VLOOKUP(B3082,辅助信息!E:K,7,FALSE)</f>
        <v>JWDDCD2025052800131</v>
      </c>
      <c r="E3082" s="41" t="str">
        <f>VLOOKUP(F3082,辅助信息!A:B,2,FALSE)</f>
        <v>盘螺</v>
      </c>
      <c r="F3082" s="41" t="s">
        <v>41</v>
      </c>
      <c r="G3082" s="37">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1" t="str">
        <f>VLOOKUP(B3082,辅助信息!E:I,3,FALSE)</f>
        <v>（商投建工达州中医药科技园-2工区-景观桥）达州市通川区达州中医药职业学院犀牛大道北段</v>
      </c>
      <c r="J3082" s="41" t="str">
        <f>VLOOKUP(B3082,辅助信息!E:I,4,FALSE)</f>
        <v>李波</v>
      </c>
      <c r="K3082" s="41">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55</v>
      </c>
      <c r="Q3082" s="30" t="str">
        <f>VLOOKUP(B3082,辅助信息!E:M,9,FALSE)</f>
        <v>ZTWM-CDGS-XS-2024-0134-商投建工达州中医药科技成果示范园项目</v>
      </c>
      <c r="R3082" s="30" t="str">
        <f>_xlfn._xlws.FILTER(辅助信息!D:D,辅助信息!E:E=B3082)</f>
        <v>商投建工达州中医药科技园</v>
      </c>
    </row>
    <row r="3083" hidden="1" spans="2:18">
      <c r="B3083" s="41" t="s">
        <v>68</v>
      </c>
      <c r="C3083" s="71">
        <v>45901</v>
      </c>
      <c r="D3083" s="41" t="str">
        <f>VLOOKUP(B3083,辅助信息!E:K,7,FALSE)</f>
        <v>JWDDCD2025052800131</v>
      </c>
      <c r="E3083" s="41" t="str">
        <f>VLOOKUP(F3083,辅助信息!A:B,2,FALSE)</f>
        <v>螺纹钢</v>
      </c>
      <c r="F3083" s="41" t="s">
        <v>27</v>
      </c>
      <c r="G3083" s="37">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1" t="str">
        <f>VLOOKUP(B3083,辅助信息!E:I,3,FALSE)</f>
        <v>（商投建工达州中医药科技园-2工区-景观桥）达州市通川区达州中医药职业学院犀牛大道北段</v>
      </c>
      <c r="J3083" s="41" t="str">
        <f>VLOOKUP(B3083,辅助信息!E:I,4,FALSE)</f>
        <v>李波</v>
      </c>
      <c r="K3083" s="41">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55</v>
      </c>
      <c r="Q3083" s="30" t="str">
        <f>VLOOKUP(B3083,辅助信息!E:M,9,FALSE)</f>
        <v>ZTWM-CDGS-XS-2024-0134-商投建工达州中医药科技成果示范园项目</v>
      </c>
      <c r="R3083" s="30" t="str">
        <f>_xlfn._xlws.FILTER(辅助信息!D:D,辅助信息!E:E=B3083)</f>
        <v>商投建工达州中医药科技园</v>
      </c>
    </row>
    <row r="3084" hidden="1" spans="2:18">
      <c r="B3084" s="41" t="s">
        <v>68</v>
      </c>
      <c r="C3084" s="71">
        <v>45901</v>
      </c>
      <c r="D3084" s="41" t="str">
        <f>VLOOKUP(B3084,辅助信息!E:K,7,FALSE)</f>
        <v>JWDDCD2025052800131</v>
      </c>
      <c r="E3084" s="41" t="str">
        <f>VLOOKUP(F3084,辅助信息!A:B,2,FALSE)</f>
        <v>螺纹钢</v>
      </c>
      <c r="F3084" s="41" t="s">
        <v>19</v>
      </c>
      <c r="G3084" s="37">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1" t="str">
        <f>VLOOKUP(B3084,辅助信息!E:I,3,FALSE)</f>
        <v>（商投建工达州中医药科技园-2工区-景观桥）达州市通川区达州中医药职业学院犀牛大道北段</v>
      </c>
      <c r="J3084" s="41" t="str">
        <f>VLOOKUP(B3084,辅助信息!E:I,4,FALSE)</f>
        <v>李波</v>
      </c>
      <c r="K3084" s="41">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55</v>
      </c>
      <c r="Q3084" s="30" t="str">
        <f>VLOOKUP(B3084,辅助信息!E:M,9,FALSE)</f>
        <v>ZTWM-CDGS-XS-2024-0134-商投建工达州中医药科技成果示范园项目</v>
      </c>
      <c r="R3084" s="30" t="str">
        <f>_xlfn._xlws.FILTER(辅助信息!D:D,辅助信息!E:E=B3084)</f>
        <v>商投建工达州中医药科技园</v>
      </c>
    </row>
    <row r="3085" hidden="1" spans="2:18">
      <c r="B3085" s="41" t="s">
        <v>68</v>
      </c>
      <c r="C3085" s="71">
        <v>45901</v>
      </c>
      <c r="D3085" s="41" t="str">
        <f>VLOOKUP(B3085,辅助信息!E:K,7,FALSE)</f>
        <v>JWDDCD2025052800131</v>
      </c>
      <c r="E3085" s="41" t="str">
        <f>VLOOKUP(F3085,辅助信息!A:B,2,FALSE)</f>
        <v>螺纹钢</v>
      </c>
      <c r="F3085" s="41" t="s">
        <v>32</v>
      </c>
      <c r="G3085" s="37">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1" t="str">
        <f>VLOOKUP(B3085,辅助信息!E:I,3,FALSE)</f>
        <v>（商投建工达州中医药科技园-2工区-景观桥）达州市通川区达州中医药职业学院犀牛大道北段</v>
      </c>
      <c r="J3085" s="41" t="str">
        <f>VLOOKUP(B3085,辅助信息!E:I,4,FALSE)</f>
        <v>李波</v>
      </c>
      <c r="K3085" s="41">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55</v>
      </c>
      <c r="Q3085" s="30" t="str">
        <f>VLOOKUP(B3085,辅助信息!E:M,9,FALSE)</f>
        <v>ZTWM-CDGS-XS-2024-0134-商投建工达州中医药科技成果示范园项目</v>
      </c>
      <c r="R3085" s="30" t="str">
        <f>_xlfn._xlws.FILTER(辅助信息!D:D,辅助信息!E:E=B3085)</f>
        <v>商投建工达州中医药科技园</v>
      </c>
    </row>
    <row r="3086" hidden="1" spans="2:18">
      <c r="B3086" s="41" t="s">
        <v>68</v>
      </c>
      <c r="C3086" s="71">
        <v>45901</v>
      </c>
      <c r="D3086" s="41" t="str">
        <f>VLOOKUP(B3086,辅助信息!E:K,7,FALSE)</f>
        <v>JWDDCD2025052800131</v>
      </c>
      <c r="E3086" s="41" t="str">
        <f>VLOOKUP(F3086,辅助信息!A:B,2,FALSE)</f>
        <v>螺纹钢</v>
      </c>
      <c r="F3086" s="41" t="s">
        <v>30</v>
      </c>
      <c r="G3086" s="37">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1" t="str">
        <f>VLOOKUP(B3086,辅助信息!E:I,3,FALSE)</f>
        <v>（商投建工达州中医药科技园-2工区-景观桥）达州市通川区达州中医药职业学院犀牛大道北段</v>
      </c>
      <c r="J3086" s="41" t="str">
        <f>VLOOKUP(B3086,辅助信息!E:I,4,FALSE)</f>
        <v>李波</v>
      </c>
      <c r="K3086" s="41">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55</v>
      </c>
      <c r="Q3086" s="30" t="str">
        <f>VLOOKUP(B3086,辅助信息!E:M,9,FALSE)</f>
        <v>ZTWM-CDGS-XS-2024-0134-商投建工达州中医药科技成果示范园项目</v>
      </c>
      <c r="R3086" s="30" t="str">
        <f>_xlfn._xlws.FILTER(辅助信息!D:D,辅助信息!E:E=B3086)</f>
        <v>商投建工达州中医药科技园</v>
      </c>
    </row>
    <row r="3087" hidden="1" spans="2:18">
      <c r="B3087" s="41" t="s">
        <v>68</v>
      </c>
      <c r="C3087" s="71">
        <v>45901</v>
      </c>
      <c r="D3087" s="41" t="str">
        <f>VLOOKUP(B3087,辅助信息!E:K,7,FALSE)</f>
        <v>JWDDCD2025052800131</v>
      </c>
      <c r="E3087" s="41" t="str">
        <f>VLOOKUP(F3087,辅助信息!A:B,2,FALSE)</f>
        <v>螺纹钢</v>
      </c>
      <c r="F3087" s="41" t="s">
        <v>28</v>
      </c>
      <c r="G3087" s="37">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1" t="str">
        <f>VLOOKUP(B3087,辅助信息!E:I,3,FALSE)</f>
        <v>（商投建工达州中医药科技园-2工区-景观桥）达州市通川区达州中医药职业学院犀牛大道北段</v>
      </c>
      <c r="J3087" s="41" t="str">
        <f>VLOOKUP(B3087,辅助信息!E:I,4,FALSE)</f>
        <v>李波</v>
      </c>
      <c r="K3087" s="41">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55</v>
      </c>
      <c r="Q3087" s="30" t="str">
        <f>VLOOKUP(B3087,辅助信息!E:M,9,FALSE)</f>
        <v>ZTWM-CDGS-XS-2024-0134-商投建工达州中医药科技成果示范园项目</v>
      </c>
      <c r="R3087" s="30" t="str">
        <f>_xlfn._xlws.FILTER(辅助信息!D:D,辅助信息!E:E=B3087)</f>
        <v>商投建工达州中医药科技园</v>
      </c>
    </row>
    <row r="3088" hidden="1" spans="2:18">
      <c r="B3088" s="41" t="s">
        <v>68</v>
      </c>
      <c r="C3088" s="71">
        <v>45901</v>
      </c>
      <c r="D3088" s="41" t="str">
        <f>VLOOKUP(B3088,辅助信息!E:K,7,FALSE)</f>
        <v>JWDDCD2025052800131</v>
      </c>
      <c r="E3088" s="41" t="str">
        <f>VLOOKUP(F3088,辅助信息!A:B,2,FALSE)</f>
        <v>螺纹钢</v>
      </c>
      <c r="F3088" s="41" t="s">
        <v>18</v>
      </c>
      <c r="G3088" s="37">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1" t="str">
        <f>VLOOKUP(B3088,辅助信息!E:I,3,FALSE)</f>
        <v>（商投建工达州中医药科技园-2工区-景观桥）达州市通川区达州中医药职业学院犀牛大道北段</v>
      </c>
      <c r="J3088" s="41" t="str">
        <f>VLOOKUP(B3088,辅助信息!E:I,4,FALSE)</f>
        <v>李波</v>
      </c>
      <c r="K3088" s="41">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55</v>
      </c>
      <c r="Q3088" s="30" t="str">
        <f>VLOOKUP(B3088,辅助信息!E:M,9,FALSE)</f>
        <v>ZTWM-CDGS-XS-2024-0134-商投建工达州中医药科技成果示范园项目</v>
      </c>
      <c r="R3088" s="30" t="str">
        <f>_xlfn._xlws.FILTER(辅助信息!D:D,辅助信息!E:E=B3088)</f>
        <v>商投建工达州中医药科技园</v>
      </c>
    </row>
    <row r="3089" hidden="1" spans="2:18">
      <c r="B3089" s="41" t="s">
        <v>31</v>
      </c>
      <c r="C3089" s="71">
        <v>45901</v>
      </c>
      <c r="D3089" s="41" t="str">
        <f>VLOOKUP(B3089,辅助信息!E:K,7,FALSE)</f>
        <v>JWDDCD2024121000136</v>
      </c>
      <c r="E3089" s="41" t="str">
        <f>VLOOKUP(F3089,辅助信息!A:B,2,FALSE)</f>
        <v>盘螺</v>
      </c>
      <c r="F3089" s="41" t="s">
        <v>49</v>
      </c>
      <c r="G3089" s="37">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1" t="str">
        <f>VLOOKUP(B3089,辅助信息!E:I,3,FALSE)</f>
        <v>（四川商建-射洪城乡一体化项目）遂宁市射洪市忠新幼儿园北侧约220米新溪小区</v>
      </c>
      <c r="J3089" s="41" t="str">
        <f>VLOOKUP(B3089,辅助信息!E:I,4,FALSE)</f>
        <v>柏子刚</v>
      </c>
      <c r="K3089" s="41">
        <f>VLOOKUP(J3089,辅助信息!H:I,2,FALSE)</f>
        <v>15692885305</v>
      </c>
      <c r="L3089" s="110" t="str">
        <f>VLOOKUP(B3089,辅助信息!E:J,6,FALSE)</f>
        <v>提前联系到场规格及数量</v>
      </c>
      <c r="M3089" s="92">
        <v>45902</v>
      </c>
      <c r="O3089" s="63">
        <f ca="1" t="shared" si="177"/>
        <v>0</v>
      </c>
      <c r="P3089" s="63">
        <f ca="1" t="shared" si="178"/>
        <v>57</v>
      </c>
      <c r="Q3089" s="30" t="str">
        <f>VLOOKUP(B3089,辅助信息!E:M,9,FALSE)</f>
        <v>ZTWM-CDGS-XS-2024-0179-四川商投-射洪城乡一体化建设项目</v>
      </c>
      <c r="R3089" s="30" t="str">
        <f>_xlfn._xlws.FILTER(辅助信息!D:D,辅助信息!E:E=B3089)</f>
        <v>四川商建
射洪城乡一体化项目</v>
      </c>
    </row>
    <row r="3090" hidden="1" spans="2:18">
      <c r="B3090" s="41" t="s">
        <v>81</v>
      </c>
      <c r="C3090" s="71">
        <v>45901</v>
      </c>
      <c r="D3090" s="41" t="str">
        <f>VLOOKUP(B3090,辅助信息!E:K,7,FALSE)</f>
        <v>JWDDCD2025060900080</v>
      </c>
      <c r="E3090" s="41" t="str">
        <f>VLOOKUP(F3090,辅助信息!A:B,2,FALSE)</f>
        <v>盘螺</v>
      </c>
      <c r="F3090" s="41" t="s">
        <v>26</v>
      </c>
      <c r="G3090" s="37">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1" t="str">
        <f>VLOOKUP(B3090,辅助信息!E:I,3,FALSE)</f>
        <v>（华西简阳西城嘉苑）四川省成都市简阳市简城街道高屋村</v>
      </c>
      <c r="J3090" s="41" t="str">
        <f>VLOOKUP(B3090,辅助信息!E:I,4,FALSE)</f>
        <v>张瀚镭</v>
      </c>
      <c r="K3090" s="41">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57</v>
      </c>
      <c r="Q3090" s="30" t="str">
        <f>VLOOKUP(B3090,辅助信息!E:M,9,FALSE)</f>
        <v>ZTWM-CDGS-XS-2024-0030-华西集采-简州大道</v>
      </c>
      <c r="R3090" s="30" t="str">
        <f>_xlfn._xlws.FILTER(辅助信息!D:D,辅助信息!E:E=B3090)</f>
        <v>华西简阳西城嘉苑</v>
      </c>
    </row>
    <row r="3091" hidden="1" spans="2:18">
      <c r="B3091" s="41" t="s">
        <v>81</v>
      </c>
      <c r="C3091" s="71">
        <v>45901</v>
      </c>
      <c r="D3091" s="41" t="str">
        <f>VLOOKUP(B3091,辅助信息!E:K,7,FALSE)</f>
        <v>JWDDCD2025060900080</v>
      </c>
      <c r="E3091" s="41" t="str">
        <f>VLOOKUP(F3091,辅助信息!A:B,2,FALSE)</f>
        <v>螺纹钢</v>
      </c>
      <c r="F3091" s="41" t="s">
        <v>19</v>
      </c>
      <c r="G3091" s="37">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1" t="str">
        <f>VLOOKUP(B3091,辅助信息!E:I,3,FALSE)</f>
        <v>（华西简阳西城嘉苑）四川省成都市简阳市简城街道高屋村</v>
      </c>
      <c r="J3091" s="41" t="str">
        <f>VLOOKUP(B3091,辅助信息!E:I,4,FALSE)</f>
        <v>张瀚镭</v>
      </c>
      <c r="K3091" s="41">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57</v>
      </c>
      <c r="Q3091" s="30" t="str">
        <f>VLOOKUP(B3091,辅助信息!E:M,9,FALSE)</f>
        <v>ZTWM-CDGS-XS-2024-0030-华西集采-简州大道</v>
      </c>
      <c r="R3091" s="30" t="str">
        <f>_xlfn._xlws.FILTER(辅助信息!D:D,辅助信息!E:E=B3091)</f>
        <v>华西简阳西城嘉苑</v>
      </c>
    </row>
    <row r="3092" hidden="1" spans="2:18">
      <c r="B3092" s="41" t="s">
        <v>81</v>
      </c>
      <c r="C3092" s="144">
        <v>45901</v>
      </c>
      <c r="D3092" s="41" t="str">
        <f>VLOOKUP(B3092,辅助信息!E:K,7,FALSE)</f>
        <v>JWDDCD2025060900080</v>
      </c>
      <c r="E3092" s="136" t="str">
        <f>VLOOKUP(F3092,辅助信息!A:B,2,FALSE)</f>
        <v>螺纹钢</v>
      </c>
      <c r="F3092" s="136" t="s">
        <v>32</v>
      </c>
      <c r="G3092" s="37">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1" t="str">
        <f>VLOOKUP(B3092,辅助信息!E:I,3,FALSE)</f>
        <v>（华西简阳西城嘉苑）四川省成都市简阳市简城街道高屋村</v>
      </c>
      <c r="J3092" s="41" t="str">
        <f>VLOOKUP(B3092,辅助信息!E:I,4,FALSE)</f>
        <v>张瀚镭</v>
      </c>
      <c r="K3092" s="41">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57</v>
      </c>
      <c r="Q3092" s="30" t="str">
        <f>VLOOKUP(B3092,辅助信息!E:M,9,FALSE)</f>
        <v>ZTWM-CDGS-XS-2024-0030-华西集采-简州大道</v>
      </c>
      <c r="R3092" s="30" t="str">
        <f>_xlfn._xlws.FILTER(辅助信息!D:D,辅助信息!E:E=B3092)</f>
        <v>华西简阳西城嘉苑</v>
      </c>
    </row>
    <row r="3093" hidden="1" spans="2:18">
      <c r="B3093" s="41" t="s">
        <v>81</v>
      </c>
      <c r="C3093" s="71">
        <v>45901</v>
      </c>
      <c r="D3093" s="41" t="str">
        <f>VLOOKUP(B3093,辅助信息!E:K,7,FALSE)</f>
        <v>JWDDCD2025060900080</v>
      </c>
      <c r="E3093" s="41" t="str">
        <f>VLOOKUP(F3093,辅助信息!A:B,2,FALSE)</f>
        <v>螺纹钢</v>
      </c>
      <c r="F3093" s="41" t="s">
        <v>30</v>
      </c>
      <c r="G3093" s="37">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1" t="str">
        <f>VLOOKUP(B3093,辅助信息!E:I,3,FALSE)</f>
        <v>（华西简阳西城嘉苑）四川省成都市简阳市简城街道高屋村</v>
      </c>
      <c r="J3093" s="41" t="str">
        <f>VLOOKUP(B3093,辅助信息!E:I,4,FALSE)</f>
        <v>张瀚镭</v>
      </c>
      <c r="K3093" s="41">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57</v>
      </c>
      <c r="Q3093" s="30" t="str">
        <f>VLOOKUP(B3093,辅助信息!E:M,9,FALSE)</f>
        <v>ZTWM-CDGS-XS-2024-0030-华西集采-简州大道</v>
      </c>
      <c r="R3093" s="30" t="str">
        <f>_xlfn._xlws.FILTER(辅助信息!D:D,辅助信息!E:E=B3093)</f>
        <v>华西简阳西城嘉苑</v>
      </c>
    </row>
    <row r="3094" hidden="1" spans="2:18">
      <c r="B3094" s="41" t="s">
        <v>81</v>
      </c>
      <c r="C3094" s="71">
        <v>45901</v>
      </c>
      <c r="D3094" s="41" t="str">
        <f>VLOOKUP(B3094,辅助信息!E:K,7,FALSE)</f>
        <v>JWDDCD2025060900080</v>
      </c>
      <c r="E3094" s="41" t="str">
        <f>VLOOKUP(F3094,辅助信息!A:B,2,FALSE)</f>
        <v>螺纹钢</v>
      </c>
      <c r="F3094" s="41" t="s">
        <v>28</v>
      </c>
      <c r="G3094" s="37">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1" t="str">
        <f>VLOOKUP(B3094,辅助信息!E:I,3,FALSE)</f>
        <v>（华西简阳西城嘉苑）四川省成都市简阳市简城街道高屋村</v>
      </c>
      <c r="J3094" s="41" t="str">
        <f>VLOOKUP(B3094,辅助信息!E:I,4,FALSE)</f>
        <v>张瀚镭</v>
      </c>
      <c r="K3094" s="41">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57</v>
      </c>
      <c r="Q3094" s="30" t="str">
        <f>VLOOKUP(B3094,辅助信息!E:M,9,FALSE)</f>
        <v>ZTWM-CDGS-XS-2024-0030-华西集采-简州大道</v>
      </c>
      <c r="R3094" s="30" t="str">
        <f>_xlfn._xlws.FILTER(辅助信息!D:D,辅助信息!E:E=B3094)</f>
        <v>华西简阳西城嘉苑</v>
      </c>
    </row>
    <row r="3095" hidden="1" spans="2:18">
      <c r="B3095" s="41" t="s">
        <v>81</v>
      </c>
      <c r="C3095" s="71">
        <v>45901</v>
      </c>
      <c r="D3095" s="41" t="str">
        <f>VLOOKUP(B3095,辅助信息!E:K,7,FALSE)</f>
        <v>JWDDCD2025060900080</v>
      </c>
      <c r="E3095" s="41" t="str">
        <f>VLOOKUP(F3095,辅助信息!A:B,2,FALSE)</f>
        <v>螺纹钢</v>
      </c>
      <c r="F3095" s="41" t="s">
        <v>65</v>
      </c>
      <c r="G3095" s="37">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1" t="str">
        <f>VLOOKUP(B3095,辅助信息!E:I,3,FALSE)</f>
        <v>（华西简阳西城嘉苑）四川省成都市简阳市简城街道高屋村</v>
      </c>
      <c r="J3095" s="41" t="str">
        <f>VLOOKUP(B3095,辅助信息!E:I,4,FALSE)</f>
        <v>张瀚镭</v>
      </c>
      <c r="K3095" s="41">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57</v>
      </c>
      <c r="Q3095" s="30" t="str">
        <f>VLOOKUP(B3095,辅助信息!E:M,9,FALSE)</f>
        <v>ZTWM-CDGS-XS-2024-0030-华西集采-简州大道</v>
      </c>
      <c r="R3095" s="30" t="str">
        <f>_xlfn._xlws.FILTER(辅助信息!D:D,辅助信息!E:E=B3095)</f>
        <v>华西简阳西城嘉苑</v>
      </c>
    </row>
    <row r="3096" hidden="1" spans="2:18">
      <c r="B3096" s="41" t="s">
        <v>81</v>
      </c>
      <c r="C3096" s="71">
        <v>45901</v>
      </c>
      <c r="D3096" s="41" t="str">
        <f>VLOOKUP(B3096,辅助信息!E:K,7,FALSE)</f>
        <v>JWDDCD2025060900080</v>
      </c>
      <c r="E3096" s="41" t="str">
        <f>VLOOKUP(F3096,辅助信息!A:B,2,FALSE)</f>
        <v>螺纹钢</v>
      </c>
      <c r="F3096" s="41" t="s">
        <v>52</v>
      </c>
      <c r="G3096" s="37">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1" t="str">
        <f>VLOOKUP(B3096,辅助信息!E:I,3,FALSE)</f>
        <v>（华西简阳西城嘉苑）四川省成都市简阳市简城街道高屋村</v>
      </c>
      <c r="J3096" s="41" t="str">
        <f>VLOOKUP(B3096,辅助信息!E:I,4,FALSE)</f>
        <v>张瀚镭</v>
      </c>
      <c r="K3096" s="41">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57</v>
      </c>
      <c r="Q3096" s="30" t="str">
        <f>VLOOKUP(B3096,辅助信息!E:M,9,FALSE)</f>
        <v>ZTWM-CDGS-XS-2024-0030-华西集采-简州大道</v>
      </c>
      <c r="R3096" s="30" t="str">
        <f>_xlfn._xlws.FILTER(辅助信息!D:D,辅助信息!E:E=B3096)</f>
        <v>华西简阳西城嘉苑</v>
      </c>
    </row>
    <row r="3097" hidden="1" spans="2:18">
      <c r="B3097" s="41" t="s">
        <v>187</v>
      </c>
      <c r="C3097" s="71">
        <v>45901</v>
      </c>
      <c r="D3097" s="41" t="str">
        <f>VLOOKUP(B3097,辅助信息!E:K,7,FALSE)</f>
        <v>JWDDCD2025072900121</v>
      </c>
      <c r="E3097" s="41" t="str">
        <f>VLOOKUP(F3097,辅助信息!A:B,2,FALSE)</f>
        <v>螺纹钢</v>
      </c>
      <c r="F3097" s="41" t="s">
        <v>19</v>
      </c>
      <c r="G3097" s="37">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1" t="str">
        <f>VLOOKUP(B3097,辅助信息!E:I,3,FALSE)</f>
        <v>(乐山市校地共建产教融合基地建设项目一标段)四川省乐山市市中区苏稽镇周山嘴</v>
      </c>
      <c r="J3097" s="41" t="str">
        <f>VLOOKUP(B3097,辅助信息!E:I,4,FALSE)</f>
        <v>范增云</v>
      </c>
      <c r="K3097" s="41">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58</v>
      </c>
      <c r="Q3097" s="30" t="str">
        <f>VLOOKUP(B3097,辅助信息!E:M,9,FALSE)</f>
        <v>ZTWM-CDGS-XS-2025-0125-四川机司-乐山市校地共建产教融合基地配套设施项目施工一标段钢筋采购合同</v>
      </c>
      <c r="R3097" s="30" t="str">
        <f>_xlfn._xlws.FILTER(辅助信息!D:D,辅助信息!E:E=B3097)</f>
        <v>乐山市校地共建产教融合基地建设项目</v>
      </c>
    </row>
    <row r="3098" hidden="1" spans="2:18">
      <c r="B3098" s="41" t="s">
        <v>187</v>
      </c>
      <c r="C3098" s="71">
        <v>45901</v>
      </c>
      <c r="D3098" s="41" t="str">
        <f>VLOOKUP(B3098,辅助信息!E:K,7,FALSE)</f>
        <v>JWDDCD2025072900121</v>
      </c>
      <c r="E3098" s="41" t="str">
        <f>VLOOKUP(F3098,辅助信息!A:B,2,FALSE)</f>
        <v>螺纹钢</v>
      </c>
      <c r="F3098" s="41" t="s">
        <v>199</v>
      </c>
      <c r="G3098" s="37">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1" t="str">
        <f>VLOOKUP(B3098,辅助信息!E:I,3,FALSE)</f>
        <v>(乐山市校地共建产教融合基地建设项目一标段)四川省乐山市市中区苏稽镇周山嘴</v>
      </c>
      <c r="J3098" s="41" t="str">
        <f>VLOOKUP(B3098,辅助信息!E:I,4,FALSE)</f>
        <v>范增云</v>
      </c>
      <c r="K3098" s="41">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58</v>
      </c>
      <c r="Q3098" s="30" t="str">
        <f>VLOOKUP(B3098,辅助信息!E:M,9,FALSE)</f>
        <v>ZTWM-CDGS-XS-2025-0125-四川机司-乐山市校地共建产教融合基地配套设施项目施工一标段钢筋采购合同</v>
      </c>
      <c r="R3098" s="30" t="str">
        <f>_xlfn._xlws.FILTER(辅助信息!D:D,辅助信息!E:E=B3098)</f>
        <v>乐山市校地共建产教融合基地建设项目</v>
      </c>
    </row>
    <row r="3099" hidden="1" spans="2:18">
      <c r="B3099" s="41" t="s">
        <v>187</v>
      </c>
      <c r="C3099" s="71">
        <v>45901</v>
      </c>
      <c r="D3099" s="41" t="str">
        <f>VLOOKUP(B3099,辅助信息!E:K,7,FALSE)</f>
        <v>JWDDCD2025072900121</v>
      </c>
      <c r="E3099" s="41" t="str">
        <f>VLOOKUP(F3099,辅助信息!A:B,2,FALSE)</f>
        <v>螺纹钢</v>
      </c>
      <c r="F3099" s="41" t="s">
        <v>141</v>
      </c>
      <c r="G3099" s="37">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1" t="str">
        <f>VLOOKUP(B3099,辅助信息!E:I,3,FALSE)</f>
        <v>(乐山市校地共建产教融合基地建设项目一标段)四川省乐山市市中区苏稽镇周山嘴</v>
      </c>
      <c r="J3099" s="41" t="str">
        <f>VLOOKUP(B3099,辅助信息!E:I,4,FALSE)</f>
        <v>范增云</v>
      </c>
      <c r="K3099" s="41">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58</v>
      </c>
      <c r="Q3099" s="30" t="str">
        <f>VLOOKUP(B3099,辅助信息!E:M,9,FALSE)</f>
        <v>ZTWM-CDGS-XS-2025-0125-四川机司-乐山市校地共建产教融合基地配套设施项目施工一标段钢筋采购合同</v>
      </c>
      <c r="R3099" s="30" t="str">
        <f>_xlfn._xlws.FILTER(辅助信息!D:D,辅助信息!E:E=B3099)</f>
        <v>乐山市校地共建产教融合基地建设项目</v>
      </c>
    </row>
    <row r="3100" hidden="1" spans="2:18">
      <c r="B3100" s="41" t="s">
        <v>187</v>
      </c>
      <c r="C3100" s="71">
        <v>45901</v>
      </c>
      <c r="D3100" s="41" t="str">
        <f>VLOOKUP(B3100,辅助信息!E:K,7,FALSE)</f>
        <v>JWDDCD2025072900121</v>
      </c>
      <c r="E3100" s="41" t="str">
        <f>VLOOKUP(F3100,辅助信息!A:B,2,FALSE)</f>
        <v>螺纹钢</v>
      </c>
      <c r="F3100" s="41" t="s">
        <v>142</v>
      </c>
      <c r="G3100" s="37">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1" t="str">
        <f>VLOOKUP(B3100,辅助信息!E:I,3,FALSE)</f>
        <v>(乐山市校地共建产教融合基地建设项目一标段)四川省乐山市市中区苏稽镇周山嘴</v>
      </c>
      <c r="J3100" s="41" t="str">
        <f>VLOOKUP(B3100,辅助信息!E:I,4,FALSE)</f>
        <v>范增云</v>
      </c>
      <c r="K3100" s="41">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58</v>
      </c>
      <c r="Q3100" s="30" t="str">
        <f>VLOOKUP(B3100,辅助信息!E:M,9,FALSE)</f>
        <v>ZTWM-CDGS-XS-2025-0125-四川机司-乐山市校地共建产教融合基地配套设施项目施工一标段钢筋采购合同</v>
      </c>
      <c r="R3100" s="30" t="str">
        <f>_xlfn._xlws.FILTER(辅助信息!D:D,辅助信息!E:E=B3100)</f>
        <v>乐山市校地共建产教融合基地建设项目</v>
      </c>
    </row>
    <row r="3101" hidden="1" spans="2:18">
      <c r="B3101" s="41" t="s">
        <v>187</v>
      </c>
      <c r="C3101" s="71">
        <v>45901</v>
      </c>
      <c r="D3101" s="41" t="str">
        <f>VLOOKUP(B3101,辅助信息!E:K,7,FALSE)</f>
        <v>JWDDCD2025072900121</v>
      </c>
      <c r="E3101" s="41" t="str">
        <f>VLOOKUP(F3101,辅助信息!A:B,2,FALSE)</f>
        <v>螺纹钢</v>
      </c>
      <c r="F3101" s="41" t="s">
        <v>182</v>
      </c>
      <c r="G3101" s="37">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1" t="str">
        <f>VLOOKUP(B3101,辅助信息!E:I,3,FALSE)</f>
        <v>(乐山市校地共建产教融合基地建设项目一标段)四川省乐山市市中区苏稽镇周山嘴</v>
      </c>
      <c r="J3101" s="41" t="str">
        <f>VLOOKUP(B3101,辅助信息!E:I,4,FALSE)</f>
        <v>范增云</v>
      </c>
      <c r="K3101" s="41">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58</v>
      </c>
      <c r="Q3101" s="30" t="str">
        <f>VLOOKUP(B3101,辅助信息!E:M,9,FALSE)</f>
        <v>ZTWM-CDGS-XS-2025-0125-四川机司-乐山市校地共建产教融合基地配套设施项目施工一标段钢筋采购合同</v>
      </c>
      <c r="R3101" s="30" t="str">
        <f>_xlfn._xlws.FILTER(辅助信息!D:D,辅助信息!E:E=B3101)</f>
        <v>乐山市校地共建产教融合基地建设项目</v>
      </c>
    </row>
    <row r="3102" hidden="1" spans="2:18">
      <c r="B3102" s="41" t="s">
        <v>187</v>
      </c>
      <c r="C3102" s="71">
        <v>45901</v>
      </c>
      <c r="D3102" s="41" t="str">
        <f>VLOOKUP(B3102,辅助信息!E:K,7,FALSE)</f>
        <v>JWDDCD2025072900121</v>
      </c>
      <c r="E3102" s="41" t="str">
        <f>VLOOKUP(F3102,辅助信息!A:B,2,FALSE)</f>
        <v>螺纹钢</v>
      </c>
      <c r="F3102" s="41" t="s">
        <v>201</v>
      </c>
      <c r="G3102" s="37">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1" t="str">
        <f>VLOOKUP(B3102,辅助信息!E:I,3,FALSE)</f>
        <v>(乐山市校地共建产教融合基地建设项目一标段)四川省乐山市市中区苏稽镇周山嘴</v>
      </c>
      <c r="J3102" s="41" t="str">
        <f>VLOOKUP(B3102,辅助信息!E:I,4,FALSE)</f>
        <v>范增云</v>
      </c>
      <c r="K3102" s="41">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58</v>
      </c>
      <c r="Q3102" s="30" t="str">
        <f>VLOOKUP(B3102,辅助信息!E:M,9,FALSE)</f>
        <v>ZTWM-CDGS-XS-2025-0125-四川机司-乐山市校地共建产教融合基地配套设施项目施工一标段钢筋采购合同</v>
      </c>
      <c r="R3102" s="30"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30"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30"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30"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30"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30"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30"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30"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30"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30"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55</v>
      </c>
      <c r="Q3112" s="30"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55</v>
      </c>
      <c r="Q3113" s="30"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55</v>
      </c>
      <c r="Q3114" s="30"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55</v>
      </c>
      <c r="Q3115" s="30"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55</v>
      </c>
      <c r="Q3116" s="30"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55</v>
      </c>
      <c r="Q3117" s="30"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55</v>
      </c>
      <c r="Q3118" s="30"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55</v>
      </c>
      <c r="Q3119" s="30"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55</v>
      </c>
      <c r="Q3120" s="30"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55</v>
      </c>
      <c r="Q3121" s="30"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57</v>
      </c>
      <c r="Q3122" s="30"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57</v>
      </c>
      <c r="Q3123" s="30"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57</v>
      </c>
      <c r="Q3124" s="30" t="str">
        <f>VLOOKUP(B3124,辅助信息!E:M,9,FALSE)</f>
        <v>ZTWM-CDGS-XS-2024-0030-华西集采-简州大道</v>
      </c>
      <c r="R3124" s="146" t="str">
        <f>_xlfn._xlws.FILTER(辅助信息!D:D,辅助信息!E:E=B3124)</f>
        <v>华西简阳西城嘉苑</v>
      </c>
    </row>
    <row r="3125" hidden="1" spans="2:18">
      <c r="B3125" s="41" t="s">
        <v>187</v>
      </c>
      <c r="C3125" s="71">
        <v>45902</v>
      </c>
      <c r="D3125" s="41" t="str">
        <f>VLOOKUP(B3125,辅助信息!E:K,7,FALSE)</f>
        <v>JWDDCD2025072900121</v>
      </c>
      <c r="E3125" s="41" t="str">
        <f>VLOOKUP(F3125,辅助信息!A:B,2,FALSE)</f>
        <v>螺纹钢</v>
      </c>
      <c r="F3125" s="41" t="s">
        <v>27</v>
      </c>
      <c r="G3125" s="37">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1" t="str">
        <f>VLOOKUP(B3125,辅助信息!E:I,3,FALSE)</f>
        <v>(乐山市校地共建产教融合基地建设项目一标段)四川省乐山市市中区苏稽镇周山嘴</v>
      </c>
      <c r="J3125" s="41" t="str">
        <f>VLOOKUP(B3125,辅助信息!E:I,4,FALSE)</f>
        <v>范增云</v>
      </c>
      <c r="K3125" s="41">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56</v>
      </c>
      <c r="Q3125" s="30" t="str">
        <f>VLOOKUP(B3125,辅助信息!E:M,9,FALSE)</f>
        <v>ZTWM-CDGS-XS-2025-0125-四川机司-乐山市校地共建产教融合基地配套设施项目施工一标段钢筋采购合同</v>
      </c>
      <c r="R3125" s="30" t="str">
        <f>_xlfn._xlws.FILTER(辅助信息!D:D,辅助信息!E:E=B3125)</f>
        <v>乐山市校地共建产教融合基地建设项目</v>
      </c>
    </row>
    <row r="3126" hidden="1" spans="2:18">
      <c r="B3126" s="41" t="s">
        <v>187</v>
      </c>
      <c r="C3126" s="71">
        <v>45902</v>
      </c>
      <c r="D3126" s="41" t="str">
        <f>VLOOKUP(B3126,辅助信息!E:K,7,FALSE)</f>
        <v>JWDDCD2025072900121</v>
      </c>
      <c r="E3126" s="41" t="str">
        <f>VLOOKUP(F3126,辅助信息!A:B,2,FALSE)</f>
        <v>螺纹钢</v>
      </c>
      <c r="F3126" s="41" t="s">
        <v>66</v>
      </c>
      <c r="G3126" s="37">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1" t="str">
        <f>VLOOKUP(B3126,辅助信息!E:I,3,FALSE)</f>
        <v>(乐山市校地共建产教融合基地建设项目一标段)四川省乐山市市中区苏稽镇周山嘴</v>
      </c>
      <c r="J3126" s="41" t="str">
        <f>VLOOKUP(B3126,辅助信息!E:I,4,FALSE)</f>
        <v>范增云</v>
      </c>
      <c r="K3126" s="41">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56</v>
      </c>
      <c r="Q3126" s="30" t="str">
        <f>VLOOKUP(B3126,辅助信息!E:M,9,FALSE)</f>
        <v>ZTWM-CDGS-XS-2025-0125-四川机司-乐山市校地共建产教融合基地配套设施项目施工一标段钢筋采购合同</v>
      </c>
      <c r="R3126" s="30" t="str">
        <f>_xlfn._xlws.FILTER(辅助信息!D:D,辅助信息!E:E=B3126)</f>
        <v>乐山市校地共建产教融合基地建设项目</v>
      </c>
    </row>
    <row r="3127" hidden="1" spans="2:18">
      <c r="B3127" s="41" t="s">
        <v>187</v>
      </c>
      <c r="C3127" s="71">
        <v>45902</v>
      </c>
      <c r="D3127" s="41" t="str">
        <f>VLOOKUP(B3127,辅助信息!E:K,7,FALSE)</f>
        <v>JWDDCD2025072900121</v>
      </c>
      <c r="E3127" s="41" t="str">
        <f>VLOOKUP(F3127,辅助信息!A:B,2,FALSE)</f>
        <v>螺纹钢</v>
      </c>
      <c r="F3127" s="41" t="s">
        <v>82</v>
      </c>
      <c r="G3127" s="37">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1" t="str">
        <f>VLOOKUP(B3127,辅助信息!E:I,3,FALSE)</f>
        <v>(乐山市校地共建产教融合基地建设项目一标段)四川省乐山市市中区苏稽镇周山嘴</v>
      </c>
      <c r="J3127" s="41" t="str">
        <f>VLOOKUP(B3127,辅助信息!E:I,4,FALSE)</f>
        <v>范增云</v>
      </c>
      <c r="K3127" s="41">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56</v>
      </c>
      <c r="Q3127" s="30" t="str">
        <f>VLOOKUP(B3127,辅助信息!E:M,9,FALSE)</f>
        <v>ZTWM-CDGS-XS-2025-0125-四川机司-乐山市校地共建产教融合基地配套设施项目施工一标段钢筋采购合同</v>
      </c>
      <c r="R3127" s="30" t="str">
        <f>_xlfn._xlws.FILTER(辅助信息!D:D,辅助信息!E:E=B3127)</f>
        <v>乐山市校地共建产教融合基地建设项目</v>
      </c>
    </row>
    <row r="3128" hidden="1" spans="2:18">
      <c r="B3128" s="41" t="s">
        <v>187</v>
      </c>
      <c r="C3128" s="71">
        <v>45902</v>
      </c>
      <c r="D3128" s="41" t="str">
        <f>VLOOKUP(B3128,辅助信息!E:K,7,FALSE)</f>
        <v>JWDDCD2025072900121</v>
      </c>
      <c r="E3128" s="41" t="str">
        <f>VLOOKUP(F3128,辅助信息!A:B,2,FALSE)</f>
        <v>螺纹钢</v>
      </c>
      <c r="F3128" s="41" t="s">
        <v>45</v>
      </c>
      <c r="G3128" s="37">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1" t="str">
        <f>VLOOKUP(B3128,辅助信息!E:I,3,FALSE)</f>
        <v>(乐山市校地共建产教融合基地建设项目一标段)四川省乐山市市中区苏稽镇周山嘴</v>
      </c>
      <c r="J3128" s="41" t="str">
        <f>VLOOKUP(B3128,辅助信息!E:I,4,FALSE)</f>
        <v>范增云</v>
      </c>
      <c r="K3128" s="41">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56</v>
      </c>
      <c r="Q3128" s="30" t="str">
        <f>VLOOKUP(B3128,辅助信息!E:M,9,FALSE)</f>
        <v>ZTWM-CDGS-XS-2025-0125-四川机司-乐山市校地共建产教融合基地配套设施项目施工一标段钢筋采购合同</v>
      </c>
      <c r="R3128" s="30" t="str">
        <f>_xlfn._xlws.FILTER(辅助信息!D:D,辅助信息!E:E=B3128)</f>
        <v>乐山市校地共建产教融合基地建设项目</v>
      </c>
    </row>
    <row r="3129" hidden="1" spans="2:18">
      <c r="B3129" s="41" t="s">
        <v>187</v>
      </c>
      <c r="C3129" s="71">
        <v>45902</v>
      </c>
      <c r="D3129" s="41" t="str">
        <f>VLOOKUP(B3129,辅助信息!E:K,7,FALSE)</f>
        <v>JWDDCD2025072900121</v>
      </c>
      <c r="E3129" s="41" t="str">
        <f>VLOOKUP(F3129,辅助信息!A:B,2,FALSE)</f>
        <v>螺纹钢</v>
      </c>
      <c r="F3129" s="41" t="s">
        <v>21</v>
      </c>
      <c r="G3129" s="37">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1" t="str">
        <f>VLOOKUP(B3129,辅助信息!E:I,3,FALSE)</f>
        <v>(乐山市校地共建产教融合基地建设项目一标段)四川省乐山市市中区苏稽镇周山嘴</v>
      </c>
      <c r="J3129" s="41" t="str">
        <f>VLOOKUP(B3129,辅助信息!E:I,4,FALSE)</f>
        <v>范增云</v>
      </c>
      <c r="K3129" s="41">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56</v>
      </c>
      <c r="Q3129" s="30" t="str">
        <f>VLOOKUP(B3129,辅助信息!E:M,9,FALSE)</f>
        <v>ZTWM-CDGS-XS-2025-0125-四川机司-乐山市校地共建产教融合基地配套设施项目施工一标段钢筋采购合同</v>
      </c>
      <c r="R3129" s="30" t="str">
        <f>_xlfn._xlws.FILTER(辅助信息!D:D,辅助信息!E:E=B3129)</f>
        <v>乐山市校地共建产教融合基地建设项目</v>
      </c>
    </row>
    <row r="3130" hidden="1" spans="2:18">
      <c r="B3130" s="41" t="s">
        <v>187</v>
      </c>
      <c r="C3130" s="71">
        <v>45902</v>
      </c>
      <c r="D3130" s="41" t="str">
        <f>VLOOKUP(B3130,辅助信息!E:K,7,FALSE)</f>
        <v>JWDDCD2025072900121</v>
      </c>
      <c r="E3130" s="41" t="str">
        <f>VLOOKUP(F3130,辅助信息!A:B,2,FALSE)</f>
        <v>螺纹钢</v>
      </c>
      <c r="F3130" s="41" t="s">
        <v>58</v>
      </c>
      <c r="G3130" s="37">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1" t="str">
        <f>VLOOKUP(B3130,辅助信息!E:I,3,FALSE)</f>
        <v>(乐山市校地共建产教融合基地建设项目一标段)四川省乐山市市中区苏稽镇周山嘴</v>
      </c>
      <c r="J3130" s="41" t="str">
        <f>VLOOKUP(B3130,辅助信息!E:I,4,FALSE)</f>
        <v>范增云</v>
      </c>
      <c r="K3130" s="41">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56</v>
      </c>
      <c r="Q3130" s="30" t="str">
        <f>VLOOKUP(B3130,辅助信息!E:M,9,FALSE)</f>
        <v>ZTWM-CDGS-XS-2025-0125-四川机司-乐山市校地共建产教融合基地配套设施项目施工一标段钢筋采购合同</v>
      </c>
      <c r="R3130" s="30" t="str">
        <f>_xlfn._xlws.FILTER(辅助信息!D:D,辅助信息!E:E=B3130)</f>
        <v>乐山市校地共建产教融合基地建设项目</v>
      </c>
    </row>
    <row r="3131" hidden="1" spans="2:18">
      <c r="B3131" s="41" t="s">
        <v>187</v>
      </c>
      <c r="C3131" s="71">
        <v>45902</v>
      </c>
      <c r="D3131" s="41" t="str">
        <f>VLOOKUP(B3131,辅助信息!E:K,7,FALSE)</f>
        <v>JWDDCD2025072900121</v>
      </c>
      <c r="E3131" s="41" t="str">
        <f>VLOOKUP(F3131,辅助信息!A:B,2,FALSE)</f>
        <v>螺纹钢</v>
      </c>
      <c r="F3131" s="41" t="s">
        <v>46</v>
      </c>
      <c r="G3131" s="37">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1" t="str">
        <f>VLOOKUP(B3131,辅助信息!E:I,3,FALSE)</f>
        <v>(乐山市校地共建产教融合基地建设项目一标段)四川省乐山市市中区苏稽镇周山嘴</v>
      </c>
      <c r="J3131" s="41" t="str">
        <f>VLOOKUP(B3131,辅助信息!E:I,4,FALSE)</f>
        <v>范增云</v>
      </c>
      <c r="K3131" s="41">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56</v>
      </c>
      <c r="Q3131" s="30" t="str">
        <f>VLOOKUP(B3131,辅助信息!E:M,9,FALSE)</f>
        <v>ZTWM-CDGS-XS-2025-0125-四川机司-乐山市校地共建产教融合基地配套设施项目施工一标段钢筋采购合同</v>
      </c>
      <c r="R3131" s="30" t="str">
        <f>_xlfn._xlws.FILTER(辅助信息!D:D,辅助信息!E:E=B3131)</f>
        <v>乐山市校地共建产教融合基地建设项目</v>
      </c>
    </row>
    <row r="3132" hidden="1" spans="2:18">
      <c r="B3132" s="41" t="s">
        <v>187</v>
      </c>
      <c r="C3132" s="71">
        <v>45902</v>
      </c>
      <c r="D3132" s="41" t="str">
        <f>VLOOKUP(B3132,辅助信息!E:K,7,FALSE)</f>
        <v>JWDDCD2025072900121</v>
      </c>
      <c r="E3132" s="41" t="str">
        <f>VLOOKUP(F3132,辅助信息!A:B,2,FALSE)</f>
        <v>螺纹钢</v>
      </c>
      <c r="F3132" s="41" t="s">
        <v>22</v>
      </c>
      <c r="G3132" s="37">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1" t="str">
        <f>VLOOKUP(B3132,辅助信息!E:I,3,FALSE)</f>
        <v>(乐山市校地共建产教融合基地建设项目一标段)四川省乐山市市中区苏稽镇周山嘴</v>
      </c>
      <c r="J3132" s="41" t="str">
        <f>VLOOKUP(B3132,辅助信息!E:I,4,FALSE)</f>
        <v>范增云</v>
      </c>
      <c r="K3132" s="41">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56</v>
      </c>
      <c r="Q3132" s="30" t="str">
        <f>VLOOKUP(B3132,辅助信息!E:M,9,FALSE)</f>
        <v>ZTWM-CDGS-XS-2025-0125-四川机司-乐山市校地共建产教融合基地配套设施项目施工一标段钢筋采购合同</v>
      </c>
      <c r="R3132" s="30" t="str">
        <f>_xlfn._xlws.FILTER(辅助信息!D:D,辅助信息!E:E=B3132)</f>
        <v>乐山市校地共建产教融合基地建设项目</v>
      </c>
    </row>
    <row r="3133" hidden="1" spans="2:18">
      <c r="B3133" s="41" t="s">
        <v>187</v>
      </c>
      <c r="C3133" s="71">
        <v>45902</v>
      </c>
      <c r="D3133" s="41" t="str">
        <f>VLOOKUP(B3133,辅助信息!E:K,7,FALSE)</f>
        <v>JWDDCD2025072900121</v>
      </c>
      <c r="E3133" s="41" t="str">
        <f>VLOOKUP(F3133,辅助信息!A:B,2,FALSE)</f>
        <v>螺纹钢</v>
      </c>
      <c r="F3133" s="41" t="s">
        <v>200</v>
      </c>
      <c r="G3133" s="37">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1" t="str">
        <f>VLOOKUP(B3133,辅助信息!E:I,3,FALSE)</f>
        <v>(乐山市校地共建产教融合基地建设项目一标段)四川省乐山市市中区苏稽镇周山嘴</v>
      </c>
      <c r="J3133" s="41" t="str">
        <f>VLOOKUP(B3133,辅助信息!E:I,4,FALSE)</f>
        <v>范增云</v>
      </c>
      <c r="K3133" s="41">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56</v>
      </c>
      <c r="Q3133" s="30" t="str">
        <f>VLOOKUP(B3133,辅助信息!E:M,9,FALSE)</f>
        <v>ZTWM-CDGS-XS-2025-0125-四川机司-乐山市校地共建产教融合基地配套设施项目施工一标段钢筋采购合同</v>
      </c>
      <c r="R3133" s="30" t="str">
        <f>_xlfn._xlws.FILTER(辅助信息!D:D,辅助信息!E:E=B3133)</f>
        <v>乐山市校地共建产教融合基地建设项目</v>
      </c>
    </row>
    <row r="3134" hidden="1" spans="2:18">
      <c r="B3134" s="41" t="s">
        <v>180</v>
      </c>
      <c r="C3134" s="71">
        <v>45902</v>
      </c>
      <c r="D3134" s="41" t="str">
        <f>VLOOKUP(B3134,辅助信息!E:K,7,FALSE)</f>
        <v>JWDDCD2025052800131</v>
      </c>
      <c r="E3134" s="41" t="str">
        <f>VLOOKUP(F3134,辅助信息!A:B,2,FALSE)</f>
        <v>盘螺</v>
      </c>
      <c r="F3134" s="41" t="s">
        <v>40</v>
      </c>
      <c r="G3134" s="37">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1" t="str">
        <f>VLOOKUP(B3134,辅助信息!E:I,3,FALSE)</f>
        <v>（商投建工达州中医药科技园-4工区-8号楼）达州市通川区达州中医药职业学院犀牛大道北段</v>
      </c>
      <c r="J3134" s="41" t="str">
        <f>VLOOKUP(B3134,辅助信息!E:I,4,FALSE)</f>
        <v>张扬</v>
      </c>
      <c r="K3134" s="41">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56</v>
      </c>
      <c r="Q3134" s="30" t="str">
        <f>VLOOKUP(B3134,辅助信息!E:M,9,FALSE)</f>
        <v>ZTWM-CDGS-XS-2024-0134-商投建工达州中医药科技成果示范园项目</v>
      </c>
      <c r="R3134" s="30" t="str">
        <f>_xlfn._xlws.FILTER(辅助信息!D:D,辅助信息!E:E=B3134)</f>
        <v>商投建工达州中医药科技园</v>
      </c>
    </row>
    <row r="3135" hidden="1" spans="2:18">
      <c r="B3135" s="41" t="s">
        <v>180</v>
      </c>
      <c r="C3135" s="71">
        <v>45902</v>
      </c>
      <c r="D3135" s="41" t="str">
        <f>VLOOKUP(B3135,辅助信息!E:K,7,FALSE)</f>
        <v>JWDDCD2025052800131</v>
      </c>
      <c r="E3135" s="41" t="str">
        <f>VLOOKUP(F3135,辅助信息!A:B,2,FALSE)</f>
        <v>螺纹钢</v>
      </c>
      <c r="F3135" s="41" t="s">
        <v>58</v>
      </c>
      <c r="G3135" s="37">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1" t="str">
        <f>VLOOKUP(B3135,辅助信息!E:I,3,FALSE)</f>
        <v>（商投建工达州中医药科技园-4工区-8号楼）达州市通川区达州中医药职业学院犀牛大道北段</v>
      </c>
      <c r="J3135" s="41" t="str">
        <f>VLOOKUP(B3135,辅助信息!E:I,4,FALSE)</f>
        <v>张扬</v>
      </c>
      <c r="K3135" s="41">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56</v>
      </c>
      <c r="Q3135" s="30" t="str">
        <f>VLOOKUP(B3135,辅助信息!E:M,9,FALSE)</f>
        <v>ZTWM-CDGS-XS-2024-0134-商投建工达州中医药科技成果示范园项目</v>
      </c>
      <c r="R3135" s="30" t="str">
        <f>_xlfn._xlws.FILTER(辅助信息!D:D,辅助信息!E:E=B3135)</f>
        <v>商投建工达州中医药科技园</v>
      </c>
    </row>
    <row r="3136" hidden="1" spans="2:18">
      <c r="B3136" s="41" t="s">
        <v>180</v>
      </c>
      <c r="C3136" s="71">
        <v>45902</v>
      </c>
      <c r="D3136" s="41" t="str">
        <f>VLOOKUP(B3136,辅助信息!E:K,7,FALSE)</f>
        <v>JWDDCD2025052800131</v>
      </c>
      <c r="E3136" s="41" t="str">
        <f>VLOOKUP(F3136,辅助信息!A:B,2,FALSE)</f>
        <v>螺纹钢</v>
      </c>
      <c r="F3136" s="41" t="s">
        <v>22</v>
      </c>
      <c r="G3136" s="37">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1" t="str">
        <f>VLOOKUP(B3136,辅助信息!E:I,3,FALSE)</f>
        <v>（商投建工达州中医药科技园-4工区-8号楼）达州市通川区达州中医药职业学院犀牛大道北段</v>
      </c>
      <c r="J3136" s="41" t="str">
        <f>VLOOKUP(B3136,辅助信息!E:I,4,FALSE)</f>
        <v>张扬</v>
      </c>
      <c r="K3136" s="41">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56</v>
      </c>
      <c r="Q3136" s="30" t="str">
        <f>VLOOKUP(B3136,辅助信息!E:M,9,FALSE)</f>
        <v>ZTWM-CDGS-XS-2024-0134-商投建工达州中医药科技成果示范园项目</v>
      </c>
      <c r="R3136" s="30" t="str">
        <f>_xlfn._xlws.FILTER(辅助信息!D:D,辅助信息!E:E=B3136)</f>
        <v>商投建工达州中医药科技园</v>
      </c>
    </row>
    <row r="3137" hidden="1" spans="2:18">
      <c r="B3137" s="41" t="s">
        <v>163</v>
      </c>
      <c r="C3137" s="71">
        <v>45902</v>
      </c>
      <c r="D3137" s="41" t="str">
        <f>VLOOKUP(B3137,辅助信息!E:K,7,FALSE)</f>
        <v>JWDDCD2025052800131</v>
      </c>
      <c r="E3137" s="41" t="str">
        <f>VLOOKUP(F3137,辅助信息!A:B,2,FALSE)</f>
        <v>盘螺</v>
      </c>
      <c r="F3137" s="41" t="s">
        <v>40</v>
      </c>
      <c r="G3137" s="37">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1" t="str">
        <f>VLOOKUP(B3137,辅助信息!E:I,3,FALSE)</f>
        <v>（商投建工达州中医药科技园-4工区-9号楼）达州市通川区达州中医药职业学院犀牛大道北段</v>
      </c>
      <c r="J3137" s="41" t="str">
        <f>VLOOKUP(B3137,辅助信息!E:I,4,FALSE)</f>
        <v>张扬</v>
      </c>
      <c r="K3137" s="41">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56</v>
      </c>
      <c r="Q3137" s="30" t="str">
        <f>VLOOKUP(B3137,辅助信息!E:M,9,FALSE)</f>
        <v>ZTWM-CDGS-XS-2024-0134-商投建工达州中医药科技成果示范园项目</v>
      </c>
      <c r="R3137" s="30" t="str">
        <f>_xlfn._xlws.FILTER(辅助信息!D:D,辅助信息!E:E=B3137)</f>
        <v>商投建工达州中医药科技园</v>
      </c>
    </row>
    <row r="3138" hidden="1" spans="2:18">
      <c r="B3138" s="41" t="s">
        <v>163</v>
      </c>
      <c r="C3138" s="71">
        <v>45902</v>
      </c>
      <c r="D3138" s="41" t="str">
        <f>VLOOKUP(B3138,辅助信息!E:K,7,FALSE)</f>
        <v>JWDDCD2025052800131</v>
      </c>
      <c r="E3138" s="41" t="str">
        <f>VLOOKUP(F3138,辅助信息!A:B,2,FALSE)</f>
        <v>螺纹钢</v>
      </c>
      <c r="F3138" s="41" t="s">
        <v>33</v>
      </c>
      <c r="G3138" s="37">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1" t="str">
        <f>VLOOKUP(B3138,辅助信息!E:I,3,FALSE)</f>
        <v>（商投建工达州中医药科技园-4工区-9号楼）达州市通川区达州中医药职业学院犀牛大道北段</v>
      </c>
      <c r="J3138" s="41" t="str">
        <f>VLOOKUP(B3138,辅助信息!E:I,4,FALSE)</f>
        <v>张扬</v>
      </c>
      <c r="K3138" s="41">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56</v>
      </c>
      <c r="Q3138" s="30" t="str">
        <f>VLOOKUP(B3138,辅助信息!E:M,9,FALSE)</f>
        <v>ZTWM-CDGS-XS-2024-0134-商投建工达州中医药科技成果示范园项目</v>
      </c>
      <c r="R3138" s="30" t="str">
        <f>_xlfn._xlws.FILTER(辅助信息!D:D,辅助信息!E:E=B3138)</f>
        <v>商投建工达州中医药科技园</v>
      </c>
    </row>
    <row r="3139" hidden="1" spans="2:18">
      <c r="B3139" s="41" t="s">
        <v>163</v>
      </c>
      <c r="C3139" s="71">
        <v>45902</v>
      </c>
      <c r="D3139" s="41" t="str">
        <f>VLOOKUP(B3139,辅助信息!E:K,7,FALSE)</f>
        <v>JWDDCD2025052800131</v>
      </c>
      <c r="E3139" s="41" t="str">
        <f>VLOOKUP(F3139,辅助信息!A:B,2,FALSE)</f>
        <v>螺纹钢</v>
      </c>
      <c r="F3139" s="41" t="s">
        <v>18</v>
      </c>
      <c r="G3139" s="37">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1" t="str">
        <f>VLOOKUP(B3139,辅助信息!E:I,3,FALSE)</f>
        <v>（商投建工达州中医药科技园-4工区-9号楼）达州市通川区达州中医药职业学院犀牛大道北段</v>
      </c>
      <c r="J3139" s="41" t="str">
        <f>VLOOKUP(B3139,辅助信息!E:I,4,FALSE)</f>
        <v>张扬</v>
      </c>
      <c r="K3139" s="41">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56</v>
      </c>
      <c r="Q3139" s="30" t="str">
        <f>VLOOKUP(B3139,辅助信息!E:M,9,FALSE)</f>
        <v>ZTWM-CDGS-XS-2024-0134-商投建工达州中医药科技成果示范园项目</v>
      </c>
      <c r="R3139" s="30" t="str">
        <f>_xlfn._xlws.FILTER(辅助信息!D:D,辅助信息!E:E=B3139)</f>
        <v>商投建工达州中医药科技园</v>
      </c>
    </row>
    <row r="3140" hidden="1" spans="1:18">
      <c r="A3140" s="83" t="s">
        <v>212</v>
      </c>
      <c r="B3140" s="41" t="s">
        <v>167</v>
      </c>
      <c r="C3140" s="71">
        <v>45902</v>
      </c>
      <c r="D3140" s="41" t="str">
        <f>VLOOKUP(B3140,辅助信息!E:K,7,FALSE)</f>
        <v>JWDDCD2025102100473</v>
      </c>
      <c r="E3140" s="41" t="str">
        <f>VLOOKUP(F3140,辅助信息!A:B,2,FALSE)</f>
        <v>盘螺</v>
      </c>
      <c r="F3140" s="41" t="s">
        <v>40</v>
      </c>
      <c r="G3140" s="37">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1" t="str">
        <f>VLOOKUP(B3140,辅助信息!E:I,3,FALSE)</f>
        <v>(五冶建设扩建艺体中学二期工程)四川省成都市双流区光荣路成都艺体中学南200米</v>
      </c>
      <c r="J3140" s="41" t="str">
        <f>VLOOKUP(B3140,辅助信息!E:I,4,FALSE)</f>
        <v>谢序强</v>
      </c>
      <c r="K3140" s="41">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55</v>
      </c>
      <c r="Q3140" s="30" t="str">
        <f>VLOOKUP(B3140,辅助信息!E:M,9,FALSE)</f>
        <v>ZTWM-CDGS-XS-2025-0073-五冶天府-成都怡心湖片区及龙泉驿医院等项目</v>
      </c>
      <c r="R3140" s="30" t="str">
        <f>_xlfn._xlws.FILTER(辅助信息!D:D,辅助信息!E:E=B3140)</f>
        <v>五冶建设扩建艺体中学二期工程</v>
      </c>
    </row>
    <row r="3141" hidden="1" spans="1:18">
      <c r="A3141" s="83"/>
      <c r="B3141" s="41" t="s">
        <v>167</v>
      </c>
      <c r="C3141" s="71">
        <v>45902</v>
      </c>
      <c r="D3141" s="41" t="str">
        <f>VLOOKUP(B3141,辅助信息!E:K,7,FALSE)</f>
        <v>JWDDCD2025102100473</v>
      </c>
      <c r="E3141" s="41" t="str">
        <f>VLOOKUP(F3141,辅助信息!A:B,2,FALSE)</f>
        <v>盘螺</v>
      </c>
      <c r="F3141" s="41" t="s">
        <v>41</v>
      </c>
      <c r="G3141" s="37">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1" t="str">
        <f>VLOOKUP(B3141,辅助信息!E:I,3,FALSE)</f>
        <v>(五冶建设扩建艺体中学二期工程)四川省成都市双流区光荣路成都艺体中学南200米</v>
      </c>
      <c r="J3141" s="41" t="str">
        <f>VLOOKUP(B3141,辅助信息!E:I,4,FALSE)</f>
        <v>谢序强</v>
      </c>
      <c r="K3141" s="41">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55</v>
      </c>
      <c r="Q3141" s="30" t="str">
        <f>VLOOKUP(B3141,辅助信息!E:M,9,FALSE)</f>
        <v>ZTWM-CDGS-XS-2025-0073-五冶天府-成都怡心湖片区及龙泉驿医院等项目</v>
      </c>
      <c r="R3141" s="30" t="str">
        <f>_xlfn._xlws.FILTER(辅助信息!D:D,辅助信息!E:E=B3141)</f>
        <v>五冶建设扩建艺体中学二期工程</v>
      </c>
    </row>
    <row r="3142" hidden="1" spans="1:18">
      <c r="A3142" s="83"/>
      <c r="B3142" s="41" t="s">
        <v>167</v>
      </c>
      <c r="C3142" s="71">
        <v>45902</v>
      </c>
      <c r="D3142" s="41" t="str">
        <f>VLOOKUP(B3142,辅助信息!E:K,7,FALSE)</f>
        <v>JWDDCD2025102100473</v>
      </c>
      <c r="E3142" s="41" t="str">
        <f>VLOOKUP(F3142,辅助信息!A:B,2,FALSE)</f>
        <v>螺纹钢</v>
      </c>
      <c r="F3142" s="41" t="s">
        <v>27</v>
      </c>
      <c r="G3142" s="37">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1" t="str">
        <f>VLOOKUP(B3142,辅助信息!E:I,3,FALSE)</f>
        <v>(五冶建设扩建艺体中学二期工程)四川省成都市双流区光荣路成都艺体中学南200米</v>
      </c>
      <c r="J3142" s="41" t="str">
        <f>VLOOKUP(B3142,辅助信息!E:I,4,FALSE)</f>
        <v>谢序强</v>
      </c>
      <c r="K3142" s="41">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55</v>
      </c>
      <c r="Q3142" s="30" t="str">
        <f>VLOOKUP(B3142,辅助信息!E:M,9,FALSE)</f>
        <v>ZTWM-CDGS-XS-2025-0073-五冶天府-成都怡心湖片区及龙泉驿医院等项目</v>
      </c>
      <c r="R3142" s="30" t="str">
        <f>_xlfn._xlws.FILTER(辅助信息!D:D,辅助信息!E:E=B3142)</f>
        <v>五冶建设扩建艺体中学二期工程</v>
      </c>
    </row>
    <row r="3143" hidden="1" spans="1:18">
      <c r="A3143" s="83"/>
      <c r="B3143" s="41" t="s">
        <v>167</v>
      </c>
      <c r="C3143" s="71">
        <v>45902</v>
      </c>
      <c r="D3143" s="41" t="str">
        <f>VLOOKUP(B3143,辅助信息!E:K,7,FALSE)</f>
        <v>JWDDCD2025102100473</v>
      </c>
      <c r="E3143" s="41" t="str">
        <f>VLOOKUP(F3143,辅助信息!A:B,2,FALSE)</f>
        <v>螺纹钢</v>
      </c>
      <c r="F3143" s="41" t="s">
        <v>45</v>
      </c>
      <c r="G3143" s="37">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1" t="str">
        <f>VLOOKUP(B3143,辅助信息!E:I,3,FALSE)</f>
        <v>(五冶建设扩建艺体中学二期工程)四川省成都市双流区光荣路成都艺体中学南200米</v>
      </c>
      <c r="J3143" s="41" t="str">
        <f>VLOOKUP(B3143,辅助信息!E:I,4,FALSE)</f>
        <v>谢序强</v>
      </c>
      <c r="K3143" s="41">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55</v>
      </c>
      <c r="Q3143" s="30" t="str">
        <f>VLOOKUP(B3143,辅助信息!E:M,9,FALSE)</f>
        <v>ZTWM-CDGS-XS-2025-0073-五冶天府-成都怡心湖片区及龙泉驿医院等项目</v>
      </c>
      <c r="R3143" s="30" t="str">
        <f>_xlfn._xlws.FILTER(辅助信息!D:D,辅助信息!E:E=B3143)</f>
        <v>五冶建设扩建艺体中学二期工程</v>
      </c>
    </row>
    <row r="3144" hidden="1" spans="1:18">
      <c r="A3144" s="83"/>
      <c r="B3144" s="41" t="s">
        <v>167</v>
      </c>
      <c r="C3144" s="71">
        <v>45902</v>
      </c>
      <c r="D3144" s="41" t="str">
        <f>VLOOKUP(B3144,辅助信息!E:K,7,FALSE)</f>
        <v>JWDDCD2025102100473</v>
      </c>
      <c r="E3144" s="41" t="str">
        <f>VLOOKUP(F3144,辅助信息!A:B,2,FALSE)</f>
        <v>螺纹钢</v>
      </c>
      <c r="F3144" s="41" t="s">
        <v>21</v>
      </c>
      <c r="G3144" s="37">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1" t="str">
        <f>VLOOKUP(B3144,辅助信息!E:I,3,FALSE)</f>
        <v>(五冶建设扩建艺体中学二期工程)四川省成都市双流区光荣路成都艺体中学南200米</v>
      </c>
      <c r="J3144" s="41" t="str">
        <f>VLOOKUP(B3144,辅助信息!E:I,4,FALSE)</f>
        <v>谢序强</v>
      </c>
      <c r="K3144" s="41">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55</v>
      </c>
      <c r="Q3144" s="30" t="str">
        <f>VLOOKUP(B3144,辅助信息!E:M,9,FALSE)</f>
        <v>ZTWM-CDGS-XS-2025-0073-五冶天府-成都怡心湖片区及龙泉驿医院等项目</v>
      </c>
      <c r="R3144" s="30" t="str">
        <f>_xlfn._xlws.FILTER(辅助信息!D:D,辅助信息!E:E=B3144)</f>
        <v>五冶建设扩建艺体中学二期工程</v>
      </c>
    </row>
    <row r="3145" hidden="1" spans="1:18">
      <c r="A3145" s="83"/>
      <c r="B3145" s="41" t="s">
        <v>167</v>
      </c>
      <c r="C3145" s="71">
        <v>45902</v>
      </c>
      <c r="D3145" s="41" t="str">
        <f>VLOOKUP(B3145,辅助信息!E:K,7,FALSE)</f>
        <v>JWDDCD2025102100473</v>
      </c>
      <c r="E3145" s="41" t="str">
        <f>VLOOKUP(F3145,辅助信息!A:B,2,FALSE)</f>
        <v>螺纹钢</v>
      </c>
      <c r="F3145" s="41" t="s">
        <v>58</v>
      </c>
      <c r="G3145" s="37">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1" t="str">
        <f>VLOOKUP(B3145,辅助信息!E:I,3,FALSE)</f>
        <v>(五冶建设扩建艺体中学二期工程)四川省成都市双流区光荣路成都艺体中学南200米</v>
      </c>
      <c r="J3145" s="41" t="str">
        <f>VLOOKUP(B3145,辅助信息!E:I,4,FALSE)</f>
        <v>谢序强</v>
      </c>
      <c r="K3145" s="41">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55</v>
      </c>
      <c r="Q3145" s="30" t="str">
        <f>VLOOKUP(B3145,辅助信息!E:M,9,FALSE)</f>
        <v>ZTWM-CDGS-XS-2025-0073-五冶天府-成都怡心湖片区及龙泉驿医院等项目</v>
      </c>
      <c r="R3145" s="30" t="str">
        <f>_xlfn._xlws.FILTER(辅助信息!D:D,辅助信息!E:E=B3145)</f>
        <v>五冶建设扩建艺体中学二期工程</v>
      </c>
    </row>
    <row r="3146" hidden="1" spans="1:18">
      <c r="A3146" s="83"/>
      <c r="B3146" s="41" t="s">
        <v>167</v>
      </c>
      <c r="C3146" s="71">
        <v>45902</v>
      </c>
      <c r="D3146" s="41" t="str">
        <f>VLOOKUP(B3146,辅助信息!E:K,7,FALSE)</f>
        <v>JWDDCD2025102100473</v>
      </c>
      <c r="E3146" s="41" t="str">
        <f>VLOOKUP(F3146,辅助信息!A:B,2,FALSE)</f>
        <v>螺纹钢</v>
      </c>
      <c r="F3146" s="41" t="s">
        <v>46</v>
      </c>
      <c r="G3146" s="37">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1" t="str">
        <f>VLOOKUP(B3146,辅助信息!E:I,3,FALSE)</f>
        <v>(五冶建设扩建艺体中学二期工程)四川省成都市双流区光荣路成都艺体中学南200米</v>
      </c>
      <c r="J3146" s="41" t="str">
        <f>VLOOKUP(B3146,辅助信息!E:I,4,FALSE)</f>
        <v>谢序强</v>
      </c>
      <c r="K3146" s="41">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55</v>
      </c>
      <c r="Q3146" s="30" t="str">
        <f>VLOOKUP(B3146,辅助信息!E:M,9,FALSE)</f>
        <v>ZTWM-CDGS-XS-2025-0073-五冶天府-成都怡心湖片区及龙泉驿医院等项目</v>
      </c>
      <c r="R3146" s="30" t="str">
        <f>_xlfn._xlws.FILTER(辅助信息!D:D,辅助信息!E:E=B3146)</f>
        <v>五冶建设扩建艺体中学二期工程</v>
      </c>
    </row>
    <row r="3147" hidden="1" spans="2:18">
      <c r="B3147" s="41" t="s">
        <v>163</v>
      </c>
      <c r="C3147" s="71">
        <v>45902</v>
      </c>
      <c r="D3147" s="41" t="str">
        <f>VLOOKUP(B3147,辅助信息!E:K,7,FALSE)</f>
        <v>JWDDCD2025052800131</v>
      </c>
      <c r="E3147" s="41" t="str">
        <f>VLOOKUP(F3147,辅助信息!A:B,2,FALSE)</f>
        <v>盘螺</v>
      </c>
      <c r="F3147" s="41" t="s">
        <v>49</v>
      </c>
      <c r="G3147" s="37">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1" t="str">
        <f>VLOOKUP(B3147,辅助信息!E:I,3,FALSE)</f>
        <v>（商投建工达州中医药科技园-4工区-9号楼）达州市通川区达州中医药职业学院犀牛大道北段</v>
      </c>
      <c r="J3147" s="41" t="str">
        <f>VLOOKUP(B3147,辅助信息!E:I,4,FALSE)</f>
        <v>张扬</v>
      </c>
      <c r="K3147" s="41">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55</v>
      </c>
      <c r="Q3147" s="30" t="str">
        <f>VLOOKUP(B3147,辅助信息!E:M,9,FALSE)</f>
        <v>ZTWM-CDGS-XS-2024-0134-商投建工达州中医药科技成果示范园项目</v>
      </c>
      <c r="R3147" s="30" t="str">
        <f>_xlfn._xlws.FILTER(辅助信息!D:D,辅助信息!E:E=B3147)</f>
        <v>商投建工达州中医药科技园</v>
      </c>
    </row>
    <row r="3148" hidden="1" spans="2:18">
      <c r="B3148" s="41" t="s">
        <v>163</v>
      </c>
      <c r="C3148" s="71">
        <v>45902</v>
      </c>
      <c r="D3148" s="41" t="str">
        <f>VLOOKUP(B3148,辅助信息!E:K,7,FALSE)</f>
        <v>JWDDCD2025052800131</v>
      </c>
      <c r="E3148" s="41" t="str">
        <f>VLOOKUP(F3148,辅助信息!A:B,2,FALSE)</f>
        <v>盘螺</v>
      </c>
      <c r="F3148" s="41" t="s">
        <v>40</v>
      </c>
      <c r="G3148" s="37">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1" t="str">
        <f>VLOOKUP(B3148,辅助信息!E:I,3,FALSE)</f>
        <v>（商投建工达州中医药科技园-4工区-9号楼）达州市通川区达州中医药职业学院犀牛大道北段</v>
      </c>
      <c r="J3148" s="41" t="str">
        <f>VLOOKUP(B3148,辅助信息!E:I,4,FALSE)</f>
        <v>张扬</v>
      </c>
      <c r="K3148" s="41">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55</v>
      </c>
      <c r="Q3148" s="30" t="str">
        <f>VLOOKUP(B3148,辅助信息!E:M,9,FALSE)</f>
        <v>ZTWM-CDGS-XS-2024-0134-商投建工达州中医药科技成果示范园项目</v>
      </c>
      <c r="R3148" s="30" t="str">
        <f>_xlfn._xlws.FILTER(辅助信息!D:D,辅助信息!E:E=B3148)</f>
        <v>商投建工达州中医药科技园</v>
      </c>
    </row>
    <row r="3149" hidden="1" spans="2:18">
      <c r="B3149" s="41" t="s">
        <v>163</v>
      </c>
      <c r="C3149" s="71">
        <v>45902</v>
      </c>
      <c r="D3149" s="41" t="str">
        <f>VLOOKUP(B3149,辅助信息!E:K,7,FALSE)</f>
        <v>JWDDCD2025052800131</v>
      </c>
      <c r="E3149" s="41" t="str">
        <f>VLOOKUP(F3149,辅助信息!A:B,2,FALSE)</f>
        <v>盘螺</v>
      </c>
      <c r="F3149" s="41" t="s">
        <v>41</v>
      </c>
      <c r="G3149" s="37">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1" t="str">
        <f>VLOOKUP(B3149,辅助信息!E:I,3,FALSE)</f>
        <v>（商投建工达州中医药科技园-4工区-9号楼）达州市通川区达州中医药职业学院犀牛大道北段</v>
      </c>
      <c r="J3149" s="41" t="str">
        <f>VLOOKUP(B3149,辅助信息!E:I,4,FALSE)</f>
        <v>张扬</v>
      </c>
      <c r="K3149" s="41">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55</v>
      </c>
      <c r="Q3149" s="30" t="str">
        <f>VLOOKUP(B3149,辅助信息!E:M,9,FALSE)</f>
        <v>ZTWM-CDGS-XS-2024-0134-商投建工达州中医药科技成果示范园项目</v>
      </c>
      <c r="R3149" s="30" t="str">
        <f>_xlfn._xlws.FILTER(辅助信息!D:D,辅助信息!E:E=B3149)</f>
        <v>商投建工达州中医药科技园</v>
      </c>
    </row>
    <row r="3150" hidden="1" spans="1:18">
      <c r="A3150" s="83" t="s">
        <v>213</v>
      </c>
      <c r="B3150" s="41" t="s">
        <v>147</v>
      </c>
      <c r="C3150" s="71">
        <v>45902</v>
      </c>
      <c r="D3150" s="41" t="str">
        <f>VLOOKUP(B3150,辅助信息!E:K,7,FALSE)</f>
        <v>JWDDCD2025052800131</v>
      </c>
      <c r="E3150" s="41" t="str">
        <f>VLOOKUP(F3150,辅助信息!A:B,2,FALSE)</f>
        <v>螺纹钢</v>
      </c>
      <c r="F3150" s="136" t="s">
        <v>27</v>
      </c>
      <c r="G3150" s="37">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1" t="str">
        <f>VLOOKUP(B3150,辅助信息!E:I,3,FALSE)</f>
        <v>（商投建工达州中医药科技园-4工区-11号楼）达州市通川区达州中医药职业学院犀牛大道北段</v>
      </c>
      <c r="J3150" s="41" t="str">
        <f>VLOOKUP(B3150,辅助信息!E:I,4,FALSE)</f>
        <v>张扬</v>
      </c>
      <c r="K3150" s="41">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55</v>
      </c>
      <c r="Q3150" s="30" t="str">
        <f>VLOOKUP(B3150,辅助信息!E:M,9,FALSE)</f>
        <v>ZTWM-CDGS-XS-2024-0134-商投建工达州中医药科技成果示范园项目</v>
      </c>
      <c r="R3150" s="30" t="str">
        <f>_xlfn._xlws.FILTER(辅助信息!D:D,辅助信息!E:E=B3150)</f>
        <v>商投建工达州中医药科技园</v>
      </c>
    </row>
    <row r="3151" hidden="1" spans="1:18">
      <c r="A3151" s="83"/>
      <c r="B3151" s="41" t="s">
        <v>147</v>
      </c>
      <c r="C3151" s="71">
        <v>45902</v>
      </c>
      <c r="D3151" s="41" t="str">
        <f>VLOOKUP(B3151,辅助信息!E:K,7,FALSE)</f>
        <v>JWDDCD2025052800131</v>
      </c>
      <c r="E3151" s="41" t="str">
        <f>VLOOKUP(F3151,辅助信息!A:B,2,FALSE)</f>
        <v>盘螺</v>
      </c>
      <c r="F3151" s="41" t="s">
        <v>40</v>
      </c>
      <c r="G3151" s="37">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1" t="str">
        <f>VLOOKUP(B3151,辅助信息!E:I,3,FALSE)</f>
        <v>（商投建工达州中医药科技园-4工区-11号楼）达州市通川区达州中医药职业学院犀牛大道北段</v>
      </c>
      <c r="J3151" s="41" t="str">
        <f>VLOOKUP(B3151,辅助信息!E:I,4,FALSE)</f>
        <v>张扬</v>
      </c>
      <c r="K3151" s="41">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55</v>
      </c>
      <c r="Q3151" s="30" t="str">
        <f>VLOOKUP(B3151,辅助信息!E:M,9,FALSE)</f>
        <v>ZTWM-CDGS-XS-2024-0134-商投建工达州中医药科技成果示范园项目</v>
      </c>
      <c r="R3151" s="30" t="str">
        <f>_xlfn._xlws.FILTER(辅助信息!D:D,辅助信息!E:E=B3151)</f>
        <v>商投建工达州中医药科技园</v>
      </c>
    </row>
    <row r="3152" hidden="1" spans="1:18">
      <c r="A3152" s="83"/>
      <c r="B3152" s="41" t="s">
        <v>147</v>
      </c>
      <c r="C3152" s="71">
        <v>45902</v>
      </c>
      <c r="D3152" s="41" t="str">
        <f>VLOOKUP(B3152,辅助信息!E:K,7,FALSE)</f>
        <v>JWDDCD2025052800131</v>
      </c>
      <c r="E3152" s="41" t="str">
        <f>VLOOKUP(F3152,辅助信息!A:B,2,FALSE)</f>
        <v>螺纹钢</v>
      </c>
      <c r="F3152" s="41" t="s">
        <v>58</v>
      </c>
      <c r="G3152" s="37">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1" t="str">
        <f>VLOOKUP(B3152,辅助信息!E:I,3,FALSE)</f>
        <v>（商投建工达州中医药科技园-4工区-11号楼）达州市通川区达州中医药职业学院犀牛大道北段</v>
      </c>
      <c r="J3152" s="41" t="str">
        <f>VLOOKUP(B3152,辅助信息!E:I,4,FALSE)</f>
        <v>张扬</v>
      </c>
      <c r="K3152" s="41">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55</v>
      </c>
      <c r="Q3152" s="30" t="str">
        <f>VLOOKUP(B3152,辅助信息!E:M,9,FALSE)</f>
        <v>ZTWM-CDGS-XS-2024-0134-商投建工达州中医药科技成果示范园项目</v>
      </c>
      <c r="R3152" s="30" t="str">
        <f>_xlfn._xlws.FILTER(辅助信息!D:D,辅助信息!E:E=B3152)</f>
        <v>商投建工达州中医药科技园</v>
      </c>
    </row>
    <row r="3153" hidden="1" spans="1:18">
      <c r="A3153" s="83"/>
      <c r="B3153" s="41" t="s">
        <v>147</v>
      </c>
      <c r="C3153" s="71">
        <v>45902</v>
      </c>
      <c r="D3153" s="41" t="str">
        <f>VLOOKUP(B3153,辅助信息!E:K,7,FALSE)</f>
        <v>JWDDCD2025052800131</v>
      </c>
      <c r="E3153" s="41" t="str">
        <f>VLOOKUP(F3153,辅助信息!A:B,2,FALSE)</f>
        <v>螺纹钢</v>
      </c>
      <c r="F3153" s="41" t="s">
        <v>46</v>
      </c>
      <c r="G3153" s="37">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1" t="str">
        <f>VLOOKUP(B3153,辅助信息!E:I,3,FALSE)</f>
        <v>（商投建工达州中医药科技园-4工区-11号楼）达州市通川区达州中医药职业学院犀牛大道北段</v>
      </c>
      <c r="J3153" s="41" t="str">
        <f>VLOOKUP(B3153,辅助信息!E:I,4,FALSE)</f>
        <v>张扬</v>
      </c>
      <c r="K3153" s="41">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55</v>
      </c>
      <c r="Q3153" s="30" t="str">
        <f>VLOOKUP(B3153,辅助信息!E:M,9,FALSE)</f>
        <v>ZTWM-CDGS-XS-2024-0134-商投建工达州中医药科技成果示范园项目</v>
      </c>
      <c r="R3153" s="30" t="str">
        <f>_xlfn._xlws.FILTER(辅助信息!D:D,辅助信息!E:E=B3153)</f>
        <v>商投建工达州中医药科技园</v>
      </c>
    </row>
    <row r="3154" hidden="1" spans="1:18">
      <c r="A3154" s="83"/>
      <c r="B3154" s="41" t="s">
        <v>147</v>
      </c>
      <c r="C3154" s="71">
        <v>45902</v>
      </c>
      <c r="D3154" s="41" t="str">
        <f>VLOOKUP(B3154,辅助信息!E:K,7,FALSE)</f>
        <v>JWDDCD2025052800131</v>
      </c>
      <c r="E3154" s="41" t="str">
        <f>VLOOKUP(F3154,辅助信息!A:B,2,FALSE)</f>
        <v>螺纹钢</v>
      </c>
      <c r="F3154" s="41" t="s">
        <v>22</v>
      </c>
      <c r="G3154" s="37">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1" t="str">
        <f>VLOOKUP(B3154,辅助信息!E:I,3,FALSE)</f>
        <v>（商投建工达州中医药科技园-4工区-11号楼）达州市通川区达州中医药职业学院犀牛大道北段</v>
      </c>
      <c r="J3154" s="41" t="str">
        <f>VLOOKUP(B3154,辅助信息!E:I,4,FALSE)</f>
        <v>张扬</v>
      </c>
      <c r="K3154" s="41">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55</v>
      </c>
      <c r="Q3154" s="30" t="str">
        <f>VLOOKUP(B3154,辅助信息!E:M,9,FALSE)</f>
        <v>ZTWM-CDGS-XS-2024-0134-商投建工达州中医药科技成果示范园项目</v>
      </c>
      <c r="R3154" s="30" t="str">
        <f>_xlfn._xlws.FILTER(辅助信息!D:D,辅助信息!E:E=B3154)</f>
        <v>商投建工达州中医药科技园</v>
      </c>
    </row>
    <row r="3155" hidden="1" spans="1:18">
      <c r="A3155" s="72" t="s">
        <v>100</v>
      </c>
      <c r="B3155" s="41" t="s">
        <v>147</v>
      </c>
      <c r="C3155" s="71">
        <v>45902</v>
      </c>
      <c r="D3155" s="41" t="str">
        <f>VLOOKUP(B3155,辅助信息!E:K,7,FALSE)</f>
        <v>JWDDCD2025052800131</v>
      </c>
      <c r="E3155" s="41" t="str">
        <f>VLOOKUP(F3155,辅助信息!A:B,2,FALSE)</f>
        <v>螺纹钢</v>
      </c>
      <c r="F3155" s="41" t="s">
        <v>30</v>
      </c>
      <c r="G3155" s="37">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1" t="str">
        <f>VLOOKUP(B3155,辅助信息!E:I,3,FALSE)</f>
        <v>（商投建工达州中医药科技园-4工区-11号楼）达州市通川区达州中医药职业学院犀牛大道北段</v>
      </c>
      <c r="J3155" s="41" t="str">
        <f>VLOOKUP(B3155,辅助信息!E:I,4,FALSE)</f>
        <v>张扬</v>
      </c>
      <c r="K3155" s="41">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56</v>
      </c>
      <c r="Q3155" s="30" t="str">
        <f>VLOOKUP(B3155,辅助信息!E:M,9,FALSE)</f>
        <v>ZTWM-CDGS-XS-2024-0134-商投建工达州中医药科技成果示范园项目</v>
      </c>
      <c r="R3155" s="30" t="str">
        <f>_xlfn._xlws.FILTER(辅助信息!D:D,辅助信息!E:E=B3155)</f>
        <v>商投建工达州中医药科技园</v>
      </c>
    </row>
    <row r="3156" hidden="1" spans="1:18">
      <c r="A3156" s="72"/>
      <c r="B3156" s="41" t="s">
        <v>147</v>
      </c>
      <c r="C3156" s="71">
        <v>45902</v>
      </c>
      <c r="D3156" s="41" t="str">
        <f>VLOOKUP(B3156,辅助信息!E:K,7,FALSE)</f>
        <v>JWDDCD2025052800131</v>
      </c>
      <c r="E3156" s="41" t="str">
        <f>VLOOKUP(F3156,辅助信息!A:B,2,FALSE)</f>
        <v>螺纹钢</v>
      </c>
      <c r="F3156" s="41" t="s">
        <v>21</v>
      </c>
      <c r="G3156" s="37">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1" t="str">
        <f>VLOOKUP(B3156,辅助信息!E:I,3,FALSE)</f>
        <v>（商投建工达州中医药科技园-4工区-11号楼）达州市通川区达州中医药职业学院犀牛大道北段</v>
      </c>
      <c r="J3156" s="41" t="str">
        <f>VLOOKUP(B3156,辅助信息!E:I,4,FALSE)</f>
        <v>张扬</v>
      </c>
      <c r="K3156" s="41">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56</v>
      </c>
      <c r="Q3156" s="30" t="str">
        <f>VLOOKUP(B3156,辅助信息!E:M,9,FALSE)</f>
        <v>ZTWM-CDGS-XS-2024-0134-商投建工达州中医药科技成果示范园项目</v>
      </c>
      <c r="R3156" s="30" t="str">
        <f>_xlfn._xlws.FILTER(辅助信息!D:D,辅助信息!E:E=B3156)</f>
        <v>商投建工达州中医药科技园</v>
      </c>
    </row>
    <row r="3157" hidden="1" spans="1:18">
      <c r="A3157" s="72"/>
      <c r="B3157" s="41" t="s">
        <v>180</v>
      </c>
      <c r="C3157" s="71">
        <v>45902</v>
      </c>
      <c r="D3157" s="41" t="str">
        <f>VLOOKUP(B3157,辅助信息!E:K,7,FALSE)</f>
        <v>JWDDCD2025052800131</v>
      </c>
      <c r="E3157" s="41" t="str">
        <f>VLOOKUP(F3157,辅助信息!A:B,2,FALSE)</f>
        <v>螺纹钢</v>
      </c>
      <c r="F3157" s="41" t="s">
        <v>30</v>
      </c>
      <c r="G3157" s="37">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1" t="str">
        <f>VLOOKUP(B3157,辅助信息!E:I,3,FALSE)</f>
        <v>（商投建工达州中医药科技园-4工区-8号楼）达州市通川区达州中医药职业学院犀牛大道北段</v>
      </c>
      <c r="J3157" s="41" t="str">
        <f>VLOOKUP(B3157,辅助信息!E:I,4,FALSE)</f>
        <v>张扬</v>
      </c>
      <c r="K3157" s="41">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56</v>
      </c>
      <c r="Q3157" s="30" t="str">
        <f>VLOOKUP(B3157,辅助信息!E:M,9,FALSE)</f>
        <v>ZTWM-CDGS-XS-2024-0134-商投建工达州中医药科技成果示范园项目</v>
      </c>
      <c r="R3157" s="30" t="str">
        <f>_xlfn._xlws.FILTER(辅助信息!D:D,辅助信息!E:E=B3157)</f>
        <v>商投建工达州中医药科技园</v>
      </c>
    </row>
    <row r="3158" hidden="1" spans="1:18">
      <c r="A3158" s="72"/>
      <c r="B3158" s="41" t="s">
        <v>180</v>
      </c>
      <c r="C3158" s="71">
        <v>45902</v>
      </c>
      <c r="D3158" s="41" t="str">
        <f>VLOOKUP(B3158,辅助信息!E:K,7,FALSE)</f>
        <v>JWDDCD2025052800131</v>
      </c>
      <c r="E3158" s="41" t="str">
        <f>VLOOKUP(F3158,辅助信息!A:B,2,FALSE)</f>
        <v>螺纹钢</v>
      </c>
      <c r="F3158" s="41" t="s">
        <v>21</v>
      </c>
      <c r="G3158" s="37">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1" t="str">
        <f>VLOOKUP(B3158,辅助信息!E:I,3,FALSE)</f>
        <v>（商投建工达州中医药科技园-4工区-8号楼）达州市通川区达州中医药职业学院犀牛大道北段</v>
      </c>
      <c r="J3158" s="41" t="str">
        <f>VLOOKUP(B3158,辅助信息!E:I,4,FALSE)</f>
        <v>张扬</v>
      </c>
      <c r="K3158" s="41">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56</v>
      </c>
      <c r="Q3158" s="30" t="str">
        <f>VLOOKUP(B3158,辅助信息!E:M,9,FALSE)</f>
        <v>ZTWM-CDGS-XS-2024-0134-商投建工达州中医药科技成果示范园项目</v>
      </c>
      <c r="R3158" s="30" t="str">
        <f>_xlfn._xlws.FILTER(辅助信息!D:D,辅助信息!E:E=B3158)</f>
        <v>商投建工达州中医药科技园</v>
      </c>
    </row>
    <row r="3159" hidden="1" spans="2:18">
      <c r="B3159" s="41" t="s">
        <v>160</v>
      </c>
      <c r="C3159" s="71">
        <v>45902</v>
      </c>
      <c r="D3159" s="41" t="str">
        <f>VLOOKUP(B3159,辅助信息!E:K,7,FALSE)</f>
        <v>JWDDCD2025071500024</v>
      </c>
      <c r="E3159" s="41" t="str">
        <f>VLOOKUP(F3159,辅助信息!A:B,2,FALSE)</f>
        <v>盘螺</v>
      </c>
      <c r="F3159" s="41" t="s">
        <v>49</v>
      </c>
      <c r="G3159" s="37">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1" t="str">
        <f>VLOOKUP(B3159,辅助信息!E:I,3,FALSE)</f>
        <v>(中铁三局集团西渝高铁康渝段站房四标工程)重庆市九龙坡区华祥支路与华祥路交叉口重庆建工重庆西站TOD项目部</v>
      </c>
      <c r="J3159" s="41" t="str">
        <f>VLOOKUP(B3159,辅助信息!E:I,4,FALSE)</f>
        <v>卢庆江</v>
      </c>
      <c r="K3159" s="41">
        <f>VLOOKUP(J3159,辅助信息!H:I,2,FALSE)</f>
        <v>18883488177</v>
      </c>
      <c r="L3159" s="110" t="str">
        <f>VLOOKUP(B3159,辅助信息!E:J,6,FALSE)</f>
        <v>炉批号尽可能不要多</v>
      </c>
      <c r="M3159" s="92">
        <v>45906</v>
      </c>
      <c r="O3159" s="63">
        <f ca="1" t="shared" si="180"/>
        <v>0</v>
      </c>
      <c r="P3159" s="63">
        <f ca="1" t="shared" si="181"/>
        <v>53</v>
      </c>
      <c r="Q3159" s="30" t="str">
        <f>VLOOKUP(B3159,辅助信息!E:M,9,FALSE)</f>
        <v>ZTWM-CDGS-XS-2025-0029-中铁三局集团有限公司-西渝高铁康渝段站房四标项目</v>
      </c>
      <c r="R3159" s="30" t="str">
        <f>_xlfn._xlws.FILTER(辅助信息!D:D,辅助信息!E:E=B3159)</f>
        <v>中铁三局集团西渝高铁康渝段站房四标工程</v>
      </c>
    </row>
    <row r="3160" hidden="1" spans="2:18">
      <c r="B3160" s="41" t="s">
        <v>160</v>
      </c>
      <c r="C3160" s="71">
        <v>45902</v>
      </c>
      <c r="D3160" s="41" t="str">
        <f>VLOOKUP(B3160,辅助信息!E:K,7,FALSE)</f>
        <v>JWDDCD2025071500024</v>
      </c>
      <c r="E3160" s="41" t="str">
        <f>VLOOKUP(F3160,辅助信息!A:B,2,FALSE)</f>
        <v>盘螺</v>
      </c>
      <c r="F3160" s="41" t="s">
        <v>40</v>
      </c>
      <c r="G3160" s="37">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1" t="str">
        <f>VLOOKUP(B3160,辅助信息!E:I,3,FALSE)</f>
        <v>(中铁三局集团西渝高铁康渝段站房四标工程)重庆市九龙坡区华祥支路与华祥路交叉口重庆建工重庆西站TOD项目部</v>
      </c>
      <c r="J3160" s="41" t="str">
        <f>VLOOKUP(B3160,辅助信息!E:I,4,FALSE)</f>
        <v>卢庆江</v>
      </c>
      <c r="K3160" s="41">
        <f>VLOOKUP(J3160,辅助信息!H:I,2,FALSE)</f>
        <v>18883488177</v>
      </c>
      <c r="L3160" s="110" t="str">
        <f>VLOOKUP(B3160,辅助信息!E:J,6,FALSE)</f>
        <v>炉批号尽可能不要多</v>
      </c>
      <c r="M3160" s="92">
        <v>45906</v>
      </c>
      <c r="O3160" s="63">
        <f ca="1" t="shared" si="180"/>
        <v>0</v>
      </c>
      <c r="P3160" s="63">
        <f ca="1" t="shared" si="181"/>
        <v>53</v>
      </c>
      <c r="Q3160" s="30" t="str">
        <f>VLOOKUP(B3160,辅助信息!E:M,9,FALSE)</f>
        <v>ZTWM-CDGS-XS-2025-0029-中铁三局集团有限公司-西渝高铁康渝段站房四标项目</v>
      </c>
      <c r="R3160" s="30" t="str">
        <f>_xlfn._xlws.FILTER(辅助信息!D:D,辅助信息!E:E=B3160)</f>
        <v>中铁三局集团西渝高铁康渝段站房四标工程</v>
      </c>
    </row>
    <row r="3161" hidden="1" spans="2:18">
      <c r="B3161" s="41" t="s">
        <v>160</v>
      </c>
      <c r="C3161" s="71">
        <v>45902</v>
      </c>
      <c r="D3161" s="41" t="str">
        <f>VLOOKUP(B3161,辅助信息!E:K,7,FALSE)</f>
        <v>JWDDCD2025071500024</v>
      </c>
      <c r="E3161" s="41" t="str">
        <f>VLOOKUP(F3161,辅助信息!A:B,2,FALSE)</f>
        <v>盘螺</v>
      </c>
      <c r="F3161" s="41" t="s">
        <v>41</v>
      </c>
      <c r="G3161" s="37">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1" t="str">
        <f>VLOOKUP(B3161,辅助信息!E:I,3,FALSE)</f>
        <v>(中铁三局集团西渝高铁康渝段站房四标工程)重庆市九龙坡区华祥支路与华祥路交叉口重庆建工重庆西站TOD项目部</v>
      </c>
      <c r="J3161" s="41" t="str">
        <f>VLOOKUP(B3161,辅助信息!E:I,4,FALSE)</f>
        <v>卢庆江</v>
      </c>
      <c r="K3161" s="41">
        <f>VLOOKUP(J3161,辅助信息!H:I,2,FALSE)</f>
        <v>18883488177</v>
      </c>
      <c r="L3161" s="110" t="str">
        <f>VLOOKUP(B3161,辅助信息!E:J,6,FALSE)</f>
        <v>炉批号尽可能不要多</v>
      </c>
      <c r="M3161" s="92">
        <v>45906</v>
      </c>
      <c r="O3161" s="63">
        <f ca="1" t="shared" si="180"/>
        <v>0</v>
      </c>
      <c r="P3161" s="63">
        <f ca="1" t="shared" si="181"/>
        <v>53</v>
      </c>
      <c r="Q3161" s="30" t="str">
        <f>VLOOKUP(B3161,辅助信息!E:M,9,FALSE)</f>
        <v>ZTWM-CDGS-XS-2025-0029-中铁三局集团有限公司-西渝高铁康渝段站房四标项目</v>
      </c>
      <c r="R3161" s="30" t="str">
        <f>_xlfn._xlws.FILTER(辅助信息!D:D,辅助信息!E:E=B3161)</f>
        <v>中铁三局集团西渝高铁康渝段站房四标工程</v>
      </c>
    </row>
    <row r="3162" hidden="1" spans="2:18">
      <c r="B3162" s="41" t="s">
        <v>160</v>
      </c>
      <c r="C3162" s="71">
        <v>45902</v>
      </c>
      <c r="D3162" s="41" t="str">
        <f>VLOOKUP(B3162,辅助信息!E:K,7,FALSE)</f>
        <v>JWDDCD2025071500024</v>
      </c>
      <c r="E3162" s="41" t="str">
        <f>VLOOKUP(F3162,辅助信息!A:B,2,FALSE)</f>
        <v>盘螺</v>
      </c>
      <c r="F3162" s="41" t="s">
        <v>26</v>
      </c>
      <c r="G3162" s="37">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1" t="str">
        <f>VLOOKUP(B3162,辅助信息!E:I,3,FALSE)</f>
        <v>(中铁三局集团西渝高铁康渝段站房四标工程)重庆市九龙坡区华祥支路与华祥路交叉口重庆建工重庆西站TOD项目部</v>
      </c>
      <c r="J3162" s="41" t="str">
        <f>VLOOKUP(B3162,辅助信息!E:I,4,FALSE)</f>
        <v>卢庆江</v>
      </c>
      <c r="K3162" s="41">
        <f>VLOOKUP(J3162,辅助信息!H:I,2,FALSE)</f>
        <v>18883488177</v>
      </c>
      <c r="L3162" s="110" t="str">
        <f>VLOOKUP(B3162,辅助信息!E:J,6,FALSE)</f>
        <v>炉批号尽可能不要多</v>
      </c>
      <c r="M3162" s="92">
        <v>45906</v>
      </c>
      <c r="O3162" s="63">
        <f ca="1" t="shared" si="180"/>
        <v>0</v>
      </c>
      <c r="P3162" s="63">
        <f ca="1" t="shared" si="181"/>
        <v>53</v>
      </c>
      <c r="Q3162" s="30" t="str">
        <f>VLOOKUP(B3162,辅助信息!E:M,9,FALSE)</f>
        <v>ZTWM-CDGS-XS-2025-0029-中铁三局集团有限公司-西渝高铁康渝段站房四标项目</v>
      </c>
      <c r="R3162" s="30" t="str">
        <f>_xlfn._xlws.FILTER(辅助信息!D:D,辅助信息!E:E=B3162)</f>
        <v>中铁三局集团西渝高铁康渝段站房四标工程</v>
      </c>
    </row>
    <row r="3163" hidden="1" spans="2:18">
      <c r="B3163" s="41" t="s">
        <v>160</v>
      </c>
      <c r="C3163" s="71">
        <v>45902</v>
      </c>
      <c r="D3163" s="41" t="str">
        <f>VLOOKUP(B3163,辅助信息!E:K,7,FALSE)</f>
        <v>JWDDCD2025071500024</v>
      </c>
      <c r="E3163" s="41" t="str">
        <f>VLOOKUP(F3163,辅助信息!A:B,2,FALSE)</f>
        <v>螺纹钢</v>
      </c>
      <c r="F3163" s="41" t="s">
        <v>19</v>
      </c>
      <c r="G3163" s="37">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1" t="str">
        <f>VLOOKUP(B3163,辅助信息!E:I,3,FALSE)</f>
        <v>(中铁三局集团西渝高铁康渝段站房四标工程)重庆市九龙坡区华祥支路与华祥路交叉口重庆建工重庆西站TOD项目部</v>
      </c>
      <c r="J3163" s="41" t="str">
        <f>VLOOKUP(B3163,辅助信息!E:I,4,FALSE)</f>
        <v>卢庆江</v>
      </c>
      <c r="K3163" s="41">
        <f>VLOOKUP(J3163,辅助信息!H:I,2,FALSE)</f>
        <v>18883488177</v>
      </c>
      <c r="L3163" s="110" t="str">
        <f>VLOOKUP(B3163,辅助信息!E:J,6,FALSE)</f>
        <v>炉批号尽可能不要多</v>
      </c>
      <c r="M3163" s="92">
        <v>45906</v>
      </c>
      <c r="O3163" s="63">
        <f ca="1" t="shared" si="180"/>
        <v>0</v>
      </c>
      <c r="P3163" s="63">
        <f ca="1" t="shared" si="181"/>
        <v>53</v>
      </c>
      <c r="Q3163" s="30" t="str">
        <f>VLOOKUP(B3163,辅助信息!E:M,9,FALSE)</f>
        <v>ZTWM-CDGS-XS-2025-0029-中铁三局集团有限公司-西渝高铁康渝段站房四标项目</v>
      </c>
      <c r="R3163" s="30" t="str">
        <f>_xlfn._xlws.FILTER(辅助信息!D:D,辅助信息!E:E=B3163)</f>
        <v>中铁三局集团西渝高铁康渝段站房四标工程</v>
      </c>
    </row>
    <row r="3164" hidden="1" spans="2:18">
      <c r="B3164" s="41" t="s">
        <v>160</v>
      </c>
      <c r="C3164" s="71">
        <v>45902</v>
      </c>
      <c r="D3164" s="41" t="str">
        <f>VLOOKUP(B3164,辅助信息!E:K,7,FALSE)</f>
        <v>JWDDCD2025071500024</v>
      </c>
      <c r="E3164" s="41" t="str">
        <f>VLOOKUP(F3164,辅助信息!A:B,2,FALSE)</f>
        <v>螺纹钢</v>
      </c>
      <c r="F3164" s="41" t="s">
        <v>32</v>
      </c>
      <c r="G3164" s="37">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1" t="str">
        <f>VLOOKUP(B3164,辅助信息!E:I,3,FALSE)</f>
        <v>(中铁三局集团西渝高铁康渝段站房四标工程)重庆市九龙坡区华祥支路与华祥路交叉口重庆建工重庆西站TOD项目部</v>
      </c>
      <c r="J3164" s="41" t="str">
        <f>VLOOKUP(B3164,辅助信息!E:I,4,FALSE)</f>
        <v>卢庆江</v>
      </c>
      <c r="K3164" s="41">
        <f>VLOOKUP(J3164,辅助信息!H:I,2,FALSE)</f>
        <v>18883488177</v>
      </c>
      <c r="L3164" s="110" t="str">
        <f>VLOOKUP(B3164,辅助信息!E:J,6,FALSE)</f>
        <v>炉批号尽可能不要多</v>
      </c>
      <c r="M3164" s="92">
        <v>45906</v>
      </c>
      <c r="O3164" s="63">
        <f ca="1" t="shared" si="180"/>
        <v>0</v>
      </c>
      <c r="P3164" s="63">
        <f ca="1" t="shared" si="181"/>
        <v>53</v>
      </c>
      <c r="Q3164" s="30" t="str">
        <f>VLOOKUP(B3164,辅助信息!E:M,9,FALSE)</f>
        <v>ZTWM-CDGS-XS-2025-0029-中铁三局集团有限公司-西渝高铁康渝段站房四标项目</v>
      </c>
      <c r="R3164" s="30" t="str">
        <f>_xlfn._xlws.FILTER(辅助信息!D:D,辅助信息!E:E=B3164)</f>
        <v>中铁三局集团西渝高铁康渝段站房四标工程</v>
      </c>
    </row>
    <row r="3165" hidden="1" spans="2:18">
      <c r="B3165" s="41" t="s">
        <v>160</v>
      </c>
      <c r="C3165" s="71">
        <v>45902</v>
      </c>
      <c r="D3165" s="41" t="str">
        <f>VLOOKUP(B3165,辅助信息!E:K,7,FALSE)</f>
        <v>JWDDCD2025071500024</v>
      </c>
      <c r="E3165" s="41" t="str">
        <f>VLOOKUP(F3165,辅助信息!A:B,2,FALSE)</f>
        <v>螺纹钢</v>
      </c>
      <c r="F3165" s="41" t="s">
        <v>30</v>
      </c>
      <c r="G3165" s="37">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1" t="str">
        <f>VLOOKUP(B3165,辅助信息!E:I,3,FALSE)</f>
        <v>(中铁三局集团西渝高铁康渝段站房四标工程)重庆市九龙坡区华祥支路与华祥路交叉口重庆建工重庆西站TOD项目部</v>
      </c>
      <c r="J3165" s="41" t="str">
        <f>VLOOKUP(B3165,辅助信息!E:I,4,FALSE)</f>
        <v>卢庆江</v>
      </c>
      <c r="K3165" s="41">
        <f>VLOOKUP(J3165,辅助信息!H:I,2,FALSE)</f>
        <v>18883488177</v>
      </c>
      <c r="L3165" s="110" t="str">
        <f>VLOOKUP(B3165,辅助信息!E:J,6,FALSE)</f>
        <v>炉批号尽可能不要多</v>
      </c>
      <c r="M3165" s="92">
        <v>45906</v>
      </c>
      <c r="O3165" s="63">
        <f ca="1" t="shared" si="180"/>
        <v>0</v>
      </c>
      <c r="P3165" s="63">
        <f ca="1" t="shared" si="181"/>
        <v>53</v>
      </c>
      <c r="Q3165" s="30" t="str">
        <f>VLOOKUP(B3165,辅助信息!E:M,9,FALSE)</f>
        <v>ZTWM-CDGS-XS-2025-0029-中铁三局集团有限公司-西渝高铁康渝段站房四标项目</v>
      </c>
      <c r="R3165" s="30" t="str">
        <f>_xlfn._xlws.FILTER(辅助信息!D:D,辅助信息!E:E=B3165)</f>
        <v>中铁三局集团西渝高铁康渝段站房四标工程</v>
      </c>
    </row>
    <row r="3166" hidden="1" spans="2:18">
      <c r="B3166" s="41" t="s">
        <v>160</v>
      </c>
      <c r="C3166" s="71">
        <v>45902</v>
      </c>
      <c r="D3166" s="41" t="str">
        <f>VLOOKUP(B3166,辅助信息!E:K,7,FALSE)</f>
        <v>JWDDCD2025071500024</v>
      </c>
      <c r="E3166" s="41" t="str">
        <f>VLOOKUP(F3166,辅助信息!A:B,2,FALSE)</f>
        <v>螺纹钢</v>
      </c>
      <c r="F3166" s="41" t="s">
        <v>33</v>
      </c>
      <c r="G3166" s="37">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1" t="str">
        <f>VLOOKUP(B3166,辅助信息!E:I,3,FALSE)</f>
        <v>(中铁三局集团西渝高铁康渝段站房四标工程)重庆市九龙坡区华祥支路与华祥路交叉口重庆建工重庆西站TOD项目部</v>
      </c>
      <c r="J3166" s="41" t="str">
        <f>VLOOKUP(B3166,辅助信息!E:I,4,FALSE)</f>
        <v>卢庆江</v>
      </c>
      <c r="K3166" s="41">
        <f>VLOOKUP(J3166,辅助信息!H:I,2,FALSE)</f>
        <v>18883488177</v>
      </c>
      <c r="L3166" s="110" t="str">
        <f>VLOOKUP(B3166,辅助信息!E:J,6,FALSE)</f>
        <v>炉批号尽可能不要多</v>
      </c>
      <c r="M3166" s="92">
        <v>45906</v>
      </c>
      <c r="O3166" s="63">
        <f ca="1" t="shared" si="180"/>
        <v>0</v>
      </c>
      <c r="P3166" s="63">
        <f ca="1" t="shared" si="181"/>
        <v>53</v>
      </c>
      <c r="Q3166" s="30" t="str">
        <f>VLOOKUP(B3166,辅助信息!E:M,9,FALSE)</f>
        <v>ZTWM-CDGS-XS-2025-0029-中铁三局集团有限公司-西渝高铁康渝段站房四标项目</v>
      </c>
      <c r="R3166" s="30" t="str">
        <f>_xlfn._xlws.FILTER(辅助信息!D:D,辅助信息!E:E=B3166)</f>
        <v>中铁三局集团西渝高铁康渝段站房四标工程</v>
      </c>
    </row>
    <row r="3167" hidden="1" spans="2:18">
      <c r="B3167" s="41" t="s">
        <v>160</v>
      </c>
      <c r="C3167" s="71">
        <v>45902</v>
      </c>
      <c r="D3167" s="41" t="str">
        <f>VLOOKUP(B3167,辅助信息!E:K,7,FALSE)</f>
        <v>JWDDCD2025071500024</v>
      </c>
      <c r="E3167" s="41" t="str">
        <f>VLOOKUP(F3167,辅助信息!A:B,2,FALSE)</f>
        <v>螺纹钢</v>
      </c>
      <c r="F3167" s="41" t="s">
        <v>28</v>
      </c>
      <c r="G3167" s="37">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1" t="str">
        <f>VLOOKUP(B3167,辅助信息!E:I,3,FALSE)</f>
        <v>(中铁三局集团西渝高铁康渝段站房四标工程)重庆市九龙坡区华祥支路与华祥路交叉口重庆建工重庆西站TOD项目部</v>
      </c>
      <c r="J3167" s="41" t="str">
        <f>VLOOKUP(B3167,辅助信息!E:I,4,FALSE)</f>
        <v>卢庆江</v>
      </c>
      <c r="K3167" s="41">
        <f>VLOOKUP(J3167,辅助信息!H:I,2,FALSE)</f>
        <v>18883488177</v>
      </c>
      <c r="L3167" s="110" t="str">
        <f>VLOOKUP(B3167,辅助信息!E:J,6,FALSE)</f>
        <v>炉批号尽可能不要多</v>
      </c>
      <c r="M3167" s="92">
        <v>45906</v>
      </c>
      <c r="O3167" s="63">
        <f ca="1" t="shared" si="180"/>
        <v>0</v>
      </c>
      <c r="P3167" s="63">
        <f ca="1" t="shared" si="181"/>
        <v>53</v>
      </c>
      <c r="Q3167" s="30" t="str">
        <f>VLOOKUP(B3167,辅助信息!E:M,9,FALSE)</f>
        <v>ZTWM-CDGS-XS-2025-0029-中铁三局集团有限公司-西渝高铁康渝段站房四标项目</v>
      </c>
      <c r="R3167" s="30" t="str">
        <f>_xlfn._xlws.FILTER(辅助信息!D:D,辅助信息!E:E=B3167)</f>
        <v>中铁三局集团西渝高铁康渝段站房四标工程</v>
      </c>
    </row>
    <row r="3168" hidden="1" spans="2:18">
      <c r="B3168" s="41" t="s">
        <v>160</v>
      </c>
      <c r="C3168" s="71">
        <v>45902</v>
      </c>
      <c r="D3168" s="41" t="str">
        <f>VLOOKUP(B3168,辅助信息!E:K,7,FALSE)</f>
        <v>JWDDCD2025071500024</v>
      </c>
      <c r="E3168" s="41" t="str">
        <f>VLOOKUP(F3168,辅助信息!A:B,2,FALSE)</f>
        <v>螺纹钢</v>
      </c>
      <c r="F3168" s="41" t="s">
        <v>18</v>
      </c>
      <c r="G3168" s="37">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1" t="str">
        <f>VLOOKUP(B3168,辅助信息!E:I,3,FALSE)</f>
        <v>(中铁三局集团西渝高铁康渝段站房四标工程)重庆市九龙坡区华祥支路与华祥路交叉口重庆建工重庆西站TOD项目部</v>
      </c>
      <c r="J3168" s="41" t="str">
        <f>VLOOKUP(B3168,辅助信息!E:I,4,FALSE)</f>
        <v>卢庆江</v>
      </c>
      <c r="K3168" s="41">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53</v>
      </c>
      <c r="Q3168" s="30" t="str">
        <f>VLOOKUP(B3168,辅助信息!E:M,9,FALSE)</f>
        <v>ZTWM-CDGS-XS-2025-0029-中铁三局集团有限公司-西渝高铁康渝段站房四标项目</v>
      </c>
      <c r="R3168" s="30" t="str">
        <f>_xlfn._xlws.FILTER(辅助信息!D:D,辅助信息!E:E=B3168)</f>
        <v>中铁三局集团西渝高铁康渝段站房四标工程</v>
      </c>
    </row>
    <row r="3169" hidden="1" spans="2:18">
      <c r="B3169" s="41" t="s">
        <v>160</v>
      </c>
      <c r="C3169" s="71">
        <v>45902</v>
      </c>
      <c r="D3169" s="41" t="str">
        <f>VLOOKUP(B3169,辅助信息!E:K,7,FALSE)</f>
        <v>JWDDCD2025071500024</v>
      </c>
      <c r="E3169" s="41" t="str">
        <f>VLOOKUP(F3169,辅助信息!A:B,2,FALSE)</f>
        <v>螺纹钢</v>
      </c>
      <c r="F3169" s="41" t="s">
        <v>65</v>
      </c>
      <c r="G3169" s="37">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1" t="str">
        <f>VLOOKUP(B3169,辅助信息!E:I,3,FALSE)</f>
        <v>(中铁三局集团西渝高铁康渝段站房四标工程)重庆市九龙坡区华祥支路与华祥路交叉口重庆建工重庆西站TOD项目部</v>
      </c>
      <c r="J3169" s="41" t="str">
        <f>VLOOKUP(B3169,辅助信息!E:I,4,FALSE)</f>
        <v>卢庆江</v>
      </c>
      <c r="K3169" s="41">
        <f>VLOOKUP(J3169,辅助信息!H:I,2,FALSE)</f>
        <v>18883488177</v>
      </c>
      <c r="L3169" s="110" t="str">
        <f>VLOOKUP(B3169,辅助信息!E:J,6,FALSE)</f>
        <v>炉批号尽可能不要多</v>
      </c>
      <c r="M3169" s="92">
        <v>45906</v>
      </c>
      <c r="O3169" s="63">
        <f ca="1" t="shared" si="182"/>
        <v>0</v>
      </c>
      <c r="P3169" s="63">
        <f ca="1" t="shared" si="183"/>
        <v>53</v>
      </c>
      <c r="Q3169" s="30" t="str">
        <f>VLOOKUP(B3169,辅助信息!E:M,9,FALSE)</f>
        <v>ZTWM-CDGS-XS-2025-0029-中铁三局集团有限公司-西渝高铁康渝段站房四标项目</v>
      </c>
      <c r="R3169" s="30" t="str">
        <f>_xlfn._xlws.FILTER(辅助信息!D:D,辅助信息!E:E=B3169)</f>
        <v>中铁三局集团西渝高铁康渝段站房四标工程</v>
      </c>
    </row>
    <row r="3170" hidden="1" spans="2:18">
      <c r="B3170" s="41" t="s">
        <v>186</v>
      </c>
      <c r="C3170" s="71">
        <v>45902</v>
      </c>
      <c r="D3170" s="41" t="str">
        <f>VLOOKUP(B3170,辅助信息!E:K,7,FALSE)</f>
        <v>JWDDCD2025072900123</v>
      </c>
      <c r="E3170" s="41" t="str">
        <f>VLOOKUP(F3170,辅助信息!A:B,2,FALSE)</f>
        <v>螺纹钢</v>
      </c>
      <c r="F3170" s="41" t="s">
        <v>111</v>
      </c>
      <c r="G3170" s="37">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1" t="str">
        <f>VLOOKUP(B3170,辅助信息!E:I,3,FALSE)</f>
        <v>(乐山市校地共建产教融合基地建设项目二标段)四川省乐山市市中区苏稽镇</v>
      </c>
      <c r="J3170" s="41" t="str">
        <f>VLOOKUP(B3170,辅助信息!E:I,4,FALSE)</f>
        <v>彭江涛</v>
      </c>
      <c r="K3170" s="41">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56</v>
      </c>
      <c r="Q3170" s="30" t="str">
        <f>VLOOKUP(B3170,辅助信息!E:M,9,FALSE)</f>
        <v>ZTWM-CDGS-XS-2025-0126-四川机司-乐山市校地共建产教融合基地配套设施项目施工二标段钢筋采购合同</v>
      </c>
      <c r="R3170" s="30" t="str">
        <f>_xlfn._xlws.FILTER(辅助信息!D:D,辅助信息!E:E=B3170)</f>
        <v>乐山市校地共建产教融合基地建设项目</v>
      </c>
    </row>
    <row r="3171" hidden="1" spans="2:18">
      <c r="B3171" s="41" t="s">
        <v>186</v>
      </c>
      <c r="C3171" s="71">
        <v>45902</v>
      </c>
      <c r="D3171" s="41" t="str">
        <f>VLOOKUP(B3171,辅助信息!E:K,7,FALSE)</f>
        <v>JWDDCD2025072900123</v>
      </c>
      <c r="E3171" s="41" t="str">
        <f>VLOOKUP(F3171,辅助信息!A:B,2,FALSE)</f>
        <v>螺纹钢</v>
      </c>
      <c r="F3171" s="41" t="s">
        <v>90</v>
      </c>
      <c r="G3171" s="37">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1" t="str">
        <f>VLOOKUP(B3171,辅助信息!E:I,3,FALSE)</f>
        <v>(乐山市校地共建产教融合基地建设项目二标段)四川省乐山市市中区苏稽镇</v>
      </c>
      <c r="J3171" s="41" t="str">
        <f>VLOOKUP(B3171,辅助信息!E:I,4,FALSE)</f>
        <v>彭江涛</v>
      </c>
      <c r="K3171" s="41">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56</v>
      </c>
      <c r="Q3171" s="30" t="str">
        <f>VLOOKUP(B3171,辅助信息!E:M,9,FALSE)</f>
        <v>ZTWM-CDGS-XS-2025-0126-四川机司-乐山市校地共建产教融合基地配套设施项目施工二标段钢筋采购合同</v>
      </c>
      <c r="R3171" s="30" t="str">
        <f>_xlfn._xlws.FILTER(辅助信息!D:D,辅助信息!E:E=B3171)</f>
        <v>乐山市校地共建产教融合基地建设项目</v>
      </c>
    </row>
    <row r="3172" hidden="1" spans="2:18">
      <c r="B3172" s="41" t="s">
        <v>186</v>
      </c>
      <c r="C3172" s="71">
        <v>45902</v>
      </c>
      <c r="D3172" s="41" t="str">
        <f>VLOOKUP(B3172,辅助信息!E:K,7,FALSE)</f>
        <v>JWDDCD2025072900123</v>
      </c>
      <c r="E3172" s="41" t="str">
        <f>VLOOKUP(F3172,辅助信息!A:B,2,FALSE)</f>
        <v>螺纹钢</v>
      </c>
      <c r="F3172" s="41" t="s">
        <v>130</v>
      </c>
      <c r="G3172" s="37">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1" t="str">
        <f>VLOOKUP(B3172,辅助信息!E:I,3,FALSE)</f>
        <v>(乐山市校地共建产教融合基地建设项目二标段)四川省乐山市市中区苏稽镇</v>
      </c>
      <c r="J3172" s="41" t="str">
        <f>VLOOKUP(B3172,辅助信息!E:I,4,FALSE)</f>
        <v>彭江涛</v>
      </c>
      <c r="K3172" s="41">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56</v>
      </c>
      <c r="Q3172" s="30" t="str">
        <f>VLOOKUP(B3172,辅助信息!E:M,9,FALSE)</f>
        <v>ZTWM-CDGS-XS-2025-0126-四川机司-乐山市校地共建产教融合基地配套设施项目施工二标段钢筋采购合同</v>
      </c>
      <c r="R3172" s="30" t="str">
        <f>_xlfn._xlws.FILTER(辅助信息!D:D,辅助信息!E:E=B3172)</f>
        <v>乐山市校地共建产教融合基地建设项目</v>
      </c>
    </row>
    <row r="3173" hidden="1" spans="2:18">
      <c r="B3173" s="41" t="s">
        <v>186</v>
      </c>
      <c r="C3173" s="71">
        <v>45902</v>
      </c>
      <c r="D3173" s="41" t="str">
        <f>VLOOKUP(B3173,辅助信息!E:K,7,FALSE)</f>
        <v>JWDDCD2025072900123</v>
      </c>
      <c r="E3173" s="41" t="str">
        <f>VLOOKUP(F3173,辅助信息!A:B,2,FALSE)</f>
        <v>螺纹钢</v>
      </c>
      <c r="F3173" s="41" t="s">
        <v>138</v>
      </c>
      <c r="G3173" s="37">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1" t="str">
        <f>VLOOKUP(B3173,辅助信息!E:I,3,FALSE)</f>
        <v>(乐山市校地共建产教融合基地建设项目二标段)四川省乐山市市中区苏稽镇</v>
      </c>
      <c r="J3173" s="41" t="str">
        <f>VLOOKUP(B3173,辅助信息!E:I,4,FALSE)</f>
        <v>彭江涛</v>
      </c>
      <c r="K3173" s="41">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56</v>
      </c>
      <c r="Q3173" s="30" t="str">
        <f>VLOOKUP(B3173,辅助信息!E:M,9,FALSE)</f>
        <v>ZTWM-CDGS-XS-2025-0126-四川机司-乐山市校地共建产教融合基地配套设施项目施工二标段钢筋采购合同</v>
      </c>
      <c r="R3173" s="30" t="str">
        <f>_xlfn._xlws.FILTER(辅助信息!D:D,辅助信息!E:E=B3173)</f>
        <v>乐山市校地共建产教融合基地建设项目</v>
      </c>
    </row>
    <row r="3174" hidden="1" spans="2:18">
      <c r="B3174" s="41" t="s">
        <v>186</v>
      </c>
      <c r="C3174" s="71">
        <v>45902</v>
      </c>
      <c r="D3174" s="41" t="str">
        <f>VLOOKUP(B3174,辅助信息!E:K,7,FALSE)</f>
        <v>JWDDCD2025072900123</v>
      </c>
      <c r="E3174" s="41" t="str">
        <f>VLOOKUP(F3174,辅助信息!A:B,2,FALSE)</f>
        <v>螺纹钢</v>
      </c>
      <c r="F3174" s="41" t="s">
        <v>133</v>
      </c>
      <c r="G3174" s="37">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1" t="str">
        <f>VLOOKUP(B3174,辅助信息!E:I,3,FALSE)</f>
        <v>(乐山市校地共建产教融合基地建设项目二标段)四川省乐山市市中区苏稽镇</v>
      </c>
      <c r="J3174" s="41" t="str">
        <f>VLOOKUP(B3174,辅助信息!E:I,4,FALSE)</f>
        <v>彭江涛</v>
      </c>
      <c r="K3174" s="41">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56</v>
      </c>
      <c r="Q3174" s="30" t="str">
        <f>VLOOKUP(B3174,辅助信息!E:M,9,FALSE)</f>
        <v>ZTWM-CDGS-XS-2025-0126-四川机司-乐山市校地共建产教融合基地配套设施项目施工二标段钢筋采购合同</v>
      </c>
      <c r="R3174" s="30" t="str">
        <f>_xlfn._xlws.FILTER(辅助信息!D:D,辅助信息!E:E=B3174)</f>
        <v>乐山市校地共建产教融合基地建设项目</v>
      </c>
    </row>
    <row r="3175" hidden="1" spans="2:18">
      <c r="B3175" s="41" t="s">
        <v>186</v>
      </c>
      <c r="C3175" s="71">
        <v>45902</v>
      </c>
      <c r="D3175" s="41" t="str">
        <f>VLOOKUP(B3175,辅助信息!E:K,7,FALSE)</f>
        <v>JWDDCD2025072900123</v>
      </c>
      <c r="E3175" s="41" t="str">
        <f>VLOOKUP(F3175,辅助信息!A:B,2,FALSE)</f>
        <v>螺纹钢</v>
      </c>
      <c r="F3175" s="41" t="s">
        <v>198</v>
      </c>
      <c r="G3175" s="37">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1" t="str">
        <f>VLOOKUP(B3175,辅助信息!E:I,3,FALSE)</f>
        <v>(乐山市校地共建产教融合基地建设项目二标段)四川省乐山市市中区苏稽镇</v>
      </c>
      <c r="J3175" s="41" t="str">
        <f>VLOOKUP(B3175,辅助信息!E:I,4,FALSE)</f>
        <v>彭江涛</v>
      </c>
      <c r="K3175" s="41">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56</v>
      </c>
      <c r="Q3175" s="30" t="str">
        <f>VLOOKUP(B3175,辅助信息!E:M,9,FALSE)</f>
        <v>ZTWM-CDGS-XS-2025-0126-四川机司-乐山市校地共建产教融合基地配套设施项目施工二标段钢筋采购合同</v>
      </c>
      <c r="R3175" s="30" t="str">
        <f>_xlfn._xlws.FILTER(辅助信息!D:D,辅助信息!E:E=B3175)</f>
        <v>乐山市校地共建产教融合基地建设项目</v>
      </c>
    </row>
    <row r="3176" hidden="1" spans="2:18">
      <c r="B3176" s="41" t="s">
        <v>186</v>
      </c>
      <c r="C3176" s="71">
        <v>45902</v>
      </c>
      <c r="D3176" s="41" t="str">
        <f>VLOOKUP(B3176,辅助信息!E:K,7,FALSE)</f>
        <v>JWDDCD2025072900123</v>
      </c>
      <c r="E3176" s="41" t="str">
        <f>VLOOKUP(F3176,辅助信息!A:B,2,FALSE)</f>
        <v>螺纹钢</v>
      </c>
      <c r="F3176" s="41" t="s">
        <v>199</v>
      </c>
      <c r="G3176" s="37">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1" t="str">
        <f>VLOOKUP(B3176,辅助信息!E:I,3,FALSE)</f>
        <v>(乐山市校地共建产教融合基地建设项目二标段)四川省乐山市市中区苏稽镇</v>
      </c>
      <c r="J3176" s="41" t="str">
        <f>VLOOKUP(B3176,辅助信息!E:I,4,FALSE)</f>
        <v>彭江涛</v>
      </c>
      <c r="K3176" s="41">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56</v>
      </c>
      <c r="Q3176" s="30" t="str">
        <f>VLOOKUP(B3176,辅助信息!E:M,9,FALSE)</f>
        <v>ZTWM-CDGS-XS-2025-0126-四川机司-乐山市校地共建产教融合基地配套设施项目施工二标段钢筋采购合同</v>
      </c>
      <c r="R3176" s="30" t="str">
        <f>_xlfn._xlws.FILTER(辅助信息!D:D,辅助信息!E:E=B3176)</f>
        <v>乐山市校地共建产教融合基地建设项目</v>
      </c>
    </row>
    <row r="3177" hidden="1" spans="2:18">
      <c r="B3177" s="41" t="s">
        <v>186</v>
      </c>
      <c r="C3177" s="71">
        <v>45902</v>
      </c>
      <c r="D3177" s="41" t="str">
        <f>VLOOKUP(B3177,辅助信息!E:K,7,FALSE)</f>
        <v>JWDDCD2025072900123</v>
      </c>
      <c r="E3177" s="41" t="str">
        <f>VLOOKUP(F3177,辅助信息!A:B,2,FALSE)</f>
        <v>螺纹钢</v>
      </c>
      <c r="F3177" s="41" t="s">
        <v>46</v>
      </c>
      <c r="G3177" s="37">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1" t="str">
        <f>VLOOKUP(B3177,辅助信息!E:I,3,FALSE)</f>
        <v>(乐山市校地共建产教融合基地建设项目二标段)四川省乐山市市中区苏稽镇</v>
      </c>
      <c r="J3177" s="41" t="str">
        <f>VLOOKUP(B3177,辅助信息!E:I,4,FALSE)</f>
        <v>彭江涛</v>
      </c>
      <c r="K3177" s="41">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56</v>
      </c>
      <c r="Q3177" s="30" t="str">
        <f>VLOOKUP(B3177,辅助信息!E:M,9,FALSE)</f>
        <v>ZTWM-CDGS-XS-2025-0126-四川机司-乐山市校地共建产教融合基地配套设施项目施工二标段钢筋采购合同</v>
      </c>
      <c r="R3177" s="30" t="str">
        <f>_xlfn._xlws.FILTER(辅助信息!D:D,辅助信息!E:E=B3177)</f>
        <v>乐山市校地共建产教融合基地建设项目</v>
      </c>
    </row>
    <row r="3178" hidden="1" spans="2:18">
      <c r="B3178" s="41" t="s">
        <v>186</v>
      </c>
      <c r="C3178" s="71">
        <v>45902</v>
      </c>
      <c r="D3178" s="41" t="str">
        <f>VLOOKUP(B3178,辅助信息!E:K,7,FALSE)</f>
        <v>JWDDCD2025072900123</v>
      </c>
      <c r="E3178" s="41" t="str">
        <f>VLOOKUP(F3178,辅助信息!A:B,2,FALSE)</f>
        <v>螺纹钢</v>
      </c>
      <c r="F3178" s="41" t="s">
        <v>141</v>
      </c>
      <c r="G3178" s="37">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1" t="str">
        <f>VLOOKUP(B3178,辅助信息!E:I,3,FALSE)</f>
        <v>(乐山市校地共建产教融合基地建设项目二标段)四川省乐山市市中区苏稽镇</v>
      </c>
      <c r="J3178" s="41" t="str">
        <f>VLOOKUP(B3178,辅助信息!E:I,4,FALSE)</f>
        <v>彭江涛</v>
      </c>
      <c r="K3178" s="41">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56</v>
      </c>
      <c r="Q3178" s="30" t="str">
        <f>VLOOKUP(B3178,辅助信息!E:M,9,FALSE)</f>
        <v>ZTWM-CDGS-XS-2025-0126-四川机司-乐山市校地共建产教融合基地配套设施项目施工二标段钢筋采购合同</v>
      </c>
      <c r="R3178" s="30" t="str">
        <f>_xlfn._xlws.FILTER(辅助信息!D:D,辅助信息!E:E=B3178)</f>
        <v>乐山市校地共建产教融合基地建设项目</v>
      </c>
    </row>
    <row r="3179" hidden="1" spans="2:18">
      <c r="B3179" s="41" t="s">
        <v>186</v>
      </c>
      <c r="C3179" s="71">
        <v>45902</v>
      </c>
      <c r="D3179" s="41" t="str">
        <f>VLOOKUP(B3179,辅助信息!E:K,7,FALSE)</f>
        <v>JWDDCD2025072900123</v>
      </c>
      <c r="E3179" s="41" t="str">
        <f>VLOOKUP(F3179,辅助信息!A:B,2,FALSE)</f>
        <v>螺纹钢</v>
      </c>
      <c r="F3179" s="41" t="s">
        <v>22</v>
      </c>
      <c r="G3179" s="37">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1" t="str">
        <f>VLOOKUP(B3179,辅助信息!E:I,3,FALSE)</f>
        <v>(乐山市校地共建产教融合基地建设项目二标段)四川省乐山市市中区苏稽镇</v>
      </c>
      <c r="J3179" s="41" t="str">
        <f>VLOOKUP(B3179,辅助信息!E:I,4,FALSE)</f>
        <v>彭江涛</v>
      </c>
      <c r="K3179" s="41">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56</v>
      </c>
      <c r="Q3179" s="30" t="str">
        <f>VLOOKUP(B3179,辅助信息!E:M,9,FALSE)</f>
        <v>ZTWM-CDGS-XS-2025-0126-四川机司-乐山市校地共建产教融合基地配套设施项目施工二标段钢筋采购合同</v>
      </c>
      <c r="R3179" s="30" t="str">
        <f>_xlfn._xlws.FILTER(辅助信息!D:D,辅助信息!E:E=B3179)</f>
        <v>乐山市校地共建产教融合基地建设项目</v>
      </c>
    </row>
    <row r="3180" hidden="1" spans="2:18">
      <c r="B3180" s="41" t="s">
        <v>186</v>
      </c>
      <c r="C3180" s="71">
        <v>45902</v>
      </c>
      <c r="D3180" s="41" t="str">
        <f>VLOOKUP(B3180,辅助信息!E:K,7,FALSE)</f>
        <v>JWDDCD2025072900123</v>
      </c>
      <c r="E3180" s="41" t="str">
        <f>VLOOKUP(F3180,辅助信息!A:B,2,FALSE)</f>
        <v>螺纹钢</v>
      </c>
      <c r="F3180" s="41" t="s">
        <v>142</v>
      </c>
      <c r="G3180" s="37">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1" t="str">
        <f>VLOOKUP(B3180,辅助信息!E:I,3,FALSE)</f>
        <v>(乐山市校地共建产教融合基地建设项目二标段)四川省乐山市市中区苏稽镇</v>
      </c>
      <c r="J3180" s="41" t="str">
        <f>VLOOKUP(B3180,辅助信息!E:I,4,FALSE)</f>
        <v>彭江涛</v>
      </c>
      <c r="K3180" s="41">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56</v>
      </c>
      <c r="Q3180" s="30" t="str">
        <f>VLOOKUP(B3180,辅助信息!E:M,9,FALSE)</f>
        <v>ZTWM-CDGS-XS-2025-0126-四川机司-乐山市校地共建产教融合基地配套设施项目施工二标段钢筋采购合同</v>
      </c>
      <c r="R3180" s="30" t="str">
        <f>_xlfn._xlws.FILTER(辅助信息!D:D,辅助信息!E:E=B3180)</f>
        <v>乐山市校地共建产教融合基地建设项目</v>
      </c>
    </row>
    <row r="3181" hidden="1" spans="2:18">
      <c r="B3181" s="41" t="s">
        <v>186</v>
      </c>
      <c r="C3181" s="71">
        <v>45902</v>
      </c>
      <c r="D3181" s="41" t="str">
        <f>VLOOKUP(B3181,辅助信息!E:K,7,FALSE)</f>
        <v>JWDDCD2025072900123</v>
      </c>
      <c r="E3181" s="41" t="str">
        <f>VLOOKUP(F3181,辅助信息!A:B,2,FALSE)</f>
        <v>盘螺</v>
      </c>
      <c r="F3181" s="41" t="s">
        <v>41</v>
      </c>
      <c r="G3181" s="37">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1" t="str">
        <f>VLOOKUP(B3181,辅助信息!E:I,3,FALSE)</f>
        <v>(乐山市校地共建产教融合基地建设项目二标段)四川省乐山市市中区苏稽镇</v>
      </c>
      <c r="J3181" s="41" t="str">
        <f>VLOOKUP(B3181,辅助信息!E:I,4,FALSE)</f>
        <v>彭江涛</v>
      </c>
      <c r="K3181" s="41">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56</v>
      </c>
      <c r="Q3181" s="30" t="str">
        <f>VLOOKUP(B3181,辅助信息!E:M,9,FALSE)</f>
        <v>ZTWM-CDGS-XS-2025-0126-四川机司-乐山市校地共建产教融合基地配套设施项目施工二标段钢筋采购合同</v>
      </c>
      <c r="R3181" s="30" t="str">
        <f>_xlfn._xlws.FILTER(辅助信息!D:D,辅助信息!E:E=B3181)</f>
        <v>乐山市校地共建产教融合基地建设项目</v>
      </c>
    </row>
    <row r="3182" hidden="1" spans="2:18">
      <c r="B3182" s="41" t="s">
        <v>186</v>
      </c>
      <c r="C3182" s="71">
        <v>45902</v>
      </c>
      <c r="D3182" s="41" t="str">
        <f>VLOOKUP(B3182,辅助信息!E:K,7,FALSE)</f>
        <v>JWDDCD2025072900123</v>
      </c>
      <c r="E3182" s="41" t="str">
        <f>VLOOKUP(F3182,辅助信息!A:B,2,FALSE)</f>
        <v>盘螺</v>
      </c>
      <c r="F3182" s="41" t="s">
        <v>26</v>
      </c>
      <c r="G3182" s="37">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1" t="str">
        <f>VLOOKUP(B3182,辅助信息!E:I,3,FALSE)</f>
        <v>(乐山市校地共建产教融合基地建设项目二标段)四川省乐山市市中区苏稽镇</v>
      </c>
      <c r="J3182" s="41" t="str">
        <f>VLOOKUP(B3182,辅助信息!E:I,4,FALSE)</f>
        <v>彭江涛</v>
      </c>
      <c r="K3182" s="41">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56</v>
      </c>
      <c r="Q3182" s="30" t="str">
        <f>VLOOKUP(B3182,辅助信息!E:M,9,FALSE)</f>
        <v>ZTWM-CDGS-XS-2025-0126-四川机司-乐山市校地共建产教融合基地配套设施项目施工二标段钢筋采购合同</v>
      </c>
      <c r="R3182" s="30" t="str">
        <f>_xlfn._xlws.FILTER(辅助信息!D:D,辅助信息!E:E=B3182)</f>
        <v>乐山市校地共建产教融合基地建设项目</v>
      </c>
    </row>
    <row r="3183" hidden="1" spans="2:18">
      <c r="B3183" s="41" t="s">
        <v>186</v>
      </c>
      <c r="C3183" s="71">
        <v>45902</v>
      </c>
      <c r="D3183" s="41" t="str">
        <f>VLOOKUP(B3183,辅助信息!E:K,7,FALSE)</f>
        <v>JWDDCD2025072900123</v>
      </c>
      <c r="E3183" s="41" t="str">
        <f>VLOOKUP(F3183,辅助信息!A:B,2,FALSE)</f>
        <v>盘螺</v>
      </c>
      <c r="F3183" s="41" t="s">
        <v>40</v>
      </c>
      <c r="G3183" s="37">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1" t="str">
        <f>VLOOKUP(B3183,辅助信息!E:I,3,FALSE)</f>
        <v>(乐山市校地共建产教融合基地建设项目二标段)四川省乐山市市中区苏稽镇</v>
      </c>
      <c r="J3183" s="41" t="str">
        <f>VLOOKUP(B3183,辅助信息!E:I,4,FALSE)</f>
        <v>彭江涛</v>
      </c>
      <c r="K3183" s="41">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56</v>
      </c>
      <c r="Q3183" s="30" t="str">
        <f>VLOOKUP(B3183,辅助信息!E:M,9,FALSE)</f>
        <v>ZTWM-CDGS-XS-2025-0126-四川机司-乐山市校地共建产教融合基地配套设施项目施工二标段钢筋采购合同</v>
      </c>
      <c r="R3183" s="30"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55</v>
      </c>
      <c r="Q3184" s="30"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55</v>
      </c>
      <c r="Q3185" s="30"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55</v>
      </c>
      <c r="Q3186" s="30"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55</v>
      </c>
      <c r="Q3187" s="30"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55</v>
      </c>
      <c r="Q3188" s="30"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55</v>
      </c>
      <c r="Q3189" s="30"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55</v>
      </c>
      <c r="Q3190" s="30"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55</v>
      </c>
      <c r="Q3191" s="30" t="str">
        <f>VLOOKUP(B3191,辅助信息!E:M,9,FALSE)</f>
        <v>ZTWM-CDGS-XS-2024-0134-商投建工达州中医药科技成果示范园项目</v>
      </c>
      <c r="R3191" s="146" t="str">
        <f>_xlfn._xlws.FILTER(辅助信息!D:D,辅助信息!E:E=B3191)</f>
        <v>商投建工达州中医药科技园</v>
      </c>
    </row>
    <row r="3192" hidden="1" spans="2:18">
      <c r="B3192" s="41" t="s">
        <v>180</v>
      </c>
      <c r="C3192" s="71">
        <v>45903</v>
      </c>
      <c r="D3192" s="41" t="str">
        <f>VLOOKUP(B3192,辅助信息!E:K,7,FALSE)</f>
        <v>JWDDCD2025052800131</v>
      </c>
      <c r="E3192" s="41" t="str">
        <f>VLOOKUP(F3192,辅助信息!A:B,2,FALSE)</f>
        <v>盘螺</v>
      </c>
      <c r="F3192" s="41" t="s">
        <v>40</v>
      </c>
      <c r="G3192" s="37">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1" t="str">
        <f>VLOOKUP(B3192,辅助信息!E:I,3,FALSE)</f>
        <v>（商投建工达州中医药科技园-4工区-8号楼）达州市通川区达州中医药职业学院犀牛大道北段</v>
      </c>
      <c r="J3192" s="41" t="str">
        <f>VLOOKUP(B3192,辅助信息!E:I,4,FALSE)</f>
        <v>张扬</v>
      </c>
      <c r="K3192" s="41">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56</v>
      </c>
      <c r="Q3192" s="30" t="str">
        <f>VLOOKUP(B3192,辅助信息!E:M,9,FALSE)</f>
        <v>ZTWM-CDGS-XS-2024-0134-商投建工达州中医药科技成果示范园项目</v>
      </c>
      <c r="R3192" s="30" t="str">
        <f>_xlfn._xlws.FILTER(辅助信息!D:D,辅助信息!E:E=B3192)</f>
        <v>商投建工达州中医药科技园</v>
      </c>
    </row>
    <row r="3193" hidden="1" spans="2:18">
      <c r="B3193" s="41" t="s">
        <v>180</v>
      </c>
      <c r="C3193" s="71">
        <v>45903</v>
      </c>
      <c r="D3193" s="41" t="str">
        <f>VLOOKUP(B3193,辅助信息!E:K,7,FALSE)</f>
        <v>JWDDCD2025052800131</v>
      </c>
      <c r="E3193" s="41" t="str">
        <f>VLOOKUP(F3193,辅助信息!A:B,2,FALSE)</f>
        <v>螺纹钢</v>
      </c>
      <c r="F3193" s="41" t="s">
        <v>58</v>
      </c>
      <c r="G3193" s="37">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1" t="str">
        <f>VLOOKUP(B3193,辅助信息!E:I,3,FALSE)</f>
        <v>（商投建工达州中医药科技园-4工区-8号楼）达州市通川区达州中医药职业学院犀牛大道北段</v>
      </c>
      <c r="J3193" s="41" t="str">
        <f>VLOOKUP(B3193,辅助信息!E:I,4,FALSE)</f>
        <v>张扬</v>
      </c>
      <c r="K3193" s="41">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56</v>
      </c>
      <c r="Q3193" s="30" t="str">
        <f>VLOOKUP(B3193,辅助信息!E:M,9,FALSE)</f>
        <v>ZTWM-CDGS-XS-2024-0134-商投建工达州中医药科技成果示范园项目</v>
      </c>
      <c r="R3193" s="30" t="str">
        <f>_xlfn._xlws.FILTER(辅助信息!D:D,辅助信息!E:E=B3193)</f>
        <v>商投建工达州中医药科技园</v>
      </c>
    </row>
    <row r="3194" hidden="1" spans="2:18">
      <c r="B3194" s="41" t="s">
        <v>180</v>
      </c>
      <c r="C3194" s="71">
        <v>45903</v>
      </c>
      <c r="D3194" s="41" t="str">
        <f>VLOOKUP(B3194,辅助信息!E:K,7,FALSE)</f>
        <v>JWDDCD2025052800131</v>
      </c>
      <c r="E3194" s="41" t="str">
        <f>VLOOKUP(F3194,辅助信息!A:B,2,FALSE)</f>
        <v>螺纹钢</v>
      </c>
      <c r="F3194" s="41" t="s">
        <v>22</v>
      </c>
      <c r="G3194" s="37">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1" t="str">
        <f>VLOOKUP(B3194,辅助信息!E:I,3,FALSE)</f>
        <v>（商投建工达州中医药科技园-4工区-8号楼）达州市通川区达州中医药职业学院犀牛大道北段</v>
      </c>
      <c r="J3194" s="41" t="str">
        <f>VLOOKUP(B3194,辅助信息!E:I,4,FALSE)</f>
        <v>张扬</v>
      </c>
      <c r="K3194" s="41">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56</v>
      </c>
      <c r="Q3194" s="30" t="str">
        <f>VLOOKUP(B3194,辅助信息!E:M,9,FALSE)</f>
        <v>ZTWM-CDGS-XS-2024-0134-商投建工达州中医药科技成果示范园项目</v>
      </c>
      <c r="R3194" s="30" t="str">
        <f>_xlfn._xlws.FILTER(辅助信息!D:D,辅助信息!E:E=B3194)</f>
        <v>商投建工达州中医药科技园</v>
      </c>
    </row>
    <row r="3195" hidden="1" spans="2:18">
      <c r="B3195" s="41" t="s">
        <v>163</v>
      </c>
      <c r="C3195" s="71">
        <v>45903</v>
      </c>
      <c r="D3195" s="41" t="str">
        <f>VLOOKUP(B3195,辅助信息!E:K,7,FALSE)</f>
        <v>JWDDCD2025052800131</v>
      </c>
      <c r="E3195" s="41" t="str">
        <f>VLOOKUP(F3195,辅助信息!A:B,2,FALSE)</f>
        <v>盘螺</v>
      </c>
      <c r="F3195" s="41" t="s">
        <v>40</v>
      </c>
      <c r="G3195" s="37">
        <v>15</v>
      </c>
      <c r="H3195" s="135"/>
      <c r="I3195" s="41" t="str">
        <f>VLOOKUP(B3195,辅助信息!E:I,3,FALSE)</f>
        <v>（商投建工达州中医药科技园-4工区-9号楼）达州市通川区达州中医药职业学院犀牛大道北段</v>
      </c>
      <c r="J3195" s="41" t="str">
        <f>VLOOKUP(B3195,辅助信息!E:I,4,FALSE)</f>
        <v>张扬</v>
      </c>
      <c r="K3195" s="41">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56</v>
      </c>
      <c r="Q3195" s="30" t="str">
        <f>VLOOKUP(B3195,辅助信息!E:M,9,FALSE)</f>
        <v>ZTWM-CDGS-XS-2024-0134-商投建工达州中医药科技成果示范园项目</v>
      </c>
      <c r="R3195" s="30" t="str">
        <f>_xlfn._xlws.FILTER(辅助信息!D:D,辅助信息!E:E=B3195)</f>
        <v>商投建工达州中医药科技园</v>
      </c>
    </row>
    <row r="3196" hidden="1" spans="2:18">
      <c r="B3196" s="41" t="s">
        <v>163</v>
      </c>
      <c r="C3196" s="71">
        <v>45903</v>
      </c>
      <c r="D3196" s="41" t="str">
        <f>VLOOKUP(B3196,辅助信息!E:K,7,FALSE)</f>
        <v>JWDDCD2025052800131</v>
      </c>
      <c r="E3196" s="41" t="str">
        <f>VLOOKUP(F3196,辅助信息!A:B,2,FALSE)</f>
        <v>螺纹钢</v>
      </c>
      <c r="F3196" s="41" t="s">
        <v>33</v>
      </c>
      <c r="G3196" s="37">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1" t="str">
        <f>VLOOKUP(B3196,辅助信息!E:I,3,FALSE)</f>
        <v>（商投建工达州中医药科技园-4工区-9号楼）达州市通川区达州中医药职业学院犀牛大道北段</v>
      </c>
      <c r="J3196" s="41" t="str">
        <f>VLOOKUP(B3196,辅助信息!E:I,4,FALSE)</f>
        <v>张扬</v>
      </c>
      <c r="K3196" s="41">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56</v>
      </c>
      <c r="Q3196" s="30" t="str">
        <f>VLOOKUP(B3196,辅助信息!E:M,9,FALSE)</f>
        <v>ZTWM-CDGS-XS-2024-0134-商投建工达州中医药科技成果示范园项目</v>
      </c>
      <c r="R3196" s="30" t="str">
        <f>_xlfn._xlws.FILTER(辅助信息!D:D,辅助信息!E:E=B3196)</f>
        <v>商投建工达州中医药科技园</v>
      </c>
    </row>
    <row r="3197" hidden="1" spans="2:18">
      <c r="B3197" s="41" t="s">
        <v>163</v>
      </c>
      <c r="C3197" s="71">
        <v>45903</v>
      </c>
      <c r="D3197" s="41" t="str">
        <f>VLOOKUP(B3197,辅助信息!E:K,7,FALSE)</f>
        <v>JWDDCD2025052800131</v>
      </c>
      <c r="E3197" s="41" t="str">
        <f>VLOOKUP(F3197,辅助信息!A:B,2,FALSE)</f>
        <v>螺纹钢</v>
      </c>
      <c r="F3197" s="41" t="s">
        <v>18</v>
      </c>
      <c r="G3197" s="37">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1" t="str">
        <f>VLOOKUP(B3197,辅助信息!E:I,3,FALSE)</f>
        <v>（商投建工达州中医药科技园-4工区-9号楼）达州市通川区达州中医药职业学院犀牛大道北段</v>
      </c>
      <c r="J3197" s="41" t="str">
        <f>VLOOKUP(B3197,辅助信息!E:I,4,FALSE)</f>
        <v>张扬</v>
      </c>
      <c r="K3197" s="41">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56</v>
      </c>
      <c r="Q3197" s="30" t="str">
        <f>VLOOKUP(B3197,辅助信息!E:M,9,FALSE)</f>
        <v>ZTWM-CDGS-XS-2024-0134-商投建工达州中医药科技成果示范园项目</v>
      </c>
      <c r="R3197" s="30" t="str">
        <f>_xlfn._xlws.FILTER(辅助信息!D:D,辅助信息!E:E=B3197)</f>
        <v>商投建工达州中医药科技园</v>
      </c>
    </row>
    <row r="3198" hidden="1" spans="2:18">
      <c r="B3198" s="41" t="s">
        <v>163</v>
      </c>
      <c r="C3198" s="71">
        <v>45903</v>
      </c>
      <c r="D3198" s="41" t="str">
        <f>VLOOKUP(B3198,辅助信息!E:K,7,FALSE)</f>
        <v>JWDDCD2025052800131</v>
      </c>
      <c r="E3198" s="41" t="str">
        <f>VLOOKUP(F3198,辅助信息!A:B,2,FALSE)</f>
        <v>盘螺</v>
      </c>
      <c r="F3198" s="41" t="s">
        <v>49</v>
      </c>
      <c r="G3198" s="37">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1" t="str">
        <f>VLOOKUP(B3198,辅助信息!E:I,3,FALSE)</f>
        <v>（商投建工达州中医药科技园-4工区-9号楼）达州市通川区达州中医药职业学院犀牛大道北段</v>
      </c>
      <c r="J3198" s="41" t="str">
        <f>VLOOKUP(B3198,辅助信息!E:I,4,FALSE)</f>
        <v>张扬</v>
      </c>
      <c r="K3198" s="41">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55</v>
      </c>
      <c r="Q3198" s="30" t="str">
        <f>VLOOKUP(B3198,辅助信息!E:M,9,FALSE)</f>
        <v>ZTWM-CDGS-XS-2024-0134-商投建工达州中医药科技成果示范园项目</v>
      </c>
      <c r="R3198" s="30" t="str">
        <f>_xlfn._xlws.FILTER(辅助信息!D:D,辅助信息!E:E=B3198)</f>
        <v>商投建工达州中医药科技园</v>
      </c>
    </row>
    <row r="3199" hidden="1" spans="2:18">
      <c r="B3199" s="41" t="s">
        <v>163</v>
      </c>
      <c r="C3199" s="71">
        <v>45903</v>
      </c>
      <c r="D3199" s="41" t="str">
        <f>VLOOKUP(B3199,辅助信息!E:K,7,FALSE)</f>
        <v>JWDDCD2025052800131</v>
      </c>
      <c r="E3199" s="41" t="str">
        <f>VLOOKUP(F3199,辅助信息!A:B,2,FALSE)</f>
        <v>盘螺</v>
      </c>
      <c r="F3199" s="41" t="s">
        <v>40</v>
      </c>
      <c r="G3199" s="37">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1" t="str">
        <f>VLOOKUP(B3199,辅助信息!E:I,3,FALSE)</f>
        <v>（商投建工达州中医药科技园-4工区-9号楼）达州市通川区达州中医药职业学院犀牛大道北段</v>
      </c>
      <c r="J3199" s="41" t="str">
        <f>VLOOKUP(B3199,辅助信息!E:I,4,FALSE)</f>
        <v>张扬</v>
      </c>
      <c r="K3199" s="41">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55</v>
      </c>
      <c r="Q3199" s="30" t="str">
        <f>VLOOKUP(B3199,辅助信息!E:M,9,FALSE)</f>
        <v>ZTWM-CDGS-XS-2024-0134-商投建工达州中医药科技成果示范园项目</v>
      </c>
      <c r="R3199" s="30" t="str">
        <f>_xlfn._xlws.FILTER(辅助信息!D:D,辅助信息!E:E=B3199)</f>
        <v>商投建工达州中医药科技园</v>
      </c>
    </row>
    <row r="3200" hidden="1" spans="2:18">
      <c r="B3200" s="41" t="s">
        <v>163</v>
      </c>
      <c r="C3200" s="71">
        <v>45903</v>
      </c>
      <c r="D3200" s="41" t="str">
        <f>VLOOKUP(B3200,辅助信息!E:K,7,FALSE)</f>
        <v>JWDDCD2025052800131</v>
      </c>
      <c r="E3200" s="41" t="str">
        <f>VLOOKUP(F3200,辅助信息!A:B,2,FALSE)</f>
        <v>盘螺</v>
      </c>
      <c r="F3200" s="41" t="s">
        <v>41</v>
      </c>
      <c r="G3200" s="37">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1" t="str">
        <f>VLOOKUP(B3200,辅助信息!E:I,3,FALSE)</f>
        <v>（商投建工达州中医药科技园-4工区-9号楼）达州市通川区达州中医药职业学院犀牛大道北段</v>
      </c>
      <c r="J3200" s="41" t="str">
        <f>VLOOKUP(B3200,辅助信息!E:I,4,FALSE)</f>
        <v>张扬</v>
      </c>
      <c r="K3200" s="41">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55</v>
      </c>
      <c r="Q3200" s="30" t="str">
        <f>VLOOKUP(B3200,辅助信息!E:M,9,FALSE)</f>
        <v>ZTWM-CDGS-XS-2024-0134-商投建工达州中医药科技成果示范园项目</v>
      </c>
      <c r="R3200" s="30" t="str">
        <f>_xlfn._xlws.FILTER(辅助信息!D:D,辅助信息!E:E=B3200)</f>
        <v>商投建工达州中医药科技园</v>
      </c>
    </row>
    <row r="3201" hidden="1" spans="1:18">
      <c r="A3201" s="83" t="s">
        <v>213</v>
      </c>
      <c r="B3201" s="41" t="s">
        <v>147</v>
      </c>
      <c r="C3201" s="71">
        <v>45903</v>
      </c>
      <c r="D3201" s="41" t="str">
        <f>VLOOKUP(B3201,辅助信息!E:K,7,FALSE)</f>
        <v>JWDDCD2025052800131</v>
      </c>
      <c r="E3201" s="41" t="str">
        <f>VLOOKUP(F3201,辅助信息!A:B,2,FALSE)</f>
        <v>螺纹钢</v>
      </c>
      <c r="F3201" s="136" t="s">
        <v>27</v>
      </c>
      <c r="G3201" s="37">
        <v>9</v>
      </c>
      <c r="H3201" s="135">
        <v>9</v>
      </c>
      <c r="I3201" s="41" t="str">
        <f>VLOOKUP(B3201,辅助信息!E:I,3,FALSE)</f>
        <v>（商投建工达州中医药科技园-4工区-11号楼）达州市通川区达州中医药职业学院犀牛大道北段</v>
      </c>
      <c r="J3201" s="41" t="str">
        <f>VLOOKUP(B3201,辅助信息!E:I,4,FALSE)</f>
        <v>张扬</v>
      </c>
      <c r="K3201" s="41">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55</v>
      </c>
      <c r="Q3201" s="30" t="str">
        <f>VLOOKUP(B3201,辅助信息!E:M,9,FALSE)</f>
        <v>ZTWM-CDGS-XS-2024-0134-商投建工达州中医药科技成果示范园项目</v>
      </c>
      <c r="R3201" s="30" t="str">
        <f>_xlfn._xlws.FILTER(辅助信息!D:D,辅助信息!E:E=B3201)</f>
        <v>商投建工达州中医药科技园</v>
      </c>
    </row>
    <row r="3202" hidden="1" spans="1:18">
      <c r="A3202" s="83"/>
      <c r="B3202" s="41" t="s">
        <v>147</v>
      </c>
      <c r="C3202" s="71">
        <v>45903</v>
      </c>
      <c r="D3202" s="41" t="str">
        <f>VLOOKUP(B3202,辅助信息!E:K,7,FALSE)</f>
        <v>JWDDCD2025052800131</v>
      </c>
      <c r="E3202" s="41" t="str">
        <f>VLOOKUP(F3202,辅助信息!A:B,2,FALSE)</f>
        <v>盘螺</v>
      </c>
      <c r="F3202" s="41" t="s">
        <v>40</v>
      </c>
      <c r="G3202" s="37">
        <v>15</v>
      </c>
      <c r="H3202" s="135">
        <v>15</v>
      </c>
      <c r="I3202" s="41" t="str">
        <f>VLOOKUP(B3202,辅助信息!E:I,3,FALSE)</f>
        <v>（商投建工达州中医药科技园-4工区-11号楼）达州市通川区达州中医药职业学院犀牛大道北段</v>
      </c>
      <c r="J3202" s="41" t="str">
        <f>VLOOKUP(B3202,辅助信息!E:I,4,FALSE)</f>
        <v>张扬</v>
      </c>
      <c r="K3202" s="41">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55</v>
      </c>
      <c r="Q3202" s="30" t="str">
        <f>VLOOKUP(B3202,辅助信息!E:M,9,FALSE)</f>
        <v>ZTWM-CDGS-XS-2024-0134-商投建工达州中医药科技成果示范园项目</v>
      </c>
      <c r="R3202" s="30" t="str">
        <f>_xlfn._xlws.FILTER(辅助信息!D:D,辅助信息!E:E=B3202)</f>
        <v>商投建工达州中医药科技园</v>
      </c>
    </row>
    <row r="3203" hidden="1" spans="1:18">
      <c r="A3203" s="83"/>
      <c r="B3203" s="41" t="s">
        <v>147</v>
      </c>
      <c r="C3203" s="71">
        <v>45903</v>
      </c>
      <c r="D3203" s="41" t="str">
        <f>VLOOKUP(B3203,辅助信息!E:K,7,FALSE)</f>
        <v>JWDDCD2025052800131</v>
      </c>
      <c r="E3203" s="41" t="str">
        <f>VLOOKUP(F3203,辅助信息!A:B,2,FALSE)</f>
        <v>螺纹钢</v>
      </c>
      <c r="F3203" s="41" t="s">
        <v>58</v>
      </c>
      <c r="G3203" s="37">
        <v>12</v>
      </c>
      <c r="H3203" s="135">
        <v>12</v>
      </c>
      <c r="I3203" s="41" t="str">
        <f>VLOOKUP(B3203,辅助信息!E:I,3,FALSE)</f>
        <v>（商投建工达州中医药科技园-4工区-11号楼）达州市通川区达州中医药职业学院犀牛大道北段</v>
      </c>
      <c r="J3203" s="41" t="str">
        <f>VLOOKUP(B3203,辅助信息!E:I,4,FALSE)</f>
        <v>张扬</v>
      </c>
      <c r="K3203" s="41">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55</v>
      </c>
      <c r="Q3203" s="30" t="str">
        <f>VLOOKUP(B3203,辅助信息!E:M,9,FALSE)</f>
        <v>ZTWM-CDGS-XS-2024-0134-商投建工达州中医药科技成果示范园项目</v>
      </c>
      <c r="R3203" s="30" t="str">
        <f>_xlfn._xlws.FILTER(辅助信息!D:D,辅助信息!E:E=B3203)</f>
        <v>商投建工达州中医药科技园</v>
      </c>
    </row>
    <row r="3204" hidden="1" spans="1:18">
      <c r="A3204" s="83"/>
      <c r="B3204" s="41" t="s">
        <v>147</v>
      </c>
      <c r="C3204" s="71">
        <v>45903</v>
      </c>
      <c r="D3204" s="41" t="str">
        <f>VLOOKUP(B3204,辅助信息!E:K,7,FALSE)</f>
        <v>JWDDCD2025052800131</v>
      </c>
      <c r="E3204" s="41" t="str">
        <f>VLOOKUP(F3204,辅助信息!A:B,2,FALSE)</f>
        <v>螺纹钢</v>
      </c>
      <c r="F3204" s="41" t="s">
        <v>46</v>
      </c>
      <c r="G3204" s="37">
        <v>9</v>
      </c>
      <c r="H3204" s="135">
        <v>9</v>
      </c>
      <c r="I3204" s="41" t="str">
        <f>VLOOKUP(B3204,辅助信息!E:I,3,FALSE)</f>
        <v>（商投建工达州中医药科技园-4工区-11号楼）达州市通川区达州中医药职业学院犀牛大道北段</v>
      </c>
      <c r="J3204" s="41" t="str">
        <f>VLOOKUP(B3204,辅助信息!E:I,4,FALSE)</f>
        <v>张扬</v>
      </c>
      <c r="K3204" s="41">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55</v>
      </c>
      <c r="Q3204" s="30" t="str">
        <f>VLOOKUP(B3204,辅助信息!E:M,9,FALSE)</f>
        <v>ZTWM-CDGS-XS-2024-0134-商投建工达州中医药科技成果示范园项目</v>
      </c>
      <c r="R3204" s="30" t="str">
        <f>_xlfn._xlws.FILTER(辅助信息!D:D,辅助信息!E:E=B3204)</f>
        <v>商投建工达州中医药科技园</v>
      </c>
    </row>
    <row r="3205" hidden="1" spans="1:18">
      <c r="A3205" s="83"/>
      <c r="B3205" s="41" t="s">
        <v>147</v>
      </c>
      <c r="C3205" s="71">
        <v>45903</v>
      </c>
      <c r="D3205" s="41" t="str">
        <f>VLOOKUP(B3205,辅助信息!E:K,7,FALSE)</f>
        <v>JWDDCD2025052800131</v>
      </c>
      <c r="E3205" s="41" t="str">
        <f>VLOOKUP(F3205,辅助信息!A:B,2,FALSE)</f>
        <v>螺纹钢</v>
      </c>
      <c r="F3205" s="41" t="s">
        <v>22</v>
      </c>
      <c r="G3205" s="37">
        <v>9</v>
      </c>
      <c r="H3205" s="135">
        <v>9</v>
      </c>
      <c r="I3205" s="41" t="str">
        <f>VLOOKUP(B3205,辅助信息!E:I,3,FALSE)</f>
        <v>（商投建工达州中医药科技园-4工区-11号楼）达州市通川区达州中医药职业学院犀牛大道北段</v>
      </c>
      <c r="J3205" s="41" t="str">
        <f>VLOOKUP(B3205,辅助信息!E:I,4,FALSE)</f>
        <v>张扬</v>
      </c>
      <c r="K3205" s="41">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55</v>
      </c>
      <c r="Q3205" s="30" t="str">
        <f>VLOOKUP(B3205,辅助信息!E:M,9,FALSE)</f>
        <v>ZTWM-CDGS-XS-2024-0134-商投建工达州中医药科技成果示范园项目</v>
      </c>
      <c r="R3205" s="30" t="str">
        <f>_xlfn._xlws.FILTER(辅助信息!D:D,辅助信息!E:E=B3205)</f>
        <v>商投建工达州中医药科技园</v>
      </c>
    </row>
    <row r="3206" hidden="1" spans="1:18">
      <c r="A3206" s="83" t="s">
        <v>100</v>
      </c>
      <c r="B3206" s="41" t="s">
        <v>147</v>
      </c>
      <c r="C3206" s="71">
        <v>45903</v>
      </c>
      <c r="D3206" s="41" t="str">
        <f>VLOOKUP(B3206,辅助信息!E:K,7,FALSE)</f>
        <v>JWDDCD2025052800131</v>
      </c>
      <c r="E3206" s="41" t="str">
        <f>VLOOKUP(F3206,辅助信息!A:B,2,FALSE)</f>
        <v>螺纹钢</v>
      </c>
      <c r="F3206" s="41" t="s">
        <v>30</v>
      </c>
      <c r="G3206" s="37">
        <v>15</v>
      </c>
      <c r="H3206" s="135">
        <v>15</v>
      </c>
      <c r="I3206" s="41" t="str">
        <f>VLOOKUP(B3206,辅助信息!E:I,3,FALSE)</f>
        <v>（商投建工达州中医药科技园-4工区-11号楼）达州市通川区达州中医药职业学院犀牛大道北段</v>
      </c>
      <c r="J3206" s="41" t="str">
        <f>VLOOKUP(B3206,辅助信息!E:I,4,FALSE)</f>
        <v>张扬</v>
      </c>
      <c r="K3206" s="41">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56</v>
      </c>
      <c r="Q3206" s="30" t="str">
        <f>VLOOKUP(B3206,辅助信息!E:M,9,FALSE)</f>
        <v>ZTWM-CDGS-XS-2024-0134-商投建工达州中医药科技成果示范园项目</v>
      </c>
      <c r="R3206" s="30" t="str">
        <f>_xlfn._xlws.FILTER(辅助信息!D:D,辅助信息!E:E=B3206)</f>
        <v>商投建工达州中医药科技园</v>
      </c>
    </row>
    <row r="3207" hidden="1" spans="1:18">
      <c r="A3207" s="83"/>
      <c r="B3207" s="41" t="s">
        <v>147</v>
      </c>
      <c r="C3207" s="71">
        <v>45903</v>
      </c>
      <c r="D3207" s="41" t="str">
        <f>VLOOKUP(B3207,辅助信息!E:K,7,FALSE)</f>
        <v>JWDDCD2025052800131</v>
      </c>
      <c r="E3207" s="41" t="str">
        <f>VLOOKUP(F3207,辅助信息!A:B,2,FALSE)</f>
        <v>盘螺</v>
      </c>
      <c r="F3207" s="41" t="s">
        <v>40</v>
      </c>
      <c r="G3207" s="37">
        <v>20</v>
      </c>
      <c r="H3207" s="135">
        <v>20</v>
      </c>
      <c r="I3207" s="41" t="str">
        <f>VLOOKUP(B3207,辅助信息!E:I,3,FALSE)</f>
        <v>（商投建工达州中医药科技园-4工区-11号楼）达州市通川区达州中医药职业学院犀牛大道北段</v>
      </c>
      <c r="J3207" s="41" t="str">
        <f>VLOOKUP(B3207,辅助信息!E:I,4,FALSE)</f>
        <v>张扬</v>
      </c>
      <c r="K3207" s="41">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30" t="str">
        <f>VLOOKUP(B3207,辅助信息!E:M,9,FALSE)</f>
        <v>ZTWM-CDGS-XS-2024-0134-商投建工达州中医药科技成果示范园项目</v>
      </c>
      <c r="R3207" s="30" t="str">
        <f>_xlfn._xlws.FILTER(辅助信息!D:D,辅助信息!E:E=B3207)</f>
        <v>商投建工达州中医药科技园</v>
      </c>
    </row>
    <row r="3208" hidden="1" spans="1:18">
      <c r="A3208" s="83"/>
      <c r="B3208" s="41" t="s">
        <v>147</v>
      </c>
      <c r="C3208" s="71">
        <v>45903</v>
      </c>
      <c r="D3208" s="41" t="str">
        <f>VLOOKUP(B3208,辅助信息!E:K,7,FALSE)</f>
        <v>JWDDCD2025052800131</v>
      </c>
      <c r="E3208" s="41" t="str">
        <f>VLOOKUP(F3208,辅助信息!A:B,2,FALSE)</f>
        <v>螺纹钢</v>
      </c>
      <c r="F3208" s="41" t="s">
        <v>21</v>
      </c>
      <c r="G3208" s="37">
        <v>20</v>
      </c>
      <c r="H3208" s="135">
        <v>20</v>
      </c>
      <c r="I3208" s="41" t="str">
        <f>VLOOKUP(B3208,辅助信息!E:I,3,FALSE)</f>
        <v>（商投建工达州中医药科技园-4工区-11号楼）达州市通川区达州中医药职业学院犀牛大道北段</v>
      </c>
      <c r="J3208" s="41" t="str">
        <f>VLOOKUP(B3208,辅助信息!E:I,4,FALSE)</f>
        <v>张扬</v>
      </c>
      <c r="K3208" s="41">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56</v>
      </c>
      <c r="Q3208" s="30" t="str">
        <f>VLOOKUP(B3208,辅助信息!E:M,9,FALSE)</f>
        <v>ZTWM-CDGS-XS-2024-0134-商投建工达州中医药科技成果示范园项目</v>
      </c>
      <c r="R3208" s="30" t="str">
        <f>_xlfn._xlws.FILTER(辅助信息!D:D,辅助信息!E:E=B3208)</f>
        <v>商投建工达州中医药科技园</v>
      </c>
    </row>
    <row r="3209" hidden="1" spans="1:18">
      <c r="A3209" s="83"/>
      <c r="B3209" s="41" t="s">
        <v>147</v>
      </c>
      <c r="C3209" s="71">
        <v>45903</v>
      </c>
      <c r="D3209" s="41" t="str">
        <f>VLOOKUP(B3209,辅助信息!E:K,7,FALSE)</f>
        <v>JWDDCD2025052800131</v>
      </c>
      <c r="E3209" s="41" t="str">
        <f>VLOOKUP(F3209,辅助信息!A:B,2,FALSE)</f>
        <v>盘螺</v>
      </c>
      <c r="F3209" s="41" t="s">
        <v>40</v>
      </c>
      <c r="G3209" s="37">
        <v>15</v>
      </c>
      <c r="H3209" s="135">
        <v>15</v>
      </c>
      <c r="I3209" s="41" t="str">
        <f>VLOOKUP(B3209,辅助信息!E:I,3,FALSE)</f>
        <v>（商投建工达州中医药科技园-4工区-11号楼）达州市通川区达州中医药职业学院犀牛大道北段</v>
      </c>
      <c r="J3209" s="41" t="str">
        <f>VLOOKUP(B3209,辅助信息!E:I,4,FALSE)</f>
        <v>张扬</v>
      </c>
      <c r="K3209" s="41">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30" t="str">
        <f>VLOOKUP(B3209,辅助信息!E:M,9,FALSE)</f>
        <v>ZTWM-CDGS-XS-2024-0134-商投建工达州中医药科技成果示范园项目</v>
      </c>
      <c r="R3209" s="30" t="str">
        <f>_xlfn._xlws.FILTER(辅助信息!D:D,辅助信息!E:E=B3209)</f>
        <v>商投建工达州中医药科技园</v>
      </c>
    </row>
    <row r="3210" hidden="1" spans="1:18">
      <c r="A3210" s="83"/>
      <c r="B3210" s="41" t="s">
        <v>180</v>
      </c>
      <c r="C3210" s="71">
        <v>45903</v>
      </c>
      <c r="D3210" s="41" t="str">
        <f>VLOOKUP(B3210,辅助信息!E:K,7,FALSE)</f>
        <v>JWDDCD2025052800131</v>
      </c>
      <c r="E3210" s="41" t="str">
        <f>VLOOKUP(F3210,辅助信息!A:B,2,FALSE)</f>
        <v>螺纹钢</v>
      </c>
      <c r="F3210" s="41" t="s">
        <v>30</v>
      </c>
      <c r="G3210" s="37">
        <v>20</v>
      </c>
      <c r="H3210" s="135">
        <v>20</v>
      </c>
      <c r="I3210" s="41" t="str">
        <f>VLOOKUP(B3210,辅助信息!E:I,3,FALSE)</f>
        <v>（商投建工达州中医药科技园-4工区-8号楼）达州市通川区达州中医药职业学院犀牛大道北段</v>
      </c>
      <c r="J3210" s="41" t="str">
        <f>VLOOKUP(B3210,辅助信息!E:I,4,FALSE)</f>
        <v>张扬</v>
      </c>
      <c r="K3210" s="41">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56</v>
      </c>
      <c r="Q3210" s="30" t="str">
        <f>VLOOKUP(B3210,辅助信息!E:M,9,FALSE)</f>
        <v>ZTWM-CDGS-XS-2024-0134-商投建工达州中医药科技成果示范园项目</v>
      </c>
      <c r="R3210" s="30" t="str">
        <f>_xlfn._xlws.FILTER(辅助信息!D:D,辅助信息!E:E=B3210)</f>
        <v>商投建工达州中医药科技园</v>
      </c>
    </row>
    <row r="3211" hidden="1" spans="1:18">
      <c r="A3211" s="83"/>
      <c r="B3211" s="41" t="s">
        <v>180</v>
      </c>
      <c r="C3211" s="71">
        <v>45903</v>
      </c>
      <c r="D3211" s="41" t="str">
        <f>VLOOKUP(B3211,辅助信息!E:K,7,FALSE)</f>
        <v>JWDDCD2025052800131</v>
      </c>
      <c r="E3211" s="41" t="str">
        <f>VLOOKUP(F3211,辅助信息!A:B,2,FALSE)</f>
        <v>盘螺</v>
      </c>
      <c r="F3211" s="41" t="s">
        <v>40</v>
      </c>
      <c r="G3211" s="37">
        <v>15</v>
      </c>
      <c r="H3211" s="135">
        <v>15</v>
      </c>
      <c r="I3211" s="41" t="str">
        <f>VLOOKUP(B3211,辅助信息!E:I,3,FALSE)</f>
        <v>（商投建工达州中医药科技园-4工区-8号楼）达州市通川区达州中医药职业学院犀牛大道北段</v>
      </c>
      <c r="J3211" s="41" t="str">
        <f>VLOOKUP(B3211,辅助信息!E:I,4,FALSE)</f>
        <v>张扬</v>
      </c>
      <c r="K3211" s="41">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30" t="str">
        <f>VLOOKUP(B3211,辅助信息!E:M,9,FALSE)</f>
        <v>ZTWM-CDGS-XS-2024-0134-商投建工达州中医药科技成果示范园项目</v>
      </c>
      <c r="R3211" s="30" t="str">
        <f>_xlfn._xlws.FILTER(辅助信息!D:D,辅助信息!E:E=B3211)</f>
        <v>商投建工达州中医药科技园</v>
      </c>
    </row>
    <row r="3212" hidden="1" spans="1:18">
      <c r="A3212" s="83"/>
      <c r="B3212" s="41" t="s">
        <v>180</v>
      </c>
      <c r="C3212" s="71">
        <v>45903</v>
      </c>
      <c r="D3212" s="41" t="str">
        <f>VLOOKUP(B3212,辅助信息!E:K,7,FALSE)</f>
        <v>JWDDCD2025052800131</v>
      </c>
      <c r="E3212" s="41" t="str">
        <f>VLOOKUP(F3212,辅助信息!A:B,2,FALSE)</f>
        <v>螺纹钢</v>
      </c>
      <c r="F3212" s="41" t="s">
        <v>21</v>
      </c>
      <c r="G3212" s="37">
        <v>15</v>
      </c>
      <c r="H3212" s="135">
        <v>15</v>
      </c>
      <c r="I3212" s="41" t="str">
        <f>VLOOKUP(B3212,辅助信息!E:I,3,FALSE)</f>
        <v>（商投建工达州中医药科技园-4工区-8号楼）达州市通川区达州中医药职业学院犀牛大道北段</v>
      </c>
      <c r="J3212" s="41" t="str">
        <f>VLOOKUP(B3212,辅助信息!E:I,4,FALSE)</f>
        <v>张扬</v>
      </c>
      <c r="K3212" s="41">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56</v>
      </c>
      <c r="Q3212" s="30" t="str">
        <f>VLOOKUP(B3212,辅助信息!E:M,9,FALSE)</f>
        <v>ZTWM-CDGS-XS-2024-0134-商投建工达州中医药科技成果示范园项目</v>
      </c>
      <c r="R3212" s="30" t="str">
        <f>_xlfn._xlws.FILTER(辅助信息!D:D,辅助信息!E:E=B3212)</f>
        <v>商投建工达州中医药科技园</v>
      </c>
    </row>
    <row r="3213" hidden="1" spans="1:18">
      <c r="A3213" s="83"/>
      <c r="B3213" s="41" t="s">
        <v>180</v>
      </c>
      <c r="C3213" s="71">
        <v>45903</v>
      </c>
      <c r="D3213" s="41" t="str">
        <f>VLOOKUP(B3213,辅助信息!E:K,7,FALSE)</f>
        <v>JWDDCD2025052800131</v>
      </c>
      <c r="E3213" s="41" t="str">
        <f>VLOOKUP(F3213,辅助信息!A:B,2,FALSE)</f>
        <v>盘螺</v>
      </c>
      <c r="F3213" s="41" t="s">
        <v>40</v>
      </c>
      <c r="G3213" s="37">
        <v>20</v>
      </c>
      <c r="H3213" s="135">
        <v>20</v>
      </c>
      <c r="I3213" s="41" t="str">
        <f>VLOOKUP(B3213,辅助信息!E:I,3,FALSE)</f>
        <v>（商投建工达州中医药科技园-4工区-8号楼）达州市通川区达州中医药职业学院犀牛大道北段</v>
      </c>
      <c r="J3213" s="41" t="str">
        <f>VLOOKUP(B3213,辅助信息!E:I,4,FALSE)</f>
        <v>张扬</v>
      </c>
      <c r="K3213" s="41">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30" t="str">
        <f>VLOOKUP(B3213,辅助信息!E:M,9,FALSE)</f>
        <v>ZTWM-CDGS-XS-2024-0134-商投建工达州中医药科技成果示范园项目</v>
      </c>
      <c r="R3213" s="30"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1" t="str">
        <f>VLOOKUP(B3214,辅助信息!E:I,4,FALSE)</f>
        <v>卢庆江</v>
      </c>
      <c r="K3214" s="41">
        <f>VLOOKUP(J3214,辅助信息!H:I,2,FALSE)</f>
        <v>18883488177</v>
      </c>
      <c r="L3214" s="110" t="str">
        <f>VLOOKUP(B3214,辅助信息!E:J,6,FALSE)</f>
        <v>炉批号尽可能不要多</v>
      </c>
      <c r="M3214" s="92">
        <v>45906</v>
      </c>
      <c r="O3214" s="63">
        <f ca="1" t="shared" si="182"/>
        <v>0</v>
      </c>
      <c r="P3214" s="63">
        <f ca="1" t="shared" si="183"/>
        <v>53</v>
      </c>
      <c r="Q3214" s="30" t="str">
        <f>VLOOKUP(B3214,辅助信息!E:M,9,FALSE)</f>
        <v>ZTWM-CDGS-XS-2025-0029-中铁三局集团有限公司-西渝高铁康渝段站房四标项目</v>
      </c>
      <c r="R3214" s="30" t="str">
        <f>_xlfn._xlws.FILTER(辅助信息!D:D,辅助信息!E:E=B3214)</f>
        <v>中铁三局集团西渝高铁康渝段站房四标工程</v>
      </c>
    </row>
    <row r="3215" hidden="1" spans="2:18">
      <c r="B3215" s="41" t="s">
        <v>160</v>
      </c>
      <c r="C3215" s="71">
        <v>45903</v>
      </c>
      <c r="D3215" s="41" t="str">
        <f>VLOOKUP(B3215,辅助信息!E:K,7,FALSE)</f>
        <v>JWDDCD2025071500024</v>
      </c>
      <c r="E3215" s="41" t="str">
        <f>VLOOKUP(F3215,辅助信息!A:B,2,FALSE)</f>
        <v>盘螺</v>
      </c>
      <c r="F3215" s="41" t="s">
        <v>40</v>
      </c>
      <c r="G3215" s="37">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1" t="str">
        <f>VLOOKUP(B3215,辅助信息!E:I,3,FALSE)</f>
        <v>(中铁三局集团西渝高铁康渝段站房四标工程)重庆市九龙坡区华祥支路与华祥路交叉口重庆建工重庆西站TOD项目部</v>
      </c>
      <c r="J3215" s="41" t="str">
        <f>VLOOKUP(B3215,辅助信息!E:I,4,FALSE)</f>
        <v>卢庆江</v>
      </c>
      <c r="K3215" s="41">
        <f>VLOOKUP(J3215,辅助信息!H:I,2,FALSE)</f>
        <v>18883488177</v>
      </c>
      <c r="L3215" s="110" t="str">
        <f>VLOOKUP(B3215,辅助信息!E:J,6,FALSE)</f>
        <v>炉批号尽可能不要多</v>
      </c>
      <c r="M3215" s="92">
        <v>45906</v>
      </c>
      <c r="O3215" s="63">
        <f ca="1" t="shared" si="182"/>
        <v>0</v>
      </c>
      <c r="P3215" s="63">
        <f ca="1" t="shared" si="183"/>
        <v>53</v>
      </c>
      <c r="Q3215" s="30" t="str">
        <f>VLOOKUP(B3215,辅助信息!E:M,9,FALSE)</f>
        <v>ZTWM-CDGS-XS-2025-0029-中铁三局集团有限公司-西渝高铁康渝段站房四标项目</v>
      </c>
      <c r="R3215" s="30" t="str">
        <f>_xlfn._xlws.FILTER(辅助信息!D:D,辅助信息!E:E=B3215)</f>
        <v>中铁三局集团西渝高铁康渝段站房四标工程</v>
      </c>
    </row>
    <row r="3216" hidden="1" spans="2:18">
      <c r="B3216" s="41" t="s">
        <v>160</v>
      </c>
      <c r="C3216" s="71">
        <v>45903</v>
      </c>
      <c r="D3216" s="41" t="str">
        <f>VLOOKUP(B3216,辅助信息!E:K,7,FALSE)</f>
        <v>JWDDCD2025071500024</v>
      </c>
      <c r="E3216" s="41" t="str">
        <f>VLOOKUP(F3216,辅助信息!A:B,2,FALSE)</f>
        <v>盘螺</v>
      </c>
      <c r="F3216" s="41" t="s">
        <v>41</v>
      </c>
      <c r="G3216" s="37">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1" t="str">
        <f>VLOOKUP(B3216,辅助信息!E:I,3,FALSE)</f>
        <v>(中铁三局集团西渝高铁康渝段站房四标工程)重庆市九龙坡区华祥支路与华祥路交叉口重庆建工重庆西站TOD项目部</v>
      </c>
      <c r="J3216" s="41" t="str">
        <f>VLOOKUP(B3216,辅助信息!E:I,4,FALSE)</f>
        <v>卢庆江</v>
      </c>
      <c r="K3216" s="41">
        <f>VLOOKUP(J3216,辅助信息!H:I,2,FALSE)</f>
        <v>18883488177</v>
      </c>
      <c r="L3216" s="110" t="str">
        <f>VLOOKUP(B3216,辅助信息!E:J,6,FALSE)</f>
        <v>炉批号尽可能不要多</v>
      </c>
      <c r="M3216" s="92">
        <v>45906</v>
      </c>
      <c r="O3216" s="63">
        <f ca="1" t="shared" si="182"/>
        <v>0</v>
      </c>
      <c r="P3216" s="63">
        <f ca="1" t="shared" si="183"/>
        <v>53</v>
      </c>
      <c r="Q3216" s="30" t="str">
        <f>VLOOKUP(B3216,辅助信息!E:M,9,FALSE)</f>
        <v>ZTWM-CDGS-XS-2025-0029-中铁三局集团有限公司-西渝高铁康渝段站房四标项目</v>
      </c>
      <c r="R3216" s="30" t="str">
        <f>_xlfn._xlws.FILTER(辅助信息!D:D,辅助信息!E:E=B3216)</f>
        <v>中铁三局集团西渝高铁康渝段站房四标工程</v>
      </c>
    </row>
    <row r="3217" hidden="1" spans="2:18">
      <c r="B3217" s="41" t="s">
        <v>160</v>
      </c>
      <c r="C3217" s="71">
        <v>45903</v>
      </c>
      <c r="D3217" s="41" t="str">
        <f>VLOOKUP(B3217,辅助信息!E:K,7,FALSE)</f>
        <v>JWDDCD2025071500024</v>
      </c>
      <c r="E3217" s="41" t="str">
        <f>VLOOKUP(F3217,辅助信息!A:B,2,FALSE)</f>
        <v>盘螺</v>
      </c>
      <c r="F3217" s="41" t="s">
        <v>26</v>
      </c>
      <c r="G3217" s="37">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1" t="str">
        <f>VLOOKUP(B3217,辅助信息!E:I,3,FALSE)</f>
        <v>(中铁三局集团西渝高铁康渝段站房四标工程)重庆市九龙坡区华祥支路与华祥路交叉口重庆建工重庆西站TOD项目部</v>
      </c>
      <c r="J3217" s="41" t="str">
        <f>VLOOKUP(B3217,辅助信息!E:I,4,FALSE)</f>
        <v>卢庆江</v>
      </c>
      <c r="K3217" s="41">
        <f>VLOOKUP(J3217,辅助信息!H:I,2,FALSE)</f>
        <v>18883488177</v>
      </c>
      <c r="L3217" s="110" t="str">
        <f>VLOOKUP(B3217,辅助信息!E:J,6,FALSE)</f>
        <v>炉批号尽可能不要多</v>
      </c>
      <c r="M3217" s="92">
        <v>45906</v>
      </c>
      <c r="O3217" s="63">
        <f ca="1" t="shared" si="182"/>
        <v>0</v>
      </c>
      <c r="P3217" s="63">
        <f ca="1" t="shared" si="183"/>
        <v>53</v>
      </c>
      <c r="Q3217" s="30" t="str">
        <f>VLOOKUP(B3217,辅助信息!E:M,9,FALSE)</f>
        <v>ZTWM-CDGS-XS-2025-0029-中铁三局集团有限公司-西渝高铁康渝段站房四标项目</v>
      </c>
      <c r="R3217" s="30" t="str">
        <f>_xlfn._xlws.FILTER(辅助信息!D:D,辅助信息!E:E=B3217)</f>
        <v>中铁三局集团西渝高铁康渝段站房四标工程</v>
      </c>
    </row>
    <row r="3218" hidden="1" spans="2:18">
      <c r="B3218" s="41" t="s">
        <v>160</v>
      </c>
      <c r="C3218" s="71">
        <v>45903</v>
      </c>
      <c r="D3218" s="41" t="str">
        <f>VLOOKUP(B3218,辅助信息!E:K,7,FALSE)</f>
        <v>JWDDCD2025071500024</v>
      </c>
      <c r="E3218" s="41" t="str">
        <f>VLOOKUP(F3218,辅助信息!A:B,2,FALSE)</f>
        <v>螺纹钢</v>
      </c>
      <c r="F3218" s="41" t="s">
        <v>19</v>
      </c>
      <c r="G3218" s="37">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1" t="str">
        <f>VLOOKUP(B3218,辅助信息!E:I,3,FALSE)</f>
        <v>(中铁三局集团西渝高铁康渝段站房四标工程)重庆市九龙坡区华祥支路与华祥路交叉口重庆建工重庆西站TOD项目部</v>
      </c>
      <c r="J3218" s="41" t="str">
        <f>VLOOKUP(B3218,辅助信息!E:I,4,FALSE)</f>
        <v>卢庆江</v>
      </c>
      <c r="K3218" s="41">
        <f>VLOOKUP(J3218,辅助信息!H:I,2,FALSE)</f>
        <v>18883488177</v>
      </c>
      <c r="L3218" s="110" t="str">
        <f>VLOOKUP(B3218,辅助信息!E:J,6,FALSE)</f>
        <v>炉批号尽可能不要多</v>
      </c>
      <c r="M3218" s="92">
        <v>45906</v>
      </c>
      <c r="O3218" s="63">
        <f ca="1" t="shared" si="182"/>
        <v>0</v>
      </c>
      <c r="P3218" s="63">
        <f ca="1" t="shared" si="183"/>
        <v>53</v>
      </c>
      <c r="Q3218" s="30" t="str">
        <f>VLOOKUP(B3218,辅助信息!E:M,9,FALSE)</f>
        <v>ZTWM-CDGS-XS-2025-0029-中铁三局集团有限公司-西渝高铁康渝段站房四标项目</v>
      </c>
      <c r="R3218" s="30" t="str">
        <f>_xlfn._xlws.FILTER(辅助信息!D:D,辅助信息!E:E=B3218)</f>
        <v>中铁三局集团西渝高铁康渝段站房四标工程</v>
      </c>
    </row>
    <row r="3219" hidden="1" spans="2:18">
      <c r="B3219" s="41" t="s">
        <v>160</v>
      </c>
      <c r="C3219" s="71">
        <v>45903</v>
      </c>
      <c r="D3219" s="41" t="str">
        <f>VLOOKUP(B3219,辅助信息!E:K,7,FALSE)</f>
        <v>JWDDCD2025071500024</v>
      </c>
      <c r="E3219" s="41" t="str">
        <f>VLOOKUP(F3219,辅助信息!A:B,2,FALSE)</f>
        <v>螺纹钢</v>
      </c>
      <c r="F3219" s="41" t="s">
        <v>32</v>
      </c>
      <c r="G3219" s="37">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1" t="str">
        <f>VLOOKUP(B3219,辅助信息!E:I,3,FALSE)</f>
        <v>(中铁三局集团西渝高铁康渝段站房四标工程)重庆市九龙坡区华祥支路与华祥路交叉口重庆建工重庆西站TOD项目部</v>
      </c>
      <c r="J3219" s="41" t="str">
        <f>VLOOKUP(B3219,辅助信息!E:I,4,FALSE)</f>
        <v>卢庆江</v>
      </c>
      <c r="K3219" s="41">
        <f>VLOOKUP(J3219,辅助信息!H:I,2,FALSE)</f>
        <v>18883488177</v>
      </c>
      <c r="L3219" s="110" t="str">
        <f>VLOOKUP(B3219,辅助信息!E:J,6,FALSE)</f>
        <v>炉批号尽可能不要多</v>
      </c>
      <c r="M3219" s="92">
        <v>45906</v>
      </c>
      <c r="O3219" s="63">
        <f ca="1" t="shared" si="182"/>
        <v>0</v>
      </c>
      <c r="P3219" s="63">
        <f ca="1" t="shared" si="183"/>
        <v>53</v>
      </c>
      <c r="Q3219" s="30" t="str">
        <f>VLOOKUP(B3219,辅助信息!E:M,9,FALSE)</f>
        <v>ZTWM-CDGS-XS-2025-0029-中铁三局集团有限公司-西渝高铁康渝段站房四标项目</v>
      </c>
      <c r="R3219" s="30" t="str">
        <f>_xlfn._xlws.FILTER(辅助信息!D:D,辅助信息!E:E=B3219)</f>
        <v>中铁三局集团西渝高铁康渝段站房四标工程</v>
      </c>
    </row>
    <row r="3220" hidden="1" spans="2:18">
      <c r="B3220" s="41" t="s">
        <v>160</v>
      </c>
      <c r="C3220" s="71">
        <v>45903</v>
      </c>
      <c r="D3220" s="41" t="str">
        <f>VLOOKUP(B3220,辅助信息!E:K,7,FALSE)</f>
        <v>JWDDCD2025071500024</v>
      </c>
      <c r="E3220" s="41" t="str">
        <f>VLOOKUP(F3220,辅助信息!A:B,2,FALSE)</f>
        <v>螺纹钢</v>
      </c>
      <c r="F3220" s="41" t="s">
        <v>30</v>
      </c>
      <c r="G3220" s="37">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1" t="str">
        <f>VLOOKUP(B3220,辅助信息!E:I,3,FALSE)</f>
        <v>(中铁三局集团西渝高铁康渝段站房四标工程)重庆市九龙坡区华祥支路与华祥路交叉口重庆建工重庆西站TOD项目部</v>
      </c>
      <c r="J3220" s="41" t="str">
        <f>VLOOKUP(B3220,辅助信息!E:I,4,FALSE)</f>
        <v>卢庆江</v>
      </c>
      <c r="K3220" s="41">
        <f>VLOOKUP(J3220,辅助信息!H:I,2,FALSE)</f>
        <v>18883488177</v>
      </c>
      <c r="L3220" s="110" t="str">
        <f>VLOOKUP(B3220,辅助信息!E:J,6,FALSE)</f>
        <v>炉批号尽可能不要多</v>
      </c>
      <c r="M3220" s="92">
        <v>45906</v>
      </c>
      <c r="O3220" s="63">
        <f ca="1" t="shared" si="182"/>
        <v>0</v>
      </c>
      <c r="P3220" s="63">
        <f ca="1" t="shared" si="183"/>
        <v>53</v>
      </c>
      <c r="Q3220" s="30" t="str">
        <f>VLOOKUP(B3220,辅助信息!E:M,9,FALSE)</f>
        <v>ZTWM-CDGS-XS-2025-0029-中铁三局集团有限公司-西渝高铁康渝段站房四标项目</v>
      </c>
      <c r="R3220" s="30" t="str">
        <f>_xlfn._xlws.FILTER(辅助信息!D:D,辅助信息!E:E=B3220)</f>
        <v>中铁三局集团西渝高铁康渝段站房四标工程</v>
      </c>
    </row>
    <row r="3221" hidden="1" spans="2:18">
      <c r="B3221" s="41" t="s">
        <v>160</v>
      </c>
      <c r="C3221" s="71">
        <v>45903</v>
      </c>
      <c r="D3221" s="41" t="str">
        <f>VLOOKUP(B3221,辅助信息!E:K,7,FALSE)</f>
        <v>JWDDCD2025071500024</v>
      </c>
      <c r="E3221" s="41" t="str">
        <f>VLOOKUP(F3221,辅助信息!A:B,2,FALSE)</f>
        <v>螺纹钢</v>
      </c>
      <c r="F3221" s="41" t="s">
        <v>33</v>
      </c>
      <c r="G3221" s="37">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1" t="str">
        <f>VLOOKUP(B3221,辅助信息!E:I,3,FALSE)</f>
        <v>(中铁三局集团西渝高铁康渝段站房四标工程)重庆市九龙坡区华祥支路与华祥路交叉口重庆建工重庆西站TOD项目部</v>
      </c>
      <c r="J3221" s="41" t="str">
        <f>VLOOKUP(B3221,辅助信息!E:I,4,FALSE)</f>
        <v>卢庆江</v>
      </c>
      <c r="K3221" s="41">
        <f>VLOOKUP(J3221,辅助信息!H:I,2,FALSE)</f>
        <v>18883488177</v>
      </c>
      <c r="L3221" s="110" t="str">
        <f>VLOOKUP(B3221,辅助信息!E:J,6,FALSE)</f>
        <v>炉批号尽可能不要多</v>
      </c>
      <c r="M3221" s="92">
        <v>45906</v>
      </c>
      <c r="O3221" s="63">
        <f ca="1" t="shared" si="182"/>
        <v>0</v>
      </c>
      <c r="P3221" s="63">
        <f ca="1" t="shared" si="183"/>
        <v>53</v>
      </c>
      <c r="Q3221" s="30" t="str">
        <f>VLOOKUP(B3221,辅助信息!E:M,9,FALSE)</f>
        <v>ZTWM-CDGS-XS-2025-0029-中铁三局集团有限公司-西渝高铁康渝段站房四标项目</v>
      </c>
      <c r="R3221" s="30" t="str">
        <f>_xlfn._xlws.FILTER(辅助信息!D:D,辅助信息!E:E=B3221)</f>
        <v>中铁三局集团西渝高铁康渝段站房四标工程</v>
      </c>
    </row>
    <row r="3222" hidden="1" spans="2:18">
      <c r="B3222" s="41" t="s">
        <v>160</v>
      </c>
      <c r="C3222" s="71">
        <v>45903</v>
      </c>
      <c r="D3222" s="41" t="str">
        <f>VLOOKUP(B3222,辅助信息!E:K,7,FALSE)</f>
        <v>JWDDCD2025071500024</v>
      </c>
      <c r="E3222" s="41" t="str">
        <f>VLOOKUP(F3222,辅助信息!A:B,2,FALSE)</f>
        <v>螺纹钢</v>
      </c>
      <c r="F3222" s="41" t="s">
        <v>28</v>
      </c>
      <c r="G3222" s="37">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1" t="str">
        <f>VLOOKUP(B3222,辅助信息!E:I,3,FALSE)</f>
        <v>(中铁三局集团西渝高铁康渝段站房四标工程)重庆市九龙坡区华祥支路与华祥路交叉口重庆建工重庆西站TOD项目部</v>
      </c>
      <c r="J3222" s="41" t="str">
        <f>VLOOKUP(B3222,辅助信息!E:I,4,FALSE)</f>
        <v>卢庆江</v>
      </c>
      <c r="K3222" s="41">
        <f>VLOOKUP(J3222,辅助信息!H:I,2,FALSE)</f>
        <v>18883488177</v>
      </c>
      <c r="L3222" s="110" t="str">
        <f>VLOOKUP(B3222,辅助信息!E:J,6,FALSE)</f>
        <v>炉批号尽可能不要多</v>
      </c>
      <c r="M3222" s="92">
        <v>45906</v>
      </c>
      <c r="O3222" s="63">
        <f ca="1" t="shared" si="182"/>
        <v>0</v>
      </c>
      <c r="P3222" s="63">
        <f ca="1" t="shared" si="183"/>
        <v>53</v>
      </c>
      <c r="Q3222" s="30" t="str">
        <f>VLOOKUP(B3222,辅助信息!E:M,9,FALSE)</f>
        <v>ZTWM-CDGS-XS-2025-0029-中铁三局集团有限公司-西渝高铁康渝段站房四标项目</v>
      </c>
      <c r="R3222" s="30" t="str">
        <f>_xlfn._xlws.FILTER(辅助信息!D:D,辅助信息!E:E=B3222)</f>
        <v>中铁三局集团西渝高铁康渝段站房四标工程</v>
      </c>
    </row>
    <row r="3223" hidden="1" spans="2:18">
      <c r="B3223" s="41" t="s">
        <v>160</v>
      </c>
      <c r="C3223" s="71">
        <v>45903</v>
      </c>
      <c r="D3223" s="41" t="str">
        <f>VLOOKUP(B3223,辅助信息!E:K,7,FALSE)</f>
        <v>JWDDCD2025071500024</v>
      </c>
      <c r="E3223" s="41" t="str">
        <f>VLOOKUP(F3223,辅助信息!A:B,2,FALSE)</f>
        <v>螺纹钢</v>
      </c>
      <c r="F3223" s="41" t="s">
        <v>18</v>
      </c>
      <c r="G3223" s="37">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1" t="str">
        <f>VLOOKUP(B3223,辅助信息!E:I,3,FALSE)</f>
        <v>(中铁三局集团西渝高铁康渝段站房四标工程)重庆市九龙坡区华祥支路与华祥路交叉口重庆建工重庆西站TOD项目部</v>
      </c>
      <c r="J3223" s="41" t="str">
        <f>VLOOKUP(B3223,辅助信息!E:I,4,FALSE)</f>
        <v>卢庆江</v>
      </c>
      <c r="K3223" s="41">
        <f>VLOOKUP(J3223,辅助信息!H:I,2,FALSE)</f>
        <v>18883488177</v>
      </c>
      <c r="L3223" s="110" t="str">
        <f>VLOOKUP(B3223,辅助信息!E:J,6,FALSE)</f>
        <v>炉批号尽可能不要多</v>
      </c>
      <c r="M3223" s="92">
        <v>45906</v>
      </c>
      <c r="O3223" s="63">
        <f ca="1" t="shared" si="182"/>
        <v>0</v>
      </c>
      <c r="P3223" s="63">
        <f ca="1" t="shared" si="183"/>
        <v>53</v>
      </c>
      <c r="Q3223" s="30" t="str">
        <f>VLOOKUP(B3223,辅助信息!E:M,9,FALSE)</f>
        <v>ZTWM-CDGS-XS-2025-0029-中铁三局集团有限公司-西渝高铁康渝段站房四标项目</v>
      </c>
      <c r="R3223" s="30" t="str">
        <f>_xlfn._xlws.FILTER(辅助信息!D:D,辅助信息!E:E=B3223)</f>
        <v>中铁三局集团西渝高铁康渝段站房四标工程</v>
      </c>
    </row>
    <row r="3224" hidden="1" spans="2:18">
      <c r="B3224" s="41" t="s">
        <v>160</v>
      </c>
      <c r="C3224" s="71">
        <v>45903</v>
      </c>
      <c r="D3224" s="41" t="str">
        <f>VLOOKUP(B3224,辅助信息!E:K,7,FALSE)</f>
        <v>JWDDCD2025071500024</v>
      </c>
      <c r="E3224" s="41" t="str">
        <f>VLOOKUP(F3224,辅助信息!A:B,2,FALSE)</f>
        <v>螺纹钢</v>
      </c>
      <c r="F3224" s="41" t="s">
        <v>65</v>
      </c>
      <c r="G3224" s="37">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1" t="str">
        <f>VLOOKUP(B3224,辅助信息!E:I,3,FALSE)</f>
        <v>(中铁三局集团西渝高铁康渝段站房四标工程)重庆市九龙坡区华祥支路与华祥路交叉口重庆建工重庆西站TOD项目部</v>
      </c>
      <c r="J3224" s="41" t="str">
        <f>VLOOKUP(B3224,辅助信息!E:I,4,FALSE)</f>
        <v>卢庆江</v>
      </c>
      <c r="K3224" s="41">
        <f>VLOOKUP(J3224,辅助信息!H:I,2,FALSE)</f>
        <v>18883488177</v>
      </c>
      <c r="L3224" s="110" t="str">
        <f>VLOOKUP(B3224,辅助信息!E:J,6,FALSE)</f>
        <v>炉批号尽可能不要多</v>
      </c>
      <c r="M3224" s="92">
        <v>45906</v>
      </c>
      <c r="O3224" s="63">
        <f ca="1" t="shared" si="182"/>
        <v>0</v>
      </c>
      <c r="P3224" s="63">
        <f ca="1" t="shared" si="183"/>
        <v>53</v>
      </c>
      <c r="Q3224" s="30" t="str">
        <f>VLOOKUP(B3224,辅助信息!E:M,9,FALSE)</f>
        <v>ZTWM-CDGS-XS-2025-0029-中铁三局集团有限公司-西渝高铁康渝段站房四标项目</v>
      </c>
      <c r="R3224" s="30" t="str">
        <f>_xlfn._xlws.FILTER(辅助信息!D:D,辅助信息!E:E=B3224)</f>
        <v>中铁三局集团西渝高铁康渝段站房四标工程</v>
      </c>
    </row>
    <row r="3225" hidden="1" spans="2:18">
      <c r="B3225" s="41" t="s">
        <v>186</v>
      </c>
      <c r="C3225" s="71">
        <v>45903</v>
      </c>
      <c r="D3225" s="41" t="str">
        <f>VLOOKUP(B3225,辅助信息!E:K,7,FALSE)</f>
        <v>JWDDCD2025072900123</v>
      </c>
      <c r="E3225" s="41" t="str">
        <f>VLOOKUP(F3225,辅助信息!A:B,2,FALSE)</f>
        <v>螺纹钢</v>
      </c>
      <c r="F3225" s="41" t="s">
        <v>90</v>
      </c>
      <c r="G3225" s="37">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1" t="str">
        <f>VLOOKUP(B3225,辅助信息!E:I,3,FALSE)</f>
        <v>(乐山市校地共建产教融合基地建设项目二标段)四川省乐山市市中区苏稽镇</v>
      </c>
      <c r="J3225" s="41" t="str">
        <f>VLOOKUP(B3225,辅助信息!E:I,4,FALSE)</f>
        <v>彭江涛</v>
      </c>
      <c r="K3225" s="41">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56</v>
      </c>
      <c r="Q3225" s="30" t="str">
        <f>VLOOKUP(B3225,辅助信息!E:M,9,FALSE)</f>
        <v>ZTWM-CDGS-XS-2025-0126-四川机司-乐山市校地共建产教融合基地配套设施项目施工二标段钢筋采购合同</v>
      </c>
      <c r="R3225" s="30" t="str">
        <f>_xlfn._xlws.FILTER(辅助信息!D:D,辅助信息!E:E=B3225)</f>
        <v>乐山市校地共建产教融合基地建设项目</v>
      </c>
    </row>
    <row r="3226" hidden="1" spans="2:18">
      <c r="B3226" s="41" t="s">
        <v>186</v>
      </c>
      <c r="C3226" s="71">
        <v>45903</v>
      </c>
      <c r="D3226" s="41" t="str">
        <f>VLOOKUP(B3226,辅助信息!E:K,7,FALSE)</f>
        <v>JWDDCD2025072900123</v>
      </c>
      <c r="E3226" s="41" t="str">
        <f>VLOOKUP(F3226,辅助信息!A:B,2,FALSE)</f>
        <v>螺纹钢</v>
      </c>
      <c r="F3226" s="41" t="s">
        <v>130</v>
      </c>
      <c r="G3226" s="37">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1" t="str">
        <f>VLOOKUP(B3226,辅助信息!E:I,3,FALSE)</f>
        <v>(乐山市校地共建产教融合基地建设项目二标段)四川省乐山市市中区苏稽镇</v>
      </c>
      <c r="J3226" s="41" t="str">
        <f>VLOOKUP(B3226,辅助信息!E:I,4,FALSE)</f>
        <v>彭江涛</v>
      </c>
      <c r="K3226" s="41">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56</v>
      </c>
      <c r="Q3226" s="30" t="str">
        <f>VLOOKUP(B3226,辅助信息!E:M,9,FALSE)</f>
        <v>ZTWM-CDGS-XS-2025-0126-四川机司-乐山市校地共建产教融合基地配套设施项目施工二标段钢筋采购合同</v>
      </c>
      <c r="R3226" s="30" t="str">
        <f>_xlfn._xlws.FILTER(辅助信息!D:D,辅助信息!E:E=B3226)</f>
        <v>乐山市校地共建产教融合基地建设项目</v>
      </c>
    </row>
    <row r="3227" hidden="1" spans="2:18">
      <c r="B3227" s="41" t="s">
        <v>186</v>
      </c>
      <c r="C3227" s="71">
        <v>45903</v>
      </c>
      <c r="D3227" s="41" t="str">
        <f>VLOOKUP(B3227,辅助信息!E:K,7,FALSE)</f>
        <v>JWDDCD2025072900123</v>
      </c>
      <c r="E3227" s="41" t="str">
        <f>VLOOKUP(F3227,辅助信息!A:B,2,FALSE)</f>
        <v>螺纹钢</v>
      </c>
      <c r="F3227" s="41" t="s">
        <v>138</v>
      </c>
      <c r="G3227" s="37">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1" t="str">
        <f>VLOOKUP(B3227,辅助信息!E:I,3,FALSE)</f>
        <v>(乐山市校地共建产教融合基地建设项目二标段)四川省乐山市市中区苏稽镇</v>
      </c>
      <c r="J3227" s="41" t="str">
        <f>VLOOKUP(B3227,辅助信息!E:I,4,FALSE)</f>
        <v>彭江涛</v>
      </c>
      <c r="K3227" s="41">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56</v>
      </c>
      <c r="Q3227" s="30" t="str">
        <f>VLOOKUP(B3227,辅助信息!E:M,9,FALSE)</f>
        <v>ZTWM-CDGS-XS-2025-0126-四川机司-乐山市校地共建产教融合基地配套设施项目施工二标段钢筋采购合同</v>
      </c>
      <c r="R3227" s="30" t="str">
        <f>_xlfn._xlws.FILTER(辅助信息!D:D,辅助信息!E:E=B3227)</f>
        <v>乐山市校地共建产教融合基地建设项目</v>
      </c>
    </row>
    <row r="3228" hidden="1" spans="2:18">
      <c r="B3228" s="41" t="s">
        <v>188</v>
      </c>
      <c r="C3228" s="71">
        <v>45903</v>
      </c>
      <c r="D3228" s="41" t="str">
        <f>VLOOKUP(B3228,辅助信息!E:K,7,FALSE)</f>
        <v>JWDDCD2025062200016</v>
      </c>
      <c r="E3228" s="41" t="str">
        <f>VLOOKUP(F3228,辅助信息!A:B,2,FALSE)</f>
        <v>盘螺</v>
      </c>
      <c r="F3228" s="41" t="s">
        <v>40</v>
      </c>
      <c r="G3228" s="37">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1" t="str">
        <f>VLOOKUP(B3228,辅助信息!E:I,3,FALSE)</f>
        <v>(武汉电气化局成达万高铁强电项目-达州主城区)四川省达州市达川区斌郎街道四川省达州市达川区洞洞湾256米</v>
      </c>
      <c r="J3228" s="41" t="str">
        <f>VLOOKUP(B3228,辅助信息!E:I,4,FALSE)</f>
        <v>余凡</v>
      </c>
      <c r="K3228" s="41">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54</v>
      </c>
      <c r="Q3228" s="30" t="str">
        <f>VLOOKUP(B3228,辅助信息!E:M,9,FALSE)</f>
        <v>ZTWM-CDGS-XS-2025-0033-中铁武汉电气化局集团有限公司成达万高速铁路强电工程项目</v>
      </c>
      <c r="R3228" s="30" t="str">
        <f>_xlfn._xlws.FILTER(辅助信息!D:D,辅助信息!E:E=B3228)</f>
        <v>武汉电气化局成达万高铁强电项目</v>
      </c>
    </row>
    <row r="3229" hidden="1" spans="2:18">
      <c r="B3229" s="41" t="s">
        <v>188</v>
      </c>
      <c r="C3229" s="71">
        <v>45903</v>
      </c>
      <c r="D3229" s="41" t="str">
        <f>VLOOKUP(B3229,辅助信息!E:K,7,FALSE)</f>
        <v>JWDDCD2025062200016</v>
      </c>
      <c r="E3229" s="41" t="str">
        <f>VLOOKUP(F3229,辅助信息!A:B,2,FALSE)</f>
        <v>盘螺</v>
      </c>
      <c r="F3229" s="41" t="s">
        <v>41</v>
      </c>
      <c r="G3229" s="37">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1" t="str">
        <f>VLOOKUP(B3229,辅助信息!E:I,3,FALSE)</f>
        <v>(武汉电气化局成达万高铁强电项目-达州主城区)四川省达州市达川区斌郎街道四川省达州市达川区洞洞湾256米</v>
      </c>
      <c r="J3229" s="41" t="str">
        <f>VLOOKUP(B3229,辅助信息!E:I,4,FALSE)</f>
        <v>余凡</v>
      </c>
      <c r="K3229" s="41">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54</v>
      </c>
      <c r="Q3229" s="30" t="str">
        <f>VLOOKUP(B3229,辅助信息!E:M,9,FALSE)</f>
        <v>ZTWM-CDGS-XS-2025-0033-中铁武汉电气化局集团有限公司成达万高速铁路强电工程项目</v>
      </c>
      <c r="R3229" s="30" t="str">
        <f>_xlfn._xlws.FILTER(辅助信息!D:D,辅助信息!E:E=B3229)</f>
        <v>武汉电气化局成达万高铁强电项目</v>
      </c>
    </row>
    <row r="3230" hidden="1" spans="2:18">
      <c r="B3230" s="41" t="s">
        <v>188</v>
      </c>
      <c r="C3230" s="71">
        <v>45903</v>
      </c>
      <c r="D3230" s="41" t="str">
        <f>VLOOKUP(B3230,辅助信息!E:K,7,FALSE)</f>
        <v>JWDDCD2025062200016</v>
      </c>
      <c r="E3230" s="41" t="str">
        <f>VLOOKUP(F3230,辅助信息!A:B,2,FALSE)</f>
        <v>螺纹钢</v>
      </c>
      <c r="F3230" s="41" t="s">
        <v>28</v>
      </c>
      <c r="G3230" s="37">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1" t="str">
        <f>VLOOKUP(B3230,辅助信息!E:I,3,FALSE)</f>
        <v>(武汉电气化局成达万高铁强电项目-达州主城区)四川省达州市达川区斌郎街道四川省达州市达川区洞洞湾256米</v>
      </c>
      <c r="J3230" s="41" t="str">
        <f>VLOOKUP(B3230,辅助信息!E:I,4,FALSE)</f>
        <v>余凡</v>
      </c>
      <c r="K3230" s="41">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54</v>
      </c>
      <c r="Q3230" s="30" t="str">
        <f>VLOOKUP(B3230,辅助信息!E:M,9,FALSE)</f>
        <v>ZTWM-CDGS-XS-2025-0033-中铁武汉电气化局集团有限公司成达万高速铁路强电工程项目</v>
      </c>
      <c r="R3230" s="30" t="str">
        <f>_xlfn._xlws.FILTER(辅助信息!D:D,辅助信息!E:E=B3230)</f>
        <v>武汉电气化局成达万高铁强电项目</v>
      </c>
    </row>
    <row r="3231" hidden="1" spans="2:18">
      <c r="B3231" s="41" t="s">
        <v>188</v>
      </c>
      <c r="C3231" s="71">
        <v>45903</v>
      </c>
      <c r="D3231" s="41" t="str">
        <f>VLOOKUP(B3231,辅助信息!E:K,7,FALSE)</f>
        <v>JWDDCD2025062200016</v>
      </c>
      <c r="E3231" s="41" t="str">
        <f>VLOOKUP(F3231,辅助信息!A:B,2,FALSE)</f>
        <v>螺纹钢</v>
      </c>
      <c r="F3231" s="41" t="s">
        <v>18</v>
      </c>
      <c r="G3231" s="37">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1" t="str">
        <f>VLOOKUP(B3231,辅助信息!E:I,3,FALSE)</f>
        <v>(武汉电气化局成达万高铁强电项目-达州主城区)四川省达州市达川区斌郎街道四川省达州市达川区洞洞湾256米</v>
      </c>
      <c r="J3231" s="41" t="str">
        <f>VLOOKUP(B3231,辅助信息!E:I,4,FALSE)</f>
        <v>余凡</v>
      </c>
      <c r="K3231" s="41">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54</v>
      </c>
      <c r="Q3231" s="30" t="str">
        <f>VLOOKUP(B3231,辅助信息!E:M,9,FALSE)</f>
        <v>ZTWM-CDGS-XS-2025-0033-中铁武汉电气化局集团有限公司成达万高速铁路强电工程项目</v>
      </c>
      <c r="R3231" s="30" t="str">
        <f>_xlfn._xlws.FILTER(辅助信息!D:D,辅助信息!E:E=B3231)</f>
        <v>武汉电气化局成达万高铁强电项目</v>
      </c>
    </row>
    <row r="3232" hidden="1" spans="2:18">
      <c r="B3232" s="41" t="s">
        <v>188</v>
      </c>
      <c r="C3232" s="71">
        <v>45903</v>
      </c>
      <c r="D3232" s="41" t="str">
        <f>VLOOKUP(B3232,辅助信息!E:K,7,FALSE)</f>
        <v>JWDDCD2025062200016</v>
      </c>
      <c r="E3232" s="41" t="str">
        <f>VLOOKUP(F3232,辅助信息!A:B,2,FALSE)</f>
        <v>螺纹钢</v>
      </c>
      <c r="F3232" s="41" t="s">
        <v>90</v>
      </c>
      <c r="G3232" s="37">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1" t="str">
        <f>VLOOKUP(B3232,辅助信息!E:I,3,FALSE)</f>
        <v>(武汉电气化局成达万高铁强电项目-达州主城区)四川省达州市达川区斌郎街道四川省达州市达川区洞洞湾256米</v>
      </c>
      <c r="J3232" s="41" t="str">
        <f>VLOOKUP(B3232,辅助信息!E:I,4,FALSE)</f>
        <v>余凡</v>
      </c>
      <c r="K3232" s="41">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54</v>
      </c>
      <c r="Q3232" s="30" t="str">
        <f>VLOOKUP(B3232,辅助信息!E:M,9,FALSE)</f>
        <v>ZTWM-CDGS-XS-2025-0033-中铁武汉电气化局集团有限公司成达万高速铁路强电工程项目</v>
      </c>
      <c r="R3232" s="30" t="str">
        <f>_xlfn._xlws.FILTER(辅助信息!D:D,辅助信息!E:E=B3232)</f>
        <v>武汉电气化局成达万高铁强电项目</v>
      </c>
    </row>
    <row r="3233" hidden="1" spans="2:18">
      <c r="B3233" s="41" t="s">
        <v>196</v>
      </c>
      <c r="C3233" s="71">
        <v>45903</v>
      </c>
      <c r="D3233" s="41" t="str">
        <f>VLOOKUP(B3233,辅助信息!E:K,7,FALSE)</f>
        <v>JWDDCD2025102100476</v>
      </c>
      <c r="E3233" s="41" t="str">
        <f>VLOOKUP(F3233,辅助信息!A:B,2,FALSE)</f>
        <v>盘螺</v>
      </c>
      <c r="F3233" s="41" t="s">
        <v>40</v>
      </c>
      <c r="G3233" s="37">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1" t="str">
        <f>VLOOKUP(B3233,辅助信息!E:I,3,FALSE)</f>
        <v>(五冶建设师大附中外语校新建教学楼工程)四川省成都市成华区大观堰2号(四川师范大学附属中学外国语学校)</v>
      </c>
      <c r="J3233" s="41" t="str">
        <f>VLOOKUP(B3233,辅助信息!E:I,4,FALSE)</f>
        <v>蔡浩</v>
      </c>
      <c r="K3233" s="41">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54</v>
      </c>
      <c r="Q3233" s="30" t="str">
        <f>VLOOKUP(B3233,辅助信息!E:M,9,FALSE)</f>
        <v>ZTWM-CDGS-XS-2025-0073-五冶天府-成都怡心湖片区及龙泉驿医院等项目</v>
      </c>
      <c r="R3233" s="30" t="str">
        <f>_xlfn._xlws.FILTER(辅助信息!D:D,辅助信息!E:E=B3233)</f>
        <v>五冶建设师大附中外语校新建教学楼工程</v>
      </c>
    </row>
    <row r="3234" hidden="1" spans="2:18">
      <c r="B3234" s="41" t="s">
        <v>196</v>
      </c>
      <c r="C3234" s="71">
        <v>45903</v>
      </c>
      <c r="D3234" s="41" t="str">
        <f>VLOOKUP(B3234,辅助信息!E:K,7,FALSE)</f>
        <v>JWDDCD2025102100476</v>
      </c>
      <c r="E3234" s="41" t="str">
        <f>VLOOKUP(F3234,辅助信息!A:B,2,FALSE)</f>
        <v>螺纹钢</v>
      </c>
      <c r="F3234" s="41" t="s">
        <v>27</v>
      </c>
      <c r="G3234" s="37">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1" t="str">
        <f>VLOOKUP(B3234,辅助信息!E:I,3,FALSE)</f>
        <v>(五冶建设师大附中外语校新建教学楼工程)四川省成都市成华区大观堰2号(四川师范大学附属中学外国语学校)</v>
      </c>
      <c r="J3234" s="41" t="str">
        <f>VLOOKUP(B3234,辅助信息!E:I,4,FALSE)</f>
        <v>蔡浩</v>
      </c>
      <c r="K3234" s="41">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54</v>
      </c>
      <c r="Q3234" s="30" t="str">
        <f>VLOOKUP(B3234,辅助信息!E:M,9,FALSE)</f>
        <v>ZTWM-CDGS-XS-2025-0073-五冶天府-成都怡心湖片区及龙泉驿医院等项目</v>
      </c>
      <c r="R3234" s="30" t="str">
        <f>_xlfn._xlws.FILTER(辅助信息!D:D,辅助信息!E:E=B3234)</f>
        <v>五冶建设师大附中外语校新建教学楼工程</v>
      </c>
    </row>
    <row r="3235" hidden="1" spans="2:18">
      <c r="B3235" s="41" t="s">
        <v>196</v>
      </c>
      <c r="C3235" s="71">
        <v>45903</v>
      </c>
      <c r="D3235" s="41" t="str">
        <f>VLOOKUP(B3235,辅助信息!E:K,7,FALSE)</f>
        <v>JWDDCD2025102100476</v>
      </c>
      <c r="E3235" s="41" t="str">
        <f>VLOOKUP(F3235,辅助信息!A:B,2,FALSE)</f>
        <v>螺纹钢</v>
      </c>
      <c r="F3235" s="41" t="s">
        <v>19</v>
      </c>
      <c r="G3235" s="37">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1" t="str">
        <f>VLOOKUP(B3235,辅助信息!E:I,3,FALSE)</f>
        <v>(五冶建设师大附中外语校新建教学楼工程)四川省成都市成华区大观堰2号(四川师范大学附属中学外国语学校)</v>
      </c>
      <c r="J3235" s="41" t="str">
        <f>VLOOKUP(B3235,辅助信息!E:I,4,FALSE)</f>
        <v>蔡浩</v>
      </c>
      <c r="K3235" s="41">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54</v>
      </c>
      <c r="Q3235" s="30" t="str">
        <f>VLOOKUP(B3235,辅助信息!E:M,9,FALSE)</f>
        <v>ZTWM-CDGS-XS-2025-0073-五冶天府-成都怡心湖片区及龙泉驿医院等项目</v>
      </c>
      <c r="R3235" s="30" t="str">
        <f>_xlfn._xlws.FILTER(辅助信息!D:D,辅助信息!E:E=B3235)</f>
        <v>五冶建设师大附中外语校新建教学楼工程</v>
      </c>
    </row>
    <row r="3236" hidden="1" spans="2:18">
      <c r="B3236" s="41" t="s">
        <v>196</v>
      </c>
      <c r="C3236" s="71">
        <v>45903</v>
      </c>
      <c r="D3236" s="41" t="str">
        <f>VLOOKUP(B3236,辅助信息!E:K,7,FALSE)</f>
        <v>JWDDCD2025102100476</v>
      </c>
      <c r="E3236" s="41" t="str">
        <f>VLOOKUP(F3236,辅助信息!A:B,2,FALSE)</f>
        <v>螺纹钢</v>
      </c>
      <c r="F3236" s="41" t="s">
        <v>32</v>
      </c>
      <c r="G3236" s="37">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1" t="str">
        <f>VLOOKUP(B3236,辅助信息!E:I,3,FALSE)</f>
        <v>(五冶建设师大附中外语校新建教学楼工程)四川省成都市成华区大观堰2号(四川师范大学附属中学外国语学校)</v>
      </c>
      <c r="J3236" s="41" t="str">
        <f>VLOOKUP(B3236,辅助信息!E:I,4,FALSE)</f>
        <v>蔡浩</v>
      </c>
      <c r="K3236" s="41">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54</v>
      </c>
      <c r="Q3236" s="30" t="str">
        <f>VLOOKUP(B3236,辅助信息!E:M,9,FALSE)</f>
        <v>ZTWM-CDGS-XS-2025-0073-五冶天府-成都怡心湖片区及龙泉驿医院等项目</v>
      </c>
      <c r="R3236" s="30" t="str">
        <f>_xlfn._xlws.FILTER(辅助信息!D:D,辅助信息!E:E=B3236)</f>
        <v>五冶建设师大附中外语校新建教学楼工程</v>
      </c>
    </row>
    <row r="3237" hidden="1" spans="2:18">
      <c r="B3237" s="41" t="s">
        <v>196</v>
      </c>
      <c r="C3237" s="71">
        <v>45903</v>
      </c>
      <c r="D3237" s="41" t="str">
        <f>VLOOKUP(B3237,辅助信息!E:K,7,FALSE)</f>
        <v>JWDDCD2025102100476</v>
      </c>
      <c r="E3237" s="41" t="str">
        <f>VLOOKUP(F3237,辅助信息!A:B,2,FALSE)</f>
        <v>螺纹钢</v>
      </c>
      <c r="F3237" s="41" t="s">
        <v>30</v>
      </c>
      <c r="G3237" s="37">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1" t="str">
        <f>VLOOKUP(B3237,辅助信息!E:I,3,FALSE)</f>
        <v>(五冶建设师大附中外语校新建教学楼工程)四川省成都市成华区大观堰2号(四川师范大学附属中学外国语学校)</v>
      </c>
      <c r="J3237" s="41" t="str">
        <f>VLOOKUP(B3237,辅助信息!E:I,4,FALSE)</f>
        <v>蔡浩</v>
      </c>
      <c r="K3237" s="41">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54</v>
      </c>
      <c r="Q3237" s="30" t="str">
        <f>VLOOKUP(B3237,辅助信息!E:M,9,FALSE)</f>
        <v>ZTWM-CDGS-XS-2025-0073-五冶天府-成都怡心湖片区及龙泉驿医院等项目</v>
      </c>
      <c r="R3237" s="30" t="str">
        <f>_xlfn._xlws.FILTER(辅助信息!D:D,辅助信息!E:E=B3237)</f>
        <v>五冶建设师大附中外语校新建教学楼工程</v>
      </c>
    </row>
    <row r="3238" hidden="1" spans="2:18">
      <c r="B3238" s="41" t="s">
        <v>196</v>
      </c>
      <c r="C3238" s="71">
        <v>45903</v>
      </c>
      <c r="D3238" s="41" t="str">
        <f>VLOOKUP(B3238,辅助信息!E:K,7,FALSE)</f>
        <v>JWDDCD2025102100476</v>
      </c>
      <c r="E3238" s="41" t="str">
        <f>VLOOKUP(F3238,辅助信息!A:B,2,FALSE)</f>
        <v>螺纹钢</v>
      </c>
      <c r="F3238" s="41" t="s">
        <v>33</v>
      </c>
      <c r="G3238" s="37">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1" t="str">
        <f>VLOOKUP(B3238,辅助信息!E:I,3,FALSE)</f>
        <v>(五冶建设师大附中外语校新建教学楼工程)四川省成都市成华区大观堰2号(四川师范大学附属中学外国语学校)</v>
      </c>
      <c r="J3238" s="41" t="str">
        <f>VLOOKUP(B3238,辅助信息!E:I,4,FALSE)</f>
        <v>蔡浩</v>
      </c>
      <c r="K3238" s="41">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54</v>
      </c>
      <c r="Q3238" s="30" t="str">
        <f>VLOOKUP(B3238,辅助信息!E:M,9,FALSE)</f>
        <v>ZTWM-CDGS-XS-2025-0073-五冶天府-成都怡心湖片区及龙泉驿医院等项目</v>
      </c>
      <c r="R3238" s="30" t="str">
        <f>_xlfn._xlws.FILTER(辅助信息!D:D,辅助信息!E:E=B3238)</f>
        <v>五冶建设师大附中外语校新建教学楼工程</v>
      </c>
    </row>
    <row r="3239" hidden="1" spans="2:18">
      <c r="B3239" s="41" t="s">
        <v>196</v>
      </c>
      <c r="C3239" s="71">
        <v>45903</v>
      </c>
      <c r="D3239" s="41" t="str">
        <f>VLOOKUP(B3239,辅助信息!E:K,7,FALSE)</f>
        <v>JWDDCD2025102100476</v>
      </c>
      <c r="E3239" s="41" t="str">
        <f>VLOOKUP(F3239,辅助信息!A:B,2,FALSE)</f>
        <v>螺纹钢</v>
      </c>
      <c r="F3239" s="41" t="s">
        <v>28</v>
      </c>
      <c r="G3239" s="37">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1" t="str">
        <f>VLOOKUP(B3239,辅助信息!E:I,3,FALSE)</f>
        <v>(五冶建设师大附中外语校新建教学楼工程)四川省成都市成华区大观堰2号(四川师范大学附属中学外国语学校)</v>
      </c>
      <c r="J3239" s="41" t="str">
        <f>VLOOKUP(B3239,辅助信息!E:I,4,FALSE)</f>
        <v>蔡浩</v>
      </c>
      <c r="K3239" s="41">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54</v>
      </c>
      <c r="Q3239" s="30" t="str">
        <f>VLOOKUP(B3239,辅助信息!E:M,9,FALSE)</f>
        <v>ZTWM-CDGS-XS-2025-0073-五冶天府-成都怡心湖片区及龙泉驿医院等项目</v>
      </c>
      <c r="R3239" s="30" t="str">
        <f>_xlfn._xlws.FILTER(辅助信息!D:D,辅助信息!E:E=B3239)</f>
        <v>五冶建设师大附中外语校新建教学楼工程</v>
      </c>
    </row>
    <row r="3240" hidden="1" spans="2:18">
      <c r="B3240" s="41" t="s">
        <v>196</v>
      </c>
      <c r="C3240" s="71">
        <v>45903</v>
      </c>
      <c r="D3240" s="41" t="str">
        <f>VLOOKUP(B3240,辅助信息!E:K,7,FALSE)</f>
        <v>JWDDCD2025102100476</v>
      </c>
      <c r="E3240" s="41" t="str">
        <f>VLOOKUP(F3240,辅助信息!A:B,2,FALSE)</f>
        <v>螺纹钢</v>
      </c>
      <c r="F3240" s="41" t="s">
        <v>18</v>
      </c>
      <c r="G3240" s="37">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1" t="str">
        <f>VLOOKUP(B3240,辅助信息!E:I,3,FALSE)</f>
        <v>(五冶建设师大附中外语校新建教学楼工程)四川省成都市成华区大观堰2号(四川师范大学附属中学外国语学校)</v>
      </c>
      <c r="J3240" s="41" t="str">
        <f>VLOOKUP(B3240,辅助信息!E:I,4,FALSE)</f>
        <v>蔡浩</v>
      </c>
      <c r="K3240" s="41">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54</v>
      </c>
      <c r="Q3240" s="30" t="str">
        <f>VLOOKUP(B3240,辅助信息!E:M,9,FALSE)</f>
        <v>ZTWM-CDGS-XS-2025-0073-五冶天府-成都怡心湖片区及龙泉驿医院等项目</v>
      </c>
      <c r="R3240" s="30" t="str">
        <f>_xlfn._xlws.FILTER(辅助信息!D:D,辅助信息!E:E=B3240)</f>
        <v>五冶建设师大附中外语校新建教学楼工程</v>
      </c>
    </row>
    <row r="3241" hidden="1" spans="2:18">
      <c r="B3241" s="41" t="s">
        <v>196</v>
      </c>
      <c r="C3241" s="71">
        <v>45903</v>
      </c>
      <c r="D3241" s="41" t="str">
        <f>VLOOKUP(B3241,辅助信息!E:K,7,FALSE)</f>
        <v>JWDDCD2025102100476</v>
      </c>
      <c r="E3241" s="41" t="str">
        <f>VLOOKUP(F3241,辅助信息!A:B,2,FALSE)</f>
        <v>螺纹钢</v>
      </c>
      <c r="F3241" s="41" t="s">
        <v>65</v>
      </c>
      <c r="G3241" s="37">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1" t="str">
        <f>VLOOKUP(B3241,辅助信息!E:I,3,FALSE)</f>
        <v>(五冶建设师大附中外语校新建教学楼工程)四川省成都市成华区大观堰2号(四川师范大学附属中学外国语学校)</v>
      </c>
      <c r="J3241" s="41" t="str">
        <f>VLOOKUP(B3241,辅助信息!E:I,4,FALSE)</f>
        <v>蔡浩</v>
      </c>
      <c r="K3241" s="41">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54</v>
      </c>
      <c r="Q3241" s="30" t="str">
        <f>VLOOKUP(B3241,辅助信息!E:M,9,FALSE)</f>
        <v>ZTWM-CDGS-XS-2025-0073-五冶天府-成都怡心湖片区及龙泉驿医院等项目</v>
      </c>
      <c r="R3241" s="30" t="str">
        <f>_xlfn._xlws.FILTER(辅助信息!D:D,辅助信息!E:E=B3241)</f>
        <v>五冶建设师大附中外语校新建教学楼工程</v>
      </c>
    </row>
    <row r="3242" hidden="1" spans="2:18">
      <c r="B3242" s="41" t="s">
        <v>192</v>
      </c>
      <c r="C3242" s="71">
        <v>45903</v>
      </c>
      <c r="D3242" s="41" t="str">
        <f>VLOOKUP(B3242,辅助信息!E:K,7,FALSE)</f>
        <v>JWDDCD2025102100475</v>
      </c>
      <c r="E3242" s="41" t="str">
        <f>VLOOKUP(F3242,辅助信息!A:B,2,FALSE)</f>
        <v>螺纹钢</v>
      </c>
      <c r="F3242" s="41" t="s">
        <v>19</v>
      </c>
      <c r="G3242" s="37">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1" t="str">
        <f>VLOOKUP(B3242,辅助信息!E:I,3,FALSE)</f>
        <v>(五冶建设成都国际铁路港多式联项目)四川省成都市青白江区桂平大道成都中远海运陆港多式联运有限公司</v>
      </c>
      <c r="J3242" s="41" t="str">
        <f>VLOOKUP(B3242,辅助信息!E:I,4,FALSE)</f>
        <v>黄勇杰</v>
      </c>
      <c r="K3242" s="41">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54</v>
      </c>
      <c r="Q3242" s="30" t="str">
        <f>VLOOKUP(B3242,辅助信息!E:M,9,FALSE)</f>
        <v>ZTWM-CDGS-XS-2025-0073-五冶天府-成都怡心湖片区及龙泉驿医院等项目</v>
      </c>
      <c r="R3242" s="30" t="str">
        <f>_xlfn._xlws.FILTER(辅助信息!D:D,辅助信息!E:E=B3242)</f>
        <v>五冶建设成都国际铁路港多式联项目</v>
      </c>
    </row>
    <row r="3243" hidden="1" spans="2:18">
      <c r="B3243" s="41" t="s">
        <v>192</v>
      </c>
      <c r="C3243" s="71">
        <v>45903</v>
      </c>
      <c r="D3243" s="41" t="str">
        <f>VLOOKUP(B3243,辅助信息!E:K,7,FALSE)</f>
        <v>JWDDCD2025102100475</v>
      </c>
      <c r="E3243" s="41" t="str">
        <f>VLOOKUP(F3243,辅助信息!A:B,2,FALSE)</f>
        <v>螺纹钢</v>
      </c>
      <c r="F3243" s="41" t="s">
        <v>32</v>
      </c>
      <c r="G3243" s="37">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1" t="str">
        <f>VLOOKUP(B3243,辅助信息!E:I,3,FALSE)</f>
        <v>(五冶建设成都国际铁路港多式联项目)四川省成都市青白江区桂平大道成都中远海运陆港多式联运有限公司</v>
      </c>
      <c r="J3243" s="41" t="str">
        <f>VLOOKUP(B3243,辅助信息!E:I,4,FALSE)</f>
        <v>黄勇杰</v>
      </c>
      <c r="K3243" s="41">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54</v>
      </c>
      <c r="Q3243" s="30" t="str">
        <f>VLOOKUP(B3243,辅助信息!E:M,9,FALSE)</f>
        <v>ZTWM-CDGS-XS-2025-0073-五冶天府-成都怡心湖片区及龙泉驿医院等项目</v>
      </c>
      <c r="R3243" s="30" t="str">
        <f>_xlfn._xlws.FILTER(辅助信息!D:D,辅助信息!E:E=B3243)</f>
        <v>五冶建设成都国际铁路港多式联项目</v>
      </c>
    </row>
    <row r="3244" hidden="1" spans="2:18">
      <c r="B3244" s="41" t="s">
        <v>192</v>
      </c>
      <c r="C3244" s="71">
        <v>45903</v>
      </c>
      <c r="D3244" s="41" t="str">
        <f>VLOOKUP(B3244,辅助信息!E:K,7,FALSE)</f>
        <v>JWDDCD2025102100475</v>
      </c>
      <c r="E3244" s="41" t="str">
        <f>VLOOKUP(F3244,辅助信息!A:B,2,FALSE)</f>
        <v>螺纹钢</v>
      </c>
      <c r="F3244" s="41" t="s">
        <v>30</v>
      </c>
      <c r="G3244" s="37">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1" t="str">
        <f>VLOOKUP(B3244,辅助信息!E:I,3,FALSE)</f>
        <v>(五冶建设成都国际铁路港多式联项目)四川省成都市青白江区桂平大道成都中远海运陆港多式联运有限公司</v>
      </c>
      <c r="J3244" s="41" t="str">
        <f>VLOOKUP(B3244,辅助信息!E:I,4,FALSE)</f>
        <v>黄勇杰</v>
      </c>
      <c r="K3244" s="41">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54</v>
      </c>
      <c r="Q3244" s="30" t="str">
        <f>VLOOKUP(B3244,辅助信息!E:M,9,FALSE)</f>
        <v>ZTWM-CDGS-XS-2025-0073-五冶天府-成都怡心湖片区及龙泉驿医院等项目</v>
      </c>
      <c r="R3244" s="30" t="str">
        <f>_xlfn._xlws.FILTER(辅助信息!D:D,辅助信息!E:E=B3244)</f>
        <v>五冶建设成都国际铁路港多式联项目</v>
      </c>
    </row>
    <row r="3245" hidden="1" spans="2:18">
      <c r="B3245" s="41" t="s">
        <v>192</v>
      </c>
      <c r="C3245" s="71">
        <v>45903</v>
      </c>
      <c r="D3245" s="41" t="str">
        <f>VLOOKUP(B3245,辅助信息!E:K,7,FALSE)</f>
        <v>JWDDCD2025102100475</v>
      </c>
      <c r="E3245" s="41" t="str">
        <f>VLOOKUP(F3245,辅助信息!A:B,2,FALSE)</f>
        <v>螺纹钢</v>
      </c>
      <c r="F3245" s="41" t="s">
        <v>33</v>
      </c>
      <c r="G3245" s="37">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1" t="str">
        <f>VLOOKUP(B3245,辅助信息!E:I,3,FALSE)</f>
        <v>(五冶建设成都国际铁路港多式联项目)四川省成都市青白江区桂平大道成都中远海运陆港多式联运有限公司</v>
      </c>
      <c r="J3245" s="41" t="str">
        <f>VLOOKUP(B3245,辅助信息!E:I,4,FALSE)</f>
        <v>黄勇杰</v>
      </c>
      <c r="K3245" s="41">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54</v>
      </c>
      <c r="Q3245" s="30" t="str">
        <f>VLOOKUP(B3245,辅助信息!E:M,9,FALSE)</f>
        <v>ZTWM-CDGS-XS-2025-0073-五冶天府-成都怡心湖片区及龙泉驿医院等项目</v>
      </c>
      <c r="R3245" s="30" t="str">
        <f>_xlfn._xlws.FILTER(辅助信息!D:D,辅助信息!E:E=B3245)</f>
        <v>五冶建设成都国际铁路港多式联项目</v>
      </c>
    </row>
    <row r="3246" hidden="1" spans="2:18">
      <c r="B3246" s="41" t="s">
        <v>192</v>
      </c>
      <c r="C3246" s="71">
        <v>45903</v>
      </c>
      <c r="D3246" s="41" t="str">
        <f>VLOOKUP(B3246,辅助信息!E:K,7,FALSE)</f>
        <v>JWDDCD2025102100475</v>
      </c>
      <c r="E3246" s="41" t="str">
        <f>VLOOKUP(F3246,辅助信息!A:B,2,FALSE)</f>
        <v>螺纹钢</v>
      </c>
      <c r="F3246" s="41" t="s">
        <v>28</v>
      </c>
      <c r="G3246" s="37">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1" t="str">
        <f>VLOOKUP(B3246,辅助信息!E:I,3,FALSE)</f>
        <v>(五冶建设成都国际铁路港多式联项目)四川省成都市青白江区桂平大道成都中远海运陆港多式联运有限公司</v>
      </c>
      <c r="J3246" s="41" t="str">
        <f>VLOOKUP(B3246,辅助信息!E:I,4,FALSE)</f>
        <v>黄勇杰</v>
      </c>
      <c r="K3246" s="41">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54</v>
      </c>
      <c r="Q3246" s="30" t="str">
        <f>VLOOKUP(B3246,辅助信息!E:M,9,FALSE)</f>
        <v>ZTWM-CDGS-XS-2025-0073-五冶天府-成都怡心湖片区及龙泉驿医院等项目</v>
      </c>
      <c r="R3246" s="30" t="str">
        <f>_xlfn._xlws.FILTER(辅助信息!D:D,辅助信息!E:E=B3246)</f>
        <v>五冶建设成都国际铁路港多式联项目</v>
      </c>
    </row>
    <row r="3247" hidden="1" spans="2:18">
      <c r="B3247" s="41" t="s">
        <v>215</v>
      </c>
      <c r="C3247" s="71">
        <v>45903</v>
      </c>
      <c r="D3247" s="41" t="str">
        <f>VLOOKUP(B3247,辅助信息!E:K,7,FALSE)</f>
        <v>JWDDCD2025102100486</v>
      </c>
      <c r="E3247" s="41" t="str">
        <f>VLOOKUP(F3247,辅助信息!A:B,2,FALSE)</f>
        <v>盘螺</v>
      </c>
      <c r="F3247" s="41" t="s">
        <v>49</v>
      </c>
      <c r="G3247" s="37">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1" t="str">
        <f>VLOOKUP(B3247,辅助信息!E:I,3,FALSE)</f>
        <v>(五冶建设龙泉驿一医院配套建设工程)成都市龙泉驿区董朗路69号龙泉驿一医院5号门</v>
      </c>
      <c r="J3247" s="41" t="str">
        <f>VLOOKUP(B3247,辅助信息!E:I,4,FALSE)</f>
        <v>孙敏</v>
      </c>
      <c r="K3247" s="41">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54</v>
      </c>
      <c r="Q3247" s="30" t="str">
        <f>VLOOKUP(B3247,辅助信息!E:M,9,FALSE)</f>
        <v>ZTWM-CDGS-XS-2025-0073-五冶天府-成都怡心湖片区及龙泉驿医院等项目</v>
      </c>
      <c r="R3247" s="30" t="str">
        <f>_xlfn._xlws.FILTER(辅助信息!D:D,辅助信息!E:E=B3247)</f>
        <v>五冶建设龙泉驿一医院配套建设工程</v>
      </c>
    </row>
    <row r="3248" hidden="1" spans="2:18">
      <c r="B3248" s="41" t="s">
        <v>215</v>
      </c>
      <c r="C3248" s="71">
        <v>45903</v>
      </c>
      <c r="D3248" s="41" t="str">
        <f>VLOOKUP(B3248,辅助信息!E:K,7,FALSE)</f>
        <v>JWDDCD2025102100486</v>
      </c>
      <c r="E3248" s="41" t="str">
        <f>VLOOKUP(F3248,辅助信息!A:B,2,FALSE)</f>
        <v>盘螺</v>
      </c>
      <c r="F3248" s="41" t="s">
        <v>40</v>
      </c>
      <c r="G3248" s="37">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1" t="str">
        <f>VLOOKUP(B3248,辅助信息!E:I,3,FALSE)</f>
        <v>(五冶建设龙泉驿一医院配套建设工程)成都市龙泉驿区董朗路69号龙泉驿一医院5号门</v>
      </c>
      <c r="J3248" s="41" t="str">
        <f>VLOOKUP(B3248,辅助信息!E:I,4,FALSE)</f>
        <v>孙敏</v>
      </c>
      <c r="K3248" s="41">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54</v>
      </c>
      <c r="Q3248" s="30" t="str">
        <f>VLOOKUP(B3248,辅助信息!E:M,9,FALSE)</f>
        <v>ZTWM-CDGS-XS-2025-0073-五冶天府-成都怡心湖片区及龙泉驿医院等项目</v>
      </c>
      <c r="R3248" s="30" t="str">
        <f>_xlfn._xlws.FILTER(辅助信息!D:D,辅助信息!E:E=B3248)</f>
        <v>五冶建设龙泉驿一医院配套建设工程</v>
      </c>
    </row>
    <row r="3249" hidden="1" spans="2:18">
      <c r="B3249" s="41" t="s">
        <v>215</v>
      </c>
      <c r="C3249" s="71">
        <v>45903</v>
      </c>
      <c r="D3249" s="41" t="str">
        <f>VLOOKUP(B3249,辅助信息!E:K,7,FALSE)</f>
        <v>JWDDCD2025102100486</v>
      </c>
      <c r="E3249" s="41" t="str">
        <f>VLOOKUP(F3249,辅助信息!A:B,2,FALSE)</f>
        <v>盘螺</v>
      </c>
      <c r="F3249" s="41" t="s">
        <v>41</v>
      </c>
      <c r="G3249" s="37">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1" t="str">
        <f>VLOOKUP(B3249,辅助信息!E:I,3,FALSE)</f>
        <v>(五冶建设龙泉驿一医院配套建设工程)成都市龙泉驿区董朗路69号龙泉驿一医院5号门</v>
      </c>
      <c r="J3249" s="41" t="str">
        <f>VLOOKUP(B3249,辅助信息!E:I,4,FALSE)</f>
        <v>孙敏</v>
      </c>
      <c r="K3249" s="41">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54</v>
      </c>
      <c r="Q3249" s="30" t="str">
        <f>VLOOKUP(B3249,辅助信息!E:M,9,FALSE)</f>
        <v>ZTWM-CDGS-XS-2025-0073-五冶天府-成都怡心湖片区及龙泉驿医院等项目</v>
      </c>
      <c r="R3249" s="30" t="str">
        <f>_xlfn._xlws.FILTER(辅助信息!D:D,辅助信息!E:E=B3249)</f>
        <v>五冶建设龙泉驿一医院配套建设工程</v>
      </c>
    </row>
    <row r="3250" hidden="1" spans="2:18">
      <c r="B3250" s="41" t="s">
        <v>215</v>
      </c>
      <c r="C3250" s="71">
        <v>45903</v>
      </c>
      <c r="D3250" s="41" t="str">
        <f>VLOOKUP(B3250,辅助信息!E:K,7,FALSE)</f>
        <v>JWDDCD2025102100486</v>
      </c>
      <c r="E3250" s="41" t="str">
        <f>VLOOKUP(F3250,辅助信息!A:B,2,FALSE)</f>
        <v>螺纹钢</v>
      </c>
      <c r="F3250" s="136" t="s">
        <v>27</v>
      </c>
      <c r="G3250" s="37">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1" t="str">
        <f>VLOOKUP(B3250,辅助信息!E:I,3,FALSE)</f>
        <v>(五冶建设龙泉驿一医院配套建设工程)成都市龙泉驿区董朗路69号龙泉驿一医院5号门</v>
      </c>
      <c r="J3250" s="41" t="str">
        <f>VLOOKUP(B3250,辅助信息!E:I,4,FALSE)</f>
        <v>孙敏</v>
      </c>
      <c r="K3250" s="41">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54</v>
      </c>
      <c r="Q3250" s="30" t="str">
        <f>VLOOKUP(B3250,辅助信息!E:M,9,FALSE)</f>
        <v>ZTWM-CDGS-XS-2025-0073-五冶天府-成都怡心湖片区及龙泉驿医院等项目</v>
      </c>
      <c r="R3250" s="30" t="str">
        <f>_xlfn._xlws.FILTER(辅助信息!D:D,辅助信息!E:E=B3250)</f>
        <v>五冶建设龙泉驿一医院配套建设工程</v>
      </c>
    </row>
    <row r="3251" hidden="1" spans="2:18">
      <c r="B3251" s="41" t="s">
        <v>215</v>
      </c>
      <c r="C3251" s="71">
        <v>45903</v>
      </c>
      <c r="D3251" s="41" t="str">
        <f>VLOOKUP(B3251,辅助信息!E:K,7,FALSE)</f>
        <v>JWDDCD2025102100486</v>
      </c>
      <c r="E3251" s="41" t="str">
        <f>VLOOKUP(F3251,辅助信息!A:B,2,FALSE)</f>
        <v>螺纹钢</v>
      </c>
      <c r="F3251" s="136" t="s">
        <v>19</v>
      </c>
      <c r="G3251" s="37">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1" t="str">
        <f>VLOOKUP(B3251,辅助信息!E:I,3,FALSE)</f>
        <v>(五冶建设龙泉驿一医院配套建设工程)成都市龙泉驿区董朗路69号龙泉驿一医院5号门</v>
      </c>
      <c r="J3251" s="41" t="str">
        <f>VLOOKUP(B3251,辅助信息!E:I,4,FALSE)</f>
        <v>孙敏</v>
      </c>
      <c r="K3251" s="41">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54</v>
      </c>
      <c r="Q3251" s="30" t="str">
        <f>VLOOKUP(B3251,辅助信息!E:M,9,FALSE)</f>
        <v>ZTWM-CDGS-XS-2025-0073-五冶天府-成都怡心湖片区及龙泉驿医院等项目</v>
      </c>
      <c r="R3251" s="30"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1" t="str">
        <f>VLOOKUP(B3252,辅助信息!E:I,3,FALSE)</f>
        <v>(五冶建设龙泉驿一医院配套建设工程)成都市龙泉驿区董朗路69号龙泉驿一医院5号门</v>
      </c>
      <c r="J3252" s="41" t="str">
        <f>VLOOKUP(B3252,辅助信息!E:I,4,FALSE)</f>
        <v>孙敏</v>
      </c>
      <c r="K3252" s="41">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54</v>
      </c>
      <c r="Q3252" s="30" t="str">
        <f>VLOOKUP(B3252,辅助信息!E:M,9,FALSE)</f>
        <v>ZTWM-CDGS-XS-2025-0073-五冶天府-成都怡心湖片区及龙泉驿医院等项目</v>
      </c>
      <c r="R3252" s="30"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1" t="str">
        <f>VLOOKUP(B3253,辅助信息!E:I,3,FALSE)</f>
        <v>(五冶建设龙泉驿一医院配套建设工程)成都市龙泉驿区董朗路69号龙泉驿一医院5号门</v>
      </c>
      <c r="J3253" s="41" t="str">
        <f>VLOOKUP(B3253,辅助信息!E:I,4,FALSE)</f>
        <v>孙敏</v>
      </c>
      <c r="K3253" s="41">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54</v>
      </c>
      <c r="Q3253" s="30" t="str">
        <f>VLOOKUP(B3253,辅助信息!E:M,9,FALSE)</f>
        <v>ZTWM-CDGS-XS-2025-0073-五冶天府-成都怡心湖片区及龙泉驿医院等项目</v>
      </c>
      <c r="R3253" s="30"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1" t="str">
        <f>VLOOKUP(B3254,辅助信息!E:I,3,FALSE)</f>
        <v>(五冶建设龙泉驿一医院配套建设工程)成都市龙泉驿区董朗路69号龙泉驿一医院5号门</v>
      </c>
      <c r="J3254" s="41" t="str">
        <f>VLOOKUP(B3254,辅助信息!E:I,4,FALSE)</f>
        <v>孙敏</v>
      </c>
      <c r="K3254" s="41">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54</v>
      </c>
      <c r="Q3254" s="30" t="str">
        <f>VLOOKUP(B3254,辅助信息!E:M,9,FALSE)</f>
        <v>ZTWM-CDGS-XS-2025-0073-五冶天府-成都怡心湖片区及龙泉驿医院等项目</v>
      </c>
      <c r="R3254" s="30"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1" t="str">
        <f>VLOOKUP(B3255,辅助信息!E:I,3,FALSE)</f>
        <v>(五冶建设龙泉驿一医院配套建设工程)成都市龙泉驿区董朗路69号龙泉驿一医院5号门</v>
      </c>
      <c r="J3255" s="41" t="str">
        <f>VLOOKUP(B3255,辅助信息!E:I,4,FALSE)</f>
        <v>孙敏</v>
      </c>
      <c r="K3255" s="41">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54</v>
      </c>
      <c r="Q3255" s="30" t="str">
        <f>VLOOKUP(B3255,辅助信息!E:M,9,FALSE)</f>
        <v>ZTWM-CDGS-XS-2025-0073-五冶天府-成都怡心湖片区及龙泉驿医院等项目</v>
      </c>
      <c r="R3255" s="30"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1" t="str">
        <f>VLOOKUP(B3256,辅助信息!E:I,3,FALSE)</f>
        <v>(五冶建设龙泉驿一医院配套建设工程)成都市龙泉驿区董朗路69号龙泉驿一医院5号门</v>
      </c>
      <c r="J3256" s="41" t="str">
        <f>VLOOKUP(B3256,辅助信息!E:I,4,FALSE)</f>
        <v>孙敏</v>
      </c>
      <c r="K3256" s="41">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54</v>
      </c>
      <c r="Q3256" s="30" t="str">
        <f>VLOOKUP(B3256,辅助信息!E:M,9,FALSE)</f>
        <v>ZTWM-CDGS-XS-2025-0073-五冶天府-成都怡心湖片区及龙泉驿医院等项目</v>
      </c>
      <c r="R3256" s="30"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1" t="str">
        <f>VLOOKUP(B3257,辅助信息!E:I,3,FALSE)</f>
        <v>(五冶建设龙泉驿一医院配套建设工程)成都市龙泉驿区董朗路69号龙泉驿一医院5号门</v>
      </c>
      <c r="J3257" s="41" t="str">
        <f>VLOOKUP(B3257,辅助信息!E:I,4,FALSE)</f>
        <v>孙敏</v>
      </c>
      <c r="K3257" s="41">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54</v>
      </c>
      <c r="Q3257" s="30" t="str">
        <f>VLOOKUP(B3257,辅助信息!E:M,9,FALSE)</f>
        <v>ZTWM-CDGS-XS-2025-0073-五冶天府-成都怡心湖片区及龙泉驿医院等项目</v>
      </c>
      <c r="R3257" s="30" t="str">
        <f>_xlfn._xlws.FILTER(辅助信息!D:D,辅助信息!E:E=B3257)</f>
        <v>五冶建设龙泉驿一医院配套建设工程</v>
      </c>
    </row>
    <row r="3258" hidden="1" spans="2:18">
      <c r="B3258" s="41" t="s">
        <v>215</v>
      </c>
      <c r="C3258" s="71">
        <v>45903</v>
      </c>
      <c r="D3258" s="41" t="str">
        <f>VLOOKUP(B3258,辅助信息!E:K,7,FALSE)</f>
        <v>JWDDCD2025102100486</v>
      </c>
      <c r="E3258" s="41" t="str">
        <f>VLOOKUP(F3258,辅助信息!A:B,2,FALSE)</f>
        <v>螺纹钢</v>
      </c>
      <c r="F3258" s="41" t="s">
        <v>58</v>
      </c>
      <c r="G3258" s="37">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1" t="str">
        <f>VLOOKUP(B3258,辅助信息!E:I,3,FALSE)</f>
        <v>(五冶建设龙泉驿一医院配套建设工程)成都市龙泉驿区董朗路69号龙泉驿一医院5号门</v>
      </c>
      <c r="J3258" s="41" t="str">
        <f>VLOOKUP(B3258,辅助信息!E:I,4,FALSE)</f>
        <v>孙敏</v>
      </c>
      <c r="K3258" s="41">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54</v>
      </c>
      <c r="Q3258" s="30" t="str">
        <f>VLOOKUP(B3258,辅助信息!E:M,9,FALSE)</f>
        <v>ZTWM-CDGS-XS-2025-0073-五冶天府-成都怡心湖片区及龙泉驿医院等项目</v>
      </c>
      <c r="R3258" s="30" t="str">
        <f>_xlfn._xlws.FILTER(辅助信息!D:D,辅助信息!E:E=B3258)</f>
        <v>五冶建设龙泉驿一医院配套建设工程</v>
      </c>
    </row>
    <row r="3259" hidden="1" spans="2:18">
      <c r="B3259" s="41" t="s">
        <v>215</v>
      </c>
      <c r="C3259" s="71">
        <v>45903</v>
      </c>
      <c r="D3259" s="41" t="str">
        <f>VLOOKUP(B3259,辅助信息!E:K,7,FALSE)</f>
        <v>JWDDCD2025102100486</v>
      </c>
      <c r="E3259" s="41" t="str">
        <f>VLOOKUP(F3259,辅助信息!A:B,2,FALSE)</f>
        <v>螺纹钢</v>
      </c>
      <c r="F3259" s="41" t="s">
        <v>46</v>
      </c>
      <c r="G3259" s="37">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1" t="str">
        <f>VLOOKUP(B3259,辅助信息!E:I,3,FALSE)</f>
        <v>(五冶建设龙泉驿一医院配套建设工程)成都市龙泉驿区董朗路69号龙泉驿一医院5号门</v>
      </c>
      <c r="J3259" s="41" t="str">
        <f>VLOOKUP(B3259,辅助信息!E:I,4,FALSE)</f>
        <v>孙敏</v>
      </c>
      <c r="K3259" s="41">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54</v>
      </c>
      <c r="Q3259" s="30" t="str">
        <f>VLOOKUP(B3259,辅助信息!E:M,9,FALSE)</f>
        <v>ZTWM-CDGS-XS-2025-0073-五冶天府-成都怡心湖片区及龙泉驿医院等项目</v>
      </c>
      <c r="R3259" s="30" t="str">
        <f>_xlfn._xlws.FILTER(辅助信息!D:D,辅助信息!E:E=B3259)</f>
        <v>五冶建设龙泉驿一医院配套建设工程</v>
      </c>
    </row>
    <row r="3260" hidden="1" spans="2:18">
      <c r="B3260" s="41" t="s">
        <v>215</v>
      </c>
      <c r="C3260" s="71">
        <v>45903</v>
      </c>
      <c r="D3260" s="41" t="str">
        <f>VLOOKUP(B3260,辅助信息!E:K,7,FALSE)</f>
        <v>JWDDCD2025102100486</v>
      </c>
      <c r="E3260" s="41" t="str">
        <f>VLOOKUP(F3260,辅助信息!A:B,2,FALSE)</f>
        <v>螺纹钢</v>
      </c>
      <c r="F3260" s="41" t="s">
        <v>22</v>
      </c>
      <c r="G3260" s="37">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1" t="str">
        <f>VLOOKUP(B3260,辅助信息!E:I,3,FALSE)</f>
        <v>(五冶建设龙泉驿一医院配套建设工程)成都市龙泉驿区董朗路69号龙泉驿一医院5号门</v>
      </c>
      <c r="J3260" s="41" t="str">
        <f>VLOOKUP(B3260,辅助信息!E:I,4,FALSE)</f>
        <v>孙敏</v>
      </c>
      <c r="K3260" s="41">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54</v>
      </c>
      <c r="Q3260" s="30" t="str">
        <f>VLOOKUP(B3260,辅助信息!E:M,9,FALSE)</f>
        <v>ZTWM-CDGS-XS-2025-0073-五冶天府-成都怡心湖片区及龙泉驿医院等项目</v>
      </c>
      <c r="R3260" s="30" t="str">
        <f>_xlfn._xlws.FILTER(辅助信息!D:D,辅助信息!E:E=B3260)</f>
        <v>五冶建设龙泉驿一医院配套建设工程</v>
      </c>
    </row>
    <row r="3261" hidden="1" spans="2:18">
      <c r="B3261" s="41" t="s">
        <v>215</v>
      </c>
      <c r="C3261" s="71">
        <v>45903</v>
      </c>
      <c r="D3261" s="41" t="str">
        <f>VLOOKUP(B3261,辅助信息!E:K,7,FALSE)</f>
        <v>JWDDCD2025102100486</v>
      </c>
      <c r="E3261" s="41" t="str">
        <f>VLOOKUP(F3261,辅助信息!A:B,2,FALSE)</f>
        <v>螺纹钢</v>
      </c>
      <c r="F3261" s="41" t="s">
        <v>181</v>
      </c>
      <c r="G3261" s="37">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1" t="str">
        <f>VLOOKUP(B3261,辅助信息!E:I,3,FALSE)</f>
        <v>(五冶建设龙泉驿一医院配套建设工程)成都市龙泉驿区董朗路69号龙泉驿一医院5号门</v>
      </c>
      <c r="J3261" s="41" t="str">
        <f>VLOOKUP(B3261,辅助信息!E:I,4,FALSE)</f>
        <v>孙敏</v>
      </c>
      <c r="K3261" s="41">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54</v>
      </c>
      <c r="Q3261" s="30" t="str">
        <f>VLOOKUP(B3261,辅助信息!E:M,9,FALSE)</f>
        <v>ZTWM-CDGS-XS-2025-0073-五冶天府-成都怡心湖片区及龙泉驿医院等项目</v>
      </c>
      <c r="R3261" s="30"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55</v>
      </c>
      <c r="Q3262" s="30"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55</v>
      </c>
      <c r="Q3263" s="30"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55</v>
      </c>
      <c r="Q3264" s="30"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55</v>
      </c>
      <c r="Q3265" s="30"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55</v>
      </c>
      <c r="Q3266" s="30"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55</v>
      </c>
      <c r="Q3267" s="30"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55</v>
      </c>
      <c r="Q3268" s="30"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55</v>
      </c>
      <c r="Q3269" s="30"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56</v>
      </c>
      <c r="Q3270" s="30" t="str">
        <f>VLOOKUP(B3270,辅助信息!E:M,9,FALSE)</f>
        <v>ZTWM-CDGS-XS-2024-0134-商投建工达州中医药科技成果示范园项目</v>
      </c>
      <c r="R3270" s="30"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53</v>
      </c>
      <c r="Q3271" s="30" t="str">
        <f>VLOOKUP(B3271,辅助信息!E:M,9,FALSE)</f>
        <v>ZTWM-CDGS-XS-2025-0029-中铁三局集团有限公司-西渝高铁康渝段站房四标项目</v>
      </c>
      <c r="R3271" s="30"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53</v>
      </c>
      <c r="Q3272" s="30" t="str">
        <f>VLOOKUP(B3272,辅助信息!E:M,9,FALSE)</f>
        <v>ZTWM-CDGS-XS-2025-0029-中铁三局集团有限公司-西渝高铁康渝段站房四标项目</v>
      </c>
      <c r="R3272" s="30"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53</v>
      </c>
      <c r="Q3273" s="30" t="str">
        <f>VLOOKUP(B3273,辅助信息!E:M,9,FALSE)</f>
        <v>ZTWM-CDGS-XS-2025-0029-中铁三局集团有限公司-西渝高铁康渝段站房四标项目</v>
      </c>
      <c r="R3273" s="30"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53</v>
      </c>
      <c r="Q3274" s="30" t="str">
        <f>VLOOKUP(B3274,辅助信息!E:M,9,FALSE)</f>
        <v>ZTWM-CDGS-XS-2025-0029-中铁三局集团有限公司-西渝高铁康渝段站房四标项目</v>
      </c>
      <c r="R3274" s="30"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53</v>
      </c>
      <c r="Q3275" s="30" t="str">
        <f>VLOOKUP(B3275,辅助信息!E:M,9,FALSE)</f>
        <v>ZTWM-CDGS-XS-2025-0029-中铁三局集团有限公司-西渝高铁康渝段站房四标项目</v>
      </c>
      <c r="R3275" s="30"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53</v>
      </c>
      <c r="Q3276" s="30" t="str">
        <f>VLOOKUP(B3276,辅助信息!E:M,9,FALSE)</f>
        <v>ZTWM-CDGS-XS-2025-0029-中铁三局集团有限公司-西渝高铁康渝段站房四标项目</v>
      </c>
      <c r="R3276" s="30"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56</v>
      </c>
      <c r="Q3277" s="30" t="str">
        <f>VLOOKUP(B3277,辅助信息!E:M,9,FALSE)</f>
        <v>ZTWM-CDGS-XS-2025-0126-四川机司-乐山市校地共建产教融合基地配套设施项目施工二标段钢筋采购合同</v>
      </c>
      <c r="R3277" s="30"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56</v>
      </c>
      <c r="Q3278" s="30" t="str">
        <f>VLOOKUP(B3278,辅助信息!E:M,9,FALSE)</f>
        <v>ZTWM-CDGS-XS-2025-0126-四川机司-乐山市校地共建产教融合基地配套设施项目施工二标段钢筋采购合同</v>
      </c>
      <c r="R3278" s="30"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56</v>
      </c>
      <c r="Q3279" s="30" t="str">
        <f>VLOOKUP(B3279,辅助信息!E:M,9,FALSE)</f>
        <v>ZTWM-CDGS-XS-2025-0126-四川机司-乐山市校地共建产教融合基地配套设施项目施工二标段钢筋采购合同</v>
      </c>
      <c r="R3279" s="30"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54</v>
      </c>
      <c r="Q3280" s="30" t="str">
        <f>VLOOKUP(B3280,辅助信息!E:M,9,FALSE)</f>
        <v>ZTWM-CDGS-XS-2025-0033-中铁武汉电气化局集团有限公司成达万高速铁路强电工程项目</v>
      </c>
      <c r="R3280" s="30"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54</v>
      </c>
      <c r="Q3281" s="30" t="str">
        <f>VLOOKUP(B3281,辅助信息!E:M,9,FALSE)</f>
        <v>ZTWM-CDGS-XS-2025-0033-中铁武汉电气化局集团有限公司成达万高速铁路强电工程项目</v>
      </c>
      <c r="R3281" s="30"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54</v>
      </c>
      <c r="Q3282" s="30" t="str">
        <f>VLOOKUP(B3282,辅助信息!E:M,9,FALSE)</f>
        <v>ZTWM-CDGS-XS-2025-0033-中铁武汉电气化局集团有限公司成达万高速铁路强电工程项目</v>
      </c>
      <c r="R3282" s="30"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54</v>
      </c>
      <c r="Q3283" s="30" t="str">
        <f>VLOOKUP(B3283,辅助信息!E:M,9,FALSE)</f>
        <v>ZTWM-CDGS-XS-2025-0033-中铁武汉电气化局集团有限公司成达万高速铁路强电工程项目</v>
      </c>
      <c r="R3283" s="30"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54</v>
      </c>
      <c r="Q3284" s="30" t="str">
        <f>VLOOKUP(B3284,辅助信息!E:M,9,FALSE)</f>
        <v>ZTWM-CDGS-XS-2025-0033-中铁武汉电气化局集团有限公司成达万高速铁路强电工程项目</v>
      </c>
      <c r="R3284" s="30"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30" t="str">
        <f>VLOOKUP(B3285,辅助信息!E:M,9,FALSE)</f>
        <v>ZTWM-CDGS-XS-2024-0134-商投建工达州中医药科技成果示范园项目</v>
      </c>
      <c r="R3285" s="30" t="str">
        <f>_xlfn._xlws.FILTER(辅助信息!D:D,辅助信息!E:E=B3285)</f>
        <v>商投建工达州中医药科技园</v>
      </c>
    </row>
    <row r="3286" hidden="1" spans="2:18">
      <c r="B3286" s="41" t="s">
        <v>180</v>
      </c>
      <c r="C3286" s="71">
        <v>45905</v>
      </c>
      <c r="D3286" s="41" t="str">
        <f>VLOOKUP(B3286,辅助信息!E:K,7,FALSE)</f>
        <v>JWDDCD2025052800131</v>
      </c>
      <c r="E3286" s="41" t="str">
        <f>VLOOKUP(F3286,辅助信息!A:B,2,FALSE)</f>
        <v>螺纹钢</v>
      </c>
      <c r="F3286" s="41" t="s">
        <v>66</v>
      </c>
      <c r="G3286" s="37">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1" t="str">
        <f>VLOOKUP(B3286,辅助信息!E:I,3,FALSE)</f>
        <v>（商投建工达州中医药科技园-4工区-8号楼）达州市通川区达州中医药职业学院犀牛大道北段</v>
      </c>
      <c r="J3286" s="41" t="str">
        <f>VLOOKUP(B3286,辅助信息!E:I,4,FALSE)</f>
        <v>张扬</v>
      </c>
      <c r="K3286" s="41">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30" t="str">
        <f>VLOOKUP(B3286,辅助信息!E:M,9,FALSE)</f>
        <v>ZTWM-CDGS-XS-2024-0134-商投建工达州中医药科技成果示范园项目</v>
      </c>
      <c r="R3286" s="30" t="str">
        <f>_xlfn._xlws.FILTER(辅助信息!D:D,辅助信息!E:E=B3286)</f>
        <v>商投建工达州中医药科技园</v>
      </c>
    </row>
    <row r="3287" hidden="1" spans="2:18">
      <c r="B3287" s="41" t="s">
        <v>180</v>
      </c>
      <c r="C3287" s="71">
        <v>45905</v>
      </c>
      <c r="D3287" s="41" t="str">
        <f>VLOOKUP(B3287,辅助信息!E:K,7,FALSE)</f>
        <v>JWDDCD2025052800131</v>
      </c>
      <c r="E3287" s="41" t="str">
        <f>VLOOKUP(F3287,辅助信息!A:B,2,FALSE)</f>
        <v>螺纹钢</v>
      </c>
      <c r="F3287" s="41" t="s">
        <v>82</v>
      </c>
      <c r="G3287" s="37">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1" t="str">
        <f>VLOOKUP(B3287,辅助信息!E:I,3,FALSE)</f>
        <v>（商投建工达州中医药科技园-4工区-8号楼）达州市通川区达州中医药职业学院犀牛大道北段</v>
      </c>
      <c r="J3287" s="41" t="str">
        <f>VLOOKUP(B3287,辅助信息!E:I,4,FALSE)</f>
        <v>张扬</v>
      </c>
      <c r="K3287" s="41">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30" t="str">
        <f>VLOOKUP(B3287,辅助信息!E:M,9,FALSE)</f>
        <v>ZTWM-CDGS-XS-2024-0134-商投建工达州中医药科技成果示范园项目</v>
      </c>
      <c r="R3287" s="30" t="str">
        <f>_xlfn._xlws.FILTER(辅助信息!D:D,辅助信息!E:E=B3287)</f>
        <v>商投建工达州中医药科技园</v>
      </c>
    </row>
    <row r="3288" hidden="1" spans="2:18">
      <c r="B3288" s="41" t="s">
        <v>180</v>
      </c>
      <c r="C3288" s="71">
        <v>45905</v>
      </c>
      <c r="D3288" s="41" t="str">
        <f>VLOOKUP(B3288,辅助信息!E:K,7,FALSE)</f>
        <v>JWDDCD2025052800131</v>
      </c>
      <c r="E3288" s="41" t="str">
        <f>VLOOKUP(F3288,辅助信息!A:B,2,FALSE)</f>
        <v>螺纹钢</v>
      </c>
      <c r="F3288" s="41" t="s">
        <v>45</v>
      </c>
      <c r="G3288" s="37">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1" t="str">
        <f>VLOOKUP(B3288,辅助信息!E:I,3,FALSE)</f>
        <v>（商投建工达州中医药科技园-4工区-8号楼）达州市通川区达州中医药职业学院犀牛大道北段</v>
      </c>
      <c r="J3288" s="41" t="str">
        <f>VLOOKUP(B3288,辅助信息!E:I,4,FALSE)</f>
        <v>张扬</v>
      </c>
      <c r="K3288" s="41">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30" t="str">
        <f>VLOOKUP(B3288,辅助信息!E:M,9,FALSE)</f>
        <v>ZTWM-CDGS-XS-2024-0134-商投建工达州中医药科技成果示范园项目</v>
      </c>
      <c r="R3288" s="30" t="str">
        <f>_xlfn._xlws.FILTER(辅助信息!D:D,辅助信息!E:E=B3288)</f>
        <v>商投建工达州中医药科技园</v>
      </c>
    </row>
    <row r="3289" hidden="1" spans="2:18">
      <c r="B3289" s="41" t="s">
        <v>180</v>
      </c>
      <c r="C3289" s="71">
        <v>45905</v>
      </c>
      <c r="D3289" s="41" t="str">
        <f>VLOOKUP(B3289,辅助信息!E:K,7,FALSE)</f>
        <v>JWDDCD2025052800131</v>
      </c>
      <c r="E3289" s="41" t="str">
        <f>VLOOKUP(F3289,辅助信息!A:B,2,FALSE)</f>
        <v>螺纹钢</v>
      </c>
      <c r="F3289" s="41" t="s">
        <v>22</v>
      </c>
      <c r="G3289" s="37">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1" t="str">
        <f>VLOOKUP(B3289,辅助信息!E:I,3,FALSE)</f>
        <v>（商投建工达州中医药科技园-4工区-8号楼）达州市通川区达州中医药职业学院犀牛大道北段</v>
      </c>
      <c r="J3289" s="41" t="str">
        <f>VLOOKUP(B3289,辅助信息!E:I,4,FALSE)</f>
        <v>张扬</v>
      </c>
      <c r="K3289" s="41">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30" t="str">
        <f>VLOOKUP(B3289,辅助信息!E:M,9,FALSE)</f>
        <v>ZTWM-CDGS-XS-2024-0134-商投建工达州中医药科技成果示范园项目</v>
      </c>
      <c r="R3289" s="30" t="str">
        <f>_xlfn._xlws.FILTER(辅助信息!D:D,辅助信息!E:E=B3289)</f>
        <v>商投建工达州中医药科技园</v>
      </c>
    </row>
    <row r="3290" hidden="1" spans="2:18">
      <c r="B3290" s="41" t="s">
        <v>177</v>
      </c>
      <c r="C3290" s="71">
        <v>45908</v>
      </c>
      <c r="D3290" s="41" t="str">
        <f>VLOOKUP(B3290,辅助信息!E:K,7,FALSE)</f>
        <v>JWDDCD2025062200016</v>
      </c>
      <c r="E3290" s="41" t="str">
        <f>VLOOKUP(F3290,辅助信息!A:B,2,FALSE)</f>
        <v>盘螺</v>
      </c>
      <c r="F3290" s="41" t="s">
        <v>41</v>
      </c>
      <c r="G3290" s="37">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1" t="str">
        <f>VLOOKUP(B3290,辅助信息!E:I,3,FALSE)</f>
        <v>(武汉电气化局成达万高铁强电项目-南充营山)四川省南充市营山县保真路景阳名城南50米(保真路东)</v>
      </c>
      <c r="J3290" s="41" t="str">
        <f>VLOOKUP(B3290,辅助信息!E:I,4,FALSE)</f>
        <v>周开亮</v>
      </c>
      <c r="K3290" s="41">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49</v>
      </c>
      <c r="Q3290" s="30" t="str">
        <f>VLOOKUP(B3290,辅助信息!E:M,9,FALSE)</f>
        <v>ZTWM-CDGS-XS-2025-0033-中铁武汉电气化局集团有限公司成达万高速铁路强电工程项目</v>
      </c>
      <c r="R3290" s="30" t="str">
        <f>_xlfn._xlws.FILTER(辅助信息!D:D,辅助信息!E:E=B3290)</f>
        <v>武汉电气化局成达万高铁强电项目</v>
      </c>
    </row>
    <row r="3291" hidden="1" spans="2:18">
      <c r="B3291" s="41" t="s">
        <v>177</v>
      </c>
      <c r="C3291" s="71">
        <v>45908</v>
      </c>
      <c r="D3291" s="41" t="str">
        <f>VLOOKUP(B3291,辅助信息!E:K,7,FALSE)</f>
        <v>JWDDCD2025062200016</v>
      </c>
      <c r="E3291" s="41" t="str">
        <f>VLOOKUP(F3291,辅助信息!A:B,2,FALSE)</f>
        <v>螺纹钢</v>
      </c>
      <c r="F3291" s="41" t="s">
        <v>27</v>
      </c>
      <c r="G3291" s="37">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1" t="str">
        <f>VLOOKUP(B3291,辅助信息!E:I,3,FALSE)</f>
        <v>(武汉电气化局成达万高铁强电项目-南充营山)四川省南充市营山县保真路景阳名城南50米(保真路东)</v>
      </c>
      <c r="J3291" s="41" t="str">
        <f>VLOOKUP(B3291,辅助信息!E:I,4,FALSE)</f>
        <v>周开亮</v>
      </c>
      <c r="K3291" s="41">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49</v>
      </c>
      <c r="Q3291" s="30" t="str">
        <f>VLOOKUP(B3291,辅助信息!E:M,9,FALSE)</f>
        <v>ZTWM-CDGS-XS-2025-0033-中铁武汉电气化局集团有限公司成达万高速铁路强电工程项目</v>
      </c>
      <c r="R3291" s="30" t="str">
        <f>_xlfn._xlws.FILTER(辅助信息!D:D,辅助信息!E:E=B3291)</f>
        <v>武汉电气化局成达万高铁强电项目</v>
      </c>
    </row>
    <row r="3292" hidden="1" spans="2:18">
      <c r="B3292" s="41" t="s">
        <v>177</v>
      </c>
      <c r="C3292" s="71">
        <v>45908</v>
      </c>
      <c r="D3292" s="41" t="str">
        <f>VLOOKUP(B3292,辅助信息!E:K,7,FALSE)</f>
        <v>JWDDCD2025062200016</v>
      </c>
      <c r="E3292" s="41" t="str">
        <f>VLOOKUP(F3292,辅助信息!A:B,2,FALSE)</f>
        <v>螺纹钢</v>
      </c>
      <c r="F3292" s="41"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1" t="str">
        <f>VLOOKUP(B3292,辅助信息!E:I,3,FALSE)</f>
        <v>(武汉电气化局成达万高铁强电项目-南充营山)四川省南充市营山县保真路景阳名城南50米(保真路东)</v>
      </c>
      <c r="J3292" s="41" t="str">
        <f>VLOOKUP(B3292,辅助信息!E:I,4,FALSE)</f>
        <v>周开亮</v>
      </c>
      <c r="K3292" s="41">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49</v>
      </c>
      <c r="Q3292" s="30" t="str">
        <f>VLOOKUP(B3292,辅助信息!E:M,9,FALSE)</f>
        <v>ZTWM-CDGS-XS-2025-0033-中铁武汉电气化局集团有限公司成达万高速铁路强电工程项目</v>
      </c>
      <c r="R3292" s="30" t="str">
        <f>_xlfn._xlws.FILTER(辅助信息!D:D,辅助信息!E:E=B3292)</f>
        <v>武汉电气化局成达万高铁强电项目</v>
      </c>
    </row>
    <row r="3293" hidden="1" spans="2:18">
      <c r="B3293" s="41" t="s">
        <v>177</v>
      </c>
      <c r="C3293" s="71">
        <v>45908</v>
      </c>
      <c r="D3293" s="41" t="str">
        <f>VLOOKUP(B3293,辅助信息!E:K,7,FALSE)</f>
        <v>JWDDCD2025062200016</v>
      </c>
      <c r="E3293" s="41" t="str">
        <f>VLOOKUP(F3293,辅助信息!A:B,2,FALSE)</f>
        <v>螺纹钢</v>
      </c>
      <c r="F3293" s="41"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1" t="str">
        <f>VLOOKUP(B3293,辅助信息!E:I,3,FALSE)</f>
        <v>(武汉电气化局成达万高铁强电项目-南充营山)四川省南充市营山县保真路景阳名城南50米(保真路东)</v>
      </c>
      <c r="J3293" s="41" t="str">
        <f>VLOOKUP(B3293,辅助信息!E:I,4,FALSE)</f>
        <v>周开亮</v>
      </c>
      <c r="K3293" s="41">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49</v>
      </c>
      <c r="Q3293" s="30" t="str">
        <f>VLOOKUP(B3293,辅助信息!E:M,9,FALSE)</f>
        <v>ZTWM-CDGS-XS-2025-0033-中铁武汉电气化局集团有限公司成达万高速铁路强电工程项目</v>
      </c>
      <c r="R3293" s="30" t="str">
        <f>_xlfn._xlws.FILTER(辅助信息!D:D,辅助信息!E:E=B3293)</f>
        <v>武汉电气化局成达万高铁强电项目</v>
      </c>
    </row>
    <row r="3294" hidden="1" spans="2:18">
      <c r="B3294" s="41" t="s">
        <v>177</v>
      </c>
      <c r="C3294" s="71">
        <v>45908</v>
      </c>
      <c r="D3294" s="41" t="str">
        <f>VLOOKUP(B3294,辅助信息!E:K,7,FALSE)</f>
        <v>JWDDCD2025062200016</v>
      </c>
      <c r="E3294" s="41" t="str">
        <f>VLOOKUP(F3294,辅助信息!A:B,2,FALSE)</f>
        <v>螺纹钢</v>
      </c>
      <c r="F3294" s="41"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1" t="str">
        <f>VLOOKUP(B3294,辅助信息!E:I,3,FALSE)</f>
        <v>(武汉电气化局成达万高铁强电项目-南充营山)四川省南充市营山县保真路景阳名城南50米(保真路东)</v>
      </c>
      <c r="J3294" s="41" t="str">
        <f>VLOOKUP(B3294,辅助信息!E:I,4,FALSE)</f>
        <v>周开亮</v>
      </c>
      <c r="K3294" s="41">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49</v>
      </c>
      <c r="Q3294" s="30" t="str">
        <f>VLOOKUP(B3294,辅助信息!E:M,9,FALSE)</f>
        <v>ZTWM-CDGS-XS-2025-0033-中铁武汉电气化局集团有限公司成达万高速铁路强电工程项目</v>
      </c>
      <c r="R3294" s="30" t="str">
        <f>_xlfn._xlws.FILTER(辅助信息!D:D,辅助信息!E:E=B3294)</f>
        <v>武汉电气化局成达万高铁强电项目</v>
      </c>
    </row>
    <row r="3295" hidden="1" spans="2:18">
      <c r="B3295" s="41" t="s">
        <v>177</v>
      </c>
      <c r="C3295" s="71">
        <v>45908</v>
      </c>
      <c r="D3295" s="41" t="str">
        <f>VLOOKUP(B3295,辅助信息!E:K,7,FALSE)</f>
        <v>JWDDCD2025062200016</v>
      </c>
      <c r="E3295" s="41" t="str">
        <f>VLOOKUP(F3295,辅助信息!A:B,2,FALSE)</f>
        <v>螺纹钢</v>
      </c>
      <c r="F3295" s="41"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1" t="str">
        <f>VLOOKUP(B3295,辅助信息!E:I,3,FALSE)</f>
        <v>(武汉电气化局成达万高铁强电项目-南充营山)四川省南充市营山县保真路景阳名城南50米(保真路东)</v>
      </c>
      <c r="J3295" s="41" t="str">
        <f>VLOOKUP(B3295,辅助信息!E:I,4,FALSE)</f>
        <v>周开亮</v>
      </c>
      <c r="K3295" s="41">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49</v>
      </c>
      <c r="Q3295" s="30" t="str">
        <f>VLOOKUP(B3295,辅助信息!E:M,9,FALSE)</f>
        <v>ZTWM-CDGS-XS-2025-0033-中铁武汉电气化局集团有限公司成达万高速铁路强电工程项目</v>
      </c>
      <c r="R3295" s="30" t="str">
        <f>_xlfn._xlws.FILTER(辅助信息!D:D,辅助信息!E:E=B3295)</f>
        <v>武汉电气化局成达万高铁强电项目</v>
      </c>
    </row>
    <row r="3296" hidden="1" spans="2:18">
      <c r="B3296" s="41" t="s">
        <v>177</v>
      </c>
      <c r="C3296" s="71">
        <v>45908</v>
      </c>
      <c r="D3296" s="41" t="str">
        <f>VLOOKUP(B3296,辅助信息!E:K,7,FALSE)</f>
        <v>JWDDCD2025062200016</v>
      </c>
      <c r="E3296" s="41" t="str">
        <f>VLOOKUP(F3296,辅助信息!A:B,2,FALSE)</f>
        <v>螺纹钢</v>
      </c>
      <c r="F3296" s="41"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1" t="str">
        <f>VLOOKUP(B3296,辅助信息!E:I,3,FALSE)</f>
        <v>(武汉电气化局成达万高铁强电项目-南充营山)四川省南充市营山县保真路景阳名城南50米(保真路东)</v>
      </c>
      <c r="J3296" s="41" t="str">
        <f>VLOOKUP(B3296,辅助信息!E:I,4,FALSE)</f>
        <v>周开亮</v>
      </c>
      <c r="K3296" s="41">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49</v>
      </c>
      <c r="Q3296" s="30" t="str">
        <f>VLOOKUP(B3296,辅助信息!E:M,9,FALSE)</f>
        <v>ZTWM-CDGS-XS-2025-0033-中铁武汉电气化局集团有限公司成达万高速铁路强电工程项目</v>
      </c>
      <c r="R3296" s="30" t="str">
        <f>_xlfn._xlws.FILTER(辅助信息!D:D,辅助信息!E:E=B3296)</f>
        <v>武汉电气化局成达万高铁强电项目</v>
      </c>
    </row>
    <row r="3297" hidden="1" spans="2:18">
      <c r="B3297" s="41" t="s">
        <v>177</v>
      </c>
      <c r="C3297" s="71">
        <v>45908</v>
      </c>
      <c r="D3297" s="41" t="str">
        <f>VLOOKUP(B3297,辅助信息!E:K,7,FALSE)</f>
        <v>JWDDCD2025062200016</v>
      </c>
      <c r="E3297" s="41" t="str">
        <f>VLOOKUP(F3297,辅助信息!A:B,2,FALSE)</f>
        <v>螺纹钢</v>
      </c>
      <c r="F3297" s="41"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1" t="str">
        <f>VLOOKUP(B3297,辅助信息!E:I,3,FALSE)</f>
        <v>(武汉电气化局成达万高铁强电项目-南充营山)四川省南充市营山县保真路景阳名城南50米(保真路东)</v>
      </c>
      <c r="J3297" s="41" t="str">
        <f>VLOOKUP(B3297,辅助信息!E:I,4,FALSE)</f>
        <v>周开亮</v>
      </c>
      <c r="K3297" s="41">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49</v>
      </c>
      <c r="Q3297" s="30" t="str">
        <f>VLOOKUP(B3297,辅助信息!E:M,9,FALSE)</f>
        <v>ZTWM-CDGS-XS-2025-0033-中铁武汉电气化局集团有限公司成达万高速铁路强电工程项目</v>
      </c>
      <c r="R3297" s="30" t="str">
        <f>_xlfn._xlws.FILTER(辅助信息!D:D,辅助信息!E:E=B3297)</f>
        <v>武汉电气化局成达万高铁强电项目</v>
      </c>
    </row>
    <row r="3298" hidden="1" spans="2:18">
      <c r="B3298" s="41" t="s">
        <v>177</v>
      </c>
      <c r="C3298" s="71">
        <v>45908</v>
      </c>
      <c r="D3298" s="41" t="str">
        <f>VLOOKUP(B3298,辅助信息!E:K,7,FALSE)</f>
        <v>JWDDCD2025062200016</v>
      </c>
      <c r="E3298" s="41" t="str">
        <f>VLOOKUP(F3298,辅助信息!A:B,2,FALSE)</f>
        <v>螺纹钢</v>
      </c>
      <c r="F3298" s="41"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1" t="str">
        <f>VLOOKUP(B3298,辅助信息!E:I,3,FALSE)</f>
        <v>(武汉电气化局成达万高铁强电项目-南充营山)四川省南充市营山县保真路景阳名城南50米(保真路东)</v>
      </c>
      <c r="J3298" s="41" t="str">
        <f>VLOOKUP(B3298,辅助信息!E:I,4,FALSE)</f>
        <v>周开亮</v>
      </c>
      <c r="K3298" s="41">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49</v>
      </c>
      <c r="Q3298" s="30" t="str">
        <f>VLOOKUP(B3298,辅助信息!E:M,9,FALSE)</f>
        <v>ZTWM-CDGS-XS-2025-0033-中铁武汉电气化局集团有限公司成达万高速铁路强电工程项目</v>
      </c>
      <c r="R3298" s="30" t="str">
        <f>_xlfn._xlws.FILTER(辅助信息!D:D,辅助信息!E:E=B3298)</f>
        <v>武汉电气化局成达万高铁强电项目</v>
      </c>
    </row>
    <row r="3299" hidden="1" spans="2:18">
      <c r="B3299" s="41" t="s">
        <v>176</v>
      </c>
      <c r="C3299" s="71">
        <v>45908</v>
      </c>
      <c r="D3299" s="41" t="str">
        <f>VLOOKUP(B3299,辅助信息!E:K,7,FALSE)</f>
        <v>JWDDCD2025062200016</v>
      </c>
      <c r="E3299" s="41" t="str">
        <f>VLOOKUP(F3299,辅助信息!A:B,2,FALSE)</f>
        <v>盘螺</v>
      </c>
      <c r="F3299" s="41"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1" t="str">
        <f>VLOOKUP(B3299,辅助信息!E:I,3,FALSE)</f>
        <v>(武汉电气化局成达万高铁强电项目-渠县)四川省达州市渠县渠北镇雷家湾渠县北站旁</v>
      </c>
      <c r="J3299" s="41" t="str">
        <f>VLOOKUP(B3299,辅助信息!E:I,4,FALSE)</f>
        <v>刘频</v>
      </c>
      <c r="K3299" s="41">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49</v>
      </c>
      <c r="Q3299" s="30" t="str">
        <f>VLOOKUP(B3299,辅助信息!E:M,9,FALSE)</f>
        <v>ZTWM-CDGS-XS-2025-0033-中铁武汉电气化局集团有限公司成达万高速铁路强电工程项目</v>
      </c>
      <c r="R3299" s="30" t="str">
        <f>_xlfn._xlws.FILTER(辅助信息!D:D,辅助信息!E:E=B3299)</f>
        <v>武汉电气化局成达万高铁强电项目</v>
      </c>
    </row>
    <row r="3300" hidden="1" spans="2:18">
      <c r="B3300" s="41" t="s">
        <v>176</v>
      </c>
      <c r="C3300" s="71">
        <v>45908</v>
      </c>
      <c r="D3300" s="41" t="str">
        <f>VLOOKUP(B3300,辅助信息!E:K,7,FALSE)</f>
        <v>JWDDCD2025062200016</v>
      </c>
      <c r="E3300" s="41" t="str">
        <f>VLOOKUP(F3300,辅助信息!A:B,2,FALSE)</f>
        <v>螺纹钢</v>
      </c>
      <c r="F3300" s="41"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1" t="str">
        <f>VLOOKUP(B3300,辅助信息!E:I,3,FALSE)</f>
        <v>(武汉电气化局成达万高铁强电项目-渠县)四川省达州市渠县渠北镇雷家湾渠县北站旁</v>
      </c>
      <c r="J3300" s="41" t="str">
        <f>VLOOKUP(B3300,辅助信息!E:I,4,FALSE)</f>
        <v>刘频</v>
      </c>
      <c r="K3300" s="41">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49</v>
      </c>
      <c r="Q3300" s="30" t="str">
        <f>VLOOKUP(B3300,辅助信息!E:M,9,FALSE)</f>
        <v>ZTWM-CDGS-XS-2025-0033-中铁武汉电气化局集团有限公司成达万高速铁路强电工程项目</v>
      </c>
      <c r="R3300" s="30" t="str">
        <f>_xlfn._xlws.FILTER(辅助信息!D:D,辅助信息!E:E=B3300)</f>
        <v>武汉电气化局成达万高铁强电项目</v>
      </c>
    </row>
    <row r="3301" hidden="1" spans="2:18">
      <c r="B3301" s="41" t="s">
        <v>176</v>
      </c>
      <c r="C3301" s="71">
        <v>45908</v>
      </c>
      <c r="D3301" s="41" t="str">
        <f>VLOOKUP(B3301,辅助信息!E:K,7,FALSE)</f>
        <v>JWDDCD2025062200016</v>
      </c>
      <c r="E3301" s="41" t="str">
        <f>VLOOKUP(F3301,辅助信息!A:B,2,FALSE)</f>
        <v>螺纹钢</v>
      </c>
      <c r="F3301" s="41"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1" t="str">
        <f>VLOOKUP(B3301,辅助信息!E:I,3,FALSE)</f>
        <v>(武汉电气化局成达万高铁强电项目-渠县)四川省达州市渠县渠北镇雷家湾渠县北站旁</v>
      </c>
      <c r="J3301" s="41" t="str">
        <f>VLOOKUP(B3301,辅助信息!E:I,4,FALSE)</f>
        <v>刘频</v>
      </c>
      <c r="K3301" s="41">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49</v>
      </c>
      <c r="Q3301" s="30" t="str">
        <f>VLOOKUP(B3301,辅助信息!E:M,9,FALSE)</f>
        <v>ZTWM-CDGS-XS-2025-0033-中铁武汉电气化局集团有限公司成达万高速铁路强电工程项目</v>
      </c>
      <c r="R3301" s="30" t="str">
        <f>_xlfn._xlws.FILTER(辅助信息!D:D,辅助信息!E:E=B3301)</f>
        <v>武汉电气化局成达万高铁强电项目</v>
      </c>
    </row>
    <row r="3302" hidden="1" spans="2:18">
      <c r="B3302" s="41" t="s">
        <v>176</v>
      </c>
      <c r="C3302" s="71">
        <v>45908</v>
      </c>
      <c r="D3302" s="41" t="str">
        <f>VLOOKUP(B3302,辅助信息!E:K,7,FALSE)</f>
        <v>JWDDCD2025062200016</v>
      </c>
      <c r="E3302" s="41" t="str">
        <f>VLOOKUP(F3302,辅助信息!A:B,2,FALSE)</f>
        <v>螺纹钢</v>
      </c>
      <c r="F3302" s="41"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1" t="str">
        <f>VLOOKUP(B3302,辅助信息!E:I,3,FALSE)</f>
        <v>(武汉电气化局成达万高铁强电项目-渠县)四川省达州市渠县渠北镇雷家湾渠县北站旁</v>
      </c>
      <c r="J3302" s="41" t="str">
        <f>VLOOKUP(B3302,辅助信息!E:I,4,FALSE)</f>
        <v>刘频</v>
      </c>
      <c r="K3302" s="41">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49</v>
      </c>
      <c r="Q3302" s="30" t="str">
        <f>VLOOKUP(B3302,辅助信息!E:M,9,FALSE)</f>
        <v>ZTWM-CDGS-XS-2025-0033-中铁武汉电气化局集团有限公司成达万高速铁路强电工程项目</v>
      </c>
      <c r="R3302" s="30" t="str">
        <f>_xlfn._xlws.FILTER(辅助信息!D:D,辅助信息!E:E=B3302)</f>
        <v>武汉电气化局成达万高铁强电项目</v>
      </c>
    </row>
    <row r="3303" hidden="1" spans="2:18">
      <c r="B3303" s="41" t="s">
        <v>176</v>
      </c>
      <c r="C3303" s="71">
        <v>45908</v>
      </c>
      <c r="D3303" s="41" t="str">
        <f>VLOOKUP(B3303,辅助信息!E:K,7,FALSE)</f>
        <v>JWDDCD2025062200016</v>
      </c>
      <c r="E3303" s="41" t="str">
        <f>VLOOKUP(F3303,辅助信息!A:B,2,FALSE)</f>
        <v>螺纹钢</v>
      </c>
      <c r="F3303" s="41"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1" t="str">
        <f>VLOOKUP(B3303,辅助信息!E:I,3,FALSE)</f>
        <v>(武汉电气化局成达万高铁强电项目-渠县)四川省达州市渠县渠北镇雷家湾渠县北站旁</v>
      </c>
      <c r="J3303" s="41" t="str">
        <f>VLOOKUP(B3303,辅助信息!E:I,4,FALSE)</f>
        <v>刘频</v>
      </c>
      <c r="K3303" s="41">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49</v>
      </c>
      <c r="Q3303" s="30" t="str">
        <f>VLOOKUP(B3303,辅助信息!E:M,9,FALSE)</f>
        <v>ZTWM-CDGS-XS-2025-0033-中铁武汉电气化局集团有限公司成达万高速铁路强电工程项目</v>
      </c>
      <c r="R3303" s="30" t="str">
        <f>_xlfn._xlws.FILTER(辅助信息!D:D,辅助信息!E:E=B3303)</f>
        <v>武汉电气化局成达万高铁强电项目</v>
      </c>
    </row>
    <row r="3304" hidden="1" spans="2:18">
      <c r="B3304" s="41" t="s">
        <v>176</v>
      </c>
      <c r="C3304" s="71">
        <v>45908</v>
      </c>
      <c r="D3304" s="41" t="str">
        <f>VLOOKUP(B3304,辅助信息!E:K,7,FALSE)</f>
        <v>JWDDCD2025062200016</v>
      </c>
      <c r="E3304" s="41" t="str">
        <f>VLOOKUP(F3304,辅助信息!A:B,2,FALSE)</f>
        <v>螺纹钢</v>
      </c>
      <c r="F3304" s="41"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1" t="str">
        <f>VLOOKUP(B3304,辅助信息!E:I,3,FALSE)</f>
        <v>(武汉电气化局成达万高铁强电项目-渠县)四川省达州市渠县渠北镇雷家湾渠县北站旁</v>
      </c>
      <c r="J3304" s="41" t="str">
        <f>VLOOKUP(B3304,辅助信息!E:I,4,FALSE)</f>
        <v>刘频</v>
      </c>
      <c r="K3304" s="41">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49</v>
      </c>
      <c r="Q3304" s="30" t="str">
        <f>VLOOKUP(B3304,辅助信息!E:M,9,FALSE)</f>
        <v>ZTWM-CDGS-XS-2025-0033-中铁武汉电气化局集团有限公司成达万高速铁路强电工程项目</v>
      </c>
      <c r="R3304" s="30" t="str">
        <f>_xlfn._xlws.FILTER(辅助信息!D:D,辅助信息!E:E=B3304)</f>
        <v>武汉电气化局成达万高铁强电项目</v>
      </c>
    </row>
    <row r="3305" hidden="1" spans="2:18">
      <c r="B3305" s="41" t="s">
        <v>176</v>
      </c>
      <c r="C3305" s="71">
        <v>45908</v>
      </c>
      <c r="D3305" s="41" t="str">
        <f>VLOOKUP(B3305,辅助信息!E:K,7,FALSE)</f>
        <v>JWDDCD2025062200016</v>
      </c>
      <c r="E3305" s="41" t="str">
        <f>VLOOKUP(F3305,辅助信息!A:B,2,FALSE)</f>
        <v>螺纹钢</v>
      </c>
      <c r="F3305" s="41"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1" t="str">
        <f>VLOOKUP(B3305,辅助信息!E:I,3,FALSE)</f>
        <v>(武汉电气化局成达万高铁强电项目-渠县)四川省达州市渠县渠北镇雷家湾渠县北站旁</v>
      </c>
      <c r="J3305" s="41" t="str">
        <f>VLOOKUP(B3305,辅助信息!E:I,4,FALSE)</f>
        <v>刘频</v>
      </c>
      <c r="K3305" s="41">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49</v>
      </c>
      <c r="Q3305" s="30" t="str">
        <f>VLOOKUP(B3305,辅助信息!E:M,9,FALSE)</f>
        <v>ZTWM-CDGS-XS-2025-0033-中铁武汉电气化局集团有限公司成达万高速铁路强电工程项目</v>
      </c>
      <c r="R3305" s="30" t="str">
        <f>_xlfn._xlws.FILTER(辅助信息!D:D,辅助信息!E:E=B3305)</f>
        <v>武汉电气化局成达万高铁强电项目</v>
      </c>
    </row>
    <row r="3306" hidden="1" spans="2:18">
      <c r="B3306" s="41" t="s">
        <v>176</v>
      </c>
      <c r="C3306" s="71">
        <v>45908</v>
      </c>
      <c r="D3306" s="41" t="str">
        <f>VLOOKUP(B3306,辅助信息!E:K,7,FALSE)</f>
        <v>JWDDCD2025062200016</v>
      </c>
      <c r="E3306" s="41" t="str">
        <f>VLOOKUP(F3306,辅助信息!A:B,2,FALSE)</f>
        <v>螺纹钢</v>
      </c>
      <c r="F3306" s="41"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1" t="str">
        <f>VLOOKUP(B3306,辅助信息!E:I,3,FALSE)</f>
        <v>(武汉电气化局成达万高铁强电项目-渠县)四川省达州市渠县渠北镇雷家湾渠县北站旁</v>
      </c>
      <c r="J3306" s="41" t="str">
        <f>VLOOKUP(B3306,辅助信息!E:I,4,FALSE)</f>
        <v>刘频</v>
      </c>
      <c r="K3306" s="41">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49</v>
      </c>
      <c r="Q3306" s="30" t="str">
        <f>VLOOKUP(B3306,辅助信息!E:M,9,FALSE)</f>
        <v>ZTWM-CDGS-XS-2025-0033-中铁武汉电气化局集团有限公司成达万高速铁路强电工程项目</v>
      </c>
      <c r="R3306" s="30" t="str">
        <f>_xlfn._xlws.FILTER(辅助信息!D:D,辅助信息!E:E=B3306)</f>
        <v>武汉电气化局成达万高铁强电项目</v>
      </c>
    </row>
    <row r="3307" hidden="1" spans="2:18">
      <c r="B3307" s="41" t="s">
        <v>176</v>
      </c>
      <c r="C3307" s="71">
        <v>45908</v>
      </c>
      <c r="D3307" s="41" t="str">
        <f>VLOOKUP(B3307,辅助信息!E:K,7,FALSE)</f>
        <v>JWDDCD2025062200016</v>
      </c>
      <c r="E3307" s="41" t="str">
        <f>VLOOKUP(F3307,辅助信息!A:B,2,FALSE)</f>
        <v>螺纹钢</v>
      </c>
      <c r="F3307" s="41"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1" t="str">
        <f>VLOOKUP(B3307,辅助信息!E:I,3,FALSE)</f>
        <v>(武汉电气化局成达万高铁强电项目-渠县)四川省达州市渠县渠北镇雷家湾渠县北站旁</v>
      </c>
      <c r="J3307" s="41" t="str">
        <f>VLOOKUP(B3307,辅助信息!E:I,4,FALSE)</f>
        <v>刘频</v>
      </c>
      <c r="K3307" s="41">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49</v>
      </c>
      <c r="Q3307" s="30" t="str">
        <f>VLOOKUP(B3307,辅助信息!E:M,9,FALSE)</f>
        <v>ZTWM-CDGS-XS-2025-0033-中铁武汉电气化局集团有限公司成达万高速铁路强电工程项目</v>
      </c>
      <c r="R3307" s="30" t="str">
        <f>_xlfn._xlws.FILTER(辅助信息!D:D,辅助信息!E:E=B3307)</f>
        <v>武汉电气化局成达万高铁强电项目</v>
      </c>
    </row>
    <row r="3308" hidden="1" spans="2:18">
      <c r="B3308" s="41" t="s">
        <v>204</v>
      </c>
      <c r="C3308" s="71">
        <v>45908</v>
      </c>
      <c r="D3308" s="41" t="str">
        <f>VLOOKUP(B3308,辅助信息!E:K,7,FALSE)</f>
        <v>JWDDCD2025062200016</v>
      </c>
      <c r="E3308" s="41" t="str">
        <f>VLOOKUP(F3308,辅助信息!A:B,2,FALSE)</f>
        <v>盘螺</v>
      </c>
      <c r="F3308" s="41"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1" t="str">
        <f>VLOOKUP(B3308,辅助信息!E:I,3,FALSE)</f>
        <v>(武汉电气化局成达万高铁强电项目-达州主城区-达州南站)四川省达州市达川区达州南站</v>
      </c>
      <c r="J3308" s="41" t="str">
        <f>VLOOKUP(B3308,辅助信息!E:I,4,FALSE)</f>
        <v>杨人志</v>
      </c>
      <c r="K3308" s="41">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49</v>
      </c>
      <c r="Q3308" s="30" t="str">
        <f>VLOOKUP(B3308,辅助信息!E:M,9,FALSE)</f>
        <v>ZTWM-CDGS-XS-2025-0033-中铁武汉电气化局集团有限公司成达万高速铁路强电工程项目</v>
      </c>
      <c r="R3308" s="30" t="str">
        <f>_xlfn._xlws.FILTER(辅助信息!D:D,辅助信息!E:E=B3308)</f>
        <v>武汉电气化局成达万高铁强电项目</v>
      </c>
    </row>
    <row r="3309" hidden="1" spans="2:18">
      <c r="B3309" s="41" t="s">
        <v>204</v>
      </c>
      <c r="C3309" s="71">
        <v>45908</v>
      </c>
      <c r="D3309" s="41" t="str">
        <f>VLOOKUP(B3309,辅助信息!E:K,7,FALSE)</f>
        <v>JWDDCD2025062200016</v>
      </c>
      <c r="E3309" s="41" t="str">
        <f>VLOOKUP(F3309,辅助信息!A:B,2,FALSE)</f>
        <v>螺纹钢</v>
      </c>
      <c r="F3309" s="41"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1" t="str">
        <f>VLOOKUP(B3309,辅助信息!E:I,3,FALSE)</f>
        <v>(武汉电气化局成达万高铁强电项目-达州主城区-达州南站)四川省达州市达川区达州南站</v>
      </c>
      <c r="J3309" s="41" t="str">
        <f>VLOOKUP(B3309,辅助信息!E:I,4,FALSE)</f>
        <v>杨人志</v>
      </c>
      <c r="K3309" s="41">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49</v>
      </c>
      <c r="Q3309" s="30" t="str">
        <f>VLOOKUP(B3309,辅助信息!E:M,9,FALSE)</f>
        <v>ZTWM-CDGS-XS-2025-0033-中铁武汉电气化局集团有限公司成达万高速铁路强电工程项目</v>
      </c>
      <c r="R3309" s="30" t="str">
        <f>_xlfn._xlws.FILTER(辅助信息!D:D,辅助信息!E:E=B3309)</f>
        <v>武汉电气化局成达万高铁强电项目</v>
      </c>
    </row>
    <row r="3310" hidden="1" spans="2:18">
      <c r="B3310" s="41" t="s">
        <v>204</v>
      </c>
      <c r="C3310" s="71">
        <v>45908</v>
      </c>
      <c r="D3310" s="41" t="str">
        <f>VLOOKUP(B3310,辅助信息!E:K,7,FALSE)</f>
        <v>JWDDCD2025062200016</v>
      </c>
      <c r="E3310" s="41" t="str">
        <f>VLOOKUP(F3310,辅助信息!A:B,2,FALSE)</f>
        <v>螺纹钢</v>
      </c>
      <c r="F3310" s="41"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1" t="str">
        <f>VLOOKUP(B3310,辅助信息!E:I,3,FALSE)</f>
        <v>(武汉电气化局成达万高铁强电项目-达州主城区-达州南站)四川省达州市达川区达州南站</v>
      </c>
      <c r="J3310" s="41" t="str">
        <f>VLOOKUP(B3310,辅助信息!E:I,4,FALSE)</f>
        <v>杨人志</v>
      </c>
      <c r="K3310" s="41">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49</v>
      </c>
      <c r="Q3310" s="30" t="str">
        <f>VLOOKUP(B3310,辅助信息!E:M,9,FALSE)</f>
        <v>ZTWM-CDGS-XS-2025-0033-中铁武汉电气化局集团有限公司成达万高速铁路强电工程项目</v>
      </c>
      <c r="R3310" s="30" t="str">
        <f>_xlfn._xlws.FILTER(辅助信息!D:D,辅助信息!E:E=B3310)</f>
        <v>武汉电气化局成达万高铁强电项目</v>
      </c>
    </row>
    <row r="3311" hidden="1" spans="2:18">
      <c r="B3311" s="41" t="s">
        <v>204</v>
      </c>
      <c r="C3311" s="71">
        <v>45908</v>
      </c>
      <c r="D3311" s="41" t="str">
        <f>VLOOKUP(B3311,辅助信息!E:K,7,FALSE)</f>
        <v>JWDDCD2025062200016</v>
      </c>
      <c r="E3311" s="41" t="str">
        <f>VLOOKUP(F3311,辅助信息!A:B,2,FALSE)</f>
        <v>螺纹钢</v>
      </c>
      <c r="F3311" s="41"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1" t="str">
        <f>VLOOKUP(B3311,辅助信息!E:I,3,FALSE)</f>
        <v>(武汉电气化局成达万高铁强电项目-达州主城区-达州南站)四川省达州市达川区达州南站</v>
      </c>
      <c r="J3311" s="41" t="str">
        <f>VLOOKUP(B3311,辅助信息!E:I,4,FALSE)</f>
        <v>杨人志</v>
      </c>
      <c r="K3311" s="41">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49</v>
      </c>
      <c r="Q3311" s="30" t="str">
        <f>VLOOKUP(B3311,辅助信息!E:M,9,FALSE)</f>
        <v>ZTWM-CDGS-XS-2025-0033-中铁武汉电气化局集团有限公司成达万高速铁路强电工程项目</v>
      </c>
      <c r="R3311" s="30" t="str">
        <f>_xlfn._xlws.FILTER(辅助信息!D:D,辅助信息!E:E=B3311)</f>
        <v>武汉电气化局成达万高铁强电项目</v>
      </c>
    </row>
    <row r="3312" hidden="1" spans="2:18">
      <c r="B3312" s="41" t="s">
        <v>204</v>
      </c>
      <c r="C3312" s="71">
        <v>45908</v>
      </c>
      <c r="D3312" s="41" t="str">
        <f>VLOOKUP(B3312,辅助信息!E:K,7,FALSE)</f>
        <v>JWDDCD2025062200016</v>
      </c>
      <c r="E3312" s="41" t="str">
        <f>VLOOKUP(F3312,辅助信息!A:B,2,FALSE)</f>
        <v>螺纹钢</v>
      </c>
      <c r="F3312" s="41"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1" t="str">
        <f>VLOOKUP(B3312,辅助信息!E:I,3,FALSE)</f>
        <v>(武汉电气化局成达万高铁强电项目-达州主城区-达州南站)四川省达州市达川区达州南站</v>
      </c>
      <c r="J3312" s="41" t="str">
        <f>VLOOKUP(B3312,辅助信息!E:I,4,FALSE)</f>
        <v>杨人志</v>
      </c>
      <c r="K3312" s="41">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49</v>
      </c>
      <c r="Q3312" s="30" t="str">
        <f>VLOOKUP(B3312,辅助信息!E:M,9,FALSE)</f>
        <v>ZTWM-CDGS-XS-2025-0033-中铁武汉电气化局集团有限公司成达万高速铁路强电工程项目</v>
      </c>
      <c r="R3312" s="30" t="str">
        <f>_xlfn._xlws.FILTER(辅助信息!D:D,辅助信息!E:E=B3312)</f>
        <v>武汉电气化局成达万高铁强电项目</v>
      </c>
    </row>
    <row r="3313" hidden="1" spans="2:18">
      <c r="B3313" s="41" t="s">
        <v>204</v>
      </c>
      <c r="C3313" s="71">
        <v>45908</v>
      </c>
      <c r="D3313" s="41" t="str">
        <f>VLOOKUP(B3313,辅助信息!E:K,7,FALSE)</f>
        <v>JWDDCD2025062200016</v>
      </c>
      <c r="E3313" s="41" t="str">
        <f>VLOOKUP(F3313,辅助信息!A:B,2,FALSE)</f>
        <v>螺纹钢</v>
      </c>
      <c r="F3313" s="41"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1" t="str">
        <f>VLOOKUP(B3313,辅助信息!E:I,3,FALSE)</f>
        <v>(武汉电气化局成达万高铁强电项目-达州主城区-达州南站)四川省达州市达川区达州南站</v>
      </c>
      <c r="J3313" s="41" t="str">
        <f>VLOOKUP(B3313,辅助信息!E:I,4,FALSE)</f>
        <v>杨人志</v>
      </c>
      <c r="K3313" s="41">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49</v>
      </c>
      <c r="Q3313" s="30" t="str">
        <f>VLOOKUP(B3313,辅助信息!E:M,9,FALSE)</f>
        <v>ZTWM-CDGS-XS-2025-0033-中铁武汉电气化局集团有限公司成达万高速铁路强电工程项目</v>
      </c>
      <c r="R3313" s="30" t="str">
        <f>_xlfn._xlws.FILTER(辅助信息!D:D,辅助信息!E:E=B3313)</f>
        <v>武汉电气化局成达万高铁强电项目</v>
      </c>
    </row>
    <row r="3314" hidden="1" spans="2:18">
      <c r="B3314" s="41" t="s">
        <v>204</v>
      </c>
      <c r="C3314" s="71">
        <v>45908</v>
      </c>
      <c r="D3314" s="41" t="str">
        <f>VLOOKUP(B3314,辅助信息!E:K,7,FALSE)</f>
        <v>JWDDCD2025062200016</v>
      </c>
      <c r="E3314" s="41" t="str">
        <f>VLOOKUP(F3314,辅助信息!A:B,2,FALSE)</f>
        <v>螺纹钢</v>
      </c>
      <c r="F3314" s="41"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1" t="str">
        <f>VLOOKUP(B3314,辅助信息!E:I,3,FALSE)</f>
        <v>(武汉电气化局成达万高铁强电项目-达州主城区-达州南站)四川省达州市达川区达州南站</v>
      </c>
      <c r="J3314" s="41" t="str">
        <f>VLOOKUP(B3314,辅助信息!E:I,4,FALSE)</f>
        <v>杨人志</v>
      </c>
      <c r="K3314" s="41">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49</v>
      </c>
      <c r="Q3314" s="30" t="str">
        <f>VLOOKUP(B3314,辅助信息!E:M,9,FALSE)</f>
        <v>ZTWM-CDGS-XS-2025-0033-中铁武汉电气化局集团有限公司成达万高速铁路强电工程项目</v>
      </c>
      <c r="R3314" s="30" t="str">
        <f>_xlfn._xlws.FILTER(辅助信息!D:D,辅助信息!E:E=B3314)</f>
        <v>武汉电气化局成达万高铁强电项目</v>
      </c>
    </row>
    <row r="3315" hidden="1" spans="2:18">
      <c r="B3315" s="41" t="s">
        <v>204</v>
      </c>
      <c r="C3315" s="71">
        <v>45908</v>
      </c>
      <c r="D3315" s="41" t="str">
        <f>VLOOKUP(B3315,辅助信息!E:K,7,FALSE)</f>
        <v>JWDDCD2025062200016</v>
      </c>
      <c r="E3315" s="41" t="str">
        <f>VLOOKUP(F3315,辅助信息!A:B,2,FALSE)</f>
        <v>螺纹钢</v>
      </c>
      <c r="F3315" s="41"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1" t="str">
        <f>VLOOKUP(B3315,辅助信息!E:I,3,FALSE)</f>
        <v>(武汉电气化局成达万高铁强电项目-达州主城区-达州南站)四川省达州市达川区达州南站</v>
      </c>
      <c r="J3315" s="41" t="str">
        <f>VLOOKUP(B3315,辅助信息!E:I,4,FALSE)</f>
        <v>杨人志</v>
      </c>
      <c r="K3315" s="41">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49</v>
      </c>
      <c r="Q3315" s="30" t="str">
        <f>VLOOKUP(B3315,辅助信息!E:M,9,FALSE)</f>
        <v>ZTWM-CDGS-XS-2025-0033-中铁武汉电气化局集团有限公司成达万高速铁路强电工程项目</v>
      </c>
      <c r="R3315" s="30" t="str">
        <f>_xlfn._xlws.FILTER(辅助信息!D:D,辅助信息!E:E=B3315)</f>
        <v>武汉电气化局成达万高铁强电项目</v>
      </c>
    </row>
    <row r="3316" hidden="1" spans="2:18">
      <c r="B3316" s="41" t="s">
        <v>204</v>
      </c>
      <c r="C3316" s="71">
        <v>45908</v>
      </c>
      <c r="D3316" s="41" t="str">
        <f>VLOOKUP(B3316,辅助信息!E:K,7,FALSE)</f>
        <v>JWDDCD2025062200016</v>
      </c>
      <c r="E3316" s="41" t="str">
        <f>VLOOKUP(F3316,辅助信息!A:B,2,FALSE)</f>
        <v>螺纹钢</v>
      </c>
      <c r="F3316" s="41"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1" t="str">
        <f>VLOOKUP(B3316,辅助信息!E:I,3,FALSE)</f>
        <v>(武汉电气化局成达万高铁强电项目-达州主城区-达州南站)四川省达州市达川区达州南站</v>
      </c>
      <c r="J3316" s="41" t="str">
        <f>VLOOKUP(B3316,辅助信息!E:I,4,FALSE)</f>
        <v>杨人志</v>
      </c>
      <c r="K3316" s="41">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49</v>
      </c>
      <c r="Q3316" s="30" t="str">
        <f>VLOOKUP(B3316,辅助信息!E:M,9,FALSE)</f>
        <v>ZTWM-CDGS-XS-2025-0033-中铁武汉电气化局集团有限公司成达万高速铁路强电工程项目</v>
      </c>
      <c r="R3316" s="30" t="str">
        <f>_xlfn._xlws.FILTER(辅助信息!D:D,辅助信息!E:E=B3316)</f>
        <v>武汉电气化局成达万高铁强电项目</v>
      </c>
    </row>
    <row r="3317" hidden="1" spans="1:18">
      <c r="A3317" s="72" t="s">
        <v>216</v>
      </c>
      <c r="B3317" s="41" t="s">
        <v>167</v>
      </c>
      <c r="C3317" s="71">
        <v>45905</v>
      </c>
      <c r="D3317" s="41" t="str">
        <f>VLOOKUP(B3317,辅助信息!E:K,7,FALSE)</f>
        <v>JWDDCD2025102100473</v>
      </c>
      <c r="E3317" s="41" t="str">
        <f>VLOOKUP(F3317,辅助信息!A:B,2,FALSE)</f>
        <v>螺纹钢</v>
      </c>
      <c r="F3317" s="41" t="s">
        <v>66</v>
      </c>
      <c r="G3317" s="37">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1" t="str">
        <f>VLOOKUP(B3317,辅助信息!E:I,3,FALSE)</f>
        <v>(五冶建设扩建艺体中学二期工程)四川省成都市双流区光荣路成都艺体中学南200米</v>
      </c>
      <c r="J3317" s="41" t="str">
        <f>VLOOKUP(B3317,辅助信息!E:I,4,FALSE)</f>
        <v>谢序强</v>
      </c>
      <c r="K3317" s="41">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30" t="str">
        <f>VLOOKUP(B3317,辅助信息!E:M,9,FALSE)</f>
        <v>ZTWM-CDGS-XS-2025-0073-五冶天府-成都怡心湖片区及龙泉驿医院等项目</v>
      </c>
      <c r="R3317" s="30" t="str">
        <f>_xlfn._xlws.FILTER(辅助信息!D:D,辅助信息!E:E=B3317)</f>
        <v>五冶建设扩建艺体中学二期工程</v>
      </c>
    </row>
    <row r="3318" hidden="1" spans="1:18">
      <c r="A3318" s="72"/>
      <c r="B3318" s="41" t="s">
        <v>167</v>
      </c>
      <c r="C3318" s="71">
        <v>45905</v>
      </c>
      <c r="D3318" s="41" t="str">
        <f>VLOOKUP(B3318,辅助信息!E:K,7,FALSE)</f>
        <v>JWDDCD2025102100473</v>
      </c>
      <c r="E3318" s="41" t="str">
        <f>VLOOKUP(F3318,辅助信息!A:B,2,FALSE)</f>
        <v>螺纹钢</v>
      </c>
      <c r="F3318" s="41" t="s">
        <v>22</v>
      </c>
      <c r="G3318" s="37">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1" t="str">
        <f>VLOOKUP(B3318,辅助信息!E:I,3,FALSE)</f>
        <v>(五冶建设扩建艺体中学二期工程)四川省成都市双流区光荣路成都艺体中学南200米</v>
      </c>
      <c r="J3318" s="41" t="str">
        <f>VLOOKUP(B3318,辅助信息!E:I,4,FALSE)</f>
        <v>谢序强</v>
      </c>
      <c r="K3318" s="41">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30" t="str">
        <f>VLOOKUP(B3318,辅助信息!E:M,9,FALSE)</f>
        <v>ZTWM-CDGS-XS-2025-0073-五冶天府-成都怡心湖片区及龙泉驿医院等项目</v>
      </c>
      <c r="R3318" s="30" t="str">
        <f>_xlfn._xlws.FILTER(辅助信息!D:D,辅助信息!E:E=B3318)</f>
        <v>五冶建设扩建艺体中学二期工程</v>
      </c>
    </row>
    <row r="3319" hidden="1" spans="2:18">
      <c r="B3319" s="41" t="s">
        <v>186</v>
      </c>
      <c r="C3319" s="71">
        <v>45905</v>
      </c>
      <c r="D3319" s="41" t="str">
        <f>VLOOKUP(B3319,辅助信息!E:K,7,FALSE)</f>
        <v>JWDDCD2025072900123</v>
      </c>
      <c r="E3319" s="41" t="str">
        <f>VLOOKUP(F3319,辅助信息!A:B,2,FALSE)</f>
        <v>盘螺</v>
      </c>
      <c r="F3319" s="41" t="s">
        <v>40</v>
      </c>
      <c r="G3319" s="37">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1" t="str">
        <f>VLOOKUP(B3319,辅助信息!E:I,3,FALSE)</f>
        <v>(乐山市校地共建产教融合基地建设项目二标段)四川省乐山市市中区苏稽镇</v>
      </c>
      <c r="J3319" s="41" t="str">
        <f>VLOOKUP(B3319,辅助信息!E:I,4,FALSE)</f>
        <v>彭江涛</v>
      </c>
      <c r="K3319" s="41">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30" t="str">
        <f>VLOOKUP(B3319,辅助信息!E:M,9,FALSE)</f>
        <v>ZTWM-CDGS-XS-2025-0126-四川机司-乐山市校地共建产教融合基地配套设施项目施工二标段钢筋采购合同</v>
      </c>
      <c r="R3319" s="30" t="str">
        <f>_xlfn._xlws.FILTER(辅助信息!D:D,辅助信息!E:E=B3319)</f>
        <v>乐山市校地共建产教融合基地建设项目</v>
      </c>
    </row>
    <row r="3320" hidden="1" spans="2:18">
      <c r="B3320" s="41" t="s">
        <v>186</v>
      </c>
      <c r="C3320" s="71">
        <v>45905</v>
      </c>
      <c r="D3320" s="41" t="str">
        <f>VLOOKUP(B3320,辅助信息!E:K,7,FALSE)</f>
        <v>JWDDCD2025072900123</v>
      </c>
      <c r="E3320" s="41" t="str">
        <f>VLOOKUP(F3320,辅助信息!A:B,2,FALSE)</f>
        <v>盘螺</v>
      </c>
      <c r="F3320" s="41" t="s">
        <v>26</v>
      </c>
      <c r="G3320" s="37">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1" t="str">
        <f>VLOOKUP(B3320,辅助信息!E:I,3,FALSE)</f>
        <v>(乐山市校地共建产教融合基地建设项目二标段)四川省乐山市市中区苏稽镇</v>
      </c>
      <c r="J3320" s="41" t="str">
        <f>VLOOKUP(B3320,辅助信息!E:I,4,FALSE)</f>
        <v>彭江涛</v>
      </c>
      <c r="K3320" s="41">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30" t="str">
        <f>VLOOKUP(B3320,辅助信息!E:M,9,FALSE)</f>
        <v>ZTWM-CDGS-XS-2025-0126-四川机司-乐山市校地共建产教融合基地配套设施项目施工二标段钢筋采购合同</v>
      </c>
      <c r="R3320" s="30" t="str">
        <f>_xlfn._xlws.FILTER(辅助信息!D:D,辅助信息!E:E=B3320)</f>
        <v>乐山市校地共建产教融合基地建设项目</v>
      </c>
    </row>
    <row r="3321" hidden="1" spans="2:18">
      <c r="B3321" s="41" t="s">
        <v>186</v>
      </c>
      <c r="C3321" s="71">
        <v>45905</v>
      </c>
      <c r="D3321" s="41" t="str">
        <f>VLOOKUP(B3321,辅助信息!E:K,7,FALSE)</f>
        <v>JWDDCD2025072900123</v>
      </c>
      <c r="E3321" s="41" t="str">
        <f>VLOOKUP(F3321,辅助信息!A:B,2,FALSE)</f>
        <v>螺纹钢</v>
      </c>
      <c r="F3321" s="41" t="s">
        <v>205</v>
      </c>
      <c r="G3321" s="37">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1" t="str">
        <f>VLOOKUP(B3321,辅助信息!E:I,3,FALSE)</f>
        <v>(乐山市校地共建产教融合基地建设项目二标段)四川省乐山市市中区苏稽镇</v>
      </c>
      <c r="J3321" s="41" t="str">
        <f>VLOOKUP(B3321,辅助信息!E:I,4,FALSE)</f>
        <v>彭江涛</v>
      </c>
      <c r="K3321" s="41">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30" t="str">
        <f>VLOOKUP(B3321,辅助信息!E:M,9,FALSE)</f>
        <v>ZTWM-CDGS-XS-2025-0126-四川机司-乐山市校地共建产教融合基地配套设施项目施工二标段钢筋采购合同</v>
      </c>
      <c r="R3321" s="30" t="str">
        <f>_xlfn._xlws.FILTER(辅助信息!D:D,辅助信息!E:E=B3321)</f>
        <v>乐山市校地共建产教融合基地建设项目</v>
      </c>
    </row>
    <row r="3322" hidden="1" spans="2:18">
      <c r="B3322" s="41" t="s">
        <v>186</v>
      </c>
      <c r="C3322" s="71">
        <v>45905</v>
      </c>
      <c r="D3322" s="41" t="str">
        <f>VLOOKUP(B3322,辅助信息!E:K,7,FALSE)</f>
        <v>JWDDCD2025072900123</v>
      </c>
      <c r="E3322" s="41" t="str">
        <f>VLOOKUP(F3322,辅助信息!A:B,2,FALSE)</f>
        <v>螺纹钢</v>
      </c>
      <c r="F3322" s="41" t="s">
        <v>140</v>
      </c>
      <c r="G3322" s="37">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1" t="str">
        <f>VLOOKUP(B3322,辅助信息!E:I,3,FALSE)</f>
        <v>(乐山市校地共建产教融合基地建设项目二标段)四川省乐山市市中区苏稽镇</v>
      </c>
      <c r="J3322" s="41" t="str">
        <f>VLOOKUP(B3322,辅助信息!E:I,4,FALSE)</f>
        <v>彭江涛</v>
      </c>
      <c r="K3322" s="41">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30" t="str">
        <f>VLOOKUP(B3322,辅助信息!E:M,9,FALSE)</f>
        <v>ZTWM-CDGS-XS-2025-0126-四川机司-乐山市校地共建产教融合基地配套设施项目施工二标段钢筋采购合同</v>
      </c>
      <c r="R3322" s="30" t="str">
        <f>_xlfn._xlws.FILTER(辅助信息!D:D,辅助信息!E:E=B3322)</f>
        <v>乐山市校地共建产教融合基地建设项目</v>
      </c>
    </row>
    <row r="3323" hidden="1" spans="2:18">
      <c r="B3323" s="41" t="s">
        <v>186</v>
      </c>
      <c r="C3323" s="71">
        <v>45905</v>
      </c>
      <c r="D3323" s="41" t="str">
        <f>VLOOKUP(B3323,辅助信息!E:K,7,FALSE)</f>
        <v>JWDDCD2025072900123</v>
      </c>
      <c r="E3323" s="41" t="str">
        <f>VLOOKUP(F3323,辅助信息!A:B,2,FALSE)</f>
        <v>螺纹钢</v>
      </c>
      <c r="F3323" s="41" t="s">
        <v>22</v>
      </c>
      <c r="G3323" s="37">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1" t="str">
        <f>VLOOKUP(B3323,辅助信息!E:I,3,FALSE)</f>
        <v>(乐山市校地共建产教融合基地建设项目二标段)四川省乐山市市中区苏稽镇</v>
      </c>
      <c r="J3323" s="41" t="str">
        <f>VLOOKUP(B3323,辅助信息!E:I,4,FALSE)</f>
        <v>彭江涛</v>
      </c>
      <c r="K3323" s="41">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30" t="str">
        <f>VLOOKUP(B3323,辅助信息!E:M,9,FALSE)</f>
        <v>ZTWM-CDGS-XS-2025-0126-四川机司-乐山市校地共建产教融合基地配套设施项目施工二标段钢筋采购合同</v>
      </c>
      <c r="R3323" s="30" t="str">
        <f>_xlfn._xlws.FILTER(辅助信息!D:D,辅助信息!E:E=B3323)</f>
        <v>乐山市校地共建产教融合基地建设项目</v>
      </c>
    </row>
    <row r="3324" hidden="1" spans="2:18">
      <c r="B3324" s="41" t="s">
        <v>186</v>
      </c>
      <c r="C3324" s="71">
        <v>45905</v>
      </c>
      <c r="D3324" s="41" t="str">
        <f>VLOOKUP(B3324,辅助信息!E:K,7,FALSE)</f>
        <v>JWDDCD2025072900123</v>
      </c>
      <c r="E3324" s="41" t="str">
        <f>VLOOKUP(F3324,辅助信息!A:B,2,FALSE)</f>
        <v>螺纹钢</v>
      </c>
      <c r="F3324" s="41" t="s">
        <v>142</v>
      </c>
      <c r="G3324" s="37">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1" t="str">
        <f>VLOOKUP(B3324,辅助信息!E:I,3,FALSE)</f>
        <v>(乐山市校地共建产教融合基地建设项目二标段)四川省乐山市市中区苏稽镇</v>
      </c>
      <c r="J3324" s="41" t="str">
        <f>VLOOKUP(B3324,辅助信息!E:I,4,FALSE)</f>
        <v>彭江涛</v>
      </c>
      <c r="K3324" s="41">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30" t="str">
        <f>VLOOKUP(B3324,辅助信息!E:M,9,FALSE)</f>
        <v>ZTWM-CDGS-XS-2025-0126-四川机司-乐山市校地共建产教融合基地配套设施项目施工二标段钢筋采购合同</v>
      </c>
      <c r="R3324" s="30" t="str">
        <f>_xlfn._xlws.FILTER(辅助信息!D:D,辅助信息!E:E=B3324)</f>
        <v>乐山市校地共建产教融合基地建设项目</v>
      </c>
    </row>
    <row r="3325" hidden="1" spans="2:18">
      <c r="B3325" s="41" t="s">
        <v>167</v>
      </c>
      <c r="C3325" s="71">
        <v>45905</v>
      </c>
      <c r="D3325" s="41" t="str">
        <f>VLOOKUP(B3325,辅助信息!E:K,7,FALSE)</f>
        <v>JWDDCD2025102100473</v>
      </c>
      <c r="E3325" s="41" t="str">
        <f>VLOOKUP(F3325,辅助信息!A:B,2,FALSE)</f>
        <v>盘螺</v>
      </c>
      <c r="F3325" s="41" t="s">
        <v>41</v>
      </c>
      <c r="G3325" s="37">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1" t="str">
        <f>VLOOKUP(B3325,辅助信息!E:I,3,FALSE)</f>
        <v>(五冶建设扩建艺体中学二期工程)四川省成都市双流区光荣路成都艺体中学南200米</v>
      </c>
      <c r="J3325" s="41" t="str">
        <f>VLOOKUP(B3325,辅助信息!E:I,4,FALSE)</f>
        <v>谢序强</v>
      </c>
      <c r="K3325" s="41">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51</v>
      </c>
      <c r="Q3325" s="30" t="str">
        <f>VLOOKUP(B3325,辅助信息!E:M,9,FALSE)</f>
        <v>ZTWM-CDGS-XS-2025-0073-五冶天府-成都怡心湖片区及龙泉驿医院等项目</v>
      </c>
      <c r="R3325" s="30" t="str">
        <f>_xlfn._xlws.FILTER(辅助信息!D:D,辅助信息!E:E=B3325)</f>
        <v>五冶建设扩建艺体中学二期工程</v>
      </c>
    </row>
    <row r="3326" hidden="1" spans="2:18">
      <c r="B3326" s="41" t="s">
        <v>167</v>
      </c>
      <c r="C3326" s="71">
        <v>45905</v>
      </c>
      <c r="D3326" s="41" t="str">
        <f>VLOOKUP(B3326,辅助信息!E:K,7,FALSE)</f>
        <v>JWDDCD2025102100473</v>
      </c>
      <c r="E3326" s="41" t="str">
        <f>VLOOKUP(F3326,辅助信息!A:B,2,FALSE)</f>
        <v>螺纹钢</v>
      </c>
      <c r="F3326" s="41" t="s">
        <v>27</v>
      </c>
      <c r="G3326" s="37">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1" t="str">
        <f>VLOOKUP(B3326,辅助信息!E:I,3,FALSE)</f>
        <v>(五冶建设扩建艺体中学二期工程)四川省成都市双流区光荣路成都艺体中学南200米</v>
      </c>
      <c r="J3326" s="41" t="str">
        <f>VLOOKUP(B3326,辅助信息!E:I,4,FALSE)</f>
        <v>谢序强</v>
      </c>
      <c r="K3326" s="41">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51</v>
      </c>
      <c r="Q3326" s="30" t="str">
        <f>VLOOKUP(B3326,辅助信息!E:M,9,FALSE)</f>
        <v>ZTWM-CDGS-XS-2025-0073-五冶天府-成都怡心湖片区及龙泉驿医院等项目</v>
      </c>
      <c r="R3326" s="30" t="str">
        <f>_xlfn._xlws.FILTER(辅助信息!D:D,辅助信息!E:E=B3326)</f>
        <v>五冶建设扩建艺体中学二期工程</v>
      </c>
    </row>
    <row r="3327" hidden="1" spans="2:18">
      <c r="B3327" s="41" t="s">
        <v>167</v>
      </c>
      <c r="C3327" s="71">
        <v>45905</v>
      </c>
      <c r="D3327" s="41" t="str">
        <f>VLOOKUP(B3327,辅助信息!E:K,7,FALSE)</f>
        <v>JWDDCD2025102100473</v>
      </c>
      <c r="E3327" s="41" t="str">
        <f>VLOOKUP(F3327,辅助信息!A:B,2,FALSE)</f>
        <v>螺纹钢</v>
      </c>
      <c r="F3327" s="41" t="s">
        <v>22</v>
      </c>
      <c r="G3327" s="37">
        <v>21</v>
      </c>
      <c r="H3327" s="135"/>
      <c r="I3327" s="41" t="str">
        <f>VLOOKUP(B3327,辅助信息!E:I,3,FALSE)</f>
        <v>(五冶建设扩建艺体中学二期工程)四川省成都市双流区光荣路成都艺体中学南200米</v>
      </c>
      <c r="J3327" s="41" t="str">
        <f>VLOOKUP(B3327,辅助信息!E:I,4,FALSE)</f>
        <v>谢序强</v>
      </c>
      <c r="K3327" s="41">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51</v>
      </c>
      <c r="Q3327" s="30" t="str">
        <f>VLOOKUP(B3327,辅助信息!E:M,9,FALSE)</f>
        <v>ZTWM-CDGS-XS-2025-0073-五冶天府-成都怡心湖片区及龙泉驿医院等项目</v>
      </c>
      <c r="R3327" s="30" t="str">
        <f>_xlfn._xlws.FILTER(辅助信息!D:D,辅助信息!E:E=B3327)</f>
        <v>五冶建设扩建艺体中学二期工程</v>
      </c>
    </row>
    <row r="3328" hidden="1" spans="2:18">
      <c r="B3328" s="41" t="s">
        <v>167</v>
      </c>
      <c r="C3328" s="71">
        <v>45905</v>
      </c>
      <c r="D3328" s="41" t="str">
        <f>VLOOKUP(B3328,辅助信息!E:K,7,FALSE)</f>
        <v>JWDDCD2025102100473</v>
      </c>
      <c r="E3328" s="41" t="str">
        <f>VLOOKUP(F3328,辅助信息!A:B,2,FALSE)</f>
        <v>螺纹钢</v>
      </c>
      <c r="F3328" s="41" t="s">
        <v>181</v>
      </c>
      <c r="G3328" s="37">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1" t="str">
        <f>VLOOKUP(B3328,辅助信息!E:I,3,FALSE)</f>
        <v>(五冶建设扩建艺体中学二期工程)四川省成都市双流区光荣路成都艺体中学南200米</v>
      </c>
      <c r="J3328" s="41" t="str">
        <f>VLOOKUP(B3328,辅助信息!E:I,4,FALSE)</f>
        <v>谢序强</v>
      </c>
      <c r="K3328" s="41">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51</v>
      </c>
      <c r="Q3328" s="30" t="str">
        <f>VLOOKUP(B3328,辅助信息!E:M,9,FALSE)</f>
        <v>ZTWM-CDGS-XS-2025-0073-五冶天府-成都怡心湖片区及龙泉驿医院等项目</v>
      </c>
      <c r="R3328" s="30" t="str">
        <f>_xlfn._xlws.FILTER(辅助信息!D:D,辅助信息!E:E=B3328)</f>
        <v>五冶建设扩建艺体中学二期工程</v>
      </c>
    </row>
    <row r="3329" hidden="1" spans="2:18">
      <c r="B3329" s="41" t="s">
        <v>167</v>
      </c>
      <c r="C3329" s="71">
        <v>45905</v>
      </c>
      <c r="D3329" s="41" t="str">
        <f>VLOOKUP(B3329,辅助信息!E:K,7,FALSE)</f>
        <v>JWDDCD2025102100473</v>
      </c>
      <c r="E3329" s="41" t="str">
        <f>VLOOKUP(F3329,辅助信息!A:B,2,FALSE)</f>
        <v>螺纹钢</v>
      </c>
      <c r="F3329" s="41" t="s">
        <v>182</v>
      </c>
      <c r="G3329" s="37">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1" t="str">
        <f>VLOOKUP(B3329,辅助信息!E:I,3,FALSE)</f>
        <v>(五冶建设扩建艺体中学二期工程)四川省成都市双流区光荣路成都艺体中学南200米</v>
      </c>
      <c r="J3329" s="41" t="str">
        <f>VLOOKUP(B3329,辅助信息!E:I,4,FALSE)</f>
        <v>谢序强</v>
      </c>
      <c r="K3329" s="41">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51</v>
      </c>
      <c r="Q3329" s="30" t="str">
        <f>VLOOKUP(B3329,辅助信息!E:M,9,FALSE)</f>
        <v>ZTWM-CDGS-XS-2025-0073-五冶天府-成都怡心湖片区及龙泉驿医院等项目</v>
      </c>
      <c r="R3329" s="30" t="str">
        <f>_xlfn._xlws.FILTER(辅助信息!D:D,辅助信息!E:E=B3329)</f>
        <v>五冶建设扩建艺体中学二期工程</v>
      </c>
    </row>
    <row r="3330" hidden="1" spans="2:18">
      <c r="B3330" s="41" t="s">
        <v>112</v>
      </c>
      <c r="C3330" s="71">
        <v>45909</v>
      </c>
      <c r="D3330" s="41" t="str">
        <f>VLOOKUP(B3330,辅助信息!E:K,7,FALSE)</f>
        <v>JWDDCD2025052800131</v>
      </c>
      <c r="E3330" s="41" t="str">
        <f>VLOOKUP(F3330,辅助信息!A:B,2,FALSE)</f>
        <v>盘螺</v>
      </c>
      <c r="F3330" s="41" t="s">
        <v>49</v>
      </c>
      <c r="G3330" s="37">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1" t="str">
        <f>VLOOKUP(B3330,辅助信息!E:I,3,FALSE)</f>
        <v>（商投建工达州中医药科技园-4工区-10号楼）达州市通川区达州中医药职业学院犀牛大道北段</v>
      </c>
      <c r="J3330" s="41" t="str">
        <f>VLOOKUP(B3330,辅助信息!E:I,4,FALSE)</f>
        <v>张扬</v>
      </c>
      <c r="K3330" s="41">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49</v>
      </c>
      <c r="Q3330" s="30" t="str">
        <f>VLOOKUP(B3330,辅助信息!E:M,9,FALSE)</f>
        <v>ZTWM-CDGS-XS-2024-0134-商投建工达州中医药科技成果示范园项目</v>
      </c>
      <c r="R3330" s="30" t="str">
        <f>_xlfn._xlws.FILTER(辅助信息!D:D,辅助信息!E:E=B3330)</f>
        <v>商投建工达州中医药科技园</v>
      </c>
    </row>
    <row r="3331" hidden="1" spans="2:18">
      <c r="B3331" s="41" t="s">
        <v>112</v>
      </c>
      <c r="C3331" s="71">
        <v>45909</v>
      </c>
      <c r="D3331" s="41" t="str">
        <f>VLOOKUP(B3331,辅助信息!E:K,7,FALSE)</f>
        <v>JWDDCD2025052800131</v>
      </c>
      <c r="E3331" s="41" t="str">
        <f>VLOOKUP(F3331,辅助信息!A:B,2,FALSE)</f>
        <v>盘螺</v>
      </c>
      <c r="F3331" s="41" t="s">
        <v>40</v>
      </c>
      <c r="G3331" s="37">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1" t="str">
        <f>VLOOKUP(B3331,辅助信息!E:I,3,FALSE)</f>
        <v>（商投建工达州中医药科技园-4工区-10号楼）达州市通川区达州中医药职业学院犀牛大道北段</v>
      </c>
      <c r="J3331" s="41" t="str">
        <f>VLOOKUP(B3331,辅助信息!E:I,4,FALSE)</f>
        <v>张扬</v>
      </c>
      <c r="K3331" s="41">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30" t="str">
        <f>VLOOKUP(B3331,辅助信息!E:M,9,FALSE)</f>
        <v>ZTWM-CDGS-XS-2024-0134-商投建工达州中医药科技成果示范园项目</v>
      </c>
      <c r="R3331" s="30" t="str">
        <f>_xlfn._xlws.FILTER(辅助信息!D:D,辅助信息!E:E=B3331)</f>
        <v>商投建工达州中医药科技园</v>
      </c>
    </row>
    <row r="3332" hidden="1" spans="2:18">
      <c r="B3332" s="41" t="s">
        <v>112</v>
      </c>
      <c r="C3332" s="71">
        <v>45909</v>
      </c>
      <c r="D3332" s="41" t="str">
        <f>VLOOKUP(B3332,辅助信息!E:K,7,FALSE)</f>
        <v>JWDDCD2025052800131</v>
      </c>
      <c r="E3332" s="41" t="str">
        <f>VLOOKUP(F3332,辅助信息!A:B,2,FALSE)</f>
        <v>盘螺</v>
      </c>
      <c r="F3332" s="41" t="s">
        <v>41</v>
      </c>
      <c r="G3332" s="37">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1" t="str">
        <f>VLOOKUP(B3332,辅助信息!E:I,3,FALSE)</f>
        <v>（商投建工达州中医药科技园-4工区-10号楼）达州市通川区达州中医药职业学院犀牛大道北段</v>
      </c>
      <c r="J3332" s="41" t="str">
        <f>VLOOKUP(B3332,辅助信息!E:I,4,FALSE)</f>
        <v>张扬</v>
      </c>
      <c r="K3332" s="41">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49</v>
      </c>
      <c r="Q3332" s="30" t="str">
        <f>VLOOKUP(B3332,辅助信息!E:M,9,FALSE)</f>
        <v>ZTWM-CDGS-XS-2024-0134-商投建工达州中医药科技成果示范园项目</v>
      </c>
      <c r="R3332" s="30" t="str">
        <f>_xlfn._xlws.FILTER(辅助信息!D:D,辅助信息!E:E=B3332)</f>
        <v>商投建工达州中医药科技园</v>
      </c>
    </row>
    <row r="3333" hidden="1" spans="2:18">
      <c r="B3333" s="41" t="s">
        <v>112</v>
      </c>
      <c r="C3333" s="71">
        <v>45909</v>
      </c>
      <c r="D3333" s="41" t="str">
        <f>VLOOKUP(B3333,辅助信息!E:K,7,FALSE)</f>
        <v>JWDDCD2025052800131</v>
      </c>
      <c r="E3333" s="41" t="str">
        <f>VLOOKUP(F3333,辅助信息!A:B,2,FALSE)</f>
        <v>螺纹钢</v>
      </c>
      <c r="F3333" s="41" t="s">
        <v>32</v>
      </c>
      <c r="G3333" s="37">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1" t="str">
        <f>VLOOKUP(B3333,辅助信息!E:I,3,FALSE)</f>
        <v>（商投建工达州中医药科技园-4工区-10号楼）达州市通川区达州中医药职业学院犀牛大道北段</v>
      </c>
      <c r="J3333" s="41" t="str">
        <f>VLOOKUP(B3333,辅助信息!E:I,4,FALSE)</f>
        <v>张扬</v>
      </c>
      <c r="K3333" s="41">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49</v>
      </c>
      <c r="Q3333" s="30" t="str">
        <f>VLOOKUP(B3333,辅助信息!E:M,9,FALSE)</f>
        <v>ZTWM-CDGS-XS-2024-0134-商投建工达州中医药科技成果示范园项目</v>
      </c>
      <c r="R3333" s="30" t="str">
        <f>_xlfn._xlws.FILTER(辅助信息!D:D,辅助信息!E:E=B3333)</f>
        <v>商投建工达州中医药科技园</v>
      </c>
    </row>
    <row r="3334" hidden="1" spans="2:18">
      <c r="B3334" s="41" t="s">
        <v>112</v>
      </c>
      <c r="C3334" s="71">
        <v>45909</v>
      </c>
      <c r="D3334" s="41" t="str">
        <f>VLOOKUP(B3334,辅助信息!E:K,7,FALSE)</f>
        <v>JWDDCD2025052800131</v>
      </c>
      <c r="E3334" s="41" t="str">
        <f>VLOOKUP(F3334,辅助信息!A:B,2,FALSE)</f>
        <v>螺纹钢</v>
      </c>
      <c r="F3334" s="41" t="s">
        <v>33</v>
      </c>
      <c r="G3334" s="37">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1" t="str">
        <f>VLOOKUP(B3334,辅助信息!E:I,3,FALSE)</f>
        <v>（商投建工达州中医药科技园-4工区-10号楼）达州市通川区达州中医药职业学院犀牛大道北段</v>
      </c>
      <c r="J3334" s="41" t="str">
        <f>VLOOKUP(B3334,辅助信息!E:I,4,FALSE)</f>
        <v>张扬</v>
      </c>
      <c r="K3334" s="41">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49</v>
      </c>
      <c r="Q3334" s="30" t="str">
        <f>VLOOKUP(B3334,辅助信息!E:M,9,FALSE)</f>
        <v>ZTWM-CDGS-XS-2024-0134-商投建工达州中医药科技成果示范园项目</v>
      </c>
      <c r="R3334" s="30" t="str">
        <f>_xlfn._xlws.FILTER(辅助信息!D:D,辅助信息!E:E=B3334)</f>
        <v>商投建工达州中医药科技园</v>
      </c>
    </row>
    <row r="3335" hidden="1" spans="2:18">
      <c r="B3335" s="41" t="s">
        <v>112</v>
      </c>
      <c r="C3335" s="71">
        <v>45909</v>
      </c>
      <c r="D3335" s="41" t="str">
        <f>VLOOKUP(B3335,辅助信息!E:K,7,FALSE)</f>
        <v>JWDDCD2025052800131</v>
      </c>
      <c r="E3335" s="41" t="str">
        <f>VLOOKUP(F3335,辅助信息!A:B,2,FALSE)</f>
        <v>螺纹钢</v>
      </c>
      <c r="F3335" s="41" t="s">
        <v>18</v>
      </c>
      <c r="G3335" s="37">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1" t="str">
        <f>VLOOKUP(B3335,辅助信息!E:I,3,FALSE)</f>
        <v>（商投建工达州中医药科技园-4工区-10号楼）达州市通川区达州中医药职业学院犀牛大道北段</v>
      </c>
      <c r="J3335" s="41" t="str">
        <f>VLOOKUP(B3335,辅助信息!E:I,4,FALSE)</f>
        <v>张扬</v>
      </c>
      <c r="K3335" s="41">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49</v>
      </c>
      <c r="Q3335" s="30" t="str">
        <f>VLOOKUP(B3335,辅助信息!E:M,9,FALSE)</f>
        <v>ZTWM-CDGS-XS-2024-0134-商投建工达州中医药科技成果示范园项目</v>
      </c>
      <c r="R3335" s="30" t="str">
        <f>_xlfn._xlws.FILTER(辅助信息!D:D,辅助信息!E:E=B3335)</f>
        <v>商投建工达州中医药科技园</v>
      </c>
    </row>
    <row r="3336" hidden="1" spans="2:18">
      <c r="B3336" s="41" t="s">
        <v>68</v>
      </c>
      <c r="C3336" s="71">
        <v>45909</v>
      </c>
      <c r="D3336" s="41" t="str">
        <f>VLOOKUP(B3336,辅助信息!E:K,7,FALSE)</f>
        <v>JWDDCD2025052800131</v>
      </c>
      <c r="E3336" s="41" t="str">
        <f>VLOOKUP(F3336,辅助信息!A:B,2,FALSE)</f>
        <v>盘螺</v>
      </c>
      <c r="F3336" s="41" t="s">
        <v>49</v>
      </c>
      <c r="G3336" s="37">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1" t="str">
        <f>VLOOKUP(B3336,辅助信息!E:I,3,FALSE)</f>
        <v>（商投建工达州中医药科技园-2工区-景观桥）达州市通川区达州中医药职业学院犀牛大道北段</v>
      </c>
      <c r="J3336" s="41" t="str">
        <f>VLOOKUP(B3336,辅助信息!E:I,4,FALSE)</f>
        <v>李波</v>
      </c>
      <c r="K3336" s="41">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49</v>
      </c>
      <c r="Q3336" s="30" t="str">
        <f>VLOOKUP(B3336,辅助信息!E:M,9,FALSE)</f>
        <v>ZTWM-CDGS-XS-2024-0134-商投建工达州中医药科技成果示范园项目</v>
      </c>
      <c r="R3336" s="30" t="str">
        <f>_xlfn._xlws.FILTER(辅助信息!D:D,辅助信息!E:E=B3336)</f>
        <v>商投建工达州中医药科技园</v>
      </c>
    </row>
    <row r="3337" hidden="1" spans="2:18">
      <c r="B3337" s="41" t="s">
        <v>68</v>
      </c>
      <c r="C3337" s="71">
        <v>45909</v>
      </c>
      <c r="D3337" s="41" t="str">
        <f>VLOOKUP(B3337,辅助信息!E:K,7,FALSE)</f>
        <v>JWDDCD2025052800131</v>
      </c>
      <c r="E3337" s="41" t="str">
        <f>VLOOKUP(F3337,辅助信息!A:B,2,FALSE)</f>
        <v>盘螺</v>
      </c>
      <c r="F3337" s="41" t="s">
        <v>40</v>
      </c>
      <c r="G3337" s="37">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1" t="str">
        <f>VLOOKUP(B3337,辅助信息!E:I,3,FALSE)</f>
        <v>（商投建工达州中医药科技园-2工区-景观桥）达州市通川区达州中医药职业学院犀牛大道北段</v>
      </c>
      <c r="J3337" s="41" t="str">
        <f>VLOOKUP(B3337,辅助信息!E:I,4,FALSE)</f>
        <v>李波</v>
      </c>
      <c r="K3337" s="41">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49</v>
      </c>
      <c r="Q3337" s="30" t="str">
        <f>VLOOKUP(B3337,辅助信息!E:M,9,FALSE)</f>
        <v>ZTWM-CDGS-XS-2024-0134-商投建工达州中医药科技成果示范园项目</v>
      </c>
      <c r="R3337" s="30" t="str">
        <f>_xlfn._xlws.FILTER(辅助信息!D:D,辅助信息!E:E=B3337)</f>
        <v>商投建工达州中医药科技园</v>
      </c>
    </row>
    <row r="3338" hidden="1" spans="2:18">
      <c r="B3338" s="41" t="s">
        <v>68</v>
      </c>
      <c r="C3338" s="71">
        <v>45909</v>
      </c>
      <c r="D3338" s="41" t="str">
        <f>VLOOKUP(B3338,辅助信息!E:K,7,FALSE)</f>
        <v>JWDDCD2025052800131</v>
      </c>
      <c r="E3338" s="41" t="str">
        <f>VLOOKUP(F3338,辅助信息!A:B,2,FALSE)</f>
        <v>螺纹钢</v>
      </c>
      <c r="F3338" s="41" t="s">
        <v>28</v>
      </c>
      <c r="G3338" s="37">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1" t="str">
        <f>VLOOKUP(B3338,辅助信息!E:I,3,FALSE)</f>
        <v>（商投建工达州中医药科技园-2工区-景观桥）达州市通川区达州中医药职业学院犀牛大道北段</v>
      </c>
      <c r="J3338" s="41" t="str">
        <f>VLOOKUP(B3338,辅助信息!E:I,4,FALSE)</f>
        <v>李波</v>
      </c>
      <c r="K3338" s="41">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49</v>
      </c>
      <c r="Q3338" s="30" t="str">
        <f>VLOOKUP(B3338,辅助信息!E:M,9,FALSE)</f>
        <v>ZTWM-CDGS-XS-2024-0134-商投建工达州中医药科技成果示范园项目</v>
      </c>
      <c r="R3338" s="30" t="str">
        <f>_xlfn._xlws.FILTER(辅助信息!D:D,辅助信息!E:E=B3338)</f>
        <v>商投建工达州中医药科技园</v>
      </c>
    </row>
    <row r="3339" hidden="1" spans="2:18">
      <c r="B3339" s="41" t="s">
        <v>194</v>
      </c>
      <c r="C3339" s="71">
        <v>45909</v>
      </c>
      <c r="D3339" s="41" t="str">
        <f>VLOOKUP(B3339,辅助信息!E:K,7,FALSE)</f>
        <v>JWDD2025071500089</v>
      </c>
      <c r="E3339" s="41" t="str">
        <f>VLOOKUP(F3339,辅助信息!A:B,2,FALSE)</f>
        <v>盘螺</v>
      </c>
      <c r="F3339" s="41" t="s">
        <v>49</v>
      </c>
      <c r="G3339" s="37">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1" t="str">
        <f>VLOOKUP(B3339,辅助信息!E:I,3,FALSE)</f>
        <v>(宜宾兴港三江新区长江工业园保障性租赁住房建设项目-土建)四川省宜宾市翠屏区永善路南段宜宾市三江新区长江工业园区</v>
      </c>
      <c r="J3339" s="41" t="str">
        <f>VLOOKUP(B3339,辅助信息!E:I,4,FALSE)</f>
        <v>赵元虎</v>
      </c>
      <c r="K3339" s="41">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30" t="str">
        <f>VLOOKUP(B3339,辅助信息!E:M,9,FALSE)</f>
        <v>ZTWM-CDYXGS-XS-2025-0014-宜宾兴港建材-三江新区长江工业园片区保障性租赁住房建设项目</v>
      </c>
      <c r="R3339" s="30" t="str">
        <f>_xlfn._xlws.FILTER(辅助信息!D:D,辅助信息!E:E=B3339)</f>
        <v>宜宾兴港三江新区长江工业园建设项目</v>
      </c>
    </row>
    <row r="3340" hidden="1" spans="2:18">
      <c r="B3340" s="41" t="s">
        <v>194</v>
      </c>
      <c r="C3340" s="71">
        <v>45909</v>
      </c>
      <c r="D3340" s="41" t="str">
        <f>VLOOKUP(B3340,辅助信息!E:K,7,FALSE)</f>
        <v>JWDD2025071500089</v>
      </c>
      <c r="E3340" s="41" t="str">
        <f>VLOOKUP(F3340,辅助信息!A:B,2,FALSE)</f>
        <v>盘螺</v>
      </c>
      <c r="F3340" s="41" t="s">
        <v>40</v>
      </c>
      <c r="G3340" s="37">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1" t="str">
        <f>VLOOKUP(B3340,辅助信息!E:I,3,FALSE)</f>
        <v>(宜宾兴港三江新区长江工业园保障性租赁住房建设项目-土建)四川省宜宾市翠屏区永善路南段宜宾市三江新区长江工业园区</v>
      </c>
      <c r="J3340" s="41" t="str">
        <f>VLOOKUP(B3340,辅助信息!E:I,4,FALSE)</f>
        <v>赵元虎</v>
      </c>
      <c r="K3340" s="41">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30" t="str">
        <f>VLOOKUP(B3340,辅助信息!E:M,9,FALSE)</f>
        <v>ZTWM-CDYXGS-XS-2025-0014-宜宾兴港建材-三江新区长江工业园片区保障性租赁住房建设项目</v>
      </c>
      <c r="R3340" s="30" t="str">
        <f>_xlfn._xlws.FILTER(辅助信息!D:D,辅助信息!E:E=B3340)</f>
        <v>宜宾兴港三江新区长江工业园建设项目</v>
      </c>
    </row>
    <row r="3341" hidden="1" spans="2:18">
      <c r="B3341" s="41" t="s">
        <v>194</v>
      </c>
      <c r="C3341" s="71">
        <v>45909</v>
      </c>
      <c r="D3341" s="41" t="str">
        <f>VLOOKUP(B3341,辅助信息!E:K,7,FALSE)</f>
        <v>JWDD2025071500089</v>
      </c>
      <c r="E3341" s="41" t="str">
        <f>VLOOKUP(F3341,辅助信息!A:B,2,FALSE)</f>
        <v>盘螺</v>
      </c>
      <c r="F3341" s="41" t="s">
        <v>41</v>
      </c>
      <c r="G3341" s="37">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1" t="str">
        <f>VLOOKUP(B3341,辅助信息!E:I,3,FALSE)</f>
        <v>(宜宾兴港三江新区长江工业园保障性租赁住房建设项目-土建)四川省宜宾市翠屏区永善路南段宜宾市三江新区长江工业园区</v>
      </c>
      <c r="J3341" s="41" t="str">
        <f>VLOOKUP(B3341,辅助信息!E:I,4,FALSE)</f>
        <v>赵元虎</v>
      </c>
      <c r="K3341" s="41">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30" t="str">
        <f>VLOOKUP(B3341,辅助信息!E:M,9,FALSE)</f>
        <v>ZTWM-CDYXGS-XS-2025-0014-宜宾兴港建材-三江新区长江工业园片区保障性租赁住房建设项目</v>
      </c>
      <c r="R3341" s="30" t="str">
        <f>_xlfn._xlws.FILTER(辅助信息!D:D,辅助信息!E:E=B3341)</f>
        <v>宜宾兴港三江新区长江工业园建设项目</v>
      </c>
    </row>
    <row r="3342" hidden="1" spans="2:18">
      <c r="B3342" s="41" t="s">
        <v>194</v>
      </c>
      <c r="C3342" s="71">
        <v>45909</v>
      </c>
      <c r="D3342" s="41" t="str">
        <f>VLOOKUP(B3342,辅助信息!E:K,7,FALSE)</f>
        <v>JWDD2025071500089</v>
      </c>
      <c r="E3342" s="41" t="str">
        <f>VLOOKUP(F3342,辅助信息!A:B,2,FALSE)</f>
        <v>螺纹钢</v>
      </c>
      <c r="F3342" s="41" t="s">
        <v>30</v>
      </c>
      <c r="G3342" s="37">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1" t="str">
        <f>VLOOKUP(B3342,辅助信息!E:I,3,FALSE)</f>
        <v>(宜宾兴港三江新区长江工业园保障性租赁住房建设项目-土建)四川省宜宾市翠屏区永善路南段宜宾市三江新区长江工业园区</v>
      </c>
      <c r="J3342" s="41" t="str">
        <f>VLOOKUP(B3342,辅助信息!E:I,4,FALSE)</f>
        <v>赵元虎</v>
      </c>
      <c r="K3342" s="41">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30" t="str">
        <f>VLOOKUP(B3342,辅助信息!E:M,9,FALSE)</f>
        <v>ZTWM-CDYXGS-XS-2025-0014-宜宾兴港建材-三江新区长江工业园片区保障性租赁住房建设项目</v>
      </c>
      <c r="R3342" s="30" t="str">
        <f>_xlfn._xlws.FILTER(辅助信息!D:D,辅助信息!E:E=B3342)</f>
        <v>宜宾兴港三江新区长江工业园建设项目</v>
      </c>
    </row>
    <row r="3343" hidden="1" spans="2:18">
      <c r="B3343" s="41" t="s">
        <v>194</v>
      </c>
      <c r="C3343" s="71">
        <v>45909</v>
      </c>
      <c r="D3343" s="41" t="str">
        <f>VLOOKUP(B3343,辅助信息!E:K,7,FALSE)</f>
        <v>JWDD2025071500089</v>
      </c>
      <c r="E3343" s="41" t="str">
        <f>VLOOKUP(F3343,辅助信息!A:B,2,FALSE)</f>
        <v>螺纹钢</v>
      </c>
      <c r="F3343" s="41" t="s">
        <v>28</v>
      </c>
      <c r="G3343" s="37">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1" t="str">
        <f>VLOOKUP(B3343,辅助信息!E:I,3,FALSE)</f>
        <v>(宜宾兴港三江新区长江工业园保障性租赁住房建设项目-土建)四川省宜宾市翠屏区永善路南段宜宾市三江新区长江工业园区</v>
      </c>
      <c r="J3343" s="41" t="str">
        <f>VLOOKUP(B3343,辅助信息!E:I,4,FALSE)</f>
        <v>赵元虎</v>
      </c>
      <c r="K3343" s="41">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30" t="str">
        <f>VLOOKUP(B3343,辅助信息!E:M,9,FALSE)</f>
        <v>ZTWM-CDYXGS-XS-2025-0014-宜宾兴港建材-三江新区长江工业园片区保障性租赁住房建设项目</v>
      </c>
      <c r="R3343" s="30" t="str">
        <f>_xlfn._xlws.FILTER(辅助信息!D:D,辅助信息!E:E=B3343)</f>
        <v>宜宾兴港三江新区长江工业园建设项目</v>
      </c>
    </row>
    <row r="3344" hidden="1" spans="2:18">
      <c r="B3344" s="41" t="s">
        <v>194</v>
      </c>
      <c r="C3344" s="71">
        <v>45909</v>
      </c>
      <c r="D3344" s="41" t="str">
        <f>VLOOKUP(B3344,辅助信息!E:K,7,FALSE)</f>
        <v>JWDD2025071500089</v>
      </c>
      <c r="E3344" s="41" t="str">
        <f>VLOOKUP(F3344,辅助信息!A:B,2,FALSE)</f>
        <v>螺纹钢</v>
      </c>
      <c r="F3344" s="41" t="s">
        <v>18</v>
      </c>
      <c r="G3344" s="37">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1" t="str">
        <f>VLOOKUP(B3344,辅助信息!E:I,3,FALSE)</f>
        <v>(宜宾兴港三江新区长江工业园保障性租赁住房建设项目-土建)四川省宜宾市翠屏区永善路南段宜宾市三江新区长江工业园区</v>
      </c>
      <c r="J3344" s="41" t="str">
        <f>VLOOKUP(B3344,辅助信息!E:I,4,FALSE)</f>
        <v>赵元虎</v>
      </c>
      <c r="K3344" s="41">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30" t="str">
        <f>VLOOKUP(B3344,辅助信息!E:M,9,FALSE)</f>
        <v>ZTWM-CDYXGS-XS-2025-0014-宜宾兴港建材-三江新区长江工业园片区保障性租赁住房建设项目</v>
      </c>
      <c r="R3344" s="30" t="str">
        <f>_xlfn._xlws.FILTER(辅助信息!D:D,辅助信息!E:E=B3344)</f>
        <v>宜宾兴港三江新区长江工业园建设项目</v>
      </c>
    </row>
    <row r="3345" hidden="1" spans="1:18">
      <c r="A3345" s="101">
        <v>45909</v>
      </c>
      <c r="B3345" s="41" t="s">
        <v>169</v>
      </c>
      <c r="C3345" s="71">
        <v>45909</v>
      </c>
      <c r="D3345" s="41" t="str">
        <f>VLOOKUP(B3345,辅助信息!E:K,7,FALSE)</f>
        <v>JWDDCD2025051800044</v>
      </c>
      <c r="E3345" s="41" t="str">
        <f>VLOOKUP(F3345,辅助信息!A:B,2,FALSE)</f>
        <v>螺纹钢</v>
      </c>
      <c r="F3345" s="41" t="s">
        <v>32</v>
      </c>
      <c r="G3345" s="37">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1" t="str">
        <f>VLOOKUP(B3345,辅助信息!E:I,3,FALSE)</f>
        <v>(五冶建设龙泉芙蓉花语项目-1,3地块)龙泉驿区北川路双堰塘钓鱼东100米(北川路)</v>
      </c>
      <c r="J3345" s="41" t="str">
        <f>VLOOKUP(B3345,辅助信息!E:I,4,FALSE)</f>
        <v>祝斯阳</v>
      </c>
      <c r="K3345" s="41">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30" t="str">
        <f>VLOOKUP(B3345,辅助信息!E:M,9,FALSE)</f>
        <v>ZTWM-CDGS-XS-2025-0073-五冶天府-成都怡心湖片区及龙泉驿医院等项目</v>
      </c>
      <c r="R3345" s="30" t="str">
        <f>_xlfn._xlws.FILTER(辅助信息!D:D,辅助信息!E:E=B3345)</f>
        <v>五冶建设龙泉芙蓉花语项目</v>
      </c>
    </row>
    <row r="3346" hidden="1" spans="1:18">
      <c r="A3346" s="101">
        <v>45909</v>
      </c>
      <c r="B3346" s="41" t="s">
        <v>169</v>
      </c>
      <c r="C3346" s="71">
        <v>45909</v>
      </c>
      <c r="D3346" s="41" t="str">
        <f>VLOOKUP(B3346,辅助信息!E:K,7,FALSE)</f>
        <v>JWDDCD2025051800044</v>
      </c>
      <c r="E3346" s="41" t="str">
        <f>VLOOKUP(F3346,辅助信息!A:B,2,FALSE)</f>
        <v>螺纹钢</v>
      </c>
      <c r="F3346" s="41" t="s">
        <v>28</v>
      </c>
      <c r="G3346" s="37">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1" t="str">
        <f>VLOOKUP(B3346,辅助信息!E:I,3,FALSE)</f>
        <v>(五冶建设龙泉芙蓉花语项目-1,3地块)龙泉驿区北川路双堰塘钓鱼东100米(北川路)</v>
      </c>
      <c r="J3346" s="41" t="str">
        <f>VLOOKUP(B3346,辅助信息!E:I,4,FALSE)</f>
        <v>祝斯阳</v>
      </c>
      <c r="K3346" s="41">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30" t="str">
        <f>VLOOKUP(B3346,辅助信息!E:M,9,FALSE)</f>
        <v>ZTWM-CDGS-XS-2025-0073-五冶天府-成都怡心湖片区及龙泉驿医院等项目</v>
      </c>
      <c r="R3346" s="30" t="str">
        <f>_xlfn._xlws.FILTER(辅助信息!D:D,辅助信息!E:E=B3346)</f>
        <v>五冶建设龙泉芙蓉花语项目</v>
      </c>
    </row>
    <row r="3347" hidden="1" spans="1:18">
      <c r="A3347" s="101"/>
      <c r="B3347" s="41" t="s">
        <v>92</v>
      </c>
      <c r="C3347" s="71">
        <v>45910</v>
      </c>
      <c r="D3347" s="41" t="str">
        <f>VLOOKUP(B3347,辅助信息!E:K,7,FALSE)</f>
        <v>JWDDCD2025051800046</v>
      </c>
      <c r="E3347" s="41" t="str">
        <f>VLOOKUP(F3347,辅助信息!A:B,2,FALSE)</f>
        <v>高线</v>
      </c>
      <c r="F3347" s="41" t="s">
        <v>57</v>
      </c>
      <c r="G3347" s="37">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1" t="str">
        <f>VLOOKUP(B3347,辅助信息!E:I,3,FALSE)</f>
        <v>（华西萌海科创农业生态谷）成都市简阳市白金山水库</v>
      </c>
      <c r="J3347" s="41" t="str">
        <f>VLOOKUP(B3347,辅助信息!E:I,4,FALSE)</f>
        <v>石清国</v>
      </c>
      <c r="K3347" s="41">
        <f>VLOOKUP(J3347,辅助信息!H:I,2,FALSE)</f>
        <v>13458642015</v>
      </c>
      <c r="L3347" s="110" t="str">
        <f>VLOOKUP(B3347,辅助信息!E:J,6,FALSE)</f>
        <v>优先威钢,我方卸车,新老国标钢厂不加价可直发</v>
      </c>
      <c r="O3347" s="63" t="str">
        <f ca="1" t="shared" si="186"/>
        <v/>
      </c>
      <c r="P3347" s="63" t="str">
        <f ca="1" t="shared" si="187"/>
        <v/>
      </c>
      <c r="Q3347" s="30" t="str">
        <f>VLOOKUP(B3347,辅助信息!E:M,9,FALSE)</f>
        <v>ZTWM-CDGS-XS-2024-0092-华西-萌海科创农业生态谷</v>
      </c>
      <c r="R3347" s="30" t="str">
        <f>_xlfn._xlws.FILTER(辅助信息!D:D,辅助信息!E:E=B3347)</f>
        <v>华西萌海-科创农业生态谷</v>
      </c>
    </row>
    <row r="3348" hidden="1" spans="2:18">
      <c r="B3348" s="41" t="s">
        <v>92</v>
      </c>
      <c r="C3348" s="71">
        <v>45910</v>
      </c>
      <c r="D3348" s="41" t="str">
        <f>VLOOKUP(B3348,辅助信息!E:K,7,FALSE)</f>
        <v>JWDDCD2025051800046</v>
      </c>
      <c r="E3348" s="41" t="str">
        <f>VLOOKUP(F3348,辅助信息!A:B,2,FALSE)</f>
        <v>盘螺</v>
      </c>
      <c r="F3348" s="41" t="s">
        <v>40</v>
      </c>
      <c r="G3348" s="37">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1" t="str">
        <f>VLOOKUP(B3348,辅助信息!E:I,3,FALSE)</f>
        <v>（华西萌海科创农业生态谷）成都市简阳市白金山水库</v>
      </c>
      <c r="J3348" s="41" t="str">
        <f>VLOOKUP(B3348,辅助信息!E:I,4,FALSE)</f>
        <v>石清国</v>
      </c>
      <c r="K3348" s="41">
        <f>VLOOKUP(J3348,辅助信息!H:I,2,FALSE)</f>
        <v>13458642015</v>
      </c>
      <c r="L3348" s="110" t="str">
        <f>VLOOKUP(B3348,辅助信息!E:J,6,FALSE)</f>
        <v>优先威钢,我方卸车,新老国标钢厂不加价可直发</v>
      </c>
      <c r="M3348" s="92">
        <v>45912</v>
      </c>
      <c r="O3348" s="63">
        <f ca="1" t="shared" si="186"/>
        <v>0</v>
      </c>
      <c r="P3348" s="63">
        <f ca="1" t="shared" si="187"/>
        <v>47</v>
      </c>
      <c r="Q3348" s="30" t="str">
        <f>VLOOKUP(B3348,辅助信息!E:M,9,FALSE)</f>
        <v>ZTWM-CDGS-XS-2024-0092-华西-萌海科创农业生态谷</v>
      </c>
      <c r="R3348" s="30" t="str">
        <f>_xlfn._xlws.FILTER(辅助信息!D:D,辅助信息!E:E=B3348)</f>
        <v>华西萌海-科创农业生态谷</v>
      </c>
    </row>
    <row r="3349" hidden="1" spans="2:18">
      <c r="B3349" s="41" t="s">
        <v>92</v>
      </c>
      <c r="C3349" s="71">
        <v>45910</v>
      </c>
      <c r="D3349" s="41" t="str">
        <f>VLOOKUP(B3349,辅助信息!E:K,7,FALSE)</f>
        <v>JWDDCD2025051800046</v>
      </c>
      <c r="E3349" s="41" t="str">
        <f>VLOOKUP(F3349,辅助信息!A:B,2,FALSE)</f>
        <v>盘螺</v>
      </c>
      <c r="F3349" s="41" t="s">
        <v>41</v>
      </c>
      <c r="G3349" s="37">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1" t="str">
        <f>VLOOKUP(B3349,辅助信息!E:I,3,FALSE)</f>
        <v>（华西萌海科创农业生态谷）成都市简阳市白金山水库</v>
      </c>
      <c r="J3349" s="41" t="str">
        <f>VLOOKUP(B3349,辅助信息!E:I,4,FALSE)</f>
        <v>石清国</v>
      </c>
      <c r="K3349" s="41">
        <f>VLOOKUP(J3349,辅助信息!H:I,2,FALSE)</f>
        <v>13458642015</v>
      </c>
      <c r="L3349" s="110" t="str">
        <f>VLOOKUP(B3349,辅助信息!E:J,6,FALSE)</f>
        <v>优先威钢,我方卸车,新老国标钢厂不加价可直发</v>
      </c>
      <c r="M3349" s="92">
        <v>45912</v>
      </c>
      <c r="O3349" s="63">
        <f ca="1" t="shared" si="186"/>
        <v>0</v>
      </c>
      <c r="P3349" s="63">
        <f ca="1" t="shared" si="187"/>
        <v>47</v>
      </c>
      <c r="Q3349" s="30" t="str">
        <f>VLOOKUP(B3349,辅助信息!E:M,9,FALSE)</f>
        <v>ZTWM-CDGS-XS-2024-0092-华西-萌海科创农业生态谷</v>
      </c>
      <c r="R3349" s="30" t="str">
        <f>_xlfn._xlws.FILTER(辅助信息!D:D,辅助信息!E:E=B3349)</f>
        <v>华西萌海-科创农业生态谷</v>
      </c>
    </row>
    <row r="3350" hidden="1" spans="2:18">
      <c r="B3350" s="41" t="s">
        <v>92</v>
      </c>
      <c r="C3350" s="71">
        <v>45910</v>
      </c>
      <c r="D3350" s="41" t="str">
        <f>VLOOKUP(B3350,辅助信息!E:K,7,FALSE)</f>
        <v>JWDDCD2025051800046</v>
      </c>
      <c r="E3350" s="41" t="str">
        <f>VLOOKUP(F3350,辅助信息!A:B,2,FALSE)</f>
        <v>螺纹钢</v>
      </c>
      <c r="F3350" s="41" t="s">
        <v>65</v>
      </c>
      <c r="G3350" s="37">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1" t="str">
        <f>VLOOKUP(B3350,辅助信息!E:I,3,FALSE)</f>
        <v>（华西萌海科创农业生态谷）成都市简阳市白金山水库</v>
      </c>
      <c r="J3350" s="41" t="str">
        <f>VLOOKUP(B3350,辅助信息!E:I,4,FALSE)</f>
        <v>石清国</v>
      </c>
      <c r="K3350" s="41">
        <f>VLOOKUP(J3350,辅助信息!H:I,2,FALSE)</f>
        <v>13458642015</v>
      </c>
      <c r="L3350" s="110" t="str">
        <f>VLOOKUP(B3350,辅助信息!E:J,6,FALSE)</f>
        <v>优先威钢,我方卸车,新老国标钢厂不加价可直发</v>
      </c>
      <c r="M3350" s="92">
        <v>45912</v>
      </c>
      <c r="O3350" s="63">
        <f ca="1" t="shared" si="186"/>
        <v>0</v>
      </c>
      <c r="P3350" s="63">
        <f ca="1" t="shared" si="187"/>
        <v>47</v>
      </c>
      <c r="Q3350" s="30" t="str">
        <f>VLOOKUP(B3350,辅助信息!E:M,9,FALSE)</f>
        <v>ZTWM-CDGS-XS-2024-0092-华西-萌海科创农业生态谷</v>
      </c>
      <c r="R3350" s="30" t="str">
        <f>_xlfn._xlws.FILTER(辅助信息!D:D,辅助信息!E:E=B3350)</f>
        <v>华西萌海-科创农业生态谷</v>
      </c>
    </row>
    <row r="3351" hidden="1" spans="2:18">
      <c r="B3351" s="41" t="s">
        <v>92</v>
      </c>
      <c r="C3351" s="71">
        <v>45910</v>
      </c>
      <c r="D3351" s="41" t="str">
        <f>VLOOKUP(B3351,辅助信息!E:K,7,FALSE)</f>
        <v>JWDDCD2025051800046</v>
      </c>
      <c r="E3351" s="41" t="str">
        <f>VLOOKUP(F3351,辅助信息!A:B,2,FALSE)</f>
        <v>螺纹钢</v>
      </c>
      <c r="F3351" s="41" t="s">
        <v>21</v>
      </c>
      <c r="G3351" s="37">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1" t="str">
        <f>VLOOKUP(B3351,辅助信息!E:I,3,FALSE)</f>
        <v>（华西萌海科创农业生态谷）成都市简阳市白金山水库</v>
      </c>
      <c r="J3351" s="41" t="str">
        <f>VLOOKUP(B3351,辅助信息!E:I,4,FALSE)</f>
        <v>石清国</v>
      </c>
      <c r="K3351" s="41">
        <f>VLOOKUP(J3351,辅助信息!H:I,2,FALSE)</f>
        <v>13458642015</v>
      </c>
      <c r="L3351" s="110" t="str">
        <f>VLOOKUP(B3351,辅助信息!E:J,6,FALSE)</f>
        <v>优先威钢,我方卸车,新老国标钢厂不加价可直发</v>
      </c>
      <c r="M3351" s="92">
        <v>45912</v>
      </c>
      <c r="O3351" s="63">
        <f ca="1" t="shared" si="186"/>
        <v>0</v>
      </c>
      <c r="P3351" s="63">
        <f ca="1" t="shared" si="187"/>
        <v>47</v>
      </c>
      <c r="Q3351" s="30" t="str">
        <f>VLOOKUP(B3351,辅助信息!E:M,9,FALSE)</f>
        <v>ZTWM-CDGS-XS-2024-0092-华西-萌海科创农业生态谷</v>
      </c>
      <c r="R3351" s="30" t="str">
        <f>_xlfn._xlws.FILTER(辅助信息!D:D,辅助信息!E:E=B3351)</f>
        <v>华西萌海-科创农业生态谷</v>
      </c>
    </row>
    <row r="3352" hidden="1" spans="2:18">
      <c r="B3352" s="41" t="s">
        <v>92</v>
      </c>
      <c r="C3352" s="71">
        <v>45910</v>
      </c>
      <c r="D3352" s="41" t="str">
        <f>VLOOKUP(B3352,辅助信息!E:K,7,FALSE)</f>
        <v>JWDDCD2025051800046</v>
      </c>
      <c r="E3352" s="41" t="str">
        <f>VLOOKUP(F3352,辅助信息!A:B,2,FALSE)</f>
        <v>螺纹钢</v>
      </c>
      <c r="F3352" s="41" t="s">
        <v>58</v>
      </c>
      <c r="G3352" s="37">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1" t="str">
        <f>VLOOKUP(B3352,辅助信息!E:I,3,FALSE)</f>
        <v>（华西萌海科创农业生态谷）成都市简阳市白金山水库</v>
      </c>
      <c r="J3352" s="41" t="str">
        <f>VLOOKUP(B3352,辅助信息!E:I,4,FALSE)</f>
        <v>石清国</v>
      </c>
      <c r="K3352" s="41">
        <f>VLOOKUP(J3352,辅助信息!H:I,2,FALSE)</f>
        <v>13458642015</v>
      </c>
      <c r="L3352" s="110" t="str">
        <f>VLOOKUP(B3352,辅助信息!E:J,6,FALSE)</f>
        <v>优先威钢,我方卸车,新老国标钢厂不加价可直发</v>
      </c>
      <c r="M3352" s="92">
        <v>45912</v>
      </c>
      <c r="O3352" s="63">
        <f ca="1" t="shared" si="186"/>
        <v>0</v>
      </c>
      <c r="P3352" s="63">
        <f ca="1" t="shared" si="187"/>
        <v>47</v>
      </c>
      <c r="Q3352" s="30" t="str">
        <f>VLOOKUP(B3352,辅助信息!E:M,9,FALSE)</f>
        <v>ZTWM-CDGS-XS-2024-0092-华西-萌海科创农业生态谷</v>
      </c>
      <c r="R3352" s="30" t="str">
        <f>_xlfn._xlws.FILTER(辅助信息!D:D,辅助信息!E:E=B3352)</f>
        <v>华西萌海-科创农业生态谷</v>
      </c>
    </row>
    <row r="3353" hidden="1" spans="2:18">
      <c r="B3353" s="41" t="s">
        <v>92</v>
      </c>
      <c r="C3353" s="71">
        <v>45910</v>
      </c>
      <c r="D3353" s="41" t="str">
        <f>VLOOKUP(B3353,辅助信息!E:K,7,FALSE)</f>
        <v>JWDDCD2025051800046</v>
      </c>
      <c r="E3353" s="41" t="str">
        <f>VLOOKUP(F3353,辅助信息!A:B,2,FALSE)</f>
        <v>螺纹钢</v>
      </c>
      <c r="F3353" s="41" t="s">
        <v>22</v>
      </c>
      <c r="G3353" s="37">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1" t="str">
        <f>VLOOKUP(B3353,辅助信息!E:I,3,FALSE)</f>
        <v>（华西萌海科创农业生态谷）成都市简阳市白金山水库</v>
      </c>
      <c r="J3353" s="41" t="str">
        <f>VLOOKUP(B3353,辅助信息!E:I,4,FALSE)</f>
        <v>石清国</v>
      </c>
      <c r="K3353" s="41">
        <f>VLOOKUP(J3353,辅助信息!H:I,2,FALSE)</f>
        <v>13458642015</v>
      </c>
      <c r="L3353" s="110" t="str">
        <f>VLOOKUP(B3353,辅助信息!E:J,6,FALSE)</f>
        <v>优先威钢,我方卸车,新老国标钢厂不加价可直发</v>
      </c>
      <c r="M3353" s="92">
        <v>45912</v>
      </c>
      <c r="O3353" s="63">
        <f ca="1" t="shared" si="186"/>
        <v>0</v>
      </c>
      <c r="P3353" s="63">
        <f ca="1" t="shared" si="187"/>
        <v>47</v>
      </c>
      <c r="Q3353" s="30" t="str">
        <f>VLOOKUP(B3353,辅助信息!E:M,9,FALSE)</f>
        <v>ZTWM-CDGS-XS-2024-0092-华西-萌海科创农业生态谷</v>
      </c>
      <c r="R3353" s="30" t="str">
        <f>_xlfn._xlws.FILTER(辅助信息!D:D,辅助信息!E:E=B3353)</f>
        <v>华西萌海-科创农业生态谷</v>
      </c>
    </row>
    <row r="3354" hidden="1" spans="2:18">
      <c r="B3354" s="41" t="s">
        <v>186</v>
      </c>
      <c r="C3354" s="71">
        <v>45909</v>
      </c>
      <c r="D3354" s="41" t="str">
        <f>VLOOKUP(B3354,辅助信息!E:K,7,FALSE)</f>
        <v>JWDDCD2025072900123</v>
      </c>
      <c r="E3354" s="41" t="str">
        <f>VLOOKUP(F3354,辅助信息!A:B,2,FALSE)</f>
        <v>螺纹钢</v>
      </c>
      <c r="F3354" s="41" t="s">
        <v>76</v>
      </c>
      <c r="G3354" s="37">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1" t="str">
        <f>VLOOKUP(B3354,辅助信息!E:I,3,FALSE)</f>
        <v>(乐山市校地共建产教融合基地建设项目二标段)四川省乐山市市中区苏稽镇</v>
      </c>
      <c r="J3354" s="41" t="str">
        <f>VLOOKUP(B3354,辅助信息!E:I,4,FALSE)</f>
        <v>彭江涛</v>
      </c>
      <c r="K3354" s="41">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30" t="str">
        <f>VLOOKUP(B3354,辅助信息!E:M,9,FALSE)</f>
        <v>ZTWM-CDGS-XS-2025-0126-四川机司-乐山市校地共建产教融合基地配套设施项目施工二标段钢筋采购合同</v>
      </c>
      <c r="R3354" s="30" t="str">
        <f>_xlfn._xlws.FILTER(辅助信息!D:D,辅助信息!E:E=B3354)</f>
        <v>乐山市校地共建产教融合基地建设项目</v>
      </c>
    </row>
    <row r="3355" hidden="1" spans="2:18">
      <c r="B3355" s="41" t="s">
        <v>186</v>
      </c>
      <c r="C3355" s="71">
        <v>45909</v>
      </c>
      <c r="D3355" s="41" t="str">
        <f>VLOOKUP(B3355,辅助信息!E:K,7,FALSE)</f>
        <v>JWDDCD2025072900123</v>
      </c>
      <c r="E3355" s="41" t="str">
        <f>VLOOKUP(F3355,辅助信息!A:B,2,FALSE)</f>
        <v>螺纹钢</v>
      </c>
      <c r="F3355" s="41" t="s">
        <v>90</v>
      </c>
      <c r="G3355" s="37">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1" t="str">
        <f>VLOOKUP(B3355,辅助信息!E:I,3,FALSE)</f>
        <v>(乐山市校地共建产教融合基地建设项目二标段)四川省乐山市市中区苏稽镇</v>
      </c>
      <c r="J3355" s="41" t="str">
        <f>VLOOKUP(B3355,辅助信息!E:I,4,FALSE)</f>
        <v>彭江涛</v>
      </c>
      <c r="K3355" s="41">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30" t="str">
        <f>VLOOKUP(B3355,辅助信息!E:M,9,FALSE)</f>
        <v>ZTWM-CDGS-XS-2025-0126-四川机司-乐山市校地共建产教融合基地配套设施项目施工二标段钢筋采购合同</v>
      </c>
      <c r="R3355" s="30" t="str">
        <f>_xlfn._xlws.FILTER(辅助信息!D:D,辅助信息!E:E=B3355)</f>
        <v>乐山市校地共建产教融合基地建设项目</v>
      </c>
    </row>
    <row r="3356" hidden="1" spans="2:18">
      <c r="B3356" s="41" t="s">
        <v>186</v>
      </c>
      <c r="C3356" s="71">
        <v>45909</v>
      </c>
      <c r="D3356" s="41" t="str">
        <f>VLOOKUP(B3356,辅助信息!E:K,7,FALSE)</f>
        <v>JWDDCD2025072900123</v>
      </c>
      <c r="E3356" s="41" t="str">
        <f>VLOOKUP(F3356,辅助信息!A:B,2,FALSE)</f>
        <v>螺纹钢</v>
      </c>
      <c r="F3356" s="41" t="s">
        <v>130</v>
      </c>
      <c r="G3356" s="37">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1" t="str">
        <f>VLOOKUP(B3356,辅助信息!E:I,3,FALSE)</f>
        <v>(乐山市校地共建产教融合基地建设项目二标段)四川省乐山市市中区苏稽镇</v>
      </c>
      <c r="J3356" s="41" t="str">
        <f>VLOOKUP(B3356,辅助信息!E:I,4,FALSE)</f>
        <v>彭江涛</v>
      </c>
      <c r="K3356" s="41">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30" t="str">
        <f>VLOOKUP(B3356,辅助信息!E:M,9,FALSE)</f>
        <v>ZTWM-CDGS-XS-2025-0126-四川机司-乐山市校地共建产教融合基地配套设施项目施工二标段钢筋采购合同</v>
      </c>
      <c r="R3356" s="30" t="str">
        <f>_xlfn._xlws.FILTER(辅助信息!D:D,辅助信息!E:E=B3356)</f>
        <v>乐山市校地共建产教融合基地建设项目</v>
      </c>
    </row>
    <row r="3357" hidden="1" spans="2:18">
      <c r="B3357" s="41" t="s">
        <v>186</v>
      </c>
      <c r="C3357" s="71">
        <v>45909</v>
      </c>
      <c r="D3357" s="41" t="str">
        <f>VLOOKUP(B3357,辅助信息!E:K,7,FALSE)</f>
        <v>JWDDCD2025072900123</v>
      </c>
      <c r="E3357" s="41" t="str">
        <f>VLOOKUP(F3357,辅助信息!A:B,2,FALSE)</f>
        <v>螺纹钢</v>
      </c>
      <c r="F3357" s="41" t="s">
        <v>138</v>
      </c>
      <c r="G3357" s="37">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1" t="str">
        <f>VLOOKUP(B3357,辅助信息!E:I,3,FALSE)</f>
        <v>(乐山市校地共建产教融合基地建设项目二标段)四川省乐山市市中区苏稽镇</v>
      </c>
      <c r="J3357" s="41" t="str">
        <f>VLOOKUP(B3357,辅助信息!E:I,4,FALSE)</f>
        <v>彭江涛</v>
      </c>
      <c r="K3357" s="41">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30" t="str">
        <f>VLOOKUP(B3357,辅助信息!E:M,9,FALSE)</f>
        <v>ZTWM-CDGS-XS-2025-0126-四川机司-乐山市校地共建产教融合基地配套设施项目施工二标段钢筋采购合同</v>
      </c>
      <c r="R3357" s="30" t="str">
        <f>_xlfn._xlws.FILTER(辅助信息!D:D,辅助信息!E:E=B3357)</f>
        <v>乐山市校地共建产教融合基地建设项目</v>
      </c>
    </row>
    <row r="3358" hidden="1" spans="2:18">
      <c r="B3358" s="41" t="s">
        <v>186</v>
      </c>
      <c r="C3358" s="71">
        <v>45909</v>
      </c>
      <c r="D3358" s="41" t="str">
        <f>VLOOKUP(B3358,辅助信息!E:K,7,FALSE)</f>
        <v>JWDDCD2025072900123</v>
      </c>
      <c r="E3358" s="41" t="str">
        <f>VLOOKUP(F3358,辅助信息!A:B,2,FALSE)</f>
        <v>螺纹钢</v>
      </c>
      <c r="F3358" s="41" t="s">
        <v>91</v>
      </c>
      <c r="G3358" s="37">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1" t="str">
        <f>VLOOKUP(B3358,辅助信息!E:I,3,FALSE)</f>
        <v>(乐山市校地共建产教融合基地建设项目二标段)四川省乐山市市中区苏稽镇</v>
      </c>
      <c r="J3358" s="41" t="str">
        <f>VLOOKUP(B3358,辅助信息!E:I,4,FALSE)</f>
        <v>彭江涛</v>
      </c>
      <c r="K3358" s="41">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30" t="str">
        <f>VLOOKUP(B3358,辅助信息!E:M,9,FALSE)</f>
        <v>ZTWM-CDGS-XS-2025-0126-四川机司-乐山市校地共建产教融合基地配套设施项目施工二标段钢筋采购合同</v>
      </c>
      <c r="R3358" s="30" t="str">
        <f>_xlfn._xlws.FILTER(辅助信息!D:D,辅助信息!E:E=B3358)</f>
        <v>乐山市校地共建产教融合基地建设项目</v>
      </c>
    </row>
    <row r="3359" hidden="1" spans="2:18">
      <c r="B3359" s="41" t="s">
        <v>81</v>
      </c>
      <c r="C3359" s="71">
        <v>45910</v>
      </c>
      <c r="D3359" s="41" t="str">
        <f>VLOOKUP(B3359,辅助信息!E:K,7,FALSE)</f>
        <v>JWDDCD2025060900080</v>
      </c>
      <c r="E3359" s="41" t="str">
        <f>VLOOKUP(F3359,辅助信息!A:B,2,FALSE)</f>
        <v>盘螺</v>
      </c>
      <c r="F3359" s="41" t="s">
        <v>49</v>
      </c>
      <c r="G3359" s="37">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1" t="str">
        <f>VLOOKUP(B3359,辅助信息!E:I,3,FALSE)</f>
        <v>（华西简阳西城嘉苑）四川省成都市简阳市简城街道高屋村</v>
      </c>
      <c r="J3359" s="41" t="str">
        <f>VLOOKUP(B3359,辅助信息!E:I,4,FALSE)</f>
        <v>张瀚镭</v>
      </c>
      <c r="K3359" s="41">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30" t="str">
        <f>VLOOKUP(B3359,辅助信息!E:M,9,FALSE)</f>
        <v>ZTWM-CDGS-XS-2024-0030-华西集采-简州大道</v>
      </c>
      <c r="R3359" s="30" t="str">
        <f>_xlfn._xlws.FILTER(辅助信息!D:D,辅助信息!E:E=B3359)</f>
        <v>华西简阳西城嘉苑</v>
      </c>
    </row>
    <row r="3360" hidden="1" spans="2:18">
      <c r="B3360" s="41" t="s">
        <v>81</v>
      </c>
      <c r="C3360" s="71">
        <v>45910</v>
      </c>
      <c r="D3360" s="41" t="str">
        <f>VLOOKUP(B3360,辅助信息!E:K,7,FALSE)</f>
        <v>JWDDCD2025060900080</v>
      </c>
      <c r="E3360" s="41" t="str">
        <f>VLOOKUP(F3360,辅助信息!A:B,2,FALSE)</f>
        <v>盘螺</v>
      </c>
      <c r="F3360" s="41" t="s">
        <v>40</v>
      </c>
      <c r="G3360" s="37">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1" t="str">
        <f>VLOOKUP(B3360,辅助信息!E:I,3,FALSE)</f>
        <v>（华西简阳西城嘉苑）四川省成都市简阳市简城街道高屋村</v>
      </c>
      <c r="J3360" s="41" t="str">
        <f>VLOOKUP(B3360,辅助信息!E:I,4,FALSE)</f>
        <v>张瀚镭</v>
      </c>
      <c r="K3360" s="41">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30" t="str">
        <f>VLOOKUP(B3360,辅助信息!E:M,9,FALSE)</f>
        <v>ZTWM-CDGS-XS-2024-0030-华西集采-简州大道</v>
      </c>
      <c r="R3360" s="30" t="str">
        <f>_xlfn._xlws.FILTER(辅助信息!D:D,辅助信息!E:E=B3360)</f>
        <v>华西简阳西城嘉苑</v>
      </c>
    </row>
    <row r="3361" hidden="1" spans="2:18">
      <c r="B3361" s="41" t="s">
        <v>81</v>
      </c>
      <c r="C3361" s="71">
        <v>45910</v>
      </c>
      <c r="D3361" s="41" t="str">
        <f>VLOOKUP(B3361,辅助信息!E:K,7,FALSE)</f>
        <v>JWDDCD2025060900080</v>
      </c>
      <c r="E3361" s="41" t="str">
        <f>VLOOKUP(F3361,辅助信息!A:B,2,FALSE)</f>
        <v>盘螺</v>
      </c>
      <c r="F3361" s="41" t="s">
        <v>41</v>
      </c>
      <c r="G3361" s="37">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1" t="str">
        <f>VLOOKUP(B3361,辅助信息!E:I,3,FALSE)</f>
        <v>（华西简阳西城嘉苑）四川省成都市简阳市简城街道高屋村</v>
      </c>
      <c r="J3361" s="41" t="str">
        <f>VLOOKUP(B3361,辅助信息!E:I,4,FALSE)</f>
        <v>张瀚镭</v>
      </c>
      <c r="K3361" s="41">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30" t="str">
        <f>VLOOKUP(B3361,辅助信息!E:M,9,FALSE)</f>
        <v>ZTWM-CDGS-XS-2024-0030-华西集采-简州大道</v>
      </c>
      <c r="R3361" s="30" t="str">
        <f>_xlfn._xlws.FILTER(辅助信息!D:D,辅助信息!E:E=B3361)</f>
        <v>华西简阳西城嘉苑</v>
      </c>
    </row>
    <row r="3362" hidden="1" spans="2:18">
      <c r="B3362" s="41" t="s">
        <v>81</v>
      </c>
      <c r="C3362" s="71">
        <v>45910</v>
      </c>
      <c r="D3362" s="41" t="str">
        <f>VLOOKUP(B3362,辅助信息!E:K,7,FALSE)</f>
        <v>JWDDCD2025060900080</v>
      </c>
      <c r="E3362" s="41" t="str">
        <f>VLOOKUP(F3362,辅助信息!A:B,2,FALSE)</f>
        <v>盘螺</v>
      </c>
      <c r="F3362" s="41" t="s">
        <v>26</v>
      </c>
      <c r="G3362" s="37">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1" t="str">
        <f>VLOOKUP(B3362,辅助信息!E:I,3,FALSE)</f>
        <v>（华西简阳西城嘉苑）四川省成都市简阳市简城街道高屋村</v>
      </c>
      <c r="J3362" s="41" t="str">
        <f>VLOOKUP(B3362,辅助信息!E:I,4,FALSE)</f>
        <v>张瀚镭</v>
      </c>
      <c r="K3362" s="41">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30" t="str">
        <f>VLOOKUP(B3362,辅助信息!E:M,9,FALSE)</f>
        <v>ZTWM-CDGS-XS-2024-0030-华西集采-简州大道</v>
      </c>
      <c r="R3362" s="30" t="str">
        <f>_xlfn._xlws.FILTER(辅助信息!D:D,辅助信息!E:E=B3362)</f>
        <v>华西简阳西城嘉苑</v>
      </c>
    </row>
    <row r="3363" hidden="1" spans="2:18">
      <c r="B3363" s="41" t="s">
        <v>81</v>
      </c>
      <c r="C3363" s="71">
        <v>45910</v>
      </c>
      <c r="D3363" s="41" t="str">
        <f>VLOOKUP(B3363,辅助信息!E:K,7,FALSE)</f>
        <v>JWDDCD2025060900080</v>
      </c>
      <c r="E3363" s="41" t="str">
        <f>VLOOKUP(F3363,辅助信息!A:B,2,FALSE)</f>
        <v>螺纹钢</v>
      </c>
      <c r="F3363" s="41" t="s">
        <v>19</v>
      </c>
      <c r="G3363" s="37">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1" t="str">
        <f>VLOOKUP(B3363,辅助信息!E:I,3,FALSE)</f>
        <v>（华西简阳西城嘉苑）四川省成都市简阳市简城街道高屋村</v>
      </c>
      <c r="J3363" s="41" t="str">
        <f>VLOOKUP(B3363,辅助信息!E:I,4,FALSE)</f>
        <v>张瀚镭</v>
      </c>
      <c r="K3363" s="41">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30" t="str">
        <f>VLOOKUP(B3363,辅助信息!E:M,9,FALSE)</f>
        <v>ZTWM-CDGS-XS-2024-0030-华西集采-简州大道</v>
      </c>
      <c r="R3363" s="30" t="str">
        <f>_xlfn._xlws.FILTER(辅助信息!D:D,辅助信息!E:E=B3363)</f>
        <v>华西简阳西城嘉苑</v>
      </c>
    </row>
    <row r="3364" hidden="1" spans="2:18">
      <c r="B3364" s="41" t="s">
        <v>81</v>
      </c>
      <c r="C3364" s="71">
        <v>45910</v>
      </c>
      <c r="D3364" s="41" t="str">
        <f>VLOOKUP(B3364,辅助信息!E:K,7,FALSE)</f>
        <v>JWDDCD2025060900080</v>
      </c>
      <c r="E3364" s="41" t="str">
        <f>VLOOKUP(F3364,辅助信息!A:B,2,FALSE)</f>
        <v>螺纹钢</v>
      </c>
      <c r="F3364" s="41" t="s">
        <v>32</v>
      </c>
      <c r="G3364" s="37">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1" t="str">
        <f>VLOOKUP(B3364,辅助信息!E:I,3,FALSE)</f>
        <v>（华西简阳西城嘉苑）四川省成都市简阳市简城街道高屋村</v>
      </c>
      <c r="J3364" s="41" t="str">
        <f>VLOOKUP(B3364,辅助信息!E:I,4,FALSE)</f>
        <v>张瀚镭</v>
      </c>
      <c r="K3364" s="41">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30" t="str">
        <f>VLOOKUP(B3364,辅助信息!E:M,9,FALSE)</f>
        <v>ZTWM-CDGS-XS-2024-0030-华西集采-简州大道</v>
      </c>
      <c r="R3364" s="30" t="str">
        <f>_xlfn._xlws.FILTER(辅助信息!D:D,辅助信息!E:E=B3364)</f>
        <v>华西简阳西城嘉苑</v>
      </c>
    </row>
    <row r="3365" hidden="1" spans="2:18">
      <c r="B3365" s="41" t="s">
        <v>81</v>
      </c>
      <c r="C3365" s="71">
        <v>45910</v>
      </c>
      <c r="D3365" s="41" t="str">
        <f>VLOOKUP(B3365,辅助信息!E:K,7,FALSE)</f>
        <v>JWDDCD2025060900080</v>
      </c>
      <c r="E3365" s="41" t="str">
        <f>VLOOKUP(F3365,辅助信息!A:B,2,FALSE)</f>
        <v>螺纹钢</v>
      </c>
      <c r="F3365" s="41" t="s">
        <v>30</v>
      </c>
      <c r="G3365" s="37">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1" t="str">
        <f>VLOOKUP(B3365,辅助信息!E:I,3,FALSE)</f>
        <v>（华西简阳西城嘉苑）四川省成都市简阳市简城街道高屋村</v>
      </c>
      <c r="J3365" s="41" t="str">
        <f>VLOOKUP(B3365,辅助信息!E:I,4,FALSE)</f>
        <v>张瀚镭</v>
      </c>
      <c r="K3365" s="41">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30" t="str">
        <f>VLOOKUP(B3365,辅助信息!E:M,9,FALSE)</f>
        <v>ZTWM-CDGS-XS-2024-0030-华西集采-简州大道</v>
      </c>
      <c r="R3365" s="30" t="str">
        <f>_xlfn._xlws.FILTER(辅助信息!D:D,辅助信息!E:E=B3365)</f>
        <v>华西简阳西城嘉苑</v>
      </c>
    </row>
    <row r="3366" hidden="1" spans="2:18">
      <c r="B3366" s="41" t="s">
        <v>81</v>
      </c>
      <c r="C3366" s="71">
        <v>45910</v>
      </c>
      <c r="D3366" s="41" t="str">
        <f>VLOOKUP(B3366,辅助信息!E:K,7,FALSE)</f>
        <v>JWDDCD2025060900080</v>
      </c>
      <c r="E3366" s="41" t="str">
        <f>VLOOKUP(F3366,辅助信息!A:B,2,FALSE)</f>
        <v>螺纹钢</v>
      </c>
      <c r="F3366" s="41" t="s">
        <v>33</v>
      </c>
      <c r="G3366" s="37">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1" t="str">
        <f>VLOOKUP(B3366,辅助信息!E:I,3,FALSE)</f>
        <v>（华西简阳西城嘉苑）四川省成都市简阳市简城街道高屋村</v>
      </c>
      <c r="J3366" s="41" t="str">
        <f>VLOOKUP(B3366,辅助信息!E:I,4,FALSE)</f>
        <v>张瀚镭</v>
      </c>
      <c r="K3366" s="41">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30" t="str">
        <f>VLOOKUP(B3366,辅助信息!E:M,9,FALSE)</f>
        <v>ZTWM-CDGS-XS-2024-0030-华西集采-简州大道</v>
      </c>
      <c r="R3366" s="30" t="str">
        <f>_xlfn._xlws.FILTER(辅助信息!D:D,辅助信息!E:E=B3366)</f>
        <v>华西简阳西城嘉苑</v>
      </c>
    </row>
    <row r="3367" hidden="1" spans="2:18">
      <c r="B3367" s="41" t="s">
        <v>196</v>
      </c>
      <c r="C3367" s="71">
        <v>45910</v>
      </c>
      <c r="D3367" s="41" t="str">
        <f>VLOOKUP(B3367,辅助信息!E:K,7,FALSE)</f>
        <v>JWDDCD2025102100476</v>
      </c>
      <c r="E3367" s="41" t="str">
        <f>VLOOKUP(F3367,辅助信息!A:B,2,FALSE)</f>
        <v>盘螺</v>
      </c>
      <c r="F3367" s="41" t="s">
        <v>40</v>
      </c>
      <c r="G3367" s="37">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1" t="str">
        <f>VLOOKUP(B3367,辅助信息!E:I,3,FALSE)</f>
        <v>(五冶建设师大附中外语校新建教学楼工程)四川省成都市成华区大观堰2号(四川师范大学附属中学外国语学校)</v>
      </c>
      <c r="J3367" s="41" t="str">
        <f>VLOOKUP(B3367,辅助信息!E:I,4,FALSE)</f>
        <v>蔡浩</v>
      </c>
      <c r="K3367" s="41">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48</v>
      </c>
      <c r="Q3367" s="30" t="str">
        <f>VLOOKUP(B3367,辅助信息!E:M,9,FALSE)</f>
        <v>ZTWM-CDGS-XS-2025-0073-五冶天府-成都怡心湖片区及龙泉驿医院等项目</v>
      </c>
      <c r="R3367" s="30" t="str">
        <f>_xlfn._xlws.FILTER(辅助信息!D:D,辅助信息!E:E=B3367)</f>
        <v>五冶建设师大附中外语校新建教学楼工程</v>
      </c>
    </row>
    <row r="3368" hidden="1" spans="2:18">
      <c r="B3368" s="41" t="s">
        <v>196</v>
      </c>
      <c r="C3368" s="71">
        <v>45910</v>
      </c>
      <c r="D3368" s="41" t="str">
        <f>VLOOKUP(B3368,辅助信息!E:K,7,FALSE)</f>
        <v>JWDDCD2025102100476</v>
      </c>
      <c r="E3368" s="41" t="str">
        <f>VLOOKUP(F3368,辅助信息!A:B,2,FALSE)</f>
        <v>盘螺</v>
      </c>
      <c r="F3368" s="41" t="s">
        <v>41</v>
      </c>
      <c r="G3368" s="37">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1" t="str">
        <f>VLOOKUP(B3368,辅助信息!E:I,3,FALSE)</f>
        <v>(五冶建设师大附中外语校新建教学楼工程)四川省成都市成华区大观堰2号(四川师范大学附属中学外国语学校)</v>
      </c>
      <c r="J3368" s="41" t="str">
        <f>VLOOKUP(B3368,辅助信息!E:I,4,FALSE)</f>
        <v>蔡浩</v>
      </c>
      <c r="K3368" s="41">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48</v>
      </c>
      <c r="Q3368" s="30" t="str">
        <f>VLOOKUP(B3368,辅助信息!E:M,9,FALSE)</f>
        <v>ZTWM-CDGS-XS-2025-0073-五冶天府-成都怡心湖片区及龙泉驿医院等项目</v>
      </c>
      <c r="R3368" s="30" t="str">
        <f>_xlfn._xlws.FILTER(辅助信息!D:D,辅助信息!E:E=B3368)</f>
        <v>五冶建设师大附中外语校新建教学楼工程</v>
      </c>
    </row>
    <row r="3369" hidden="1" spans="2:18">
      <c r="B3369" s="41" t="s">
        <v>196</v>
      </c>
      <c r="C3369" s="71">
        <v>45910</v>
      </c>
      <c r="D3369" s="41" t="str">
        <f>VLOOKUP(B3369,辅助信息!E:K,7,FALSE)</f>
        <v>JWDDCD2025102100476</v>
      </c>
      <c r="E3369" s="41" t="str">
        <f>VLOOKUP(F3369,辅助信息!A:B,2,FALSE)</f>
        <v>螺纹钢</v>
      </c>
      <c r="F3369" s="41" t="s">
        <v>66</v>
      </c>
      <c r="G3369" s="37">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1" t="str">
        <f>VLOOKUP(B3369,辅助信息!E:I,3,FALSE)</f>
        <v>(五冶建设师大附中外语校新建教学楼工程)四川省成都市成华区大观堰2号(四川师范大学附属中学外国语学校)</v>
      </c>
      <c r="J3369" s="41" t="str">
        <f>VLOOKUP(B3369,辅助信息!E:I,4,FALSE)</f>
        <v>蔡浩</v>
      </c>
      <c r="K3369" s="41">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48</v>
      </c>
      <c r="Q3369" s="30" t="str">
        <f>VLOOKUP(B3369,辅助信息!E:M,9,FALSE)</f>
        <v>ZTWM-CDGS-XS-2025-0073-五冶天府-成都怡心湖片区及龙泉驿医院等项目</v>
      </c>
      <c r="R3369" s="30" t="str">
        <f>_xlfn._xlws.FILTER(辅助信息!D:D,辅助信息!E:E=B3369)</f>
        <v>五冶建设师大附中外语校新建教学楼工程</v>
      </c>
    </row>
    <row r="3370" hidden="1" spans="2:18">
      <c r="B3370" s="41" t="s">
        <v>196</v>
      </c>
      <c r="C3370" s="71">
        <v>45910</v>
      </c>
      <c r="D3370" s="41" t="str">
        <f>VLOOKUP(B3370,辅助信息!E:K,7,FALSE)</f>
        <v>JWDDCD2025102100476</v>
      </c>
      <c r="E3370" s="41" t="str">
        <f>VLOOKUP(F3370,辅助信息!A:B,2,FALSE)</f>
        <v>螺纹钢</v>
      </c>
      <c r="F3370" s="41" t="s">
        <v>82</v>
      </c>
      <c r="G3370" s="37">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1" t="str">
        <f>VLOOKUP(B3370,辅助信息!E:I,3,FALSE)</f>
        <v>(五冶建设师大附中外语校新建教学楼工程)四川省成都市成华区大观堰2号(四川师范大学附属中学外国语学校)</v>
      </c>
      <c r="J3370" s="41" t="str">
        <f>VLOOKUP(B3370,辅助信息!E:I,4,FALSE)</f>
        <v>蔡浩</v>
      </c>
      <c r="K3370" s="41">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48</v>
      </c>
      <c r="Q3370" s="30" t="str">
        <f>VLOOKUP(B3370,辅助信息!E:M,9,FALSE)</f>
        <v>ZTWM-CDGS-XS-2025-0073-五冶天府-成都怡心湖片区及龙泉驿医院等项目</v>
      </c>
      <c r="R3370" s="30" t="str">
        <f>_xlfn._xlws.FILTER(辅助信息!D:D,辅助信息!E:E=B3370)</f>
        <v>五冶建设师大附中外语校新建教学楼工程</v>
      </c>
    </row>
    <row r="3371" hidden="1" spans="2:18">
      <c r="B3371" s="41" t="s">
        <v>196</v>
      </c>
      <c r="C3371" s="71">
        <v>45910</v>
      </c>
      <c r="D3371" s="41" t="str">
        <f>VLOOKUP(B3371,辅助信息!E:K,7,FALSE)</f>
        <v>JWDDCD2025102100476</v>
      </c>
      <c r="E3371" s="41" t="str">
        <f>VLOOKUP(F3371,辅助信息!A:B,2,FALSE)</f>
        <v>螺纹钢</v>
      </c>
      <c r="F3371" s="41" t="s">
        <v>45</v>
      </c>
      <c r="G3371" s="37">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1" t="str">
        <f>VLOOKUP(B3371,辅助信息!E:I,3,FALSE)</f>
        <v>(五冶建设师大附中外语校新建教学楼工程)四川省成都市成华区大观堰2号(四川师范大学附属中学外国语学校)</v>
      </c>
      <c r="J3371" s="41" t="str">
        <f>VLOOKUP(B3371,辅助信息!E:I,4,FALSE)</f>
        <v>蔡浩</v>
      </c>
      <c r="K3371" s="41">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48</v>
      </c>
      <c r="Q3371" s="30" t="str">
        <f>VLOOKUP(B3371,辅助信息!E:M,9,FALSE)</f>
        <v>ZTWM-CDGS-XS-2025-0073-五冶天府-成都怡心湖片区及龙泉驿医院等项目</v>
      </c>
      <c r="R3371" s="30" t="str">
        <f>_xlfn._xlws.FILTER(辅助信息!D:D,辅助信息!E:E=B3371)</f>
        <v>五冶建设师大附中外语校新建教学楼工程</v>
      </c>
    </row>
    <row r="3372" hidden="1" spans="2:18">
      <c r="B3372" s="41" t="s">
        <v>196</v>
      </c>
      <c r="C3372" s="71">
        <v>45910</v>
      </c>
      <c r="D3372" s="41" t="str">
        <f>VLOOKUP(B3372,辅助信息!E:K,7,FALSE)</f>
        <v>JWDDCD2025102100476</v>
      </c>
      <c r="E3372" s="41" t="str">
        <f>VLOOKUP(F3372,辅助信息!A:B,2,FALSE)</f>
        <v>螺纹钢</v>
      </c>
      <c r="F3372" s="41" t="s">
        <v>21</v>
      </c>
      <c r="G3372" s="37">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1" t="str">
        <f>VLOOKUP(B3372,辅助信息!E:I,3,FALSE)</f>
        <v>(五冶建设师大附中外语校新建教学楼工程)四川省成都市成华区大观堰2号(四川师范大学附属中学外国语学校)</v>
      </c>
      <c r="J3372" s="41" t="str">
        <f>VLOOKUP(B3372,辅助信息!E:I,4,FALSE)</f>
        <v>蔡浩</v>
      </c>
      <c r="K3372" s="41">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48</v>
      </c>
      <c r="Q3372" s="30" t="str">
        <f>VLOOKUP(B3372,辅助信息!E:M,9,FALSE)</f>
        <v>ZTWM-CDGS-XS-2025-0073-五冶天府-成都怡心湖片区及龙泉驿医院等项目</v>
      </c>
      <c r="R3372" s="30" t="str">
        <f>_xlfn._xlws.FILTER(辅助信息!D:D,辅助信息!E:E=B3372)</f>
        <v>五冶建设师大附中外语校新建教学楼工程</v>
      </c>
    </row>
    <row r="3373" hidden="1" spans="2:18">
      <c r="B3373" s="41" t="s">
        <v>196</v>
      </c>
      <c r="C3373" s="71">
        <v>45910</v>
      </c>
      <c r="D3373" s="41" t="str">
        <f>VLOOKUP(B3373,辅助信息!E:K,7,FALSE)</f>
        <v>JWDDCD2025102100476</v>
      </c>
      <c r="E3373" s="41" t="str">
        <f>VLOOKUP(F3373,辅助信息!A:B,2,FALSE)</f>
        <v>螺纹钢</v>
      </c>
      <c r="F3373" s="41" t="s">
        <v>58</v>
      </c>
      <c r="G3373" s="37">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1" t="str">
        <f>VLOOKUP(B3373,辅助信息!E:I,3,FALSE)</f>
        <v>(五冶建设师大附中外语校新建教学楼工程)四川省成都市成华区大观堰2号(四川师范大学附属中学外国语学校)</v>
      </c>
      <c r="J3373" s="41" t="str">
        <f>VLOOKUP(B3373,辅助信息!E:I,4,FALSE)</f>
        <v>蔡浩</v>
      </c>
      <c r="K3373" s="41">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48</v>
      </c>
      <c r="Q3373" s="30" t="str">
        <f>VLOOKUP(B3373,辅助信息!E:M,9,FALSE)</f>
        <v>ZTWM-CDGS-XS-2025-0073-五冶天府-成都怡心湖片区及龙泉驿医院等项目</v>
      </c>
      <c r="R3373" s="30" t="str">
        <f>_xlfn._xlws.FILTER(辅助信息!D:D,辅助信息!E:E=B3373)</f>
        <v>五冶建设师大附中外语校新建教学楼工程</v>
      </c>
    </row>
    <row r="3374" hidden="1" spans="2:18">
      <c r="B3374" s="41" t="s">
        <v>196</v>
      </c>
      <c r="C3374" s="71">
        <v>45910</v>
      </c>
      <c r="D3374" s="41" t="str">
        <f>VLOOKUP(B3374,辅助信息!E:K,7,FALSE)</f>
        <v>JWDDCD2025102100476</v>
      </c>
      <c r="E3374" s="41" t="str">
        <f>VLOOKUP(F3374,辅助信息!A:B,2,FALSE)</f>
        <v>螺纹钢</v>
      </c>
      <c r="F3374" s="41" t="s">
        <v>46</v>
      </c>
      <c r="G3374" s="37">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1" t="str">
        <f>VLOOKUP(B3374,辅助信息!E:I,3,FALSE)</f>
        <v>(五冶建设师大附中外语校新建教学楼工程)四川省成都市成华区大观堰2号(四川师范大学附属中学外国语学校)</v>
      </c>
      <c r="J3374" s="41" t="str">
        <f>VLOOKUP(B3374,辅助信息!E:I,4,FALSE)</f>
        <v>蔡浩</v>
      </c>
      <c r="K3374" s="41">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48</v>
      </c>
      <c r="Q3374" s="30" t="str">
        <f>VLOOKUP(B3374,辅助信息!E:M,9,FALSE)</f>
        <v>ZTWM-CDGS-XS-2025-0073-五冶天府-成都怡心湖片区及龙泉驿医院等项目</v>
      </c>
      <c r="R3374" s="30" t="str">
        <f>_xlfn._xlws.FILTER(辅助信息!D:D,辅助信息!E:E=B3374)</f>
        <v>五冶建设师大附中外语校新建教学楼工程</v>
      </c>
    </row>
    <row r="3375" hidden="1" spans="2:18">
      <c r="B3375" s="41" t="s">
        <v>196</v>
      </c>
      <c r="C3375" s="71">
        <v>45910</v>
      </c>
      <c r="D3375" s="41" t="str">
        <f>VLOOKUP(B3375,辅助信息!E:K,7,FALSE)</f>
        <v>JWDDCD2025102100476</v>
      </c>
      <c r="E3375" s="41" t="str">
        <f>VLOOKUP(F3375,辅助信息!A:B,2,FALSE)</f>
        <v>螺纹钢</v>
      </c>
      <c r="F3375" s="41" t="s">
        <v>22</v>
      </c>
      <c r="G3375" s="37">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1" t="str">
        <f>VLOOKUP(B3375,辅助信息!E:I,3,FALSE)</f>
        <v>(五冶建设师大附中外语校新建教学楼工程)四川省成都市成华区大观堰2号(四川师范大学附属中学外国语学校)</v>
      </c>
      <c r="J3375" s="41" t="str">
        <f>VLOOKUP(B3375,辅助信息!E:I,4,FALSE)</f>
        <v>蔡浩</v>
      </c>
      <c r="K3375" s="41">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48</v>
      </c>
      <c r="Q3375" s="30" t="str">
        <f>VLOOKUP(B3375,辅助信息!E:M,9,FALSE)</f>
        <v>ZTWM-CDGS-XS-2025-0073-五冶天府-成都怡心湖片区及龙泉驿医院等项目</v>
      </c>
      <c r="R3375" s="30" t="str">
        <f>_xlfn._xlws.FILTER(辅助信息!D:D,辅助信息!E:E=B3375)</f>
        <v>五冶建设师大附中外语校新建教学楼工程</v>
      </c>
    </row>
    <row r="3376" hidden="1" spans="1:18">
      <c r="A3376" s="72" t="s">
        <v>217</v>
      </c>
      <c r="B3376" s="41" t="s">
        <v>211</v>
      </c>
      <c r="C3376" s="71">
        <v>45912</v>
      </c>
      <c r="D3376" s="41" t="e">
        <f>VLOOKUP(B3376,辅助信息!E:K,7,FALSE)</f>
        <v>#N/A</v>
      </c>
      <c r="E3376" s="41" t="str">
        <f>VLOOKUP(F3376,辅助信息!A:B,2,FALSE)</f>
        <v>盘螺</v>
      </c>
      <c r="F3376" s="41" t="s">
        <v>26</v>
      </c>
      <c r="G3376" s="37">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1" t="e">
        <f>VLOOKUP(B3376,辅助信息!E:I,3,FALSE)</f>
        <v>#N/A</v>
      </c>
      <c r="J3376" s="41" t="e">
        <f>VLOOKUP(B3376,辅助信息!E:I,4,FALSE)</f>
        <v>#N/A</v>
      </c>
      <c r="K3376" s="41" t="e">
        <f>VLOOKUP(J3376,辅助信息!H:I,2,FALSE)</f>
        <v>#N/A</v>
      </c>
      <c r="L3376" s="110" t="e">
        <f>VLOOKUP(B3376,辅助信息!E:J,6,FALSE)</f>
        <v>#N/A</v>
      </c>
      <c r="O3376" s="63" t="str">
        <f ca="1" t="shared" si="188"/>
        <v/>
      </c>
      <c r="P3376" s="63" t="str">
        <f ca="1" t="shared" si="189"/>
        <v/>
      </c>
      <c r="Q3376" s="30" t="e">
        <f>VLOOKUP(B3376,辅助信息!E:M,9,FALSE)</f>
        <v>#N/A</v>
      </c>
      <c r="R3376" s="30" vm="1" t="e">
        <f>_xlfn._xlws.FILTER(辅助信息!D:D,辅助信息!E:E=B3376)</f>
        <v>#VALUE!</v>
      </c>
    </row>
    <row r="3377" hidden="1" spans="1:18">
      <c r="A3377" s="72"/>
      <c r="B3377" s="41" t="s">
        <v>211</v>
      </c>
      <c r="C3377" s="71">
        <v>45912</v>
      </c>
      <c r="D3377" s="41" t="e">
        <f>VLOOKUP(B3377,辅助信息!E:K,7,FALSE)</f>
        <v>#N/A</v>
      </c>
      <c r="E3377" s="41" t="str">
        <f>VLOOKUP(F3377,辅助信息!A:B,2,FALSE)</f>
        <v>螺纹钢</v>
      </c>
      <c r="F3377" s="41" t="s">
        <v>19</v>
      </c>
      <c r="G3377" s="37">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1" t="e">
        <f>VLOOKUP(B3377,辅助信息!E:I,3,FALSE)</f>
        <v>#N/A</v>
      </c>
      <c r="J3377" s="41" t="e">
        <f>VLOOKUP(B3377,辅助信息!E:I,4,FALSE)</f>
        <v>#N/A</v>
      </c>
      <c r="K3377" s="41" t="e">
        <f>VLOOKUP(J3377,辅助信息!H:I,2,FALSE)</f>
        <v>#N/A</v>
      </c>
      <c r="L3377" s="110" t="e">
        <f>VLOOKUP(B3377,辅助信息!E:J,6,FALSE)</f>
        <v>#N/A</v>
      </c>
      <c r="O3377" s="63" t="str">
        <f ca="1" t="shared" si="188"/>
        <v/>
      </c>
      <c r="P3377" s="63" t="str">
        <f ca="1" t="shared" si="189"/>
        <v/>
      </c>
      <c r="Q3377" s="30" t="e">
        <f>VLOOKUP(B3377,辅助信息!E:M,9,FALSE)</f>
        <v>#N/A</v>
      </c>
      <c r="R3377" s="30" vm="1" t="e">
        <f>_xlfn._xlws.FILTER(辅助信息!D:D,辅助信息!E:E=B3377)</f>
        <v>#VALUE!</v>
      </c>
    </row>
    <row r="3378" hidden="1" spans="1:18">
      <c r="A3378" s="72"/>
      <c r="B3378" s="41" t="s">
        <v>211</v>
      </c>
      <c r="C3378" s="71">
        <v>45912</v>
      </c>
      <c r="D3378" s="41" t="e">
        <f>VLOOKUP(B3378,辅助信息!E:K,7,FALSE)</f>
        <v>#N/A</v>
      </c>
      <c r="E3378" s="41" t="str">
        <f>VLOOKUP(F3378,辅助信息!A:B,2,FALSE)</f>
        <v>螺纹钢</v>
      </c>
      <c r="F3378" s="41" t="s">
        <v>32</v>
      </c>
      <c r="G3378" s="37">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1" t="e">
        <f>VLOOKUP(B3378,辅助信息!E:I,3,FALSE)</f>
        <v>#N/A</v>
      </c>
      <c r="J3378" s="41" t="e">
        <f>VLOOKUP(B3378,辅助信息!E:I,4,FALSE)</f>
        <v>#N/A</v>
      </c>
      <c r="K3378" s="41" t="e">
        <f>VLOOKUP(J3378,辅助信息!H:I,2,FALSE)</f>
        <v>#N/A</v>
      </c>
      <c r="L3378" s="110" t="e">
        <f>VLOOKUP(B3378,辅助信息!E:J,6,FALSE)</f>
        <v>#N/A</v>
      </c>
      <c r="O3378" s="63" t="str">
        <f ca="1" t="shared" si="188"/>
        <v/>
      </c>
      <c r="P3378" s="63" t="str">
        <f ca="1" t="shared" si="189"/>
        <v/>
      </c>
      <c r="Q3378" s="30" t="e">
        <f>VLOOKUP(B3378,辅助信息!E:M,9,FALSE)</f>
        <v>#N/A</v>
      </c>
      <c r="R3378" s="30" vm="1" t="e">
        <f>_xlfn._xlws.FILTER(辅助信息!D:D,辅助信息!E:E=B3378)</f>
        <v>#VALUE!</v>
      </c>
    </row>
    <row r="3379" hidden="1" spans="1:18">
      <c r="A3379" s="72"/>
      <c r="B3379" s="41" t="s">
        <v>211</v>
      </c>
      <c r="C3379" s="71">
        <v>45912</v>
      </c>
      <c r="D3379" s="41" t="e">
        <f>VLOOKUP(B3379,辅助信息!E:K,7,FALSE)</f>
        <v>#N/A</v>
      </c>
      <c r="E3379" s="41" t="str">
        <f>VLOOKUP(F3379,辅助信息!A:B,2,FALSE)</f>
        <v>螺纹钢</v>
      </c>
      <c r="F3379" s="41" t="s">
        <v>30</v>
      </c>
      <c r="G3379" s="37">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1" t="e">
        <f>VLOOKUP(B3379,辅助信息!E:I,3,FALSE)</f>
        <v>#N/A</v>
      </c>
      <c r="J3379" s="41" t="e">
        <f>VLOOKUP(B3379,辅助信息!E:I,4,FALSE)</f>
        <v>#N/A</v>
      </c>
      <c r="K3379" s="41" t="e">
        <f>VLOOKUP(J3379,辅助信息!H:I,2,FALSE)</f>
        <v>#N/A</v>
      </c>
      <c r="L3379" s="110" t="e">
        <f>VLOOKUP(B3379,辅助信息!E:J,6,FALSE)</f>
        <v>#N/A</v>
      </c>
      <c r="O3379" s="63" t="str">
        <f ca="1" t="shared" si="188"/>
        <v/>
      </c>
      <c r="P3379" s="63" t="str">
        <f ca="1" t="shared" si="189"/>
        <v/>
      </c>
      <c r="Q3379" s="30" t="e">
        <f>VLOOKUP(B3379,辅助信息!E:M,9,FALSE)</f>
        <v>#N/A</v>
      </c>
      <c r="R3379" s="30" vm="1" t="e">
        <f>_xlfn._xlws.FILTER(辅助信息!D:D,辅助信息!E:E=B3379)</f>
        <v>#VALUE!</v>
      </c>
    </row>
    <row r="3380" hidden="1" spans="1:18">
      <c r="A3380" s="72"/>
      <c r="B3380" s="41" t="s">
        <v>211</v>
      </c>
      <c r="C3380" s="71">
        <v>45912</v>
      </c>
      <c r="D3380" s="41" t="e">
        <f>VLOOKUP(B3380,辅助信息!E:K,7,FALSE)</f>
        <v>#N/A</v>
      </c>
      <c r="E3380" s="41" t="str">
        <f>VLOOKUP(F3380,辅助信息!A:B,2,FALSE)</f>
        <v>螺纹钢</v>
      </c>
      <c r="F3380" s="41" t="s">
        <v>33</v>
      </c>
      <c r="G3380" s="37">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1" t="e">
        <f>VLOOKUP(B3380,辅助信息!E:I,3,FALSE)</f>
        <v>#N/A</v>
      </c>
      <c r="J3380" s="41" t="e">
        <f>VLOOKUP(B3380,辅助信息!E:I,4,FALSE)</f>
        <v>#N/A</v>
      </c>
      <c r="K3380" s="41" t="e">
        <f>VLOOKUP(J3380,辅助信息!H:I,2,FALSE)</f>
        <v>#N/A</v>
      </c>
      <c r="L3380" s="110" t="e">
        <f>VLOOKUP(B3380,辅助信息!E:J,6,FALSE)</f>
        <v>#N/A</v>
      </c>
      <c r="O3380" s="63" t="str">
        <f ca="1" t="shared" si="188"/>
        <v/>
      </c>
      <c r="P3380" s="63" t="str">
        <f ca="1" t="shared" si="189"/>
        <v/>
      </c>
      <c r="Q3380" s="30" t="e">
        <f>VLOOKUP(B3380,辅助信息!E:M,9,FALSE)</f>
        <v>#N/A</v>
      </c>
      <c r="R3380" s="30" vm="1" t="e">
        <f>_xlfn._xlws.FILTER(辅助信息!D:D,辅助信息!E:E=B3380)</f>
        <v>#VALUE!</v>
      </c>
    </row>
    <row r="3381" hidden="1" spans="1:18">
      <c r="A3381" s="72"/>
      <c r="B3381" s="41" t="s">
        <v>211</v>
      </c>
      <c r="C3381" s="71">
        <v>45912</v>
      </c>
      <c r="D3381" s="41" t="e">
        <f>VLOOKUP(B3381,辅助信息!E:K,7,FALSE)</f>
        <v>#N/A</v>
      </c>
      <c r="E3381" s="41" t="str">
        <f>VLOOKUP(F3381,辅助信息!A:B,2,FALSE)</f>
        <v>螺纹钢</v>
      </c>
      <c r="F3381" s="41" t="s">
        <v>28</v>
      </c>
      <c r="G3381" s="37">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1" t="e">
        <f>VLOOKUP(B3381,辅助信息!E:I,3,FALSE)</f>
        <v>#N/A</v>
      </c>
      <c r="J3381" s="41" t="e">
        <f>VLOOKUP(B3381,辅助信息!E:I,4,FALSE)</f>
        <v>#N/A</v>
      </c>
      <c r="K3381" s="41" t="e">
        <f>VLOOKUP(J3381,辅助信息!H:I,2,FALSE)</f>
        <v>#N/A</v>
      </c>
      <c r="L3381" s="110" t="e">
        <f>VLOOKUP(B3381,辅助信息!E:J,6,FALSE)</f>
        <v>#N/A</v>
      </c>
      <c r="O3381" s="63" t="str">
        <f ca="1" t="shared" si="188"/>
        <v/>
      </c>
      <c r="P3381" s="63" t="str">
        <f ca="1" t="shared" si="189"/>
        <v/>
      </c>
      <c r="Q3381" s="30" t="e">
        <f>VLOOKUP(B3381,辅助信息!E:M,9,FALSE)</f>
        <v>#N/A</v>
      </c>
      <c r="R3381" s="30" vm="1" t="e">
        <f>_xlfn._xlws.FILTER(辅助信息!D:D,辅助信息!E:E=B3381)</f>
        <v>#VALUE!</v>
      </c>
    </row>
    <row r="3382" hidden="1" spans="1:18">
      <c r="A3382" s="72"/>
      <c r="B3382" s="41" t="s">
        <v>211</v>
      </c>
      <c r="C3382" s="71">
        <v>45912</v>
      </c>
      <c r="D3382" s="41" t="e">
        <f>VLOOKUP(B3382,辅助信息!E:K,7,FALSE)</f>
        <v>#N/A</v>
      </c>
      <c r="E3382" s="41" t="str">
        <f>VLOOKUP(F3382,辅助信息!A:B,2,FALSE)</f>
        <v>螺纹钢</v>
      </c>
      <c r="F3382" s="41" t="s">
        <v>18</v>
      </c>
      <c r="G3382" s="37">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1" t="e">
        <f>VLOOKUP(B3382,辅助信息!E:I,3,FALSE)</f>
        <v>#N/A</v>
      </c>
      <c r="J3382" s="41" t="e">
        <f>VLOOKUP(B3382,辅助信息!E:I,4,FALSE)</f>
        <v>#N/A</v>
      </c>
      <c r="K3382" s="41" t="e">
        <f>VLOOKUP(J3382,辅助信息!H:I,2,FALSE)</f>
        <v>#N/A</v>
      </c>
      <c r="L3382" s="110" t="e">
        <f>VLOOKUP(B3382,辅助信息!E:J,6,FALSE)</f>
        <v>#N/A</v>
      </c>
      <c r="O3382" s="63" t="str">
        <f ca="1" t="shared" si="188"/>
        <v/>
      </c>
      <c r="P3382" s="63" t="str">
        <f ca="1" t="shared" si="189"/>
        <v/>
      </c>
      <c r="Q3382" s="30" t="e">
        <f>VLOOKUP(B3382,辅助信息!E:M,9,FALSE)</f>
        <v>#N/A</v>
      </c>
      <c r="R3382" s="30" vm="1" t="e">
        <f>_xlfn._xlws.FILTER(辅助信息!D:D,辅助信息!E:E=B3382)</f>
        <v>#VALUE!</v>
      </c>
    </row>
    <row r="3383" hidden="1" spans="2:18">
      <c r="B3383" s="41" t="s">
        <v>186</v>
      </c>
      <c r="C3383" s="71">
        <v>45911</v>
      </c>
      <c r="D3383" s="41" t="str">
        <f>VLOOKUP(B3383,辅助信息!E:K,7,FALSE)</f>
        <v>JWDDCD2025072900123</v>
      </c>
      <c r="E3383" s="41" t="str">
        <f>VLOOKUP(F3383,辅助信息!A:B,2,FALSE)</f>
        <v>高线</v>
      </c>
      <c r="F3383" s="41" t="s">
        <v>57</v>
      </c>
      <c r="G3383" s="37">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1" t="str">
        <f>VLOOKUP(B3383,辅助信息!E:I,3,FALSE)</f>
        <v>(乐山市校地共建产教融合基地建设项目二标段)四川省乐山市市中区苏稽镇</v>
      </c>
      <c r="J3383" s="41" t="str">
        <f>VLOOKUP(B3383,辅助信息!E:I,4,FALSE)</f>
        <v>彭江涛</v>
      </c>
      <c r="K3383" s="41">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30" t="str">
        <f>VLOOKUP(B3383,辅助信息!E:M,9,FALSE)</f>
        <v>ZTWM-CDGS-XS-2025-0126-四川机司-乐山市校地共建产教融合基地配套设施项目施工二标段钢筋采购合同</v>
      </c>
      <c r="R3383" s="30" t="str">
        <f>_xlfn._xlws.FILTER(辅助信息!D:D,辅助信息!E:E=B3383)</f>
        <v>乐山市校地共建产教融合基地建设项目</v>
      </c>
    </row>
    <row r="3384" hidden="1" spans="2:18">
      <c r="B3384" s="41" t="s">
        <v>186</v>
      </c>
      <c r="C3384" s="71">
        <v>45911</v>
      </c>
      <c r="D3384" s="41" t="str">
        <f>VLOOKUP(B3384,辅助信息!E:K,7,FALSE)</f>
        <v>JWDDCD2025072900123</v>
      </c>
      <c r="E3384" s="41" t="str">
        <f>VLOOKUP(F3384,辅助信息!A:B,2,FALSE)</f>
        <v>螺纹钢</v>
      </c>
      <c r="F3384" s="41" t="s">
        <v>76</v>
      </c>
      <c r="G3384" s="37">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1" t="str">
        <f>VLOOKUP(B3384,辅助信息!E:I,3,FALSE)</f>
        <v>(乐山市校地共建产教融合基地建设项目二标段)四川省乐山市市中区苏稽镇</v>
      </c>
      <c r="J3384" s="41" t="str">
        <f>VLOOKUP(B3384,辅助信息!E:I,4,FALSE)</f>
        <v>彭江涛</v>
      </c>
      <c r="K3384" s="41">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30" t="str">
        <f>VLOOKUP(B3384,辅助信息!E:M,9,FALSE)</f>
        <v>ZTWM-CDGS-XS-2025-0126-四川机司-乐山市校地共建产教融合基地配套设施项目施工二标段钢筋采购合同</v>
      </c>
      <c r="R3384" s="30" t="str">
        <f>_xlfn._xlws.FILTER(辅助信息!D:D,辅助信息!E:E=B3384)</f>
        <v>乐山市校地共建产教融合基地建设项目</v>
      </c>
    </row>
    <row r="3385" hidden="1" spans="2:18">
      <c r="B3385" s="41" t="s">
        <v>186</v>
      </c>
      <c r="C3385" s="71">
        <v>45911</v>
      </c>
      <c r="D3385" s="41" t="str">
        <f>VLOOKUP(B3385,辅助信息!E:K,7,FALSE)</f>
        <v>JWDDCD2025072900123</v>
      </c>
      <c r="E3385" s="41" t="str">
        <f>VLOOKUP(F3385,辅助信息!A:B,2,FALSE)</f>
        <v>螺纹钢</v>
      </c>
      <c r="F3385" s="41" t="s">
        <v>19</v>
      </c>
      <c r="G3385" s="37">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1" t="str">
        <f>VLOOKUP(B3385,辅助信息!E:I,3,FALSE)</f>
        <v>(乐山市校地共建产教融合基地建设项目二标段)四川省乐山市市中区苏稽镇</v>
      </c>
      <c r="J3385" s="41" t="str">
        <f>VLOOKUP(B3385,辅助信息!E:I,4,FALSE)</f>
        <v>彭江涛</v>
      </c>
      <c r="K3385" s="41">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30" t="str">
        <f>VLOOKUP(B3385,辅助信息!E:M,9,FALSE)</f>
        <v>ZTWM-CDGS-XS-2025-0126-四川机司-乐山市校地共建产教融合基地配套设施项目施工二标段钢筋采购合同</v>
      </c>
      <c r="R3385" s="30" t="str">
        <f>_xlfn._xlws.FILTER(辅助信息!D:D,辅助信息!E:E=B3385)</f>
        <v>乐山市校地共建产教融合基地建设项目</v>
      </c>
    </row>
    <row r="3386" hidden="1" spans="2:18">
      <c r="B3386" s="41" t="s">
        <v>186</v>
      </c>
      <c r="C3386" s="71">
        <v>45911</v>
      </c>
      <c r="D3386" s="41" t="str">
        <f>VLOOKUP(B3386,辅助信息!E:K,7,FALSE)</f>
        <v>JWDDCD2025072900123</v>
      </c>
      <c r="E3386" s="41" t="str">
        <f>VLOOKUP(F3386,辅助信息!A:B,2,FALSE)</f>
        <v>螺纹钢</v>
      </c>
      <c r="F3386" s="41" t="s">
        <v>32</v>
      </c>
      <c r="G3386" s="37">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1" t="str">
        <f>VLOOKUP(B3386,辅助信息!E:I,3,FALSE)</f>
        <v>(乐山市校地共建产教融合基地建设项目二标段)四川省乐山市市中区苏稽镇</v>
      </c>
      <c r="J3386" s="41" t="str">
        <f>VLOOKUP(B3386,辅助信息!E:I,4,FALSE)</f>
        <v>彭江涛</v>
      </c>
      <c r="K3386" s="41">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30" t="str">
        <f>VLOOKUP(B3386,辅助信息!E:M,9,FALSE)</f>
        <v>ZTWM-CDGS-XS-2025-0126-四川机司-乐山市校地共建产教融合基地配套设施项目施工二标段钢筋采购合同</v>
      </c>
      <c r="R3386" s="30" t="str">
        <f>_xlfn._xlws.FILTER(辅助信息!D:D,辅助信息!E:E=B3386)</f>
        <v>乐山市校地共建产教融合基地建设项目</v>
      </c>
    </row>
    <row r="3387" hidden="1" spans="2:18">
      <c r="B3387" s="41" t="s">
        <v>186</v>
      </c>
      <c r="C3387" s="71">
        <v>45911</v>
      </c>
      <c r="D3387" s="41" t="str">
        <f>VLOOKUP(B3387,辅助信息!E:K,7,FALSE)</f>
        <v>JWDDCD2025072900123</v>
      </c>
      <c r="E3387" s="41" t="str">
        <f>VLOOKUP(F3387,辅助信息!A:B,2,FALSE)</f>
        <v>螺纹钢</v>
      </c>
      <c r="F3387" s="41" t="s">
        <v>30</v>
      </c>
      <c r="G3387" s="37">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1" t="str">
        <f>VLOOKUP(B3387,辅助信息!E:I,3,FALSE)</f>
        <v>(乐山市校地共建产教融合基地建设项目二标段)四川省乐山市市中区苏稽镇</v>
      </c>
      <c r="J3387" s="41" t="str">
        <f>VLOOKUP(B3387,辅助信息!E:I,4,FALSE)</f>
        <v>彭江涛</v>
      </c>
      <c r="K3387" s="41">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30" t="str">
        <f>VLOOKUP(B3387,辅助信息!E:M,9,FALSE)</f>
        <v>ZTWM-CDGS-XS-2025-0126-四川机司-乐山市校地共建产教融合基地配套设施项目施工二标段钢筋采购合同</v>
      </c>
      <c r="R3387" s="30" t="str">
        <f>_xlfn._xlws.FILTER(辅助信息!D:D,辅助信息!E:E=B3387)</f>
        <v>乐山市校地共建产教融合基地建设项目</v>
      </c>
    </row>
    <row r="3388" hidden="1" spans="2:18">
      <c r="B3388" s="41" t="s">
        <v>186</v>
      </c>
      <c r="C3388" s="71">
        <v>45911</v>
      </c>
      <c r="D3388" s="41" t="str">
        <f>VLOOKUP(B3388,辅助信息!E:K,7,FALSE)</f>
        <v>JWDDCD2025072900123</v>
      </c>
      <c r="E3388" s="41" t="str">
        <f>VLOOKUP(F3388,辅助信息!A:B,2,FALSE)</f>
        <v>螺纹钢</v>
      </c>
      <c r="F3388" s="41" t="s">
        <v>33</v>
      </c>
      <c r="G3388" s="37">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1" t="str">
        <f>VLOOKUP(B3388,辅助信息!E:I,3,FALSE)</f>
        <v>(乐山市校地共建产教融合基地建设项目二标段)四川省乐山市市中区苏稽镇</v>
      </c>
      <c r="J3388" s="41" t="str">
        <f>VLOOKUP(B3388,辅助信息!E:I,4,FALSE)</f>
        <v>彭江涛</v>
      </c>
      <c r="K3388" s="41">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30" t="str">
        <f>VLOOKUP(B3388,辅助信息!E:M,9,FALSE)</f>
        <v>ZTWM-CDGS-XS-2025-0126-四川机司-乐山市校地共建产教融合基地配套设施项目施工二标段钢筋采购合同</v>
      </c>
      <c r="R3388" s="30" t="str">
        <f>_xlfn._xlws.FILTER(辅助信息!D:D,辅助信息!E:E=B3388)</f>
        <v>乐山市校地共建产教融合基地建设项目</v>
      </c>
    </row>
    <row r="3389" hidden="1" spans="2:18">
      <c r="B3389" s="41" t="s">
        <v>186</v>
      </c>
      <c r="C3389" s="71">
        <v>45911</v>
      </c>
      <c r="D3389" s="41" t="str">
        <f>VLOOKUP(B3389,辅助信息!E:K,7,FALSE)</f>
        <v>JWDDCD2025072900123</v>
      </c>
      <c r="E3389" s="41" t="str">
        <f>VLOOKUP(F3389,辅助信息!A:B,2,FALSE)</f>
        <v>螺纹钢</v>
      </c>
      <c r="F3389" s="41" t="s">
        <v>28</v>
      </c>
      <c r="G3389" s="37">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1" t="str">
        <f>VLOOKUP(B3389,辅助信息!E:I,3,FALSE)</f>
        <v>(乐山市校地共建产教融合基地建设项目二标段)四川省乐山市市中区苏稽镇</v>
      </c>
      <c r="J3389" s="41" t="str">
        <f>VLOOKUP(B3389,辅助信息!E:I,4,FALSE)</f>
        <v>彭江涛</v>
      </c>
      <c r="K3389" s="41">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30" t="str">
        <f>VLOOKUP(B3389,辅助信息!E:M,9,FALSE)</f>
        <v>ZTWM-CDGS-XS-2025-0126-四川机司-乐山市校地共建产教融合基地配套设施项目施工二标段钢筋采购合同</v>
      </c>
      <c r="R3389" s="30" t="str">
        <f>_xlfn._xlws.FILTER(辅助信息!D:D,辅助信息!E:E=B3389)</f>
        <v>乐山市校地共建产教融合基地建设项目</v>
      </c>
    </row>
    <row r="3390" hidden="1" spans="2:18">
      <c r="B3390" s="41" t="s">
        <v>186</v>
      </c>
      <c r="C3390" s="71">
        <v>45911</v>
      </c>
      <c r="D3390" s="41" t="str">
        <f>VLOOKUP(B3390,辅助信息!E:K,7,FALSE)</f>
        <v>JWDDCD2025072900123</v>
      </c>
      <c r="E3390" s="41" t="str">
        <f>VLOOKUP(F3390,辅助信息!A:B,2,FALSE)</f>
        <v>螺纹钢</v>
      </c>
      <c r="F3390" s="41" t="s">
        <v>18</v>
      </c>
      <c r="G3390" s="37">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1" t="str">
        <f>VLOOKUP(B3390,辅助信息!E:I,3,FALSE)</f>
        <v>(乐山市校地共建产教融合基地建设项目二标段)四川省乐山市市中区苏稽镇</v>
      </c>
      <c r="J3390" s="41" t="str">
        <f>VLOOKUP(B3390,辅助信息!E:I,4,FALSE)</f>
        <v>彭江涛</v>
      </c>
      <c r="K3390" s="41">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30" t="str">
        <f>VLOOKUP(B3390,辅助信息!E:M,9,FALSE)</f>
        <v>ZTWM-CDGS-XS-2025-0126-四川机司-乐山市校地共建产教融合基地配套设施项目施工二标段钢筋采购合同</v>
      </c>
      <c r="R3390" s="30" t="str">
        <f>_xlfn._xlws.FILTER(辅助信息!D:D,辅助信息!E:E=B3390)</f>
        <v>乐山市校地共建产教融合基地建设项目</v>
      </c>
    </row>
    <row r="3391" hidden="1" spans="2:18">
      <c r="B3391" s="41" t="s">
        <v>186</v>
      </c>
      <c r="C3391" s="71">
        <v>45911</v>
      </c>
      <c r="D3391" s="41" t="str">
        <f>VLOOKUP(B3391,辅助信息!E:K,7,FALSE)</f>
        <v>JWDDCD2025072900123</v>
      </c>
      <c r="E3391" s="41" t="str">
        <f>VLOOKUP(F3391,辅助信息!A:B,2,FALSE)</f>
        <v>螺纹钢</v>
      </c>
      <c r="F3391" s="41" t="s">
        <v>205</v>
      </c>
      <c r="G3391" s="37">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1" t="str">
        <f>VLOOKUP(B3391,辅助信息!E:I,3,FALSE)</f>
        <v>(乐山市校地共建产教融合基地建设项目二标段)四川省乐山市市中区苏稽镇</v>
      </c>
      <c r="J3391" s="41" t="str">
        <f>VLOOKUP(B3391,辅助信息!E:I,4,FALSE)</f>
        <v>彭江涛</v>
      </c>
      <c r="K3391" s="41">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30" t="str">
        <f>VLOOKUP(B3391,辅助信息!E:M,9,FALSE)</f>
        <v>ZTWM-CDGS-XS-2025-0126-四川机司-乐山市校地共建产教融合基地配套设施项目施工二标段钢筋采购合同</v>
      </c>
      <c r="R3391" s="30" t="str">
        <f>_xlfn._xlws.FILTER(辅助信息!D:D,辅助信息!E:E=B3391)</f>
        <v>乐山市校地共建产教融合基地建设项目</v>
      </c>
    </row>
    <row r="3392" hidden="1" spans="2:18">
      <c r="B3392" s="41" t="s">
        <v>186</v>
      </c>
      <c r="C3392" s="71">
        <v>45911</v>
      </c>
      <c r="D3392" s="41" t="str">
        <f>VLOOKUP(B3392,辅助信息!E:K,7,FALSE)</f>
        <v>JWDDCD2025072900123</v>
      </c>
      <c r="E3392" s="41" t="str">
        <f>VLOOKUP(F3392,辅助信息!A:B,2,FALSE)</f>
        <v>螺纹钢</v>
      </c>
      <c r="F3392" s="41" t="s">
        <v>82</v>
      </c>
      <c r="G3392" s="37">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1" t="str">
        <f>VLOOKUP(B3392,辅助信息!E:I,3,FALSE)</f>
        <v>(乐山市校地共建产教融合基地建设项目二标段)四川省乐山市市中区苏稽镇</v>
      </c>
      <c r="J3392" s="41" t="str">
        <f>VLOOKUP(B3392,辅助信息!E:I,4,FALSE)</f>
        <v>彭江涛</v>
      </c>
      <c r="K3392" s="41">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30" t="str">
        <f>VLOOKUP(B3392,辅助信息!E:M,9,FALSE)</f>
        <v>ZTWM-CDGS-XS-2025-0126-四川机司-乐山市校地共建产教融合基地配套设施项目施工二标段钢筋采购合同</v>
      </c>
      <c r="R3392" s="30" t="str">
        <f>_xlfn._xlws.FILTER(辅助信息!D:D,辅助信息!E:E=B3392)</f>
        <v>乐山市校地共建产教融合基地建设项目</v>
      </c>
    </row>
    <row r="3393" hidden="1" spans="2:18">
      <c r="B3393" s="41" t="s">
        <v>186</v>
      </c>
      <c r="C3393" s="71">
        <v>45911</v>
      </c>
      <c r="D3393" s="41" t="str">
        <f>VLOOKUP(B3393,辅助信息!E:K,7,FALSE)</f>
        <v>JWDDCD2025072900123</v>
      </c>
      <c r="E3393" s="41" t="str">
        <f>VLOOKUP(F3393,辅助信息!A:B,2,FALSE)</f>
        <v>螺纹钢</v>
      </c>
      <c r="F3393" s="41" t="s">
        <v>140</v>
      </c>
      <c r="G3393" s="37">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1" t="str">
        <f>VLOOKUP(B3393,辅助信息!E:I,3,FALSE)</f>
        <v>(乐山市校地共建产教融合基地建设项目二标段)四川省乐山市市中区苏稽镇</v>
      </c>
      <c r="J3393" s="41" t="str">
        <f>VLOOKUP(B3393,辅助信息!E:I,4,FALSE)</f>
        <v>彭江涛</v>
      </c>
      <c r="K3393" s="41">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30" t="str">
        <f>VLOOKUP(B3393,辅助信息!E:M,9,FALSE)</f>
        <v>ZTWM-CDGS-XS-2025-0126-四川机司-乐山市校地共建产教融合基地配套设施项目施工二标段钢筋采购合同</v>
      </c>
      <c r="R3393" s="30" t="str">
        <f>_xlfn._xlws.FILTER(辅助信息!D:D,辅助信息!E:E=B3393)</f>
        <v>乐山市校地共建产教融合基地建设项目</v>
      </c>
    </row>
    <row r="3394" hidden="1" spans="2:18">
      <c r="B3394" s="41" t="s">
        <v>186</v>
      </c>
      <c r="C3394" s="71">
        <v>45911</v>
      </c>
      <c r="D3394" s="41" t="str">
        <f>VLOOKUP(B3394,辅助信息!E:K,7,FALSE)</f>
        <v>JWDDCD2025072900123</v>
      </c>
      <c r="E3394" s="41" t="str">
        <f>VLOOKUP(F3394,辅助信息!A:B,2,FALSE)</f>
        <v>螺纹钢</v>
      </c>
      <c r="F3394" s="41" t="s">
        <v>45</v>
      </c>
      <c r="G3394" s="37">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1" t="str">
        <f>VLOOKUP(B3394,辅助信息!E:I,3,FALSE)</f>
        <v>(乐山市校地共建产教融合基地建设项目二标段)四川省乐山市市中区苏稽镇</v>
      </c>
      <c r="J3394" s="41" t="str">
        <f>VLOOKUP(B3394,辅助信息!E:I,4,FALSE)</f>
        <v>彭江涛</v>
      </c>
      <c r="K3394" s="41">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30" t="str">
        <f>VLOOKUP(B3394,辅助信息!E:M,9,FALSE)</f>
        <v>ZTWM-CDGS-XS-2025-0126-四川机司-乐山市校地共建产教融合基地配套设施项目施工二标段钢筋采购合同</v>
      </c>
      <c r="R3394" s="30" t="str">
        <f>_xlfn._xlws.FILTER(辅助信息!D:D,辅助信息!E:E=B3394)</f>
        <v>乐山市校地共建产教融合基地建设项目</v>
      </c>
    </row>
    <row r="3395" hidden="1" spans="2:18">
      <c r="B3395" s="41" t="s">
        <v>186</v>
      </c>
      <c r="C3395" s="71">
        <v>45911</v>
      </c>
      <c r="D3395" s="41" t="str">
        <f>VLOOKUP(B3395,辅助信息!E:K,7,FALSE)</f>
        <v>JWDDCD2025072900123</v>
      </c>
      <c r="E3395" s="41" t="str">
        <f>VLOOKUP(F3395,辅助信息!A:B,2,FALSE)</f>
        <v>螺纹钢</v>
      </c>
      <c r="F3395" s="41" t="s">
        <v>197</v>
      </c>
      <c r="G3395" s="37">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1" t="str">
        <f>VLOOKUP(B3395,辅助信息!E:I,3,FALSE)</f>
        <v>(乐山市校地共建产教融合基地建设项目二标段)四川省乐山市市中区苏稽镇</v>
      </c>
      <c r="J3395" s="41" t="str">
        <f>VLOOKUP(B3395,辅助信息!E:I,4,FALSE)</f>
        <v>彭江涛</v>
      </c>
      <c r="K3395" s="41">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30" t="str">
        <f>VLOOKUP(B3395,辅助信息!E:M,9,FALSE)</f>
        <v>ZTWM-CDGS-XS-2025-0126-四川机司-乐山市校地共建产教融合基地配套设施项目施工二标段钢筋采购合同</v>
      </c>
      <c r="R3395" s="30" t="str">
        <f>_xlfn._xlws.FILTER(辅助信息!D:D,辅助信息!E:E=B3395)</f>
        <v>乐山市校地共建产教融合基地建设项目</v>
      </c>
    </row>
    <row r="3396" hidden="1" spans="2:18">
      <c r="B3396" s="41" t="s">
        <v>186</v>
      </c>
      <c r="C3396" s="71">
        <v>45911</v>
      </c>
      <c r="D3396" s="41" t="str">
        <f>VLOOKUP(B3396,辅助信息!E:K,7,FALSE)</f>
        <v>JWDDCD2025072900123</v>
      </c>
      <c r="E3396" s="41" t="str">
        <f>VLOOKUP(F3396,辅助信息!A:B,2,FALSE)</f>
        <v>螺纹钢</v>
      </c>
      <c r="F3396" s="41" t="s">
        <v>21</v>
      </c>
      <c r="G3396" s="37">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1" t="str">
        <f>VLOOKUP(B3396,辅助信息!E:I,3,FALSE)</f>
        <v>(乐山市校地共建产教融合基地建设项目二标段)四川省乐山市市中区苏稽镇</v>
      </c>
      <c r="J3396" s="41" t="str">
        <f>VLOOKUP(B3396,辅助信息!E:I,4,FALSE)</f>
        <v>彭江涛</v>
      </c>
      <c r="K3396" s="41">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30" t="str">
        <f>VLOOKUP(B3396,辅助信息!E:M,9,FALSE)</f>
        <v>ZTWM-CDGS-XS-2025-0126-四川机司-乐山市校地共建产教融合基地配套设施项目施工二标段钢筋采购合同</v>
      </c>
      <c r="R3396" s="30" t="str">
        <f>_xlfn._xlws.FILTER(辅助信息!D:D,辅助信息!E:E=B3396)</f>
        <v>乐山市校地共建产教融合基地建设项目</v>
      </c>
    </row>
    <row r="3397" hidden="1" spans="2:18">
      <c r="B3397" s="41" t="s">
        <v>186</v>
      </c>
      <c r="C3397" s="71">
        <v>45911</v>
      </c>
      <c r="D3397" s="41" t="str">
        <f>VLOOKUP(B3397,辅助信息!E:K,7,FALSE)</f>
        <v>JWDDCD2025072900123</v>
      </c>
      <c r="E3397" s="41" t="str">
        <f>VLOOKUP(F3397,辅助信息!A:B,2,FALSE)</f>
        <v>螺纹钢</v>
      </c>
      <c r="F3397" s="41" t="s">
        <v>198</v>
      </c>
      <c r="G3397" s="37">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1" t="str">
        <f>VLOOKUP(B3397,辅助信息!E:I,3,FALSE)</f>
        <v>(乐山市校地共建产教融合基地建设项目二标段)四川省乐山市市中区苏稽镇</v>
      </c>
      <c r="J3397" s="41" t="str">
        <f>VLOOKUP(B3397,辅助信息!E:I,4,FALSE)</f>
        <v>彭江涛</v>
      </c>
      <c r="K3397" s="41">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30" t="str">
        <f>VLOOKUP(B3397,辅助信息!E:M,9,FALSE)</f>
        <v>ZTWM-CDGS-XS-2025-0126-四川机司-乐山市校地共建产教融合基地配套设施项目施工二标段钢筋采购合同</v>
      </c>
      <c r="R3397" s="30" t="str">
        <f>_xlfn._xlws.FILTER(辅助信息!D:D,辅助信息!E:E=B3397)</f>
        <v>乐山市校地共建产教融合基地建设项目</v>
      </c>
    </row>
    <row r="3398" hidden="1" spans="2:18">
      <c r="B3398" s="41" t="s">
        <v>186</v>
      </c>
      <c r="C3398" s="71">
        <v>45911</v>
      </c>
      <c r="D3398" s="41" t="str">
        <f>VLOOKUP(B3398,辅助信息!E:K,7,FALSE)</f>
        <v>JWDDCD2025072900123</v>
      </c>
      <c r="E3398" s="41" t="str">
        <f>VLOOKUP(F3398,辅助信息!A:B,2,FALSE)</f>
        <v>螺纹钢</v>
      </c>
      <c r="F3398" s="41" t="s">
        <v>58</v>
      </c>
      <c r="G3398" s="37">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1" t="str">
        <f>VLOOKUP(B3398,辅助信息!E:I,3,FALSE)</f>
        <v>(乐山市校地共建产教融合基地建设项目二标段)四川省乐山市市中区苏稽镇</v>
      </c>
      <c r="J3398" s="41" t="str">
        <f>VLOOKUP(B3398,辅助信息!E:I,4,FALSE)</f>
        <v>彭江涛</v>
      </c>
      <c r="K3398" s="41">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30" t="str">
        <f>VLOOKUP(B3398,辅助信息!E:M,9,FALSE)</f>
        <v>ZTWM-CDGS-XS-2025-0126-四川机司-乐山市校地共建产教融合基地配套设施项目施工二标段钢筋采购合同</v>
      </c>
      <c r="R3398" s="30" t="str">
        <f>_xlfn._xlws.FILTER(辅助信息!D:D,辅助信息!E:E=B3398)</f>
        <v>乐山市校地共建产教融合基地建设项目</v>
      </c>
    </row>
    <row r="3399" hidden="1" spans="2:18">
      <c r="B3399" s="41" t="s">
        <v>186</v>
      </c>
      <c r="C3399" s="71">
        <v>45911</v>
      </c>
      <c r="D3399" s="41" t="str">
        <f>VLOOKUP(B3399,辅助信息!E:K,7,FALSE)</f>
        <v>JWDDCD2025072900123</v>
      </c>
      <c r="E3399" s="41" t="str">
        <f>VLOOKUP(F3399,辅助信息!A:B,2,FALSE)</f>
        <v>螺纹钢</v>
      </c>
      <c r="F3399" s="41" t="s">
        <v>199</v>
      </c>
      <c r="G3399" s="37">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1" t="str">
        <f>VLOOKUP(B3399,辅助信息!E:I,3,FALSE)</f>
        <v>(乐山市校地共建产教融合基地建设项目二标段)四川省乐山市市中区苏稽镇</v>
      </c>
      <c r="J3399" s="41" t="str">
        <f>VLOOKUP(B3399,辅助信息!E:I,4,FALSE)</f>
        <v>彭江涛</v>
      </c>
      <c r="K3399" s="41">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30" t="str">
        <f>VLOOKUP(B3399,辅助信息!E:M,9,FALSE)</f>
        <v>ZTWM-CDGS-XS-2025-0126-四川机司-乐山市校地共建产教融合基地配套设施项目施工二标段钢筋采购合同</v>
      </c>
      <c r="R3399" s="30" t="str">
        <f>_xlfn._xlws.FILTER(辅助信息!D:D,辅助信息!E:E=B3399)</f>
        <v>乐山市校地共建产教融合基地建设项目</v>
      </c>
    </row>
    <row r="3400" hidden="1" spans="2:18">
      <c r="B3400" s="41" t="s">
        <v>186</v>
      </c>
      <c r="C3400" s="71">
        <v>45911</v>
      </c>
      <c r="D3400" s="41" t="str">
        <f>VLOOKUP(B3400,辅助信息!E:K,7,FALSE)</f>
        <v>JWDDCD2025072900123</v>
      </c>
      <c r="E3400" s="41" t="str">
        <f>VLOOKUP(F3400,辅助信息!A:B,2,FALSE)</f>
        <v>螺纹钢</v>
      </c>
      <c r="F3400" s="41" t="s">
        <v>46</v>
      </c>
      <c r="G3400" s="37">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1" t="str">
        <f>VLOOKUP(B3400,辅助信息!E:I,3,FALSE)</f>
        <v>(乐山市校地共建产教融合基地建设项目二标段)四川省乐山市市中区苏稽镇</v>
      </c>
      <c r="J3400" s="41" t="str">
        <f>VLOOKUP(B3400,辅助信息!E:I,4,FALSE)</f>
        <v>彭江涛</v>
      </c>
      <c r="K3400" s="41">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30" t="str">
        <f>VLOOKUP(B3400,辅助信息!E:M,9,FALSE)</f>
        <v>ZTWM-CDGS-XS-2025-0126-四川机司-乐山市校地共建产教融合基地配套设施项目施工二标段钢筋采购合同</v>
      </c>
      <c r="R3400" s="30" t="str">
        <f>_xlfn._xlws.FILTER(辅助信息!D:D,辅助信息!E:E=B3400)</f>
        <v>乐山市校地共建产教融合基地建设项目</v>
      </c>
    </row>
    <row r="3401" hidden="1" spans="2:18">
      <c r="B3401" s="41" t="s">
        <v>186</v>
      </c>
      <c r="C3401" s="71">
        <v>45911</v>
      </c>
      <c r="D3401" s="41" t="str">
        <f>VLOOKUP(B3401,辅助信息!E:K,7,FALSE)</f>
        <v>JWDDCD2025072900123</v>
      </c>
      <c r="E3401" s="41" t="str">
        <f>VLOOKUP(F3401,辅助信息!A:B,2,FALSE)</f>
        <v>螺纹钢</v>
      </c>
      <c r="F3401" s="41" t="s">
        <v>141</v>
      </c>
      <c r="G3401" s="37">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1" t="str">
        <f>VLOOKUP(B3401,辅助信息!E:I,3,FALSE)</f>
        <v>(乐山市校地共建产教融合基地建设项目二标段)四川省乐山市市中区苏稽镇</v>
      </c>
      <c r="J3401" s="41" t="str">
        <f>VLOOKUP(B3401,辅助信息!E:I,4,FALSE)</f>
        <v>彭江涛</v>
      </c>
      <c r="K3401" s="41">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30" t="str">
        <f>VLOOKUP(B3401,辅助信息!E:M,9,FALSE)</f>
        <v>ZTWM-CDGS-XS-2025-0126-四川机司-乐山市校地共建产教融合基地配套设施项目施工二标段钢筋采购合同</v>
      </c>
      <c r="R3401" s="30" t="str">
        <f>_xlfn._xlws.FILTER(辅助信息!D:D,辅助信息!E:E=B3401)</f>
        <v>乐山市校地共建产教融合基地建设项目</v>
      </c>
    </row>
    <row r="3402" hidden="1" spans="2:18">
      <c r="B3402" s="41" t="s">
        <v>186</v>
      </c>
      <c r="C3402" s="71">
        <v>45911</v>
      </c>
      <c r="D3402" s="41" t="str">
        <f>VLOOKUP(B3402,辅助信息!E:K,7,FALSE)</f>
        <v>JWDDCD2025072900123</v>
      </c>
      <c r="E3402" s="41" t="str">
        <f>VLOOKUP(F3402,辅助信息!A:B,2,FALSE)</f>
        <v>螺纹钢</v>
      </c>
      <c r="F3402" s="41" t="s">
        <v>22</v>
      </c>
      <c r="G3402" s="37">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1" t="str">
        <f>VLOOKUP(B3402,辅助信息!E:I,3,FALSE)</f>
        <v>(乐山市校地共建产教融合基地建设项目二标段)四川省乐山市市中区苏稽镇</v>
      </c>
      <c r="J3402" s="41" t="str">
        <f>VLOOKUP(B3402,辅助信息!E:I,4,FALSE)</f>
        <v>彭江涛</v>
      </c>
      <c r="K3402" s="41">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30" t="str">
        <f>VLOOKUP(B3402,辅助信息!E:M,9,FALSE)</f>
        <v>ZTWM-CDGS-XS-2025-0126-四川机司-乐山市校地共建产教融合基地配套设施项目施工二标段钢筋采购合同</v>
      </c>
      <c r="R3402" s="30" t="str">
        <f>_xlfn._xlws.FILTER(辅助信息!D:D,辅助信息!E:E=B3402)</f>
        <v>乐山市校地共建产教融合基地建设项目</v>
      </c>
    </row>
    <row r="3403" hidden="1" spans="2:18">
      <c r="B3403" s="41" t="s">
        <v>186</v>
      </c>
      <c r="C3403" s="71">
        <v>45911</v>
      </c>
      <c r="D3403" s="41" t="str">
        <f>VLOOKUP(B3403,辅助信息!E:K,7,FALSE)</f>
        <v>JWDDCD2025072900123</v>
      </c>
      <c r="E3403" s="41" t="str">
        <f>VLOOKUP(F3403,辅助信息!A:B,2,FALSE)</f>
        <v>螺纹钢</v>
      </c>
      <c r="F3403" s="41" t="s">
        <v>142</v>
      </c>
      <c r="G3403" s="37">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1" t="str">
        <f>VLOOKUP(B3403,辅助信息!E:I,3,FALSE)</f>
        <v>(乐山市校地共建产教融合基地建设项目二标段)四川省乐山市市中区苏稽镇</v>
      </c>
      <c r="J3403" s="41" t="str">
        <f>VLOOKUP(B3403,辅助信息!E:I,4,FALSE)</f>
        <v>彭江涛</v>
      </c>
      <c r="K3403" s="41">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30" t="str">
        <f>VLOOKUP(B3403,辅助信息!E:M,9,FALSE)</f>
        <v>ZTWM-CDGS-XS-2025-0126-四川机司-乐山市校地共建产教融合基地配套设施项目施工二标段钢筋采购合同</v>
      </c>
      <c r="R3403" s="30" t="str">
        <f>_xlfn._xlws.FILTER(辅助信息!D:D,辅助信息!E:E=B3403)</f>
        <v>乐山市校地共建产教融合基地建设项目</v>
      </c>
    </row>
    <row r="3404" hidden="1" spans="2:18">
      <c r="B3404" s="41" t="s">
        <v>186</v>
      </c>
      <c r="C3404" s="71">
        <v>45911</v>
      </c>
      <c r="D3404" s="41" t="str">
        <f>VLOOKUP(B3404,辅助信息!E:K,7,FALSE)</f>
        <v>JWDDCD2025072900123</v>
      </c>
      <c r="E3404" s="41" t="str">
        <f>VLOOKUP(F3404,辅助信息!A:B,2,FALSE)</f>
        <v>螺纹钢</v>
      </c>
      <c r="F3404" s="41" t="s">
        <v>201</v>
      </c>
      <c r="G3404" s="37">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1" t="str">
        <f>VLOOKUP(B3404,辅助信息!E:I,3,FALSE)</f>
        <v>(乐山市校地共建产教融合基地建设项目二标段)四川省乐山市市中区苏稽镇</v>
      </c>
      <c r="J3404" s="41" t="str">
        <f>VLOOKUP(B3404,辅助信息!E:I,4,FALSE)</f>
        <v>彭江涛</v>
      </c>
      <c r="K3404" s="41">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30" t="str">
        <f>VLOOKUP(B3404,辅助信息!E:M,9,FALSE)</f>
        <v>ZTWM-CDGS-XS-2025-0126-四川机司-乐山市校地共建产教融合基地配套设施项目施工二标段钢筋采购合同</v>
      </c>
      <c r="R3404" s="30" t="str">
        <f>_xlfn._xlws.FILTER(辅助信息!D:D,辅助信息!E:E=B3404)</f>
        <v>乐山市校地共建产教融合基地建设项目</v>
      </c>
    </row>
    <row r="3405" hidden="1" spans="2:18">
      <c r="B3405" s="41" t="s">
        <v>186</v>
      </c>
      <c r="C3405" s="71">
        <v>45911</v>
      </c>
      <c r="D3405" s="41" t="str">
        <f>VLOOKUP(B3405,辅助信息!E:K,7,FALSE)</f>
        <v>JWDDCD2025072900123</v>
      </c>
      <c r="E3405" s="41" t="str">
        <f>VLOOKUP(F3405,辅助信息!A:B,2,FALSE)</f>
        <v>盘螺</v>
      </c>
      <c r="F3405" s="41" t="s">
        <v>41</v>
      </c>
      <c r="G3405" s="37">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1" t="str">
        <f>VLOOKUP(B3405,辅助信息!E:I,3,FALSE)</f>
        <v>(乐山市校地共建产教融合基地建设项目二标段)四川省乐山市市中区苏稽镇</v>
      </c>
      <c r="J3405" s="41" t="str">
        <f>VLOOKUP(B3405,辅助信息!E:I,4,FALSE)</f>
        <v>彭江涛</v>
      </c>
      <c r="K3405" s="41">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30" t="str">
        <f>VLOOKUP(B3405,辅助信息!E:M,9,FALSE)</f>
        <v>ZTWM-CDGS-XS-2025-0126-四川机司-乐山市校地共建产教融合基地配套设施项目施工二标段钢筋采购合同</v>
      </c>
      <c r="R3405" s="30" t="str">
        <f>_xlfn._xlws.FILTER(辅助信息!D:D,辅助信息!E:E=B3405)</f>
        <v>乐山市校地共建产教融合基地建设项目</v>
      </c>
    </row>
    <row r="3406" hidden="1" spans="2:18">
      <c r="B3406" s="41" t="s">
        <v>186</v>
      </c>
      <c r="C3406" s="71">
        <v>45911</v>
      </c>
      <c r="D3406" s="41" t="str">
        <f>VLOOKUP(B3406,辅助信息!E:K,7,FALSE)</f>
        <v>JWDDCD2025072900123</v>
      </c>
      <c r="E3406" s="41" t="str">
        <f>VLOOKUP(F3406,辅助信息!A:B,2,FALSE)</f>
        <v>盘螺</v>
      </c>
      <c r="F3406" s="41" t="s">
        <v>26</v>
      </c>
      <c r="G3406" s="37">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1" t="str">
        <f>VLOOKUP(B3406,辅助信息!E:I,3,FALSE)</f>
        <v>(乐山市校地共建产教融合基地建设项目二标段)四川省乐山市市中区苏稽镇</v>
      </c>
      <c r="J3406" s="41" t="str">
        <f>VLOOKUP(B3406,辅助信息!E:I,4,FALSE)</f>
        <v>彭江涛</v>
      </c>
      <c r="K3406" s="41">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30" t="str">
        <f>VLOOKUP(B3406,辅助信息!E:M,9,FALSE)</f>
        <v>ZTWM-CDGS-XS-2025-0126-四川机司-乐山市校地共建产教融合基地配套设施项目施工二标段钢筋采购合同</v>
      </c>
      <c r="R3406" s="30" t="str">
        <f>_xlfn._xlws.FILTER(辅助信息!D:D,辅助信息!E:E=B3406)</f>
        <v>乐山市校地共建产教融合基地建设项目</v>
      </c>
    </row>
    <row r="3407" hidden="1" spans="2:18">
      <c r="B3407" s="41" t="s">
        <v>186</v>
      </c>
      <c r="C3407" s="71">
        <v>45911</v>
      </c>
      <c r="D3407" s="41" t="str">
        <f>VLOOKUP(B3407,辅助信息!E:K,7,FALSE)</f>
        <v>JWDDCD2025072900123</v>
      </c>
      <c r="E3407" s="41" t="str">
        <f>VLOOKUP(F3407,辅助信息!A:B,2,FALSE)</f>
        <v>盘螺</v>
      </c>
      <c r="F3407" s="41" t="s">
        <v>49</v>
      </c>
      <c r="G3407" s="37">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1" t="str">
        <f>VLOOKUP(B3407,辅助信息!E:I,3,FALSE)</f>
        <v>(乐山市校地共建产教融合基地建设项目二标段)四川省乐山市市中区苏稽镇</v>
      </c>
      <c r="J3407" s="41" t="str">
        <f>VLOOKUP(B3407,辅助信息!E:I,4,FALSE)</f>
        <v>彭江涛</v>
      </c>
      <c r="K3407" s="41">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30" t="str">
        <f>VLOOKUP(B3407,辅助信息!E:M,9,FALSE)</f>
        <v>ZTWM-CDGS-XS-2025-0126-四川机司-乐山市校地共建产教融合基地配套设施项目施工二标段钢筋采购合同</v>
      </c>
      <c r="R3407" s="30" t="str">
        <f>_xlfn._xlws.FILTER(辅助信息!D:D,辅助信息!E:E=B3407)</f>
        <v>乐山市校地共建产教融合基地建设项目</v>
      </c>
    </row>
    <row r="3408" hidden="1" spans="2:18">
      <c r="B3408" s="41" t="s">
        <v>186</v>
      </c>
      <c r="C3408" s="71">
        <v>45911</v>
      </c>
      <c r="D3408" s="41" t="str">
        <f>VLOOKUP(B3408,辅助信息!E:K,7,FALSE)</f>
        <v>JWDDCD2025072900123</v>
      </c>
      <c r="E3408" s="41" t="str">
        <f>VLOOKUP(F3408,辅助信息!A:B,2,FALSE)</f>
        <v>盘螺</v>
      </c>
      <c r="F3408" s="41" t="s">
        <v>40</v>
      </c>
      <c r="G3408" s="37">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1" t="str">
        <f>VLOOKUP(B3408,辅助信息!E:I,3,FALSE)</f>
        <v>(乐山市校地共建产教融合基地建设项目二标段)四川省乐山市市中区苏稽镇</v>
      </c>
      <c r="J3408" s="41" t="str">
        <f>VLOOKUP(B3408,辅助信息!E:I,4,FALSE)</f>
        <v>彭江涛</v>
      </c>
      <c r="K3408" s="41">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30" t="str">
        <f>VLOOKUP(B3408,辅助信息!E:M,9,FALSE)</f>
        <v>ZTWM-CDGS-XS-2025-0126-四川机司-乐山市校地共建产教融合基地配套设施项目施工二标段钢筋采购合同</v>
      </c>
      <c r="R3408" s="30" t="str">
        <f>_xlfn._xlws.FILTER(辅助信息!D:D,辅助信息!E:E=B3408)</f>
        <v>乐山市校地共建产教融合基地建设项目</v>
      </c>
    </row>
    <row r="3409" hidden="1" spans="2:18">
      <c r="B3409" s="121" t="s">
        <v>186</v>
      </c>
      <c r="C3409" s="71">
        <v>45912</v>
      </c>
      <c r="D3409" s="41" t="str">
        <f>VLOOKUP(B3409,辅助信息!E:K,7,FALSE)</f>
        <v>JWDDCD2025072900123</v>
      </c>
      <c r="E3409" s="41" t="str">
        <f>VLOOKUP(F3409,辅助信息!A:B,2,FALSE)</f>
        <v>高线</v>
      </c>
      <c r="F3409" s="41" t="s">
        <v>57</v>
      </c>
      <c r="G3409" s="37">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1" t="str">
        <f>VLOOKUP(B3409,辅助信息!E:I,3,FALSE)</f>
        <v>(乐山市校地共建产教融合基地建设项目二标段)四川省乐山市市中区苏稽镇</v>
      </c>
      <c r="J3409" s="41" t="str">
        <f>VLOOKUP(B3409,辅助信息!E:I,4,FALSE)</f>
        <v>彭江涛</v>
      </c>
      <c r="K3409" s="41">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30" t="str">
        <f>VLOOKUP(B3409,辅助信息!E:M,9,FALSE)</f>
        <v>ZTWM-CDGS-XS-2025-0126-四川机司-乐山市校地共建产教融合基地配套设施项目施工二标段钢筋采购合同</v>
      </c>
      <c r="R3409" s="30" t="str">
        <f>_xlfn._xlws.FILTER(辅助信息!D:D,辅助信息!E:E=B3409)</f>
        <v>乐山市校地共建产教融合基地建设项目</v>
      </c>
    </row>
    <row r="3410" hidden="1" spans="2:18">
      <c r="B3410" s="121" t="s">
        <v>186</v>
      </c>
      <c r="C3410" s="71">
        <v>45912</v>
      </c>
      <c r="D3410" s="41" t="str">
        <f>VLOOKUP(B3410,辅助信息!E:K,7,FALSE)</f>
        <v>JWDDCD2025072900123</v>
      </c>
      <c r="E3410" s="41" t="str">
        <f>VLOOKUP(F3410,辅助信息!A:B,2,FALSE)</f>
        <v>螺纹钢</v>
      </c>
      <c r="F3410" s="41" t="s">
        <v>205</v>
      </c>
      <c r="G3410" s="37">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1" t="str">
        <f>VLOOKUP(B3410,辅助信息!E:I,3,FALSE)</f>
        <v>(乐山市校地共建产教融合基地建设项目二标段)四川省乐山市市中区苏稽镇</v>
      </c>
      <c r="J3410" s="41" t="str">
        <f>VLOOKUP(B3410,辅助信息!E:I,4,FALSE)</f>
        <v>彭江涛</v>
      </c>
      <c r="K3410" s="41">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30" t="str">
        <f>VLOOKUP(B3410,辅助信息!E:M,9,FALSE)</f>
        <v>ZTWM-CDGS-XS-2025-0126-四川机司-乐山市校地共建产教融合基地配套设施项目施工二标段钢筋采购合同</v>
      </c>
      <c r="R3410" s="30" t="str">
        <f>_xlfn._xlws.FILTER(辅助信息!D:D,辅助信息!E:E=B3410)</f>
        <v>乐山市校地共建产教融合基地建设项目</v>
      </c>
    </row>
    <row r="3411" hidden="1" spans="2:18">
      <c r="B3411" s="121" t="s">
        <v>186</v>
      </c>
      <c r="C3411" s="71">
        <v>45912</v>
      </c>
      <c r="D3411" s="41" t="str">
        <f>VLOOKUP(B3411,辅助信息!E:K,7,FALSE)</f>
        <v>JWDDCD2025072900123</v>
      </c>
      <c r="E3411" s="41" t="str">
        <f>VLOOKUP(F3411,辅助信息!A:B,2,FALSE)</f>
        <v>螺纹钢</v>
      </c>
      <c r="F3411" s="41" t="s">
        <v>142</v>
      </c>
      <c r="G3411" s="37">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1" t="str">
        <f>VLOOKUP(B3411,辅助信息!E:I,3,FALSE)</f>
        <v>(乐山市校地共建产教融合基地建设项目二标段)四川省乐山市市中区苏稽镇</v>
      </c>
      <c r="J3411" s="41" t="str">
        <f>VLOOKUP(B3411,辅助信息!E:I,4,FALSE)</f>
        <v>彭江涛</v>
      </c>
      <c r="K3411" s="41">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30" t="str">
        <f>VLOOKUP(B3411,辅助信息!E:M,9,FALSE)</f>
        <v>ZTWM-CDGS-XS-2025-0126-四川机司-乐山市校地共建产教融合基地配套设施项目施工二标段钢筋采购合同</v>
      </c>
      <c r="R3411" s="30" t="str">
        <f>_xlfn._xlws.FILTER(辅助信息!D:D,辅助信息!E:E=B3411)</f>
        <v>乐山市校地共建产教融合基地建设项目</v>
      </c>
    </row>
    <row r="3412" hidden="1" spans="2:18">
      <c r="B3412" s="121" t="s">
        <v>186</v>
      </c>
      <c r="C3412" s="71">
        <v>45912</v>
      </c>
      <c r="D3412" s="41" t="str">
        <f>VLOOKUP(B3412,辅助信息!E:K,7,FALSE)</f>
        <v>JWDDCD2025072900123</v>
      </c>
      <c r="E3412" s="41" t="str">
        <f>VLOOKUP(F3412,辅助信息!A:B,2,FALSE)</f>
        <v>盘螺</v>
      </c>
      <c r="F3412" s="41" t="s">
        <v>41</v>
      </c>
      <c r="G3412" s="37">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1" t="str">
        <f>VLOOKUP(B3412,辅助信息!E:I,3,FALSE)</f>
        <v>(乐山市校地共建产教融合基地建设项目二标段)四川省乐山市市中区苏稽镇</v>
      </c>
      <c r="J3412" s="41" t="str">
        <f>VLOOKUP(B3412,辅助信息!E:I,4,FALSE)</f>
        <v>彭江涛</v>
      </c>
      <c r="K3412" s="41">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30" t="str">
        <f>VLOOKUP(B3412,辅助信息!E:M,9,FALSE)</f>
        <v>ZTWM-CDGS-XS-2025-0126-四川机司-乐山市校地共建产教融合基地配套设施项目施工二标段钢筋采购合同</v>
      </c>
      <c r="R3412" s="30" t="str">
        <f>_xlfn._xlws.FILTER(辅助信息!D:D,辅助信息!E:E=B3412)</f>
        <v>乐山市校地共建产教融合基地建设项目</v>
      </c>
    </row>
    <row r="3413" hidden="1" spans="2:18">
      <c r="B3413" s="121" t="s">
        <v>186</v>
      </c>
      <c r="C3413" s="71">
        <v>45912</v>
      </c>
      <c r="D3413" s="41" t="str">
        <f>VLOOKUP(B3413,辅助信息!E:K,7,FALSE)</f>
        <v>JWDDCD2025072900123</v>
      </c>
      <c r="E3413" s="41" t="str">
        <f>VLOOKUP(F3413,辅助信息!A:B,2,FALSE)</f>
        <v>盘螺</v>
      </c>
      <c r="F3413" s="41" t="s">
        <v>26</v>
      </c>
      <c r="G3413" s="37">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1" t="str">
        <f>VLOOKUP(B3413,辅助信息!E:I,3,FALSE)</f>
        <v>(乐山市校地共建产教融合基地建设项目二标段)四川省乐山市市中区苏稽镇</v>
      </c>
      <c r="J3413" s="41" t="str">
        <f>VLOOKUP(B3413,辅助信息!E:I,4,FALSE)</f>
        <v>彭江涛</v>
      </c>
      <c r="K3413" s="41">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30" t="str">
        <f>VLOOKUP(B3413,辅助信息!E:M,9,FALSE)</f>
        <v>ZTWM-CDGS-XS-2025-0126-四川机司-乐山市校地共建产教融合基地配套设施项目施工二标段钢筋采购合同</v>
      </c>
      <c r="R3413" s="30" t="str">
        <f>_xlfn._xlws.FILTER(辅助信息!D:D,辅助信息!E:E=B3413)</f>
        <v>乐山市校地共建产教融合基地建设项目</v>
      </c>
    </row>
    <row r="3414" hidden="1" spans="1:18">
      <c r="A3414" s="72" t="s">
        <v>218</v>
      </c>
      <c r="B3414" s="41" t="s">
        <v>203</v>
      </c>
      <c r="C3414" s="71">
        <v>45912</v>
      </c>
      <c r="D3414" s="41" t="str">
        <f>VLOOKUP(B3414,辅助信息!E:K,7,FALSE)</f>
        <v>JWDDCD2025102100479</v>
      </c>
      <c r="E3414" s="41" t="str">
        <f>VLOOKUP(F3414,辅助信息!A:B,2,FALSE)</f>
        <v>螺纹钢</v>
      </c>
      <c r="F3414" s="41" t="s">
        <v>27</v>
      </c>
      <c r="G3414" s="37">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1" t="str">
        <f>VLOOKUP(B3414,辅助信息!E:I,3,FALSE)</f>
        <v>(五冶建设空港兴城怡心街道83亩项目)成都市双流区怡心街道高峰社区一组剑和路一段空港兴城怡心街道83亩项目中国五冶项目部</v>
      </c>
      <c r="J3414" s="41" t="str">
        <f>VLOOKUP(B3414,辅助信息!E:I,4,FALSE)</f>
        <v>王刚</v>
      </c>
      <c r="K3414" s="41">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30" t="str">
        <f>VLOOKUP(B3414,辅助信息!E:M,9,FALSE)</f>
        <v>ZTWM-CDGS-XS-2025-0073-五冶天府-成都怡心湖片区及龙泉驿医院等项目</v>
      </c>
      <c r="R3414" s="30" t="str">
        <f>_xlfn._xlws.FILTER(辅助信息!D:D,辅助信息!E:E=B3414)</f>
        <v>五冶建设空港兴城怡心街道83亩项目</v>
      </c>
    </row>
    <row r="3415" hidden="1" spans="1:18">
      <c r="A3415" s="72"/>
      <c r="B3415" s="41" t="s">
        <v>203</v>
      </c>
      <c r="C3415" s="71">
        <v>45912</v>
      </c>
      <c r="D3415" s="41" t="str">
        <f>VLOOKUP(B3415,辅助信息!E:K,7,FALSE)</f>
        <v>JWDDCD2025102100479</v>
      </c>
      <c r="E3415" s="41" t="str">
        <f>VLOOKUP(F3415,辅助信息!A:B,2,FALSE)</f>
        <v>螺纹钢</v>
      </c>
      <c r="F3415" s="41" t="s">
        <v>19</v>
      </c>
      <c r="G3415" s="37">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1" t="str">
        <f>VLOOKUP(B3415,辅助信息!E:I,3,FALSE)</f>
        <v>(五冶建设空港兴城怡心街道83亩项目)成都市双流区怡心街道高峰社区一组剑和路一段空港兴城怡心街道83亩项目中国五冶项目部</v>
      </c>
      <c r="J3415" s="41" t="str">
        <f>VLOOKUP(B3415,辅助信息!E:I,4,FALSE)</f>
        <v>王刚</v>
      </c>
      <c r="K3415" s="41">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30" t="str">
        <f>VLOOKUP(B3415,辅助信息!E:M,9,FALSE)</f>
        <v>ZTWM-CDGS-XS-2025-0073-五冶天府-成都怡心湖片区及龙泉驿医院等项目</v>
      </c>
      <c r="R3415" s="30" t="str">
        <f>_xlfn._xlws.FILTER(辅助信息!D:D,辅助信息!E:E=B3415)</f>
        <v>五冶建设空港兴城怡心街道83亩项目</v>
      </c>
    </row>
    <row r="3416" hidden="1" spans="2:18">
      <c r="B3416" s="41" t="s">
        <v>112</v>
      </c>
      <c r="C3416" s="71">
        <v>45915</v>
      </c>
      <c r="D3416" s="41" t="str">
        <f>VLOOKUP(B3416,辅助信息!E:K,7,FALSE)</f>
        <v>JWDDCD2025052800131</v>
      </c>
      <c r="E3416" s="41" t="str">
        <f>VLOOKUP(F3416,辅助信息!A:B,2,FALSE)</f>
        <v>螺纹钢</v>
      </c>
      <c r="F3416" s="41" t="s">
        <v>27</v>
      </c>
      <c r="G3416" s="37">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1" t="str">
        <f>VLOOKUP(B3416,辅助信息!E:I,3,FALSE)</f>
        <v>（商投建工达州中医药科技园-4工区-10号楼）达州市通川区达州中医药职业学院犀牛大道北段</v>
      </c>
      <c r="J3416" s="41" t="str">
        <f>VLOOKUP(B3416,辅助信息!E:I,4,FALSE)</f>
        <v>张扬</v>
      </c>
      <c r="K3416" s="41">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30" t="str">
        <f>VLOOKUP(B3416,辅助信息!E:M,9,FALSE)</f>
        <v>ZTWM-CDGS-XS-2024-0134-商投建工达州中医药科技成果示范园项目</v>
      </c>
      <c r="R3416" s="30" t="str">
        <f>_xlfn._xlws.FILTER(辅助信息!D:D,辅助信息!E:E=B3416)</f>
        <v>商投建工达州中医药科技园</v>
      </c>
    </row>
    <row r="3417" hidden="1" spans="2:18">
      <c r="B3417" s="41" t="s">
        <v>112</v>
      </c>
      <c r="C3417" s="71">
        <v>45915</v>
      </c>
      <c r="D3417" s="41" t="str">
        <f>VLOOKUP(B3417,辅助信息!E:K,7,FALSE)</f>
        <v>JWDDCD2025052800131</v>
      </c>
      <c r="E3417" s="41" t="str">
        <f>VLOOKUP(F3417,辅助信息!A:B,2,FALSE)</f>
        <v>螺纹钢</v>
      </c>
      <c r="F3417" s="41" t="s">
        <v>45</v>
      </c>
      <c r="G3417" s="37">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1" t="str">
        <f>VLOOKUP(B3417,辅助信息!E:I,3,FALSE)</f>
        <v>（商投建工达州中医药科技园-4工区-10号楼）达州市通川区达州中医药职业学院犀牛大道北段</v>
      </c>
      <c r="J3417" s="41" t="str">
        <f>VLOOKUP(B3417,辅助信息!E:I,4,FALSE)</f>
        <v>张扬</v>
      </c>
      <c r="K3417" s="41">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30" t="str">
        <f>VLOOKUP(B3417,辅助信息!E:M,9,FALSE)</f>
        <v>ZTWM-CDGS-XS-2024-0134-商投建工达州中医药科技成果示范园项目</v>
      </c>
      <c r="R3417" s="30" t="str">
        <f>_xlfn._xlws.FILTER(辅助信息!D:D,辅助信息!E:E=B3417)</f>
        <v>商投建工达州中医药科技园</v>
      </c>
    </row>
    <row r="3418" hidden="1" spans="2:18">
      <c r="B3418" s="41" t="s">
        <v>112</v>
      </c>
      <c r="C3418" s="71">
        <v>45915</v>
      </c>
      <c r="D3418" s="41" t="str">
        <f>VLOOKUP(B3418,辅助信息!E:K,7,FALSE)</f>
        <v>JWDDCD2025052800131</v>
      </c>
      <c r="E3418" s="41" t="str">
        <f>VLOOKUP(F3418,辅助信息!A:B,2,FALSE)</f>
        <v>螺纹钢</v>
      </c>
      <c r="F3418" s="41" t="s">
        <v>21</v>
      </c>
      <c r="G3418" s="37">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1" t="str">
        <f>VLOOKUP(B3418,辅助信息!E:I,3,FALSE)</f>
        <v>（商投建工达州中医药科技园-4工区-10号楼）达州市通川区达州中医药职业学院犀牛大道北段</v>
      </c>
      <c r="J3418" s="41" t="str">
        <f>VLOOKUP(B3418,辅助信息!E:I,4,FALSE)</f>
        <v>张扬</v>
      </c>
      <c r="K3418" s="41">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30" t="str">
        <f>VLOOKUP(B3418,辅助信息!E:M,9,FALSE)</f>
        <v>ZTWM-CDGS-XS-2024-0134-商投建工达州中医药科技成果示范园项目</v>
      </c>
      <c r="R3418" s="30" t="str">
        <f>_xlfn._xlws.FILTER(辅助信息!D:D,辅助信息!E:E=B3418)</f>
        <v>商投建工达州中医药科技园</v>
      </c>
    </row>
    <row r="3419" hidden="1" spans="2:18">
      <c r="B3419" s="41" t="s">
        <v>112</v>
      </c>
      <c r="C3419" s="71">
        <v>45915</v>
      </c>
      <c r="D3419" s="41" t="str">
        <f>VLOOKUP(B3419,辅助信息!E:K,7,FALSE)</f>
        <v>JWDDCD2025052800131</v>
      </c>
      <c r="E3419" s="41" t="str">
        <f>VLOOKUP(F3419,辅助信息!A:B,2,FALSE)</f>
        <v>螺纹钢</v>
      </c>
      <c r="F3419" s="41" t="s">
        <v>58</v>
      </c>
      <c r="G3419" s="37">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1" t="str">
        <f>VLOOKUP(B3419,辅助信息!E:I,3,FALSE)</f>
        <v>（商投建工达州中医药科技园-4工区-10号楼）达州市通川区达州中医药职业学院犀牛大道北段</v>
      </c>
      <c r="J3419" s="41" t="str">
        <f>VLOOKUP(B3419,辅助信息!E:I,4,FALSE)</f>
        <v>张扬</v>
      </c>
      <c r="K3419" s="41">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30" t="str">
        <f>VLOOKUP(B3419,辅助信息!E:M,9,FALSE)</f>
        <v>ZTWM-CDGS-XS-2024-0134-商投建工达州中医药科技成果示范园项目</v>
      </c>
      <c r="R3419" s="30" t="str">
        <f>_xlfn._xlws.FILTER(辅助信息!D:D,辅助信息!E:E=B3419)</f>
        <v>商投建工达州中医药科技园</v>
      </c>
    </row>
    <row r="3420" hidden="1" spans="2:18">
      <c r="B3420" s="41" t="s">
        <v>112</v>
      </c>
      <c r="C3420" s="71">
        <v>45915</v>
      </c>
      <c r="D3420" s="41" t="str">
        <f>VLOOKUP(B3420,辅助信息!E:K,7,FALSE)</f>
        <v>JWDDCD2025052800131</v>
      </c>
      <c r="E3420" s="41" t="str">
        <f>VLOOKUP(F3420,辅助信息!A:B,2,FALSE)</f>
        <v>螺纹钢</v>
      </c>
      <c r="F3420" s="41" t="s">
        <v>46</v>
      </c>
      <c r="G3420" s="37">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1" t="str">
        <f>VLOOKUP(B3420,辅助信息!E:I,3,FALSE)</f>
        <v>（商投建工达州中医药科技园-4工区-10号楼）达州市通川区达州中医药职业学院犀牛大道北段</v>
      </c>
      <c r="J3420" s="41" t="str">
        <f>VLOOKUP(B3420,辅助信息!E:I,4,FALSE)</f>
        <v>张扬</v>
      </c>
      <c r="K3420" s="41">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30" t="str">
        <f>VLOOKUP(B3420,辅助信息!E:M,9,FALSE)</f>
        <v>ZTWM-CDGS-XS-2024-0134-商投建工达州中医药科技成果示范园项目</v>
      </c>
      <c r="R3420" s="30" t="str">
        <f>_xlfn._xlws.FILTER(辅助信息!D:D,辅助信息!E:E=B3420)</f>
        <v>商投建工达州中医药科技园</v>
      </c>
    </row>
    <row r="3421" hidden="1" spans="2:18">
      <c r="B3421" s="41" t="s">
        <v>112</v>
      </c>
      <c r="C3421" s="71">
        <v>45915</v>
      </c>
      <c r="D3421" s="41" t="str">
        <f>VLOOKUP(B3421,辅助信息!E:K,7,FALSE)</f>
        <v>JWDDCD2025052800131</v>
      </c>
      <c r="E3421" s="41" t="str">
        <f>VLOOKUP(F3421,辅助信息!A:B,2,FALSE)</f>
        <v>螺纹钢</v>
      </c>
      <c r="F3421" s="41" t="s">
        <v>22</v>
      </c>
      <c r="G3421" s="37">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1" t="str">
        <f>VLOOKUP(B3421,辅助信息!E:I,3,FALSE)</f>
        <v>（商投建工达州中医药科技园-4工区-10号楼）达州市通川区达州中医药职业学院犀牛大道北段</v>
      </c>
      <c r="J3421" s="41" t="str">
        <f>VLOOKUP(B3421,辅助信息!E:I,4,FALSE)</f>
        <v>张扬</v>
      </c>
      <c r="K3421" s="41">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30" t="str">
        <f>VLOOKUP(B3421,辅助信息!E:M,9,FALSE)</f>
        <v>ZTWM-CDGS-XS-2024-0134-商投建工达州中医药科技成果示范园项目</v>
      </c>
      <c r="R3421" s="30" t="str">
        <f>_xlfn._xlws.FILTER(辅助信息!D:D,辅助信息!E:E=B3421)</f>
        <v>商投建工达州中医药科技园</v>
      </c>
    </row>
    <row r="3422" hidden="1" spans="2:18">
      <c r="B3422" s="41" t="s">
        <v>186</v>
      </c>
      <c r="C3422" s="71">
        <v>45915</v>
      </c>
      <c r="D3422" s="41" t="str">
        <f>VLOOKUP(B3422,辅助信息!E:K,7,FALSE)</f>
        <v>JWDDCD2025072900123</v>
      </c>
      <c r="E3422" s="41" t="str">
        <f>VLOOKUP(F3422,辅助信息!A:B,2,FALSE)</f>
        <v>螺纹钢</v>
      </c>
      <c r="F3422" s="41" t="s">
        <v>111</v>
      </c>
      <c r="G3422" s="37">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1" t="str">
        <f>VLOOKUP(B3422,辅助信息!E:I,3,FALSE)</f>
        <v>(乐山市校地共建产教融合基地建设项目二标段)四川省乐山市市中区苏稽镇</v>
      </c>
      <c r="J3422" s="41" t="str">
        <f>VLOOKUP(B3422,辅助信息!E:I,4,FALSE)</f>
        <v>彭江涛</v>
      </c>
      <c r="K3422" s="41">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30" t="str">
        <f>VLOOKUP(B3422,辅助信息!E:M,9,FALSE)</f>
        <v>ZTWM-CDGS-XS-2025-0126-四川机司-乐山市校地共建产教融合基地配套设施项目施工二标段钢筋采购合同</v>
      </c>
      <c r="R3422" s="30" t="str">
        <f>_xlfn._xlws.FILTER(辅助信息!D:D,辅助信息!E:E=B3422)</f>
        <v>乐山市校地共建产教融合基地建设项目</v>
      </c>
    </row>
    <row r="3423" hidden="1" spans="2:18">
      <c r="B3423" s="41" t="s">
        <v>186</v>
      </c>
      <c r="C3423" s="71">
        <v>45915</v>
      </c>
      <c r="D3423" s="41" t="str">
        <f>VLOOKUP(B3423,辅助信息!E:K,7,FALSE)</f>
        <v>JWDDCD2025072900123</v>
      </c>
      <c r="E3423" s="41" t="str">
        <f>VLOOKUP(F3423,辅助信息!A:B,2,FALSE)</f>
        <v>螺纹钢</v>
      </c>
      <c r="F3423" s="41" t="s">
        <v>142</v>
      </c>
      <c r="G3423" s="37">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1" t="str">
        <f>VLOOKUP(B3423,辅助信息!E:I,3,FALSE)</f>
        <v>(乐山市校地共建产教融合基地建设项目二标段)四川省乐山市市中区苏稽镇</v>
      </c>
      <c r="J3423" s="41" t="str">
        <f>VLOOKUP(B3423,辅助信息!E:I,4,FALSE)</f>
        <v>彭江涛</v>
      </c>
      <c r="K3423" s="41">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30" t="str">
        <f>VLOOKUP(B3423,辅助信息!E:M,9,FALSE)</f>
        <v>ZTWM-CDGS-XS-2025-0126-四川机司-乐山市校地共建产教融合基地配套设施项目施工二标段钢筋采购合同</v>
      </c>
      <c r="R3423" s="30" t="str">
        <f>_xlfn._xlws.FILTER(辅助信息!D:D,辅助信息!E:E=B3423)</f>
        <v>乐山市校地共建产教融合基地建设项目</v>
      </c>
    </row>
    <row r="3424" hidden="1" spans="2:18">
      <c r="B3424" s="41" t="s">
        <v>208</v>
      </c>
      <c r="C3424" s="71">
        <v>45915</v>
      </c>
      <c r="D3424" s="41" t="str">
        <f>VLOOKUP(B3424,辅助信息!E:K,7,FALSE)</f>
        <v>JWDDCD2025102100480</v>
      </c>
      <c r="E3424" s="41" t="str">
        <f>VLOOKUP(F3424,辅助信息!A:B,2,FALSE)</f>
        <v>高线</v>
      </c>
      <c r="F3424" s="41" t="s">
        <v>61</v>
      </c>
      <c r="G3424" s="37">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1" t="str">
        <f>VLOOKUP(B3424,辅助信息!E:I,3,FALSE)</f>
        <v>(五冶建设锦江区林家坝片区20号地块商业项目)锦江区泰昌路锦江28亩项目部</v>
      </c>
      <c r="J3424" s="41" t="str">
        <f>VLOOKUP(B3424,辅助信息!E:I,4,FALSE)</f>
        <v>陶杰</v>
      </c>
      <c r="K3424" s="41">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30" t="str">
        <f>VLOOKUP(B3424,辅助信息!E:M,9,FALSE)</f>
        <v>ZTWM-CDGS-XS-2025-0073-五冶天府-成都怡心湖片区及龙泉驿医院等项目</v>
      </c>
      <c r="R3424" s="30" t="str">
        <f>_xlfn._xlws.FILTER(辅助信息!D:D,辅助信息!E:E=B3424)</f>
        <v>五冶建设锦江区林家坝片区20号地块商业项目</v>
      </c>
    </row>
    <row r="3425" hidden="1" spans="2:18">
      <c r="B3425" s="41" t="s">
        <v>208</v>
      </c>
      <c r="C3425" s="71">
        <v>45915</v>
      </c>
      <c r="D3425" s="41" t="str">
        <f>VLOOKUP(B3425,辅助信息!E:K,7,FALSE)</f>
        <v>JWDDCD2025102100480</v>
      </c>
      <c r="E3425" s="41" t="str">
        <f>VLOOKUP(F3425,辅助信息!A:B,2,FALSE)</f>
        <v>螺纹钢</v>
      </c>
      <c r="F3425" s="41" t="s">
        <v>30</v>
      </c>
      <c r="G3425" s="37">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1" t="str">
        <f>VLOOKUP(B3425,辅助信息!E:I,3,FALSE)</f>
        <v>(五冶建设锦江区林家坝片区20号地块商业项目)锦江区泰昌路锦江28亩项目部</v>
      </c>
      <c r="J3425" s="41" t="str">
        <f>VLOOKUP(B3425,辅助信息!E:I,4,FALSE)</f>
        <v>陶杰</v>
      </c>
      <c r="K3425" s="41">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30" t="str">
        <f>VLOOKUP(B3425,辅助信息!E:M,9,FALSE)</f>
        <v>ZTWM-CDGS-XS-2025-0073-五冶天府-成都怡心湖片区及龙泉驿医院等项目</v>
      </c>
      <c r="R3425" s="30" t="str">
        <f>_xlfn._xlws.FILTER(辅助信息!D:D,辅助信息!E:E=B3425)</f>
        <v>五冶建设锦江区林家坝片区20号地块商业项目</v>
      </c>
    </row>
    <row r="3426" hidden="1" spans="2:18">
      <c r="B3426" s="41" t="s">
        <v>208</v>
      </c>
      <c r="C3426" s="71">
        <v>45915</v>
      </c>
      <c r="D3426" s="41" t="str">
        <f>VLOOKUP(B3426,辅助信息!E:K,7,FALSE)</f>
        <v>JWDDCD2025102100480</v>
      </c>
      <c r="E3426" s="41" t="str">
        <f>VLOOKUP(F3426,辅助信息!A:B,2,FALSE)</f>
        <v>螺纹钢</v>
      </c>
      <c r="F3426" s="41" t="s">
        <v>28</v>
      </c>
      <c r="G3426" s="37">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1" t="str">
        <f>VLOOKUP(B3426,辅助信息!E:I,3,FALSE)</f>
        <v>(五冶建设锦江区林家坝片区20号地块商业项目)锦江区泰昌路锦江28亩项目部</v>
      </c>
      <c r="J3426" s="41" t="str">
        <f>VLOOKUP(B3426,辅助信息!E:I,4,FALSE)</f>
        <v>陶杰</v>
      </c>
      <c r="K3426" s="41">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30" t="str">
        <f>VLOOKUP(B3426,辅助信息!E:M,9,FALSE)</f>
        <v>ZTWM-CDGS-XS-2025-0073-五冶天府-成都怡心湖片区及龙泉驿医院等项目</v>
      </c>
      <c r="R3426" s="30" t="str">
        <f>_xlfn._xlws.FILTER(辅助信息!D:D,辅助信息!E:E=B3426)</f>
        <v>五冶建设锦江区林家坝片区20号地块商业项目</v>
      </c>
    </row>
    <row r="3427" hidden="1" spans="1:18">
      <c r="A3427" s="72" t="s">
        <v>219</v>
      </c>
      <c r="B3427" s="41" t="s">
        <v>169</v>
      </c>
      <c r="C3427" s="71">
        <v>45915</v>
      </c>
      <c r="D3427" s="41" t="str">
        <f>VLOOKUP(B3427,辅助信息!E:K,7,FALSE)</f>
        <v>JWDDCD2025051800044</v>
      </c>
      <c r="E3427" s="41" t="str">
        <f>VLOOKUP(F3427,辅助信息!A:B,2,FALSE)</f>
        <v>高线</v>
      </c>
      <c r="F3427" s="41" t="s">
        <v>51</v>
      </c>
      <c r="G3427" s="37">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1" t="str">
        <f>VLOOKUP(B3427,辅助信息!E:I,3,FALSE)</f>
        <v>(五冶建设龙泉芙蓉花语项目-1,3地块)龙泉驿区北川路双堰塘钓鱼东100米(北川路)</v>
      </c>
      <c r="J3427" s="41" t="str">
        <f>VLOOKUP(B3427,辅助信息!E:I,4,FALSE)</f>
        <v>祝斯阳</v>
      </c>
      <c r="K3427" s="41">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30" t="str">
        <f>VLOOKUP(B3427,辅助信息!E:M,9,FALSE)</f>
        <v>ZTWM-CDGS-XS-2025-0073-五冶天府-成都怡心湖片区及龙泉驿医院等项目</v>
      </c>
      <c r="R3427" s="30" t="str">
        <f>_xlfn._xlws.FILTER(辅助信息!D:D,辅助信息!E:E=B3427)</f>
        <v>五冶建设龙泉芙蓉花语项目</v>
      </c>
    </row>
    <row r="3428" hidden="1" spans="1:18">
      <c r="A3428" s="72"/>
      <c r="B3428" s="41" t="s">
        <v>169</v>
      </c>
      <c r="C3428" s="71">
        <v>45915</v>
      </c>
      <c r="D3428" s="41" t="str">
        <f>VLOOKUP(B3428,辅助信息!E:K,7,FALSE)</f>
        <v>JWDDCD2025051800044</v>
      </c>
      <c r="E3428" s="41" t="str">
        <f>VLOOKUP(F3428,辅助信息!A:B,2,FALSE)</f>
        <v>螺纹钢</v>
      </c>
      <c r="F3428" s="41" t="s">
        <v>28</v>
      </c>
      <c r="G3428" s="37">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1" t="str">
        <f>VLOOKUP(B3428,辅助信息!E:I,3,FALSE)</f>
        <v>(五冶建设龙泉芙蓉花语项目-1,3地块)龙泉驿区北川路双堰塘钓鱼东100米(北川路)</v>
      </c>
      <c r="J3428" s="41" t="str">
        <f>VLOOKUP(B3428,辅助信息!E:I,4,FALSE)</f>
        <v>祝斯阳</v>
      </c>
      <c r="K3428" s="41">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30" t="str">
        <f>VLOOKUP(B3428,辅助信息!E:M,9,FALSE)</f>
        <v>ZTWM-CDGS-XS-2025-0073-五冶天府-成都怡心湖片区及龙泉驿医院等项目</v>
      </c>
      <c r="R3428" s="30" t="str">
        <f>_xlfn._xlws.FILTER(辅助信息!D:D,辅助信息!E:E=B3428)</f>
        <v>五冶建设龙泉芙蓉花语项目</v>
      </c>
    </row>
    <row r="3429" hidden="1" spans="2:18">
      <c r="B3429" s="41" t="s">
        <v>186</v>
      </c>
      <c r="C3429" s="71">
        <v>45915</v>
      </c>
      <c r="D3429" s="41" t="str">
        <f>VLOOKUP(B3429,辅助信息!E:K,7,FALSE)</f>
        <v>JWDDCD2025072900123</v>
      </c>
      <c r="E3429" s="41" t="str">
        <f>VLOOKUP(F3429,辅助信息!A:B,2,FALSE)</f>
        <v>高线</v>
      </c>
      <c r="F3429" s="41" t="s">
        <v>53</v>
      </c>
      <c r="G3429" s="37">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1" t="str">
        <f>VLOOKUP(B3429,辅助信息!E:I,3,FALSE)</f>
        <v>(乐山市校地共建产教融合基地建设项目二标段)四川省乐山市市中区苏稽镇</v>
      </c>
      <c r="J3429" s="41" t="str">
        <f>VLOOKUP(B3429,辅助信息!E:I,4,FALSE)</f>
        <v>彭江涛</v>
      </c>
      <c r="K3429" s="41">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30" t="str">
        <f>VLOOKUP(B3429,辅助信息!E:M,9,FALSE)</f>
        <v>ZTWM-CDGS-XS-2025-0126-四川机司-乐山市校地共建产教融合基地配套设施项目施工二标段钢筋采购合同</v>
      </c>
      <c r="R3429" s="30" t="str">
        <f>_xlfn._xlws.FILTER(辅助信息!D:D,辅助信息!E:E=B3429)</f>
        <v>乐山市校地共建产教融合基地建设项目</v>
      </c>
    </row>
    <row r="3430" hidden="1" spans="2:18">
      <c r="B3430" s="41" t="s">
        <v>186</v>
      </c>
      <c r="C3430" s="71">
        <v>45915</v>
      </c>
      <c r="D3430" s="41" t="str">
        <f>VLOOKUP(B3430,辅助信息!E:K,7,FALSE)</f>
        <v>JWDDCD2025072900123</v>
      </c>
      <c r="E3430" s="41" t="str">
        <f>VLOOKUP(F3430,辅助信息!A:B,2,FALSE)</f>
        <v>盘螺</v>
      </c>
      <c r="F3430" s="41" t="s">
        <v>49</v>
      </c>
      <c r="G3430" s="37">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1" t="str">
        <f>VLOOKUP(B3430,辅助信息!E:I,3,FALSE)</f>
        <v>(乐山市校地共建产教融合基地建设项目二标段)四川省乐山市市中区苏稽镇</v>
      </c>
      <c r="J3430" s="41" t="str">
        <f>VLOOKUP(B3430,辅助信息!E:I,4,FALSE)</f>
        <v>彭江涛</v>
      </c>
      <c r="K3430" s="41">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30" t="str">
        <f>VLOOKUP(B3430,辅助信息!E:M,9,FALSE)</f>
        <v>ZTWM-CDGS-XS-2025-0126-四川机司-乐山市校地共建产教融合基地配套设施项目施工二标段钢筋采购合同</v>
      </c>
      <c r="R3430" s="30" t="str">
        <f>_xlfn._xlws.FILTER(辅助信息!D:D,辅助信息!E:E=B3430)</f>
        <v>乐山市校地共建产教融合基地建设项目</v>
      </c>
    </row>
    <row r="3431" hidden="1" spans="2:18">
      <c r="B3431" s="41" t="s">
        <v>186</v>
      </c>
      <c r="C3431" s="71">
        <v>45915</v>
      </c>
      <c r="D3431" s="41" t="str">
        <f>VLOOKUP(B3431,辅助信息!E:K,7,FALSE)</f>
        <v>JWDDCD2025072900123</v>
      </c>
      <c r="E3431" s="41" t="str">
        <f>VLOOKUP(F3431,辅助信息!A:B,2,FALSE)</f>
        <v>螺纹钢</v>
      </c>
      <c r="F3431" s="41" t="s">
        <v>90</v>
      </c>
      <c r="G3431" s="37">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1" t="str">
        <f>VLOOKUP(B3431,辅助信息!E:I,3,FALSE)</f>
        <v>(乐山市校地共建产教融合基地建设项目二标段)四川省乐山市市中区苏稽镇</v>
      </c>
      <c r="J3431" s="41" t="str">
        <f>VLOOKUP(B3431,辅助信息!E:I,4,FALSE)</f>
        <v>彭江涛</v>
      </c>
      <c r="K3431" s="41">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30" t="str">
        <f>VLOOKUP(B3431,辅助信息!E:M,9,FALSE)</f>
        <v>ZTWM-CDGS-XS-2025-0126-四川机司-乐山市校地共建产教融合基地配套设施项目施工二标段钢筋采购合同</v>
      </c>
      <c r="R3431" s="30" t="str">
        <f>_xlfn._xlws.FILTER(辅助信息!D:D,辅助信息!E:E=B3431)</f>
        <v>乐山市校地共建产教融合基地建设项目</v>
      </c>
    </row>
    <row r="3432" hidden="1" spans="2:18">
      <c r="B3432" s="41" t="s">
        <v>92</v>
      </c>
      <c r="C3432" s="71">
        <v>45915</v>
      </c>
      <c r="D3432" s="41" t="str">
        <f>VLOOKUP(B3432,辅助信息!E:K,7,FALSE)</f>
        <v>JWDDCD2025051800046</v>
      </c>
      <c r="E3432" s="41" t="str">
        <f>VLOOKUP(F3432,辅助信息!A:B,2,FALSE)</f>
        <v>盘螺</v>
      </c>
      <c r="F3432" s="41" t="s">
        <v>40</v>
      </c>
      <c r="G3432" s="37">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1" t="str">
        <f>VLOOKUP(B3432,辅助信息!E:I,3,FALSE)</f>
        <v>（华西萌海科创农业生态谷）成都市简阳市白金山水库</v>
      </c>
      <c r="J3432" s="41" t="str">
        <f>VLOOKUP(B3432,辅助信息!E:I,4,FALSE)</f>
        <v>石清国</v>
      </c>
      <c r="K3432" s="41">
        <f>VLOOKUP(J3432,辅助信息!H:I,2,FALSE)</f>
        <v>13458642015</v>
      </c>
      <c r="L3432" s="110" t="str">
        <f>VLOOKUP(B3432,辅助信息!E:J,6,FALSE)</f>
        <v>优先威钢,我方卸车,新老国标钢厂不加价可直发</v>
      </c>
      <c r="M3432" s="149">
        <v>45918</v>
      </c>
      <c r="O3432" s="63">
        <f ca="1" t="shared" si="190"/>
        <v>0</v>
      </c>
      <c r="P3432" s="63">
        <f ca="1" t="shared" si="191"/>
        <v>41</v>
      </c>
      <c r="Q3432" s="30" t="str">
        <f>VLOOKUP(B3432,辅助信息!E:M,9,FALSE)</f>
        <v>ZTWM-CDGS-XS-2024-0092-华西-萌海科创农业生态谷</v>
      </c>
      <c r="R3432" s="30" t="str">
        <f>_xlfn._xlws.FILTER(辅助信息!D:D,辅助信息!E:E=B3432)</f>
        <v>华西萌海-科创农业生态谷</v>
      </c>
    </row>
    <row r="3433" hidden="1" spans="2:18">
      <c r="B3433" s="41" t="s">
        <v>92</v>
      </c>
      <c r="C3433" s="71">
        <v>45915</v>
      </c>
      <c r="D3433" s="41" t="str">
        <f>VLOOKUP(B3433,辅助信息!E:K,7,FALSE)</f>
        <v>JWDDCD2025051800046</v>
      </c>
      <c r="E3433" s="41" t="str">
        <f>VLOOKUP(F3433,辅助信息!A:B,2,FALSE)</f>
        <v>盘螺</v>
      </c>
      <c r="F3433" s="41" t="s">
        <v>41</v>
      </c>
      <c r="G3433" s="37">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1" t="str">
        <f>VLOOKUP(B3433,辅助信息!E:I,3,FALSE)</f>
        <v>（华西萌海科创农业生态谷）成都市简阳市白金山水库</v>
      </c>
      <c r="J3433" s="41" t="str">
        <f>VLOOKUP(B3433,辅助信息!E:I,4,FALSE)</f>
        <v>石清国</v>
      </c>
      <c r="K3433" s="41">
        <f>VLOOKUP(J3433,辅助信息!H:I,2,FALSE)</f>
        <v>13458642015</v>
      </c>
      <c r="L3433" s="110" t="str">
        <f>VLOOKUP(B3433,辅助信息!E:J,6,FALSE)</f>
        <v>优先威钢,我方卸车,新老国标钢厂不加价可直发</v>
      </c>
      <c r="M3433" s="149">
        <v>45918</v>
      </c>
      <c r="O3433" s="63">
        <f ca="1" t="shared" si="190"/>
        <v>0</v>
      </c>
      <c r="P3433" s="63">
        <f ca="1" t="shared" si="191"/>
        <v>41</v>
      </c>
      <c r="Q3433" s="30" t="str">
        <f>VLOOKUP(B3433,辅助信息!E:M,9,FALSE)</f>
        <v>ZTWM-CDGS-XS-2024-0092-华西-萌海科创农业生态谷</v>
      </c>
      <c r="R3433" s="30" t="str">
        <f>_xlfn._xlws.FILTER(辅助信息!D:D,辅助信息!E:E=B3433)</f>
        <v>华西萌海-科创农业生态谷</v>
      </c>
    </row>
    <row r="3434" hidden="1" spans="2:18">
      <c r="B3434" s="41" t="s">
        <v>92</v>
      </c>
      <c r="C3434" s="71">
        <v>45915</v>
      </c>
      <c r="D3434" s="41" t="str">
        <f>VLOOKUP(B3434,辅助信息!E:K,7,FALSE)</f>
        <v>JWDDCD2025051800046</v>
      </c>
      <c r="E3434" s="41" t="str">
        <f>VLOOKUP(F3434,辅助信息!A:B,2,FALSE)</f>
        <v>螺纹钢</v>
      </c>
      <c r="F3434" s="41" t="s">
        <v>27</v>
      </c>
      <c r="G3434" s="37">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1" t="str">
        <f>VLOOKUP(B3434,辅助信息!E:I,3,FALSE)</f>
        <v>（华西萌海科创农业生态谷）成都市简阳市白金山水库</v>
      </c>
      <c r="J3434" s="41" t="str">
        <f>VLOOKUP(B3434,辅助信息!E:I,4,FALSE)</f>
        <v>石清国</v>
      </c>
      <c r="K3434" s="41">
        <f>VLOOKUP(J3434,辅助信息!H:I,2,FALSE)</f>
        <v>13458642015</v>
      </c>
      <c r="L3434" s="110" t="str">
        <f>VLOOKUP(B3434,辅助信息!E:J,6,FALSE)</f>
        <v>优先威钢,我方卸车,新老国标钢厂不加价可直发</v>
      </c>
      <c r="M3434" s="149">
        <v>45918</v>
      </c>
      <c r="O3434" s="63">
        <f ca="1" t="shared" si="190"/>
        <v>0</v>
      </c>
      <c r="P3434" s="63">
        <f ca="1" t="shared" si="191"/>
        <v>41</v>
      </c>
      <c r="Q3434" s="30" t="str">
        <f>VLOOKUP(B3434,辅助信息!E:M,9,FALSE)</f>
        <v>ZTWM-CDGS-XS-2024-0092-华西-萌海科创农业生态谷</v>
      </c>
      <c r="R3434" s="30" t="str">
        <f>_xlfn._xlws.FILTER(辅助信息!D:D,辅助信息!E:E=B3434)</f>
        <v>华西萌海-科创农业生态谷</v>
      </c>
    </row>
    <row r="3435" hidden="1" spans="2:18">
      <c r="B3435" s="41" t="s">
        <v>92</v>
      </c>
      <c r="C3435" s="71">
        <v>45915</v>
      </c>
      <c r="D3435" s="41" t="str">
        <f>VLOOKUP(B3435,辅助信息!E:K,7,FALSE)</f>
        <v>JWDDCD2025051800046</v>
      </c>
      <c r="E3435" s="41" t="str">
        <f>VLOOKUP(F3435,辅助信息!A:B,2,FALSE)</f>
        <v>螺纹钢</v>
      </c>
      <c r="F3435" s="41" t="s">
        <v>19</v>
      </c>
      <c r="G3435" s="37">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1" t="str">
        <f>VLOOKUP(B3435,辅助信息!E:I,3,FALSE)</f>
        <v>（华西萌海科创农业生态谷）成都市简阳市白金山水库</v>
      </c>
      <c r="J3435" s="41" t="str">
        <f>VLOOKUP(B3435,辅助信息!E:I,4,FALSE)</f>
        <v>石清国</v>
      </c>
      <c r="K3435" s="41">
        <f>VLOOKUP(J3435,辅助信息!H:I,2,FALSE)</f>
        <v>13458642015</v>
      </c>
      <c r="L3435" s="110" t="str">
        <f>VLOOKUP(B3435,辅助信息!E:J,6,FALSE)</f>
        <v>优先威钢,我方卸车,新老国标钢厂不加价可直发</v>
      </c>
      <c r="M3435" s="149">
        <v>45918</v>
      </c>
      <c r="O3435" s="63">
        <f ca="1" t="shared" si="190"/>
        <v>0</v>
      </c>
      <c r="P3435" s="63">
        <f ca="1" t="shared" si="191"/>
        <v>41</v>
      </c>
      <c r="Q3435" s="30" t="str">
        <f>VLOOKUP(B3435,辅助信息!E:M,9,FALSE)</f>
        <v>ZTWM-CDGS-XS-2024-0092-华西-萌海科创农业生态谷</v>
      </c>
      <c r="R3435" s="30" t="str">
        <f>_xlfn._xlws.FILTER(辅助信息!D:D,辅助信息!E:E=B3435)</f>
        <v>华西萌海-科创农业生态谷</v>
      </c>
    </row>
    <row r="3436" hidden="1" spans="2:18">
      <c r="B3436" s="41" t="s">
        <v>92</v>
      </c>
      <c r="C3436" s="71">
        <v>45915</v>
      </c>
      <c r="D3436" s="41" t="str">
        <f>VLOOKUP(B3436,辅助信息!E:K,7,FALSE)</f>
        <v>JWDDCD2025051800046</v>
      </c>
      <c r="E3436" s="41" t="str">
        <f>VLOOKUP(F3436,辅助信息!A:B,2,FALSE)</f>
        <v>螺纹钢</v>
      </c>
      <c r="F3436" s="41" t="s">
        <v>82</v>
      </c>
      <c r="G3436" s="37">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1" t="str">
        <f>VLOOKUP(B3436,辅助信息!E:I,3,FALSE)</f>
        <v>（华西萌海科创农业生态谷）成都市简阳市白金山水库</v>
      </c>
      <c r="J3436" s="41" t="str">
        <f>VLOOKUP(B3436,辅助信息!E:I,4,FALSE)</f>
        <v>石清国</v>
      </c>
      <c r="K3436" s="41">
        <f>VLOOKUP(J3436,辅助信息!H:I,2,FALSE)</f>
        <v>13458642015</v>
      </c>
      <c r="L3436" s="110" t="str">
        <f>VLOOKUP(B3436,辅助信息!E:J,6,FALSE)</f>
        <v>优先威钢,我方卸车,新老国标钢厂不加价可直发</v>
      </c>
      <c r="M3436" s="149">
        <v>45918</v>
      </c>
      <c r="O3436" s="63">
        <f ca="1" t="shared" si="190"/>
        <v>0</v>
      </c>
      <c r="P3436" s="63">
        <f ca="1" t="shared" si="191"/>
        <v>41</v>
      </c>
      <c r="Q3436" s="30" t="str">
        <f>VLOOKUP(B3436,辅助信息!E:M,9,FALSE)</f>
        <v>ZTWM-CDGS-XS-2024-0092-华西-萌海科创农业生态谷</v>
      </c>
      <c r="R3436" s="30" t="str">
        <f>_xlfn._xlws.FILTER(辅助信息!D:D,辅助信息!E:E=B3436)</f>
        <v>华西萌海-科创农业生态谷</v>
      </c>
    </row>
    <row r="3437" hidden="1" spans="2:18">
      <c r="B3437" s="41" t="s">
        <v>92</v>
      </c>
      <c r="C3437" s="71">
        <v>45915</v>
      </c>
      <c r="D3437" s="41" t="str">
        <f>VLOOKUP(B3437,辅助信息!E:K,7,FALSE)</f>
        <v>JWDDCD2025051800046</v>
      </c>
      <c r="E3437" s="41" t="str">
        <f>VLOOKUP(F3437,辅助信息!A:B,2,FALSE)</f>
        <v>螺纹钢</v>
      </c>
      <c r="F3437" s="41" t="s">
        <v>46</v>
      </c>
      <c r="G3437" s="37">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1" t="str">
        <f>VLOOKUP(B3437,辅助信息!E:I,3,FALSE)</f>
        <v>（华西萌海科创农业生态谷）成都市简阳市白金山水库</v>
      </c>
      <c r="J3437" s="41" t="str">
        <f>VLOOKUP(B3437,辅助信息!E:I,4,FALSE)</f>
        <v>石清国</v>
      </c>
      <c r="K3437" s="41">
        <f>VLOOKUP(J3437,辅助信息!H:I,2,FALSE)</f>
        <v>13458642015</v>
      </c>
      <c r="L3437" s="110" t="str">
        <f>VLOOKUP(B3437,辅助信息!E:J,6,FALSE)</f>
        <v>优先威钢,我方卸车,新老国标钢厂不加价可直发</v>
      </c>
      <c r="M3437" s="149">
        <v>45918</v>
      </c>
      <c r="O3437" s="63">
        <f ca="1" t="shared" si="190"/>
        <v>0</v>
      </c>
      <c r="P3437" s="63">
        <f ca="1" t="shared" si="191"/>
        <v>41</v>
      </c>
      <c r="Q3437" s="30" t="str">
        <f>VLOOKUP(B3437,辅助信息!E:M,9,FALSE)</f>
        <v>ZTWM-CDGS-XS-2024-0092-华西-萌海科创农业生态谷</v>
      </c>
      <c r="R3437" s="30" t="str">
        <f>_xlfn._xlws.FILTER(辅助信息!D:D,辅助信息!E:E=B3437)</f>
        <v>华西萌海-科创农业生态谷</v>
      </c>
    </row>
    <row r="3438" hidden="1" spans="2:18">
      <c r="B3438" s="41" t="s">
        <v>92</v>
      </c>
      <c r="C3438" s="71">
        <v>45915</v>
      </c>
      <c r="D3438" s="41" t="str">
        <f>VLOOKUP(B3438,辅助信息!E:K,7,FALSE)</f>
        <v>JWDDCD2025051800046</v>
      </c>
      <c r="E3438" s="41" t="str">
        <f>VLOOKUP(F3438,辅助信息!A:B,2,FALSE)</f>
        <v>螺纹钢</v>
      </c>
      <c r="F3438" s="41" t="s">
        <v>22</v>
      </c>
      <c r="G3438" s="37">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1" t="str">
        <f>VLOOKUP(B3438,辅助信息!E:I,3,FALSE)</f>
        <v>（华西萌海科创农业生态谷）成都市简阳市白金山水库</v>
      </c>
      <c r="J3438" s="41" t="str">
        <f>VLOOKUP(B3438,辅助信息!E:I,4,FALSE)</f>
        <v>石清国</v>
      </c>
      <c r="K3438" s="41">
        <f>VLOOKUP(J3438,辅助信息!H:I,2,FALSE)</f>
        <v>13458642015</v>
      </c>
      <c r="L3438" s="110" t="str">
        <f>VLOOKUP(B3438,辅助信息!E:J,6,FALSE)</f>
        <v>优先威钢,我方卸车,新老国标钢厂不加价可直发</v>
      </c>
      <c r="M3438" s="149">
        <v>45918</v>
      </c>
      <c r="O3438" s="63">
        <f ca="1" t="shared" si="190"/>
        <v>0</v>
      </c>
      <c r="P3438" s="63">
        <f ca="1" t="shared" si="191"/>
        <v>41</v>
      </c>
      <c r="Q3438" s="30" t="str">
        <f>VLOOKUP(B3438,辅助信息!E:M,9,FALSE)</f>
        <v>ZTWM-CDGS-XS-2024-0092-华西-萌海科创农业生态谷</v>
      </c>
      <c r="R3438" s="30" t="str">
        <f>_xlfn._xlws.FILTER(辅助信息!D:D,辅助信息!E:E=B3438)</f>
        <v>华西萌海-科创农业生态谷</v>
      </c>
    </row>
    <row r="3439" hidden="1" spans="2:18">
      <c r="B3439" s="41" t="s">
        <v>194</v>
      </c>
      <c r="C3439" s="71">
        <v>45915</v>
      </c>
      <c r="D3439" s="41" t="str">
        <f>VLOOKUP(B3439,辅助信息!E:K,7,FALSE)</f>
        <v>JWDD2025071500089</v>
      </c>
      <c r="E3439" s="41" t="str">
        <f>VLOOKUP(F3439,辅助信息!A:B,2,FALSE)</f>
        <v>盘螺</v>
      </c>
      <c r="F3439" s="41" t="s">
        <v>40</v>
      </c>
      <c r="G3439" s="37">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1" t="str">
        <f>VLOOKUP(B3439,辅助信息!E:I,3,FALSE)</f>
        <v>(宜宾兴港三江新区长江工业园保障性租赁住房建设项目-土建)四川省宜宾市翠屏区永善路南段宜宾市三江新区长江工业园区</v>
      </c>
      <c r="J3439" s="41" t="str">
        <f>VLOOKUP(B3439,辅助信息!E:I,4,FALSE)</f>
        <v>赵元虎</v>
      </c>
      <c r="K3439" s="41">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30" t="str">
        <f>VLOOKUP(B3439,辅助信息!E:M,9,FALSE)</f>
        <v>ZTWM-CDYXGS-XS-2025-0014-宜宾兴港建材-三江新区长江工业园片区保障性租赁住房建设项目</v>
      </c>
      <c r="R3439" s="30" t="str">
        <f>_xlfn._xlws.FILTER(辅助信息!D:D,辅助信息!E:E=B3439)</f>
        <v>宜宾兴港三江新区长江工业园建设项目</v>
      </c>
    </row>
    <row r="3440" hidden="1" spans="2:18">
      <c r="B3440" s="41" t="s">
        <v>194</v>
      </c>
      <c r="C3440" s="71">
        <v>45915</v>
      </c>
      <c r="D3440" s="41" t="str">
        <f>VLOOKUP(B3440,辅助信息!E:K,7,FALSE)</f>
        <v>JWDD2025071500089</v>
      </c>
      <c r="E3440" s="41" t="str">
        <f>VLOOKUP(F3440,辅助信息!A:B,2,FALSE)</f>
        <v>盘螺</v>
      </c>
      <c r="F3440" s="41" t="s">
        <v>41</v>
      </c>
      <c r="G3440" s="37">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1" t="str">
        <f>VLOOKUP(B3440,辅助信息!E:I,3,FALSE)</f>
        <v>(宜宾兴港三江新区长江工业园保障性租赁住房建设项目-土建)四川省宜宾市翠屏区永善路南段宜宾市三江新区长江工业园区</v>
      </c>
      <c r="J3440" s="41" t="str">
        <f>VLOOKUP(B3440,辅助信息!E:I,4,FALSE)</f>
        <v>赵元虎</v>
      </c>
      <c r="K3440" s="41">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30" t="str">
        <f>VLOOKUP(B3440,辅助信息!E:M,9,FALSE)</f>
        <v>ZTWM-CDYXGS-XS-2025-0014-宜宾兴港建材-三江新区长江工业园片区保障性租赁住房建设项目</v>
      </c>
      <c r="R3440" s="30" t="str">
        <f>_xlfn._xlws.FILTER(辅助信息!D:D,辅助信息!E:E=B3440)</f>
        <v>宜宾兴港三江新区长江工业园建设项目</v>
      </c>
    </row>
    <row r="3441" hidden="1" spans="2:18">
      <c r="B3441" s="41" t="s">
        <v>194</v>
      </c>
      <c r="C3441" s="71">
        <v>45915</v>
      </c>
      <c r="D3441" s="41" t="str">
        <f>VLOOKUP(B3441,辅助信息!E:K,7,FALSE)</f>
        <v>JWDD2025071500089</v>
      </c>
      <c r="E3441" s="41" t="str">
        <f>VLOOKUP(F3441,辅助信息!A:B,2,FALSE)</f>
        <v>螺纹钢</v>
      </c>
      <c r="F3441" s="41" t="s">
        <v>19</v>
      </c>
      <c r="G3441" s="37">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1" t="str">
        <f>VLOOKUP(B3441,辅助信息!E:I,3,FALSE)</f>
        <v>(宜宾兴港三江新区长江工业园保障性租赁住房建设项目-土建)四川省宜宾市翠屏区永善路南段宜宾市三江新区长江工业园区</v>
      </c>
      <c r="J3441" s="41" t="str">
        <f>VLOOKUP(B3441,辅助信息!E:I,4,FALSE)</f>
        <v>赵元虎</v>
      </c>
      <c r="K3441" s="41">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30" t="str">
        <f>VLOOKUP(B3441,辅助信息!E:M,9,FALSE)</f>
        <v>ZTWM-CDYXGS-XS-2025-0014-宜宾兴港建材-三江新区长江工业园片区保障性租赁住房建设项目</v>
      </c>
      <c r="R3441" s="30" t="str">
        <f>_xlfn._xlws.FILTER(辅助信息!D:D,辅助信息!E:E=B3441)</f>
        <v>宜宾兴港三江新区长江工业园建设项目</v>
      </c>
    </row>
    <row r="3442" hidden="1" spans="2:18">
      <c r="B3442" s="41" t="s">
        <v>194</v>
      </c>
      <c r="C3442" s="71">
        <v>45915</v>
      </c>
      <c r="D3442" s="41" t="str">
        <f>VLOOKUP(B3442,辅助信息!E:K,7,FALSE)</f>
        <v>JWDD2025071500089</v>
      </c>
      <c r="E3442" s="41" t="str">
        <f>VLOOKUP(F3442,辅助信息!A:B,2,FALSE)</f>
        <v>螺纹钢</v>
      </c>
      <c r="F3442" s="41" t="s">
        <v>66</v>
      </c>
      <c r="G3442" s="37">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1" t="str">
        <f>VLOOKUP(B3442,辅助信息!E:I,3,FALSE)</f>
        <v>(宜宾兴港三江新区长江工业园保障性租赁住房建设项目-土建)四川省宜宾市翠屏区永善路南段宜宾市三江新区长江工业园区</v>
      </c>
      <c r="J3442" s="41" t="str">
        <f>VLOOKUP(B3442,辅助信息!E:I,4,FALSE)</f>
        <v>赵元虎</v>
      </c>
      <c r="K3442" s="41">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30" t="str">
        <f>VLOOKUP(B3442,辅助信息!E:M,9,FALSE)</f>
        <v>ZTWM-CDYXGS-XS-2025-0014-宜宾兴港建材-三江新区长江工业园片区保障性租赁住房建设项目</v>
      </c>
      <c r="R3442" s="30" t="str">
        <f>_xlfn._xlws.FILTER(辅助信息!D:D,辅助信息!E:E=B3442)</f>
        <v>宜宾兴港三江新区长江工业园建设项目</v>
      </c>
    </row>
    <row r="3443" hidden="1" spans="2:18">
      <c r="B3443" s="41" t="s">
        <v>194</v>
      </c>
      <c r="C3443" s="71">
        <v>45915</v>
      </c>
      <c r="D3443" s="41" t="str">
        <f>VLOOKUP(B3443,辅助信息!E:K,7,FALSE)</f>
        <v>JWDD2025071500089</v>
      </c>
      <c r="E3443" s="41" t="str">
        <f>VLOOKUP(F3443,辅助信息!A:B,2,FALSE)</f>
        <v>螺纹钢</v>
      </c>
      <c r="F3443" s="41" t="s">
        <v>82</v>
      </c>
      <c r="G3443" s="37">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1" t="str">
        <f>VLOOKUP(B3443,辅助信息!E:I,3,FALSE)</f>
        <v>(宜宾兴港三江新区长江工业园保障性租赁住房建设项目-土建)四川省宜宾市翠屏区永善路南段宜宾市三江新区长江工业园区</v>
      </c>
      <c r="J3443" s="41" t="str">
        <f>VLOOKUP(B3443,辅助信息!E:I,4,FALSE)</f>
        <v>赵元虎</v>
      </c>
      <c r="K3443" s="41">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30" t="str">
        <f>VLOOKUP(B3443,辅助信息!E:M,9,FALSE)</f>
        <v>ZTWM-CDYXGS-XS-2025-0014-宜宾兴港建材-三江新区长江工业园片区保障性租赁住房建设项目</v>
      </c>
      <c r="R3443" s="30" t="str">
        <f>_xlfn._xlws.FILTER(辅助信息!D:D,辅助信息!E:E=B3443)</f>
        <v>宜宾兴港三江新区长江工业园建设项目</v>
      </c>
    </row>
    <row r="3444" hidden="1" spans="2:18">
      <c r="B3444" s="41" t="s">
        <v>194</v>
      </c>
      <c r="C3444" s="71">
        <v>45915</v>
      </c>
      <c r="D3444" s="41" t="str">
        <f>VLOOKUP(B3444,辅助信息!E:K,7,FALSE)</f>
        <v>JWDD2025071500089</v>
      </c>
      <c r="E3444" s="41" t="str">
        <f>VLOOKUP(F3444,辅助信息!A:B,2,FALSE)</f>
        <v>螺纹钢</v>
      </c>
      <c r="F3444" s="41" t="s">
        <v>45</v>
      </c>
      <c r="G3444" s="37">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1" t="str">
        <f>VLOOKUP(B3444,辅助信息!E:I,3,FALSE)</f>
        <v>(宜宾兴港三江新区长江工业园保障性租赁住房建设项目-土建)四川省宜宾市翠屏区永善路南段宜宾市三江新区长江工业园区</v>
      </c>
      <c r="J3444" s="41" t="str">
        <f>VLOOKUP(B3444,辅助信息!E:I,4,FALSE)</f>
        <v>赵元虎</v>
      </c>
      <c r="K3444" s="41">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30" t="str">
        <f>VLOOKUP(B3444,辅助信息!E:M,9,FALSE)</f>
        <v>ZTWM-CDYXGS-XS-2025-0014-宜宾兴港建材-三江新区长江工业园片区保障性租赁住房建设项目</v>
      </c>
      <c r="R3444" s="30" t="str">
        <f>_xlfn._xlws.FILTER(辅助信息!D:D,辅助信息!E:E=B3444)</f>
        <v>宜宾兴港三江新区长江工业园建设项目</v>
      </c>
    </row>
    <row r="3445" hidden="1" spans="2:18">
      <c r="B3445" s="41" t="s">
        <v>194</v>
      </c>
      <c r="C3445" s="71">
        <v>45915</v>
      </c>
      <c r="D3445" s="41" t="str">
        <f>VLOOKUP(B3445,辅助信息!E:K,7,FALSE)</f>
        <v>JWDD2025071500089</v>
      </c>
      <c r="E3445" s="41" t="str">
        <f>VLOOKUP(F3445,辅助信息!A:B,2,FALSE)</f>
        <v>螺纹钢</v>
      </c>
      <c r="F3445" s="41" t="s">
        <v>21</v>
      </c>
      <c r="G3445" s="37">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1" t="str">
        <f>VLOOKUP(B3445,辅助信息!E:I,3,FALSE)</f>
        <v>(宜宾兴港三江新区长江工业园保障性租赁住房建设项目-土建)四川省宜宾市翠屏区永善路南段宜宾市三江新区长江工业园区</v>
      </c>
      <c r="J3445" s="41" t="str">
        <f>VLOOKUP(B3445,辅助信息!E:I,4,FALSE)</f>
        <v>赵元虎</v>
      </c>
      <c r="K3445" s="41">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30" t="str">
        <f>VLOOKUP(B3445,辅助信息!E:M,9,FALSE)</f>
        <v>ZTWM-CDYXGS-XS-2025-0014-宜宾兴港建材-三江新区长江工业园片区保障性租赁住房建设项目</v>
      </c>
      <c r="R3445" s="30" t="str">
        <f>_xlfn._xlws.FILTER(辅助信息!D:D,辅助信息!E:E=B3445)</f>
        <v>宜宾兴港三江新区长江工业园建设项目</v>
      </c>
    </row>
    <row r="3446" hidden="1" spans="2:18">
      <c r="B3446" s="41" t="s">
        <v>194</v>
      </c>
      <c r="C3446" s="71">
        <v>45915</v>
      </c>
      <c r="D3446" s="41" t="str">
        <f>VLOOKUP(B3446,辅助信息!E:K,7,FALSE)</f>
        <v>JWDD2025071500089</v>
      </c>
      <c r="E3446" s="41" t="str">
        <f>VLOOKUP(F3446,辅助信息!A:B,2,FALSE)</f>
        <v>螺纹钢</v>
      </c>
      <c r="F3446" s="41" t="s">
        <v>58</v>
      </c>
      <c r="G3446" s="37">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1" t="str">
        <f>VLOOKUP(B3446,辅助信息!E:I,3,FALSE)</f>
        <v>(宜宾兴港三江新区长江工业园保障性租赁住房建设项目-土建)四川省宜宾市翠屏区永善路南段宜宾市三江新区长江工业园区</v>
      </c>
      <c r="J3446" s="41" t="str">
        <f>VLOOKUP(B3446,辅助信息!E:I,4,FALSE)</f>
        <v>赵元虎</v>
      </c>
      <c r="K3446" s="41">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30" t="str">
        <f>VLOOKUP(B3446,辅助信息!E:M,9,FALSE)</f>
        <v>ZTWM-CDYXGS-XS-2025-0014-宜宾兴港建材-三江新区长江工业园片区保障性租赁住房建设项目</v>
      </c>
      <c r="R3446" s="30" t="str">
        <f>_xlfn._xlws.FILTER(辅助信息!D:D,辅助信息!E:E=B3446)</f>
        <v>宜宾兴港三江新区长江工业园建设项目</v>
      </c>
    </row>
    <row r="3447" hidden="1" spans="2:18">
      <c r="B3447" s="41" t="s">
        <v>194</v>
      </c>
      <c r="C3447" s="71">
        <v>45915</v>
      </c>
      <c r="D3447" s="41" t="str">
        <f>VLOOKUP(B3447,辅助信息!E:K,7,FALSE)</f>
        <v>JWDD2025071500089</v>
      </c>
      <c r="E3447" s="41" t="str">
        <f>VLOOKUP(F3447,辅助信息!A:B,2,FALSE)</f>
        <v>螺纹钢</v>
      </c>
      <c r="F3447" s="41" t="s">
        <v>46</v>
      </c>
      <c r="G3447" s="37">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1" t="str">
        <f>VLOOKUP(B3447,辅助信息!E:I,3,FALSE)</f>
        <v>(宜宾兴港三江新区长江工业园保障性租赁住房建设项目-土建)四川省宜宾市翠屏区永善路南段宜宾市三江新区长江工业园区</v>
      </c>
      <c r="J3447" s="41" t="str">
        <f>VLOOKUP(B3447,辅助信息!E:I,4,FALSE)</f>
        <v>赵元虎</v>
      </c>
      <c r="K3447" s="41">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30" t="str">
        <f>VLOOKUP(B3447,辅助信息!E:M,9,FALSE)</f>
        <v>ZTWM-CDYXGS-XS-2025-0014-宜宾兴港建材-三江新区长江工业园片区保障性租赁住房建设项目</v>
      </c>
      <c r="R3447" s="30" t="str">
        <f>_xlfn._xlws.FILTER(辅助信息!D:D,辅助信息!E:E=B3447)</f>
        <v>宜宾兴港三江新区长江工业园建设项目</v>
      </c>
    </row>
    <row r="3448" hidden="1" spans="2:18">
      <c r="B3448" s="41" t="s">
        <v>194</v>
      </c>
      <c r="C3448" s="71">
        <v>45915</v>
      </c>
      <c r="D3448" s="41" t="str">
        <f>VLOOKUP(B3448,辅助信息!E:K,7,FALSE)</f>
        <v>JWDD2025071500089</v>
      </c>
      <c r="E3448" s="41" t="str">
        <f>VLOOKUP(F3448,辅助信息!A:B,2,FALSE)</f>
        <v>螺纹钢</v>
      </c>
      <c r="F3448" s="41" t="s">
        <v>22</v>
      </c>
      <c r="G3448" s="37">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1" t="str">
        <f>VLOOKUP(B3448,辅助信息!E:I,3,FALSE)</f>
        <v>(宜宾兴港三江新区长江工业园保障性租赁住房建设项目-土建)四川省宜宾市翠屏区永善路南段宜宾市三江新区长江工业园区</v>
      </c>
      <c r="J3448" s="41" t="str">
        <f>VLOOKUP(B3448,辅助信息!E:I,4,FALSE)</f>
        <v>赵元虎</v>
      </c>
      <c r="K3448" s="41">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30" t="str">
        <f>VLOOKUP(B3448,辅助信息!E:M,9,FALSE)</f>
        <v>ZTWM-CDYXGS-XS-2025-0014-宜宾兴港建材-三江新区长江工业园片区保障性租赁住房建设项目</v>
      </c>
      <c r="R3448" s="30" t="str">
        <f>_xlfn._xlws.FILTER(辅助信息!D:D,辅助信息!E:E=B3448)</f>
        <v>宜宾兴港三江新区长江工业园建设项目</v>
      </c>
    </row>
    <row r="3449" hidden="1" spans="2:18">
      <c r="B3449" s="41" t="s">
        <v>163</v>
      </c>
      <c r="C3449" s="71">
        <v>45915</v>
      </c>
      <c r="D3449" s="41" t="str">
        <f>VLOOKUP(B3449,辅助信息!E:K,7,FALSE)</f>
        <v>JWDDCD2025052800131</v>
      </c>
      <c r="E3449" s="41" t="str">
        <f>VLOOKUP(F3449,辅助信息!A:B,2,FALSE)</f>
        <v>盘螺</v>
      </c>
      <c r="F3449" s="41" t="s">
        <v>49</v>
      </c>
      <c r="G3449" s="37">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1" t="str">
        <f>VLOOKUP(B3449,辅助信息!E:I,3,FALSE)</f>
        <v>（商投建工达州中医药科技园-4工区-9号楼）达州市通川区达州中医药职业学院犀牛大道北段</v>
      </c>
      <c r="J3449" s="41" t="str">
        <f>VLOOKUP(B3449,辅助信息!E:I,4,FALSE)</f>
        <v>张扬</v>
      </c>
      <c r="K3449" s="41">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41</v>
      </c>
      <c r="Q3449" s="30" t="str">
        <f>VLOOKUP(B3449,辅助信息!E:M,9,FALSE)</f>
        <v>ZTWM-CDGS-XS-2024-0134-商投建工达州中医药科技成果示范园项目</v>
      </c>
      <c r="R3449" s="30" t="str">
        <f>_xlfn._xlws.FILTER(辅助信息!D:D,辅助信息!E:E=B3449)</f>
        <v>商投建工达州中医药科技园</v>
      </c>
    </row>
    <row r="3450" hidden="1" spans="2:18">
      <c r="B3450" s="41" t="s">
        <v>163</v>
      </c>
      <c r="C3450" s="71">
        <v>45915</v>
      </c>
      <c r="D3450" s="41" t="str">
        <f>VLOOKUP(B3450,辅助信息!E:K,7,FALSE)</f>
        <v>JWDDCD2025052800131</v>
      </c>
      <c r="E3450" s="41" t="str">
        <f>VLOOKUP(F3450,辅助信息!A:B,2,FALSE)</f>
        <v>盘螺</v>
      </c>
      <c r="F3450" s="41" t="s">
        <v>40</v>
      </c>
      <c r="G3450" s="37">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1" t="str">
        <f>VLOOKUP(B3450,辅助信息!E:I,3,FALSE)</f>
        <v>（商投建工达州中医药科技园-4工区-9号楼）达州市通川区达州中医药职业学院犀牛大道北段</v>
      </c>
      <c r="J3450" s="41" t="str">
        <f>VLOOKUP(B3450,辅助信息!E:I,4,FALSE)</f>
        <v>张扬</v>
      </c>
      <c r="K3450" s="41">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41</v>
      </c>
      <c r="Q3450" s="30" t="str">
        <f>VLOOKUP(B3450,辅助信息!E:M,9,FALSE)</f>
        <v>ZTWM-CDGS-XS-2024-0134-商投建工达州中医药科技成果示范园项目</v>
      </c>
      <c r="R3450" s="30" t="str">
        <f>_xlfn._xlws.FILTER(辅助信息!D:D,辅助信息!E:E=B3450)</f>
        <v>商投建工达州中医药科技园</v>
      </c>
    </row>
    <row r="3451" hidden="1" spans="2:18">
      <c r="B3451" s="41" t="s">
        <v>163</v>
      </c>
      <c r="C3451" s="71">
        <v>45915</v>
      </c>
      <c r="D3451" s="41" t="str">
        <f>VLOOKUP(B3451,辅助信息!E:K,7,FALSE)</f>
        <v>JWDDCD2025052800131</v>
      </c>
      <c r="E3451" s="41" t="str">
        <f>VLOOKUP(F3451,辅助信息!A:B,2,FALSE)</f>
        <v>盘螺</v>
      </c>
      <c r="F3451" s="41" t="s">
        <v>41</v>
      </c>
      <c r="G3451" s="37">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1" t="str">
        <f>VLOOKUP(B3451,辅助信息!E:I,3,FALSE)</f>
        <v>（商投建工达州中医药科技园-4工区-9号楼）达州市通川区达州中医药职业学院犀牛大道北段</v>
      </c>
      <c r="J3451" s="41" t="str">
        <f>VLOOKUP(B3451,辅助信息!E:I,4,FALSE)</f>
        <v>张扬</v>
      </c>
      <c r="K3451" s="41">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41</v>
      </c>
      <c r="Q3451" s="30" t="str">
        <f>VLOOKUP(B3451,辅助信息!E:M,9,FALSE)</f>
        <v>ZTWM-CDGS-XS-2024-0134-商投建工达州中医药科技成果示范园项目</v>
      </c>
      <c r="R3451" s="30" t="str">
        <f>_xlfn._xlws.FILTER(辅助信息!D:D,辅助信息!E:E=B3451)</f>
        <v>商投建工达州中医药科技园</v>
      </c>
    </row>
    <row r="3452" hidden="1" spans="2:18">
      <c r="B3452" s="41" t="s">
        <v>163</v>
      </c>
      <c r="C3452" s="71">
        <v>45915</v>
      </c>
      <c r="D3452" s="41" t="str">
        <f>VLOOKUP(B3452,辅助信息!E:K,7,FALSE)</f>
        <v>JWDDCD2025052800131</v>
      </c>
      <c r="E3452" s="41" t="str">
        <f>VLOOKUP(F3452,辅助信息!A:B,2,FALSE)</f>
        <v>螺纹钢</v>
      </c>
      <c r="F3452" s="41" t="s">
        <v>33</v>
      </c>
      <c r="G3452" s="37">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1" t="str">
        <f>VLOOKUP(B3452,辅助信息!E:I,3,FALSE)</f>
        <v>（商投建工达州中医药科技园-4工区-9号楼）达州市通川区达州中医药职业学院犀牛大道北段</v>
      </c>
      <c r="J3452" s="41" t="str">
        <f>VLOOKUP(B3452,辅助信息!E:I,4,FALSE)</f>
        <v>张扬</v>
      </c>
      <c r="K3452" s="41">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41</v>
      </c>
      <c r="Q3452" s="30" t="str">
        <f>VLOOKUP(B3452,辅助信息!E:M,9,FALSE)</f>
        <v>ZTWM-CDGS-XS-2024-0134-商投建工达州中医药科技成果示范园项目</v>
      </c>
      <c r="R3452" s="30" t="str">
        <f>_xlfn._xlws.FILTER(辅助信息!D:D,辅助信息!E:E=B3452)</f>
        <v>商投建工达州中医药科技园</v>
      </c>
    </row>
    <row r="3453" hidden="1" spans="2:18">
      <c r="B3453" s="41" t="s">
        <v>163</v>
      </c>
      <c r="C3453" s="71">
        <v>45915</v>
      </c>
      <c r="D3453" s="41" t="str">
        <f>VLOOKUP(B3453,辅助信息!E:K,7,FALSE)</f>
        <v>JWDDCD2025052800131</v>
      </c>
      <c r="E3453" s="41" t="str">
        <f>VLOOKUP(F3453,辅助信息!A:B,2,FALSE)</f>
        <v>螺纹钢</v>
      </c>
      <c r="F3453" s="41" t="s">
        <v>66</v>
      </c>
      <c r="G3453" s="37">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1" t="str">
        <f>VLOOKUP(B3453,辅助信息!E:I,3,FALSE)</f>
        <v>（商投建工达州中医药科技园-4工区-9号楼）达州市通川区达州中医药职业学院犀牛大道北段</v>
      </c>
      <c r="J3453" s="41" t="str">
        <f>VLOOKUP(B3453,辅助信息!E:I,4,FALSE)</f>
        <v>张扬</v>
      </c>
      <c r="K3453" s="41">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41</v>
      </c>
      <c r="Q3453" s="30" t="str">
        <f>VLOOKUP(B3453,辅助信息!E:M,9,FALSE)</f>
        <v>ZTWM-CDGS-XS-2024-0134-商投建工达州中医药科技成果示范园项目</v>
      </c>
      <c r="R3453" s="30" t="str">
        <f>_xlfn._xlws.FILTER(辅助信息!D:D,辅助信息!E:E=B3453)</f>
        <v>商投建工达州中医药科技园</v>
      </c>
    </row>
    <row r="3454" hidden="1" spans="2:18">
      <c r="B3454" s="41" t="s">
        <v>163</v>
      </c>
      <c r="C3454" s="71">
        <v>45915</v>
      </c>
      <c r="D3454" s="41" t="str">
        <f>VLOOKUP(B3454,辅助信息!E:K,7,FALSE)</f>
        <v>JWDDCD2025052800131</v>
      </c>
      <c r="E3454" s="41" t="str">
        <f>VLOOKUP(F3454,辅助信息!A:B,2,FALSE)</f>
        <v>螺纹钢</v>
      </c>
      <c r="F3454" s="41" t="s">
        <v>21</v>
      </c>
      <c r="G3454" s="37">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1" t="str">
        <f>VLOOKUP(B3454,辅助信息!E:I,3,FALSE)</f>
        <v>（商投建工达州中医药科技园-4工区-9号楼）达州市通川区达州中医药职业学院犀牛大道北段</v>
      </c>
      <c r="J3454" s="41" t="str">
        <f>VLOOKUP(B3454,辅助信息!E:I,4,FALSE)</f>
        <v>张扬</v>
      </c>
      <c r="K3454" s="41">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41</v>
      </c>
      <c r="Q3454" s="30" t="str">
        <f>VLOOKUP(B3454,辅助信息!E:M,9,FALSE)</f>
        <v>ZTWM-CDGS-XS-2024-0134-商投建工达州中医药科技成果示范园项目</v>
      </c>
      <c r="R3454" s="30" t="str">
        <f>_xlfn._xlws.FILTER(辅助信息!D:D,辅助信息!E:E=B3454)</f>
        <v>商投建工达州中医药科技园</v>
      </c>
    </row>
    <row r="3455" hidden="1" spans="2:18">
      <c r="B3455" s="41" t="s">
        <v>163</v>
      </c>
      <c r="C3455" s="71">
        <v>45915</v>
      </c>
      <c r="D3455" s="41" t="str">
        <f>VLOOKUP(B3455,辅助信息!E:K,7,FALSE)</f>
        <v>JWDDCD2025052800131</v>
      </c>
      <c r="E3455" s="41" t="str">
        <f>VLOOKUP(F3455,辅助信息!A:B,2,FALSE)</f>
        <v>螺纹钢</v>
      </c>
      <c r="F3455" s="41" t="s">
        <v>58</v>
      </c>
      <c r="G3455" s="37">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1" t="str">
        <f>VLOOKUP(B3455,辅助信息!E:I,3,FALSE)</f>
        <v>（商投建工达州中医药科技园-4工区-9号楼）达州市通川区达州中医药职业学院犀牛大道北段</v>
      </c>
      <c r="J3455" s="41" t="str">
        <f>VLOOKUP(B3455,辅助信息!E:I,4,FALSE)</f>
        <v>张扬</v>
      </c>
      <c r="K3455" s="41">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41</v>
      </c>
      <c r="Q3455" s="30" t="str">
        <f>VLOOKUP(B3455,辅助信息!E:M,9,FALSE)</f>
        <v>ZTWM-CDGS-XS-2024-0134-商投建工达州中医药科技成果示范园项目</v>
      </c>
      <c r="R3455" s="30" t="str">
        <f>_xlfn._xlws.FILTER(辅助信息!D:D,辅助信息!E:E=B3455)</f>
        <v>商投建工达州中医药科技园</v>
      </c>
    </row>
    <row r="3456" hidden="1" spans="2:18">
      <c r="B3456" s="41" t="s">
        <v>192</v>
      </c>
      <c r="C3456" s="71">
        <v>45915</v>
      </c>
      <c r="D3456" s="41" t="str">
        <f>VLOOKUP(B3456,辅助信息!E:K,7,FALSE)</f>
        <v>JWDDCD2025102100475</v>
      </c>
      <c r="E3456" s="41" t="str">
        <f>VLOOKUP(F3456,辅助信息!A:B,2,FALSE)</f>
        <v>盘螺</v>
      </c>
      <c r="F3456" s="41" t="s">
        <v>26</v>
      </c>
      <c r="G3456" s="37">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1" t="str">
        <f>VLOOKUP(B3456,辅助信息!E:I,3,FALSE)</f>
        <v>(五冶建设成都国际铁路港多式联项目)四川省成都市青白江区桂平大道成都中远海运陆港多式联运有限公司</v>
      </c>
      <c r="J3456" s="41" t="str">
        <f>VLOOKUP(B3456,辅助信息!E:I,4,FALSE)</f>
        <v>黄勇杰</v>
      </c>
      <c r="K3456" s="41">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30" t="str">
        <f>VLOOKUP(B3456,辅助信息!E:M,9,FALSE)</f>
        <v>ZTWM-CDGS-XS-2025-0073-五冶天府-成都怡心湖片区及龙泉驿医院等项目</v>
      </c>
      <c r="R3456" s="30" t="str">
        <f>_xlfn._xlws.FILTER(辅助信息!D:D,辅助信息!E:E=B3456)</f>
        <v>五冶建设成都国际铁路港多式联项目</v>
      </c>
    </row>
    <row r="3457" hidden="1" spans="2:18">
      <c r="B3457" s="41" t="s">
        <v>192</v>
      </c>
      <c r="C3457" s="71">
        <v>45915</v>
      </c>
      <c r="D3457" s="41" t="str">
        <f>VLOOKUP(B3457,辅助信息!E:K,7,FALSE)</f>
        <v>JWDDCD2025102100475</v>
      </c>
      <c r="E3457" s="41" t="str">
        <f>VLOOKUP(F3457,辅助信息!A:B,2,FALSE)</f>
        <v>螺纹钢</v>
      </c>
      <c r="F3457" s="41" t="s">
        <v>32</v>
      </c>
      <c r="G3457" s="37">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1" t="str">
        <f>VLOOKUP(B3457,辅助信息!E:I,3,FALSE)</f>
        <v>(五冶建设成都国际铁路港多式联项目)四川省成都市青白江区桂平大道成都中远海运陆港多式联运有限公司</v>
      </c>
      <c r="J3457" s="41" t="str">
        <f>VLOOKUP(B3457,辅助信息!E:I,4,FALSE)</f>
        <v>黄勇杰</v>
      </c>
      <c r="K3457" s="41">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30" t="str">
        <f>VLOOKUP(B3457,辅助信息!E:M,9,FALSE)</f>
        <v>ZTWM-CDGS-XS-2025-0073-五冶天府-成都怡心湖片区及龙泉驿医院等项目</v>
      </c>
      <c r="R3457" s="30" t="str">
        <f>_xlfn._xlws.FILTER(辅助信息!D:D,辅助信息!E:E=B3457)</f>
        <v>五冶建设成都国际铁路港多式联项目</v>
      </c>
    </row>
    <row r="3458" hidden="1" spans="2:18">
      <c r="B3458" s="41" t="s">
        <v>192</v>
      </c>
      <c r="C3458" s="71">
        <v>45915</v>
      </c>
      <c r="D3458" s="41" t="str">
        <f>VLOOKUP(B3458,辅助信息!E:K,7,FALSE)</f>
        <v>JWDDCD2025102100475</v>
      </c>
      <c r="E3458" s="41" t="str">
        <f>VLOOKUP(F3458,辅助信息!A:B,2,FALSE)</f>
        <v>螺纹钢</v>
      </c>
      <c r="F3458" s="41" t="s">
        <v>30</v>
      </c>
      <c r="G3458" s="37">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1" t="str">
        <f>VLOOKUP(B3458,辅助信息!E:I,3,FALSE)</f>
        <v>(五冶建设成都国际铁路港多式联项目)四川省成都市青白江区桂平大道成都中远海运陆港多式联运有限公司</v>
      </c>
      <c r="J3458" s="41" t="str">
        <f>VLOOKUP(B3458,辅助信息!E:I,4,FALSE)</f>
        <v>黄勇杰</v>
      </c>
      <c r="K3458" s="41">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30" t="str">
        <f>VLOOKUP(B3458,辅助信息!E:M,9,FALSE)</f>
        <v>ZTWM-CDGS-XS-2025-0073-五冶天府-成都怡心湖片区及龙泉驿医院等项目</v>
      </c>
      <c r="R3458" s="30" t="str">
        <f>_xlfn._xlws.FILTER(辅助信息!D:D,辅助信息!E:E=B3458)</f>
        <v>五冶建设成都国际铁路港多式联项目</v>
      </c>
    </row>
    <row r="3459" hidden="1" spans="2:18">
      <c r="B3459" s="41" t="s">
        <v>192</v>
      </c>
      <c r="C3459" s="71">
        <v>45915</v>
      </c>
      <c r="D3459" s="41" t="str">
        <f>VLOOKUP(B3459,辅助信息!E:K,7,FALSE)</f>
        <v>JWDDCD2025102100475</v>
      </c>
      <c r="E3459" s="41" t="str">
        <f>VLOOKUP(F3459,辅助信息!A:B,2,FALSE)</f>
        <v>螺纹钢</v>
      </c>
      <c r="F3459" s="41" t="s">
        <v>33</v>
      </c>
      <c r="G3459" s="37">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1" t="str">
        <f>VLOOKUP(B3459,辅助信息!E:I,3,FALSE)</f>
        <v>(五冶建设成都国际铁路港多式联项目)四川省成都市青白江区桂平大道成都中远海运陆港多式联运有限公司</v>
      </c>
      <c r="J3459" s="41" t="str">
        <f>VLOOKUP(B3459,辅助信息!E:I,4,FALSE)</f>
        <v>黄勇杰</v>
      </c>
      <c r="K3459" s="41">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30" t="str">
        <f>VLOOKUP(B3459,辅助信息!E:M,9,FALSE)</f>
        <v>ZTWM-CDGS-XS-2025-0073-五冶天府-成都怡心湖片区及龙泉驿医院等项目</v>
      </c>
      <c r="R3459" s="30" t="str">
        <f>_xlfn._xlws.FILTER(辅助信息!D:D,辅助信息!E:E=B3459)</f>
        <v>五冶建设成都国际铁路港多式联项目</v>
      </c>
    </row>
    <row r="3460" hidden="1" spans="2:18">
      <c r="B3460" s="41" t="s">
        <v>192</v>
      </c>
      <c r="C3460" s="71">
        <v>45915</v>
      </c>
      <c r="D3460" s="41" t="str">
        <f>VLOOKUP(B3460,辅助信息!E:K,7,FALSE)</f>
        <v>JWDDCD2025102100475</v>
      </c>
      <c r="E3460" s="41" t="str">
        <f>VLOOKUP(F3460,辅助信息!A:B,2,FALSE)</f>
        <v>螺纹钢</v>
      </c>
      <c r="F3460" s="41" t="s">
        <v>28</v>
      </c>
      <c r="G3460" s="37">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1" t="str">
        <f>VLOOKUP(B3460,辅助信息!E:I,3,FALSE)</f>
        <v>(五冶建设成都国际铁路港多式联项目)四川省成都市青白江区桂平大道成都中远海运陆港多式联运有限公司</v>
      </c>
      <c r="J3460" s="41" t="str">
        <f>VLOOKUP(B3460,辅助信息!E:I,4,FALSE)</f>
        <v>黄勇杰</v>
      </c>
      <c r="K3460" s="41">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30" t="str">
        <f>VLOOKUP(B3460,辅助信息!E:M,9,FALSE)</f>
        <v>ZTWM-CDGS-XS-2025-0073-五冶天府-成都怡心湖片区及龙泉驿医院等项目</v>
      </c>
      <c r="R3460" s="30"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30" t="str">
        <f>VLOOKUP(B3461,辅助信息!E:M,9,FALSE)</f>
        <v>ZTWM-CDGS-XS-2024-0134-商投建工达州中医药科技成果示范园项目</v>
      </c>
      <c r="R3461" s="30"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30" t="str">
        <f>VLOOKUP(B3462,辅助信息!E:M,9,FALSE)</f>
        <v>ZTWM-CDGS-XS-2024-0134-商投建工达州中医药科技成果示范园项目</v>
      </c>
      <c r="R3462" s="30"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30" t="str">
        <f>VLOOKUP(B3463,辅助信息!E:M,9,FALSE)</f>
        <v>ZTWM-CDGS-XS-2024-0134-商投建工达州中医药科技成果示范园项目</v>
      </c>
      <c r="R3463" s="30"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30" t="str">
        <f>VLOOKUP(B3464,辅助信息!E:M,9,FALSE)</f>
        <v>ZTWM-CDGS-XS-2024-0134-商投建工达州中医药科技成果示范园项目</v>
      </c>
      <c r="R3464" s="30"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30" t="str">
        <f>VLOOKUP(B3465,辅助信息!E:M,9,FALSE)</f>
        <v>ZTWM-CDGS-XS-2024-0134-商投建工达州中医药科技成果示范园项目</v>
      </c>
      <c r="R3465" s="30"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30" t="str">
        <f>VLOOKUP(B3466,辅助信息!E:M,9,FALSE)</f>
        <v>ZTWM-CDGS-XS-2024-0134-商投建工达州中医药科技成果示范园项目</v>
      </c>
      <c r="R3466" s="30"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42</v>
      </c>
      <c r="Q3467" s="30" t="str">
        <f>VLOOKUP(B3467,辅助信息!E:M,9,FALSE)</f>
        <v>ZTWM-CDGS-XS-2025-0073-五冶天府-成都怡心湖片区及龙泉驿医院等项目</v>
      </c>
      <c r="R3467" s="30"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42</v>
      </c>
      <c r="Q3468" s="30" t="str">
        <f>VLOOKUP(B3468,辅助信息!E:M,9,FALSE)</f>
        <v>ZTWM-CDGS-XS-2025-0073-五冶天府-成都怡心湖片区及龙泉驿医院等项目</v>
      </c>
      <c r="R3468" s="30"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42</v>
      </c>
      <c r="Q3469" s="30" t="str">
        <f>VLOOKUP(B3469,辅助信息!E:M,9,FALSE)</f>
        <v>ZTWM-CDGS-XS-2025-0073-五冶天府-成都怡心湖片区及龙泉驿医院等项目</v>
      </c>
      <c r="R3469" s="30"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41</v>
      </c>
      <c r="Q3470" s="30" t="str">
        <f>VLOOKUP(B3470,辅助信息!E:M,9,FALSE)</f>
        <v>ZTWM-CDGS-XS-2024-0134-商投建工达州中医药科技成果示范园项目</v>
      </c>
      <c r="R3470" s="30"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41</v>
      </c>
      <c r="Q3471" s="30" t="str">
        <f>VLOOKUP(B3471,辅助信息!E:M,9,FALSE)</f>
        <v>ZTWM-CDGS-XS-2024-0134-商投建工达州中医药科技成果示范园项目</v>
      </c>
      <c r="R3471" s="30"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41</v>
      </c>
      <c r="Q3472" s="30" t="str">
        <f>VLOOKUP(B3472,辅助信息!E:M,9,FALSE)</f>
        <v>ZTWM-CDGS-XS-2024-0134-商投建工达州中医药科技成果示范园项目</v>
      </c>
      <c r="R3472" s="30"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41</v>
      </c>
      <c r="Q3473" s="30" t="str">
        <f>VLOOKUP(B3473,辅助信息!E:M,9,FALSE)</f>
        <v>ZTWM-CDGS-XS-2024-0134-商投建工达州中医药科技成果示范园项目</v>
      </c>
      <c r="R3473" s="30"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41</v>
      </c>
      <c r="Q3474" s="30" t="str">
        <f>VLOOKUP(B3474,辅助信息!E:M,9,FALSE)</f>
        <v>ZTWM-CDGS-XS-2024-0134-商投建工达州中医药科技成果示范园项目</v>
      </c>
      <c r="R3474" s="30"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41</v>
      </c>
      <c r="Q3475" s="30" t="str">
        <f>VLOOKUP(B3475,辅助信息!E:M,9,FALSE)</f>
        <v>ZTWM-CDGS-XS-2024-0134-商投建工达州中医药科技成果示范园项目</v>
      </c>
      <c r="R3475" s="30" t="str">
        <f>_xlfn._xlws.FILTER(辅助信息!D:D,辅助信息!E:E=B3475)</f>
        <v>商投建工达州中医药科技园</v>
      </c>
    </row>
    <row r="3476" hidden="1" spans="2:18">
      <c r="B3476" s="41" t="s">
        <v>176</v>
      </c>
      <c r="C3476" s="71">
        <v>45918</v>
      </c>
      <c r="D3476" s="41" t="str">
        <f>VLOOKUP(B3476,辅助信息!E:K,7,FALSE)</f>
        <v>JWDDCD2025062200016</v>
      </c>
      <c r="E3476" s="41" t="str">
        <f>VLOOKUP(F3476,辅助信息!A:B,2,FALSE)</f>
        <v>盘螺</v>
      </c>
      <c r="F3476" s="41" t="s">
        <v>40</v>
      </c>
      <c r="G3476" s="37">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1" t="str">
        <f>VLOOKUP(B3476,辅助信息!E:I,3,FALSE)</f>
        <v>(武汉电气化局成达万高铁强电项目-渠县)四川省达州市渠县渠北镇雷家湾渠县北站旁</v>
      </c>
      <c r="J3476" s="41" t="str">
        <f>VLOOKUP(B3476,辅助信息!E:I,4,FALSE)</f>
        <v>刘频</v>
      </c>
      <c r="K3476" s="41">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30" t="str">
        <f>VLOOKUP(B3476,辅助信息!E:M,9,FALSE)</f>
        <v>ZTWM-CDGS-XS-2025-0033-中铁武汉电气化局集团有限公司成达万高速铁路强电工程项目</v>
      </c>
      <c r="R3476" s="30" t="str">
        <f>_xlfn._xlws.FILTER(辅助信息!D:D,辅助信息!E:E=B3476)</f>
        <v>武汉电气化局成达万高铁强电项目</v>
      </c>
    </row>
    <row r="3477" hidden="1" spans="2:18">
      <c r="B3477" s="41" t="s">
        <v>176</v>
      </c>
      <c r="C3477" s="71">
        <v>45918</v>
      </c>
      <c r="D3477" s="41" t="str">
        <f>VLOOKUP(B3477,辅助信息!E:K,7,FALSE)</f>
        <v>JWDDCD2025062200016</v>
      </c>
      <c r="E3477" s="41" t="str">
        <f>VLOOKUP(F3477,辅助信息!A:B,2,FALSE)</f>
        <v>螺纹钢</v>
      </c>
      <c r="F3477" s="41" t="s">
        <v>30</v>
      </c>
      <c r="G3477" s="37">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1" t="str">
        <f>VLOOKUP(B3477,辅助信息!E:I,3,FALSE)</f>
        <v>(武汉电气化局成达万高铁强电项目-渠县)四川省达州市渠县渠北镇雷家湾渠县北站旁</v>
      </c>
      <c r="J3477" s="41" t="str">
        <f>VLOOKUP(B3477,辅助信息!E:I,4,FALSE)</f>
        <v>刘频</v>
      </c>
      <c r="K3477" s="41">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30" t="str">
        <f>VLOOKUP(B3477,辅助信息!E:M,9,FALSE)</f>
        <v>ZTWM-CDGS-XS-2025-0033-中铁武汉电气化局集团有限公司成达万高速铁路强电工程项目</v>
      </c>
      <c r="R3477" s="30" t="str">
        <f>_xlfn._xlws.FILTER(辅助信息!D:D,辅助信息!E:E=B3477)</f>
        <v>武汉电气化局成达万高铁强电项目</v>
      </c>
    </row>
    <row r="3478" hidden="1" spans="2:18">
      <c r="B3478" s="41" t="s">
        <v>176</v>
      </c>
      <c r="C3478" s="71">
        <v>45918</v>
      </c>
      <c r="D3478" s="41" t="str">
        <f>VLOOKUP(B3478,辅助信息!E:K,7,FALSE)</f>
        <v>JWDDCD2025062200016</v>
      </c>
      <c r="E3478" s="41" t="str">
        <f>VLOOKUP(F3478,辅助信息!A:B,2,FALSE)</f>
        <v>螺纹钢</v>
      </c>
      <c r="F3478" s="41" t="s">
        <v>90</v>
      </c>
      <c r="G3478" s="37">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1" t="str">
        <f>VLOOKUP(B3478,辅助信息!E:I,3,FALSE)</f>
        <v>(武汉电气化局成达万高铁强电项目-渠县)四川省达州市渠县渠北镇雷家湾渠县北站旁</v>
      </c>
      <c r="J3478" s="41" t="str">
        <f>VLOOKUP(B3478,辅助信息!E:I,4,FALSE)</f>
        <v>刘频</v>
      </c>
      <c r="K3478" s="41">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30" t="str">
        <f>VLOOKUP(B3478,辅助信息!E:M,9,FALSE)</f>
        <v>ZTWM-CDGS-XS-2025-0033-中铁武汉电气化局集团有限公司成达万高速铁路强电工程项目</v>
      </c>
      <c r="R3478" s="30" t="str">
        <f>_xlfn._xlws.FILTER(辅助信息!D:D,辅助信息!E:E=B3478)</f>
        <v>武汉电气化局成达万高铁强电项目</v>
      </c>
    </row>
    <row r="3479" hidden="1" spans="2:18">
      <c r="B3479" s="41" t="s">
        <v>176</v>
      </c>
      <c r="C3479" s="71">
        <v>45918</v>
      </c>
      <c r="D3479" s="41" t="str">
        <f>VLOOKUP(B3479,辅助信息!E:K,7,FALSE)</f>
        <v>JWDDCD2025062200016</v>
      </c>
      <c r="E3479" s="41" t="str">
        <f>VLOOKUP(F3479,辅助信息!A:B,2,FALSE)</f>
        <v>螺纹钢</v>
      </c>
      <c r="F3479" s="41" t="s">
        <v>133</v>
      </c>
      <c r="G3479" s="37">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1" t="str">
        <f>VLOOKUP(B3479,辅助信息!E:I,3,FALSE)</f>
        <v>(武汉电气化局成达万高铁强电项目-渠县)四川省达州市渠县渠北镇雷家湾渠县北站旁</v>
      </c>
      <c r="J3479" s="41" t="str">
        <f>VLOOKUP(B3479,辅助信息!E:I,4,FALSE)</f>
        <v>刘频</v>
      </c>
      <c r="K3479" s="41">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30" t="str">
        <f>VLOOKUP(B3479,辅助信息!E:M,9,FALSE)</f>
        <v>ZTWM-CDGS-XS-2025-0033-中铁武汉电气化局集团有限公司成达万高速铁路强电工程项目</v>
      </c>
      <c r="R3479" s="30" t="str">
        <f>_xlfn._xlws.FILTER(辅助信息!D:D,辅助信息!E:E=B3479)</f>
        <v>武汉电气化局成达万高铁强电项目</v>
      </c>
    </row>
    <row r="3480" hidden="1" spans="2:18">
      <c r="B3480" s="41" t="s">
        <v>112</v>
      </c>
      <c r="C3480" s="71">
        <v>45918</v>
      </c>
      <c r="D3480" s="41" t="str">
        <f>VLOOKUP(B3480,辅助信息!E:K,7,FALSE)</f>
        <v>JWDDCD2025052800131</v>
      </c>
      <c r="E3480" s="41" t="str">
        <f>VLOOKUP(F3480,辅助信息!A:B,2,FALSE)</f>
        <v>盘螺</v>
      </c>
      <c r="F3480" s="121" t="s">
        <v>40</v>
      </c>
      <c r="G3480" s="37">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1" t="str">
        <f>VLOOKUP(B3480,辅助信息!E:I,3,FALSE)</f>
        <v>（商投建工达州中医药科技园-4工区-10号楼）达州市通川区达州中医药职业学院犀牛大道北段</v>
      </c>
      <c r="J3480" s="41" t="str">
        <f>VLOOKUP(B3480,辅助信息!E:I,4,FALSE)</f>
        <v>张扬</v>
      </c>
      <c r="K3480" s="41">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40</v>
      </c>
      <c r="Q3480" s="30" t="str">
        <f>VLOOKUP(B3480,辅助信息!E:M,9,FALSE)</f>
        <v>ZTWM-CDGS-XS-2024-0134-商投建工达州中医药科技成果示范园项目</v>
      </c>
      <c r="R3480" s="30" t="str">
        <f>_xlfn._xlws.FILTER(辅助信息!D:D,辅助信息!E:E=B3480)</f>
        <v>商投建工达州中医药科技园</v>
      </c>
    </row>
    <row r="3481" hidden="1" spans="2:18">
      <c r="B3481" s="41" t="s">
        <v>112</v>
      </c>
      <c r="C3481" s="71">
        <v>45918</v>
      </c>
      <c r="D3481" s="41" t="str">
        <f>VLOOKUP(B3481,辅助信息!E:K,7,FALSE)</f>
        <v>JWDDCD2025052800131</v>
      </c>
      <c r="E3481" s="41" t="str">
        <f>VLOOKUP(F3481,辅助信息!A:B,2,FALSE)</f>
        <v>盘螺</v>
      </c>
      <c r="F3481" s="41" t="s">
        <v>41</v>
      </c>
      <c r="G3481" s="37">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1" t="str">
        <f>VLOOKUP(B3481,辅助信息!E:I,3,FALSE)</f>
        <v>（商投建工达州中医药科技园-4工区-10号楼）达州市通川区达州中医药职业学院犀牛大道北段</v>
      </c>
      <c r="J3481" s="41" t="str">
        <f>VLOOKUP(B3481,辅助信息!E:I,4,FALSE)</f>
        <v>张扬</v>
      </c>
      <c r="K3481" s="41">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40</v>
      </c>
      <c r="Q3481" s="30" t="str">
        <f>VLOOKUP(B3481,辅助信息!E:M,9,FALSE)</f>
        <v>ZTWM-CDGS-XS-2024-0134-商投建工达州中医药科技成果示范园项目</v>
      </c>
      <c r="R3481" s="30" t="str">
        <f>_xlfn._xlws.FILTER(辅助信息!D:D,辅助信息!E:E=B3481)</f>
        <v>商投建工达州中医药科技园</v>
      </c>
    </row>
    <row r="3482" hidden="1" spans="2:18">
      <c r="B3482" s="41" t="s">
        <v>194</v>
      </c>
      <c r="C3482" s="71">
        <v>45918</v>
      </c>
      <c r="D3482" s="41" t="str">
        <f>VLOOKUP(B3482,辅助信息!E:K,7,FALSE)</f>
        <v>JWDD2025071500089</v>
      </c>
      <c r="E3482" s="41" t="str">
        <f>VLOOKUP(F3482,辅助信息!A:B,2,FALSE)</f>
        <v>盘螺</v>
      </c>
      <c r="F3482" s="41" t="s">
        <v>40</v>
      </c>
      <c r="G3482" s="37">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1" t="str">
        <f>VLOOKUP(B3482,辅助信息!E:I,3,FALSE)</f>
        <v>(宜宾兴港三江新区长江工业园保障性租赁住房建设项目-土建)四川省宜宾市翠屏区永善路南段宜宾市三江新区长江工业园区</v>
      </c>
      <c r="J3482" s="41" t="str">
        <f>VLOOKUP(B3482,辅助信息!E:I,4,FALSE)</f>
        <v>赵元虎</v>
      </c>
      <c r="K3482" s="41">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41</v>
      </c>
      <c r="Q3482" s="30" t="str">
        <f>VLOOKUP(B3482,辅助信息!E:M,9,FALSE)</f>
        <v>ZTWM-CDYXGS-XS-2025-0014-宜宾兴港建材-三江新区长江工业园片区保障性租赁住房建设项目</v>
      </c>
      <c r="R3482" s="30" t="str">
        <f>_xlfn._xlws.FILTER(辅助信息!D:D,辅助信息!E:E=B3482)</f>
        <v>宜宾兴港三江新区长江工业园建设项目</v>
      </c>
    </row>
    <row r="3483" hidden="1" spans="2:18">
      <c r="B3483" s="41" t="s">
        <v>194</v>
      </c>
      <c r="C3483" s="71">
        <v>45918</v>
      </c>
      <c r="D3483" s="41" t="str">
        <f>VLOOKUP(B3483,辅助信息!E:K,7,FALSE)</f>
        <v>JWDD2025071500089</v>
      </c>
      <c r="E3483" s="41" t="str">
        <f>VLOOKUP(F3483,辅助信息!A:B,2,FALSE)</f>
        <v>盘螺</v>
      </c>
      <c r="F3483" s="41" t="s">
        <v>41</v>
      </c>
      <c r="G3483" s="37">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1" t="str">
        <f>VLOOKUP(B3483,辅助信息!E:I,3,FALSE)</f>
        <v>(宜宾兴港三江新区长江工业园保障性租赁住房建设项目-土建)四川省宜宾市翠屏区永善路南段宜宾市三江新区长江工业园区</v>
      </c>
      <c r="J3483" s="41" t="str">
        <f>VLOOKUP(B3483,辅助信息!E:I,4,FALSE)</f>
        <v>赵元虎</v>
      </c>
      <c r="K3483" s="41">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41</v>
      </c>
      <c r="Q3483" s="30" t="str">
        <f>VLOOKUP(B3483,辅助信息!E:M,9,FALSE)</f>
        <v>ZTWM-CDYXGS-XS-2025-0014-宜宾兴港建材-三江新区长江工业园片区保障性租赁住房建设项目</v>
      </c>
      <c r="R3483" s="30" t="str">
        <f>_xlfn._xlws.FILTER(辅助信息!D:D,辅助信息!E:E=B3483)</f>
        <v>宜宾兴港三江新区长江工业园建设项目</v>
      </c>
    </row>
    <row r="3484" hidden="1" spans="2:18">
      <c r="B3484" s="41" t="s">
        <v>194</v>
      </c>
      <c r="C3484" s="71">
        <v>45918</v>
      </c>
      <c r="D3484" s="41" t="str">
        <f>VLOOKUP(B3484,辅助信息!E:K,7,FALSE)</f>
        <v>JWDD2025071500089</v>
      </c>
      <c r="E3484" s="41" t="str">
        <f>VLOOKUP(F3484,辅助信息!A:B,2,FALSE)</f>
        <v>盘螺</v>
      </c>
      <c r="F3484" s="41" t="s">
        <v>26</v>
      </c>
      <c r="G3484" s="37">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1" t="str">
        <f>VLOOKUP(B3484,辅助信息!E:I,3,FALSE)</f>
        <v>(宜宾兴港三江新区长江工业园保障性租赁住房建设项目-土建)四川省宜宾市翠屏区永善路南段宜宾市三江新区长江工业园区</v>
      </c>
      <c r="J3484" s="41" t="str">
        <f>VLOOKUP(B3484,辅助信息!E:I,4,FALSE)</f>
        <v>赵元虎</v>
      </c>
      <c r="K3484" s="41">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41</v>
      </c>
      <c r="Q3484" s="30" t="str">
        <f>VLOOKUP(B3484,辅助信息!E:M,9,FALSE)</f>
        <v>ZTWM-CDYXGS-XS-2025-0014-宜宾兴港建材-三江新区长江工业园片区保障性租赁住房建设项目</v>
      </c>
      <c r="R3484" s="30" t="str">
        <f>_xlfn._xlws.FILTER(辅助信息!D:D,辅助信息!E:E=B3484)</f>
        <v>宜宾兴港三江新区长江工业园建设项目</v>
      </c>
    </row>
    <row r="3485" hidden="1" spans="2:18">
      <c r="B3485" s="41" t="s">
        <v>194</v>
      </c>
      <c r="C3485" s="71">
        <v>45918</v>
      </c>
      <c r="D3485" s="41" t="str">
        <f>VLOOKUP(B3485,辅助信息!E:K,7,FALSE)</f>
        <v>JWDD2025071500089</v>
      </c>
      <c r="E3485" s="41" t="str">
        <f>VLOOKUP(F3485,辅助信息!A:B,2,FALSE)</f>
        <v>螺纹钢</v>
      </c>
      <c r="F3485" s="41" t="s">
        <v>19</v>
      </c>
      <c r="G3485" s="37">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1" t="str">
        <f>VLOOKUP(B3485,辅助信息!E:I,3,FALSE)</f>
        <v>(宜宾兴港三江新区长江工业园保障性租赁住房建设项目-土建)四川省宜宾市翠屏区永善路南段宜宾市三江新区长江工业园区</v>
      </c>
      <c r="J3485" s="41" t="str">
        <f>VLOOKUP(B3485,辅助信息!E:I,4,FALSE)</f>
        <v>赵元虎</v>
      </c>
      <c r="K3485" s="41">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41</v>
      </c>
      <c r="Q3485" s="30" t="str">
        <f>VLOOKUP(B3485,辅助信息!E:M,9,FALSE)</f>
        <v>ZTWM-CDYXGS-XS-2025-0014-宜宾兴港建材-三江新区长江工业园片区保障性租赁住房建设项目</v>
      </c>
      <c r="R3485" s="30" t="str">
        <f>_xlfn._xlws.FILTER(辅助信息!D:D,辅助信息!E:E=B3485)</f>
        <v>宜宾兴港三江新区长江工业园建设项目</v>
      </c>
    </row>
    <row r="3486" hidden="1" spans="2:18">
      <c r="B3486" s="41" t="s">
        <v>194</v>
      </c>
      <c r="C3486" s="71">
        <v>45918</v>
      </c>
      <c r="D3486" s="41" t="str">
        <f>VLOOKUP(B3486,辅助信息!E:K,7,FALSE)</f>
        <v>JWDD2025071500089</v>
      </c>
      <c r="E3486" s="41" t="str">
        <f>VLOOKUP(F3486,辅助信息!A:B,2,FALSE)</f>
        <v>螺纹钢</v>
      </c>
      <c r="F3486" s="41" t="s">
        <v>33</v>
      </c>
      <c r="G3486" s="37">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1" t="str">
        <f>VLOOKUP(B3486,辅助信息!E:I,3,FALSE)</f>
        <v>(宜宾兴港三江新区长江工业园保障性租赁住房建设项目-土建)四川省宜宾市翠屏区永善路南段宜宾市三江新区长江工业园区</v>
      </c>
      <c r="J3486" s="41" t="str">
        <f>VLOOKUP(B3486,辅助信息!E:I,4,FALSE)</f>
        <v>赵元虎</v>
      </c>
      <c r="K3486" s="41">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41</v>
      </c>
      <c r="Q3486" s="30" t="str">
        <f>VLOOKUP(B3486,辅助信息!E:M,9,FALSE)</f>
        <v>ZTWM-CDYXGS-XS-2025-0014-宜宾兴港建材-三江新区长江工业园片区保障性租赁住房建设项目</v>
      </c>
      <c r="R3486" s="30" t="str">
        <f>_xlfn._xlws.FILTER(辅助信息!D:D,辅助信息!E:E=B3486)</f>
        <v>宜宾兴港三江新区长江工业园建设项目</v>
      </c>
    </row>
    <row r="3487" hidden="1" spans="2:18">
      <c r="B3487" s="41" t="s">
        <v>194</v>
      </c>
      <c r="C3487" s="71">
        <v>45918</v>
      </c>
      <c r="D3487" s="41" t="str">
        <f>VLOOKUP(B3487,辅助信息!E:K,7,FALSE)</f>
        <v>JWDD2025071500089</v>
      </c>
      <c r="E3487" s="41" t="str">
        <f>VLOOKUP(F3487,辅助信息!A:B,2,FALSE)</f>
        <v>螺纹钢</v>
      </c>
      <c r="F3487" s="41" t="s">
        <v>28</v>
      </c>
      <c r="G3487" s="37">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1" t="str">
        <f>VLOOKUP(B3487,辅助信息!E:I,3,FALSE)</f>
        <v>(宜宾兴港三江新区长江工业园保障性租赁住房建设项目-土建)四川省宜宾市翠屏区永善路南段宜宾市三江新区长江工业园区</v>
      </c>
      <c r="J3487" s="41" t="str">
        <f>VLOOKUP(B3487,辅助信息!E:I,4,FALSE)</f>
        <v>赵元虎</v>
      </c>
      <c r="K3487" s="41">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41</v>
      </c>
      <c r="Q3487" s="30" t="str">
        <f>VLOOKUP(B3487,辅助信息!E:M,9,FALSE)</f>
        <v>ZTWM-CDYXGS-XS-2025-0014-宜宾兴港建材-三江新区长江工业园片区保障性租赁住房建设项目</v>
      </c>
      <c r="R3487" s="30" t="str">
        <f>_xlfn._xlws.FILTER(辅助信息!D:D,辅助信息!E:E=B3487)</f>
        <v>宜宾兴港三江新区长江工业园建设项目</v>
      </c>
    </row>
    <row r="3488" hidden="1" spans="2:18">
      <c r="B3488" s="121" t="s">
        <v>163</v>
      </c>
      <c r="C3488" s="71">
        <v>45918</v>
      </c>
      <c r="D3488" s="41" t="str">
        <f>VLOOKUP(B3488,辅助信息!E:K,7,FALSE)</f>
        <v>JWDDCD2025052800131</v>
      </c>
      <c r="E3488" s="41" t="str">
        <f>VLOOKUP(F3488,辅助信息!A:B,2,FALSE)</f>
        <v>螺纹钢</v>
      </c>
      <c r="F3488" s="121" t="s">
        <v>21</v>
      </c>
      <c r="G3488" s="37">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1" t="str">
        <f>VLOOKUP(B3488,辅助信息!E:I,3,FALSE)</f>
        <v>（商投建工达州中医药科技园-4工区-9号楼）达州市通川区达州中医药职业学院犀牛大道北段</v>
      </c>
      <c r="J3488" s="41" t="str">
        <f>VLOOKUP(B3488,辅助信息!E:I,4,FALSE)</f>
        <v>张扬</v>
      </c>
      <c r="K3488" s="41">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40</v>
      </c>
      <c r="Q3488" s="30" t="str">
        <f>VLOOKUP(B3488,辅助信息!E:M,9,FALSE)</f>
        <v>ZTWM-CDGS-XS-2024-0134-商投建工达州中医药科技成果示范园项目</v>
      </c>
      <c r="R3488" s="30" t="str">
        <f>_xlfn._xlws.FILTER(辅助信息!D:D,辅助信息!E:E=B3488)</f>
        <v>商投建工达州中医药科技园</v>
      </c>
    </row>
    <row r="3489" hidden="1" spans="2:18">
      <c r="B3489" s="41" t="s">
        <v>167</v>
      </c>
      <c r="C3489" s="71">
        <v>45918</v>
      </c>
      <c r="D3489" s="41" t="str">
        <f>VLOOKUP(B3489,辅助信息!E:K,7,FALSE)</f>
        <v>JWDDCD2025102100473</v>
      </c>
      <c r="E3489" s="41" t="str">
        <f>VLOOKUP(F3489,辅助信息!A:B,2,FALSE)</f>
        <v>盘螺</v>
      </c>
      <c r="F3489" s="41" t="s">
        <v>49</v>
      </c>
      <c r="G3489" s="37">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1" t="str">
        <f>VLOOKUP(B3489,辅助信息!E:I,3,FALSE)</f>
        <v>(五冶建设扩建艺体中学二期工程)四川省成都市双流区光荣路成都艺体中学南200米</v>
      </c>
      <c r="J3489" s="41" t="str">
        <f>VLOOKUP(B3489,辅助信息!E:I,4,FALSE)</f>
        <v>谢序强</v>
      </c>
      <c r="K3489" s="41">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38</v>
      </c>
      <c r="Q3489" s="30" t="str">
        <f>VLOOKUP(B3489,辅助信息!E:M,9,FALSE)</f>
        <v>ZTWM-CDGS-XS-2025-0073-五冶天府-成都怡心湖片区及龙泉驿医院等项目</v>
      </c>
      <c r="R3489" s="30" t="str">
        <f>_xlfn._xlws.FILTER(辅助信息!D:D,辅助信息!E:E=B3489)</f>
        <v>五冶建设扩建艺体中学二期工程</v>
      </c>
    </row>
    <row r="3490" hidden="1" spans="2:18">
      <c r="B3490" s="41" t="s">
        <v>167</v>
      </c>
      <c r="C3490" s="71">
        <v>45918</v>
      </c>
      <c r="D3490" s="41" t="str">
        <f>VLOOKUP(B3490,辅助信息!E:K,7,FALSE)</f>
        <v>JWDDCD2025102100473</v>
      </c>
      <c r="E3490" s="41" t="str">
        <f>VLOOKUP(F3490,辅助信息!A:B,2,FALSE)</f>
        <v>盘螺</v>
      </c>
      <c r="F3490" s="41" t="s">
        <v>40</v>
      </c>
      <c r="G3490" s="37">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1" t="str">
        <f>VLOOKUP(B3490,辅助信息!E:I,3,FALSE)</f>
        <v>(五冶建设扩建艺体中学二期工程)四川省成都市双流区光荣路成都艺体中学南200米</v>
      </c>
      <c r="J3490" s="41" t="str">
        <f>VLOOKUP(B3490,辅助信息!E:I,4,FALSE)</f>
        <v>谢序强</v>
      </c>
      <c r="K3490" s="41">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38</v>
      </c>
      <c r="Q3490" s="30" t="str">
        <f>VLOOKUP(B3490,辅助信息!E:M,9,FALSE)</f>
        <v>ZTWM-CDGS-XS-2025-0073-五冶天府-成都怡心湖片区及龙泉驿医院等项目</v>
      </c>
      <c r="R3490" s="30" t="str">
        <f>_xlfn._xlws.FILTER(辅助信息!D:D,辅助信息!E:E=B3490)</f>
        <v>五冶建设扩建艺体中学二期工程</v>
      </c>
    </row>
    <row r="3491" hidden="1" spans="2:18">
      <c r="B3491" s="41" t="s">
        <v>167</v>
      </c>
      <c r="C3491" s="71">
        <v>45918</v>
      </c>
      <c r="D3491" s="41" t="str">
        <f>VLOOKUP(B3491,辅助信息!E:K,7,FALSE)</f>
        <v>JWDDCD2025102100473</v>
      </c>
      <c r="E3491" s="41" t="str">
        <f>VLOOKUP(F3491,辅助信息!A:B,2,FALSE)</f>
        <v>盘螺</v>
      </c>
      <c r="F3491" s="41" t="s">
        <v>41</v>
      </c>
      <c r="G3491" s="37">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1" t="str">
        <f>VLOOKUP(B3491,辅助信息!E:I,3,FALSE)</f>
        <v>(五冶建设扩建艺体中学二期工程)四川省成都市双流区光荣路成都艺体中学南200米</v>
      </c>
      <c r="J3491" s="41" t="str">
        <f>VLOOKUP(B3491,辅助信息!E:I,4,FALSE)</f>
        <v>谢序强</v>
      </c>
      <c r="K3491" s="41">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38</v>
      </c>
      <c r="Q3491" s="30" t="str">
        <f>VLOOKUP(B3491,辅助信息!E:M,9,FALSE)</f>
        <v>ZTWM-CDGS-XS-2025-0073-五冶天府-成都怡心湖片区及龙泉驿医院等项目</v>
      </c>
      <c r="R3491" s="30" t="str">
        <f>_xlfn._xlws.FILTER(辅助信息!D:D,辅助信息!E:E=B3491)</f>
        <v>五冶建设扩建艺体中学二期工程</v>
      </c>
    </row>
    <row r="3492" hidden="1" spans="2:18">
      <c r="B3492" s="41" t="s">
        <v>167</v>
      </c>
      <c r="C3492" s="71">
        <v>45918</v>
      </c>
      <c r="D3492" s="41" t="str">
        <f>VLOOKUP(B3492,辅助信息!E:K,7,FALSE)</f>
        <v>JWDDCD2025102100473</v>
      </c>
      <c r="E3492" s="41" t="str">
        <f>VLOOKUP(F3492,辅助信息!A:B,2,FALSE)</f>
        <v>螺纹钢</v>
      </c>
      <c r="F3492" s="41" t="s">
        <v>27</v>
      </c>
      <c r="G3492" s="37">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1" t="str">
        <f>VLOOKUP(B3492,辅助信息!E:I,3,FALSE)</f>
        <v>(五冶建设扩建艺体中学二期工程)四川省成都市双流区光荣路成都艺体中学南200米</v>
      </c>
      <c r="J3492" s="41" t="str">
        <f>VLOOKUP(B3492,辅助信息!E:I,4,FALSE)</f>
        <v>谢序强</v>
      </c>
      <c r="K3492" s="41">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38</v>
      </c>
      <c r="Q3492" s="30" t="str">
        <f>VLOOKUP(B3492,辅助信息!E:M,9,FALSE)</f>
        <v>ZTWM-CDGS-XS-2025-0073-五冶天府-成都怡心湖片区及龙泉驿医院等项目</v>
      </c>
      <c r="R3492" s="30" t="str">
        <f>_xlfn._xlws.FILTER(辅助信息!D:D,辅助信息!E:E=B3492)</f>
        <v>五冶建设扩建艺体中学二期工程</v>
      </c>
    </row>
    <row r="3493" hidden="1" spans="2:18">
      <c r="B3493" s="41" t="s">
        <v>167</v>
      </c>
      <c r="C3493" s="71">
        <v>45918</v>
      </c>
      <c r="D3493" s="41" t="str">
        <f>VLOOKUP(B3493,辅助信息!E:K,7,FALSE)</f>
        <v>JWDDCD2025102100473</v>
      </c>
      <c r="E3493" s="41" t="str">
        <f>VLOOKUP(F3493,辅助信息!A:B,2,FALSE)</f>
        <v>螺纹钢</v>
      </c>
      <c r="F3493" s="41" t="s">
        <v>66</v>
      </c>
      <c r="G3493" s="37">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1" t="str">
        <f>VLOOKUP(B3493,辅助信息!E:I,3,FALSE)</f>
        <v>(五冶建设扩建艺体中学二期工程)四川省成都市双流区光荣路成都艺体中学南200米</v>
      </c>
      <c r="J3493" s="41" t="str">
        <f>VLOOKUP(B3493,辅助信息!E:I,4,FALSE)</f>
        <v>谢序强</v>
      </c>
      <c r="K3493" s="41">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38</v>
      </c>
      <c r="Q3493" s="30" t="str">
        <f>VLOOKUP(B3493,辅助信息!E:M,9,FALSE)</f>
        <v>ZTWM-CDGS-XS-2025-0073-五冶天府-成都怡心湖片区及龙泉驿医院等项目</v>
      </c>
      <c r="R3493" s="30" t="str">
        <f>_xlfn._xlws.FILTER(辅助信息!D:D,辅助信息!E:E=B3493)</f>
        <v>五冶建设扩建艺体中学二期工程</v>
      </c>
    </row>
    <row r="3494" hidden="1" spans="2:18">
      <c r="B3494" s="41" t="s">
        <v>167</v>
      </c>
      <c r="C3494" s="71">
        <v>45918</v>
      </c>
      <c r="D3494" s="41" t="str">
        <f>VLOOKUP(B3494,辅助信息!E:K,7,FALSE)</f>
        <v>JWDDCD2025102100473</v>
      </c>
      <c r="E3494" s="41" t="str">
        <f>VLOOKUP(F3494,辅助信息!A:B,2,FALSE)</f>
        <v>螺纹钢</v>
      </c>
      <c r="F3494" s="41" t="s">
        <v>21</v>
      </c>
      <c r="G3494" s="37">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1" t="str">
        <f>VLOOKUP(B3494,辅助信息!E:I,3,FALSE)</f>
        <v>(五冶建设扩建艺体中学二期工程)四川省成都市双流区光荣路成都艺体中学南200米</v>
      </c>
      <c r="J3494" s="41" t="str">
        <f>VLOOKUP(B3494,辅助信息!E:I,4,FALSE)</f>
        <v>谢序强</v>
      </c>
      <c r="K3494" s="41">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38</v>
      </c>
      <c r="Q3494" s="30" t="str">
        <f>VLOOKUP(B3494,辅助信息!E:M,9,FALSE)</f>
        <v>ZTWM-CDGS-XS-2025-0073-五冶天府-成都怡心湖片区及龙泉驿医院等项目</v>
      </c>
      <c r="R3494" s="30" t="str">
        <f>_xlfn._xlws.FILTER(辅助信息!D:D,辅助信息!E:E=B3494)</f>
        <v>五冶建设扩建艺体中学二期工程</v>
      </c>
    </row>
    <row r="3495" hidden="1" spans="2:18">
      <c r="B3495" s="41" t="s">
        <v>167</v>
      </c>
      <c r="C3495" s="71">
        <v>45918</v>
      </c>
      <c r="D3495" s="41" t="str">
        <f>VLOOKUP(B3495,辅助信息!E:K,7,FALSE)</f>
        <v>JWDDCD2025102100473</v>
      </c>
      <c r="E3495" s="41" t="str">
        <f>VLOOKUP(F3495,辅助信息!A:B,2,FALSE)</f>
        <v>螺纹钢</v>
      </c>
      <c r="F3495" s="41" t="s">
        <v>58</v>
      </c>
      <c r="G3495" s="37">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1" t="str">
        <f>VLOOKUP(B3495,辅助信息!E:I,3,FALSE)</f>
        <v>(五冶建设扩建艺体中学二期工程)四川省成都市双流区光荣路成都艺体中学南200米</v>
      </c>
      <c r="J3495" s="41" t="str">
        <f>VLOOKUP(B3495,辅助信息!E:I,4,FALSE)</f>
        <v>谢序强</v>
      </c>
      <c r="K3495" s="41">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38</v>
      </c>
      <c r="Q3495" s="30" t="str">
        <f>VLOOKUP(B3495,辅助信息!E:M,9,FALSE)</f>
        <v>ZTWM-CDGS-XS-2025-0073-五冶天府-成都怡心湖片区及龙泉驿医院等项目</v>
      </c>
      <c r="R3495" s="30" t="str">
        <f>_xlfn._xlws.FILTER(辅助信息!D:D,辅助信息!E:E=B3495)</f>
        <v>五冶建设扩建艺体中学二期工程</v>
      </c>
    </row>
    <row r="3496" hidden="1" spans="2:18">
      <c r="B3496" s="41" t="s">
        <v>167</v>
      </c>
      <c r="C3496" s="71">
        <v>45918</v>
      </c>
      <c r="D3496" s="41" t="str">
        <f>VLOOKUP(B3496,辅助信息!E:K,7,FALSE)</f>
        <v>JWDDCD2025102100473</v>
      </c>
      <c r="E3496" s="41" t="str">
        <f>VLOOKUP(F3496,辅助信息!A:B,2,FALSE)</f>
        <v>螺纹钢</v>
      </c>
      <c r="F3496" s="41" t="s">
        <v>22</v>
      </c>
      <c r="G3496" s="37">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1" t="str">
        <f>VLOOKUP(B3496,辅助信息!E:I,3,FALSE)</f>
        <v>(五冶建设扩建艺体中学二期工程)四川省成都市双流区光荣路成都艺体中学南200米</v>
      </c>
      <c r="J3496" s="41" t="str">
        <f>VLOOKUP(B3496,辅助信息!E:I,4,FALSE)</f>
        <v>谢序强</v>
      </c>
      <c r="K3496" s="41">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38</v>
      </c>
      <c r="Q3496" s="30" t="str">
        <f>VLOOKUP(B3496,辅助信息!E:M,9,FALSE)</f>
        <v>ZTWM-CDGS-XS-2025-0073-五冶天府-成都怡心湖片区及龙泉驿医院等项目</v>
      </c>
      <c r="R3496" s="30" t="str">
        <f>_xlfn._xlws.FILTER(辅助信息!D:D,辅助信息!E:E=B3496)</f>
        <v>五冶建设扩建艺体中学二期工程</v>
      </c>
    </row>
    <row r="3497" hidden="1" spans="2:18">
      <c r="B3497" s="41" t="s">
        <v>192</v>
      </c>
      <c r="C3497" s="71">
        <v>45918</v>
      </c>
      <c r="D3497" s="41" t="str">
        <f>VLOOKUP(B3497,辅助信息!E:K,7,FALSE)</f>
        <v>JWDDCD2025102100475</v>
      </c>
      <c r="E3497" s="41" t="str">
        <f>VLOOKUP(F3497,辅助信息!A:B,2,FALSE)</f>
        <v>盘螺</v>
      </c>
      <c r="F3497" s="41" t="s">
        <v>41</v>
      </c>
      <c r="G3497" s="37">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1" t="str">
        <f>VLOOKUP(B3497,辅助信息!E:I,3,FALSE)</f>
        <v>(五冶建设成都国际铁路港多式联项目)四川省成都市青白江区桂平大道成都中远海运陆港多式联运有限公司</v>
      </c>
      <c r="J3497" s="41" t="str">
        <f>VLOOKUP(B3497,辅助信息!E:I,4,FALSE)</f>
        <v>黄勇杰</v>
      </c>
      <c r="K3497" s="41">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38</v>
      </c>
      <c r="Q3497" s="30" t="str">
        <f>VLOOKUP(B3497,辅助信息!E:M,9,FALSE)</f>
        <v>ZTWM-CDGS-XS-2025-0073-五冶天府-成都怡心湖片区及龙泉驿医院等项目</v>
      </c>
      <c r="R3497" s="30" t="str">
        <f>_xlfn._xlws.FILTER(辅助信息!D:D,辅助信息!E:E=B3497)</f>
        <v>五冶建设成都国际铁路港多式联项目</v>
      </c>
    </row>
    <row r="3498" hidden="1" spans="2:18">
      <c r="B3498" s="41" t="s">
        <v>192</v>
      </c>
      <c r="C3498" s="71">
        <v>45918</v>
      </c>
      <c r="D3498" s="41" t="str">
        <f>VLOOKUP(B3498,辅助信息!E:K,7,FALSE)</f>
        <v>JWDDCD2025102100475</v>
      </c>
      <c r="E3498" s="41" t="str">
        <f>VLOOKUP(F3498,辅助信息!A:B,2,FALSE)</f>
        <v>盘螺</v>
      </c>
      <c r="F3498" s="41" t="s">
        <v>26</v>
      </c>
      <c r="G3498" s="37">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1" t="str">
        <f>VLOOKUP(B3498,辅助信息!E:I,3,FALSE)</f>
        <v>(五冶建设成都国际铁路港多式联项目)四川省成都市青白江区桂平大道成都中远海运陆港多式联运有限公司</v>
      </c>
      <c r="J3498" s="41" t="str">
        <f>VLOOKUP(B3498,辅助信息!E:I,4,FALSE)</f>
        <v>黄勇杰</v>
      </c>
      <c r="K3498" s="41">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38</v>
      </c>
      <c r="Q3498" s="30" t="str">
        <f>VLOOKUP(B3498,辅助信息!E:M,9,FALSE)</f>
        <v>ZTWM-CDGS-XS-2025-0073-五冶天府-成都怡心湖片区及龙泉驿医院等项目</v>
      </c>
      <c r="R3498" s="30" t="str">
        <f>_xlfn._xlws.FILTER(辅助信息!D:D,辅助信息!E:E=B3498)</f>
        <v>五冶建设成都国际铁路港多式联项目</v>
      </c>
    </row>
    <row r="3499" hidden="1" spans="2:18">
      <c r="B3499" s="41" t="s">
        <v>192</v>
      </c>
      <c r="C3499" s="71">
        <v>45918</v>
      </c>
      <c r="D3499" s="41" t="str">
        <f>VLOOKUP(B3499,辅助信息!E:K,7,FALSE)</f>
        <v>JWDDCD2025102100475</v>
      </c>
      <c r="E3499" s="41" t="str">
        <f>VLOOKUP(F3499,辅助信息!A:B,2,FALSE)</f>
        <v>螺纹钢</v>
      </c>
      <c r="F3499" s="41" t="s">
        <v>19</v>
      </c>
      <c r="G3499" s="37">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1" t="str">
        <f>VLOOKUP(B3499,辅助信息!E:I,3,FALSE)</f>
        <v>(五冶建设成都国际铁路港多式联项目)四川省成都市青白江区桂平大道成都中远海运陆港多式联运有限公司</v>
      </c>
      <c r="J3499" s="41" t="str">
        <f>VLOOKUP(B3499,辅助信息!E:I,4,FALSE)</f>
        <v>黄勇杰</v>
      </c>
      <c r="K3499" s="41">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38</v>
      </c>
      <c r="Q3499" s="30" t="str">
        <f>VLOOKUP(B3499,辅助信息!E:M,9,FALSE)</f>
        <v>ZTWM-CDGS-XS-2025-0073-五冶天府-成都怡心湖片区及龙泉驿医院等项目</v>
      </c>
      <c r="R3499" s="30" t="str">
        <f>_xlfn._xlws.FILTER(辅助信息!D:D,辅助信息!E:E=B3499)</f>
        <v>五冶建设成都国际铁路港多式联项目</v>
      </c>
    </row>
    <row r="3500" hidden="1" spans="2:18">
      <c r="B3500" s="41" t="s">
        <v>192</v>
      </c>
      <c r="C3500" s="71">
        <v>45918</v>
      </c>
      <c r="D3500" s="41" t="str">
        <f>VLOOKUP(B3500,辅助信息!E:K,7,FALSE)</f>
        <v>JWDDCD2025102100475</v>
      </c>
      <c r="E3500" s="41" t="str">
        <f>VLOOKUP(F3500,辅助信息!A:B,2,FALSE)</f>
        <v>螺纹钢</v>
      </c>
      <c r="F3500" s="41" t="s">
        <v>32</v>
      </c>
      <c r="G3500" s="37">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1" t="str">
        <f>VLOOKUP(B3500,辅助信息!E:I,3,FALSE)</f>
        <v>(五冶建设成都国际铁路港多式联项目)四川省成都市青白江区桂平大道成都中远海运陆港多式联运有限公司</v>
      </c>
      <c r="J3500" s="41" t="str">
        <f>VLOOKUP(B3500,辅助信息!E:I,4,FALSE)</f>
        <v>黄勇杰</v>
      </c>
      <c r="K3500" s="41">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38</v>
      </c>
      <c r="Q3500" s="30" t="str">
        <f>VLOOKUP(B3500,辅助信息!E:M,9,FALSE)</f>
        <v>ZTWM-CDGS-XS-2025-0073-五冶天府-成都怡心湖片区及龙泉驿医院等项目</v>
      </c>
      <c r="R3500" s="30" t="str">
        <f>_xlfn._xlws.FILTER(辅助信息!D:D,辅助信息!E:E=B3500)</f>
        <v>五冶建设成都国际铁路港多式联项目</v>
      </c>
    </row>
    <row r="3501" hidden="1" spans="2:18">
      <c r="B3501" s="41" t="s">
        <v>192</v>
      </c>
      <c r="C3501" s="71">
        <v>45918</v>
      </c>
      <c r="D3501" s="41" t="str">
        <f>VLOOKUP(B3501,辅助信息!E:K,7,FALSE)</f>
        <v>JWDDCD2025102100475</v>
      </c>
      <c r="E3501" s="41" t="str">
        <f>VLOOKUP(F3501,辅助信息!A:B,2,FALSE)</f>
        <v>螺纹钢</v>
      </c>
      <c r="F3501" s="41" t="s">
        <v>30</v>
      </c>
      <c r="G3501" s="37">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1" t="str">
        <f>VLOOKUP(B3501,辅助信息!E:I,3,FALSE)</f>
        <v>(五冶建设成都国际铁路港多式联项目)四川省成都市青白江区桂平大道成都中远海运陆港多式联运有限公司</v>
      </c>
      <c r="J3501" s="41" t="str">
        <f>VLOOKUP(B3501,辅助信息!E:I,4,FALSE)</f>
        <v>黄勇杰</v>
      </c>
      <c r="K3501" s="41">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38</v>
      </c>
      <c r="Q3501" s="30" t="str">
        <f>VLOOKUP(B3501,辅助信息!E:M,9,FALSE)</f>
        <v>ZTWM-CDGS-XS-2025-0073-五冶天府-成都怡心湖片区及龙泉驿医院等项目</v>
      </c>
      <c r="R3501" s="30" t="str">
        <f>_xlfn._xlws.FILTER(辅助信息!D:D,辅助信息!E:E=B3501)</f>
        <v>五冶建设成都国际铁路港多式联项目</v>
      </c>
    </row>
    <row r="3502" hidden="1" spans="2:18">
      <c r="B3502" s="41" t="s">
        <v>192</v>
      </c>
      <c r="C3502" s="71">
        <v>45918</v>
      </c>
      <c r="D3502" s="41" t="str">
        <f>VLOOKUP(B3502,辅助信息!E:K,7,FALSE)</f>
        <v>JWDDCD2025102100475</v>
      </c>
      <c r="E3502" s="41" t="str">
        <f>VLOOKUP(F3502,辅助信息!A:B,2,FALSE)</f>
        <v>螺纹钢</v>
      </c>
      <c r="F3502" s="41" t="s">
        <v>33</v>
      </c>
      <c r="G3502" s="37">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1" t="str">
        <f>VLOOKUP(B3502,辅助信息!E:I,3,FALSE)</f>
        <v>(五冶建设成都国际铁路港多式联项目)四川省成都市青白江区桂平大道成都中远海运陆港多式联运有限公司</v>
      </c>
      <c r="J3502" s="41" t="str">
        <f>VLOOKUP(B3502,辅助信息!E:I,4,FALSE)</f>
        <v>黄勇杰</v>
      </c>
      <c r="K3502" s="41">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38</v>
      </c>
      <c r="Q3502" s="30" t="str">
        <f>VLOOKUP(B3502,辅助信息!E:M,9,FALSE)</f>
        <v>ZTWM-CDGS-XS-2025-0073-五冶天府-成都怡心湖片区及龙泉驿医院等项目</v>
      </c>
      <c r="R3502" s="30" t="str">
        <f>_xlfn._xlws.FILTER(辅助信息!D:D,辅助信息!E:E=B3502)</f>
        <v>五冶建设成都国际铁路港多式联项目</v>
      </c>
    </row>
    <row r="3503" hidden="1" spans="2:18">
      <c r="B3503" s="41" t="s">
        <v>192</v>
      </c>
      <c r="C3503" s="71">
        <v>45918</v>
      </c>
      <c r="D3503" s="41" t="str">
        <f>VLOOKUP(B3503,辅助信息!E:K,7,FALSE)</f>
        <v>JWDDCD2025102100475</v>
      </c>
      <c r="E3503" s="41" t="str">
        <f>VLOOKUP(F3503,辅助信息!A:B,2,FALSE)</f>
        <v>螺纹钢</v>
      </c>
      <c r="F3503" s="41" t="s">
        <v>28</v>
      </c>
      <c r="G3503" s="37">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1" t="str">
        <f>VLOOKUP(B3503,辅助信息!E:I,3,FALSE)</f>
        <v>(五冶建设成都国际铁路港多式联项目)四川省成都市青白江区桂平大道成都中远海运陆港多式联运有限公司</v>
      </c>
      <c r="J3503" s="41" t="str">
        <f>VLOOKUP(B3503,辅助信息!E:I,4,FALSE)</f>
        <v>黄勇杰</v>
      </c>
      <c r="K3503" s="41">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38</v>
      </c>
      <c r="Q3503" s="30" t="str">
        <f>VLOOKUP(B3503,辅助信息!E:M,9,FALSE)</f>
        <v>ZTWM-CDGS-XS-2025-0073-五冶天府-成都怡心湖片区及龙泉驿医院等项目</v>
      </c>
      <c r="R3503" s="30" t="str">
        <f>_xlfn._xlws.FILTER(辅助信息!D:D,辅助信息!E:E=B3503)</f>
        <v>五冶建设成都国际铁路港多式联项目</v>
      </c>
    </row>
    <row r="3504" hidden="1" spans="2:18">
      <c r="B3504" s="41" t="s">
        <v>81</v>
      </c>
      <c r="C3504" s="71">
        <v>45918</v>
      </c>
      <c r="D3504" s="41" t="str">
        <f>VLOOKUP(B3504,辅助信息!E:K,7,FALSE)</f>
        <v>JWDDCD2025060900080</v>
      </c>
      <c r="E3504" s="41" t="str">
        <f>VLOOKUP(F3504,辅助信息!A:B,2,FALSE)</f>
        <v>盘螺</v>
      </c>
      <c r="F3504" s="41" t="s">
        <v>49</v>
      </c>
      <c r="G3504" s="37">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1" t="str">
        <f>VLOOKUP(B3504,辅助信息!E:I,3,FALSE)</f>
        <v>（华西简阳西城嘉苑）四川省成都市简阳市简城街道高屋村</v>
      </c>
      <c r="J3504" s="41" t="str">
        <f>VLOOKUP(B3504,辅助信息!E:I,4,FALSE)</f>
        <v>张瀚镭</v>
      </c>
      <c r="K3504" s="41">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30" t="str">
        <f>VLOOKUP(B3504,辅助信息!E:M,9,FALSE)</f>
        <v>ZTWM-CDGS-XS-2024-0030-华西集采-简州大道</v>
      </c>
      <c r="R3504" s="30" t="str">
        <f>_xlfn._xlws.FILTER(辅助信息!D:D,辅助信息!E:E=B3504)</f>
        <v>华西简阳西城嘉苑</v>
      </c>
    </row>
    <row r="3505" hidden="1" spans="2:18">
      <c r="B3505" s="41" t="s">
        <v>81</v>
      </c>
      <c r="C3505" s="71">
        <v>45918</v>
      </c>
      <c r="D3505" s="41" t="str">
        <f>VLOOKUP(B3505,辅助信息!E:K,7,FALSE)</f>
        <v>JWDDCD2025060900080</v>
      </c>
      <c r="E3505" s="41" t="str">
        <f>VLOOKUP(F3505,辅助信息!A:B,2,FALSE)</f>
        <v>盘螺</v>
      </c>
      <c r="F3505" s="41" t="s">
        <v>40</v>
      </c>
      <c r="G3505" s="37">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1" t="str">
        <f>VLOOKUP(B3505,辅助信息!E:I,3,FALSE)</f>
        <v>（华西简阳西城嘉苑）四川省成都市简阳市简城街道高屋村</v>
      </c>
      <c r="J3505" s="41" t="str">
        <f>VLOOKUP(B3505,辅助信息!E:I,4,FALSE)</f>
        <v>张瀚镭</v>
      </c>
      <c r="K3505" s="41">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30" t="str">
        <f>VLOOKUP(B3505,辅助信息!E:M,9,FALSE)</f>
        <v>ZTWM-CDGS-XS-2024-0030-华西集采-简州大道</v>
      </c>
      <c r="R3505" s="30" t="str">
        <f>_xlfn._xlws.FILTER(辅助信息!D:D,辅助信息!E:E=B3505)</f>
        <v>华西简阳西城嘉苑</v>
      </c>
    </row>
    <row r="3506" hidden="1" spans="2:18">
      <c r="B3506" s="41" t="s">
        <v>81</v>
      </c>
      <c r="C3506" s="71">
        <v>45918</v>
      </c>
      <c r="D3506" s="41" t="str">
        <f>VLOOKUP(B3506,辅助信息!E:K,7,FALSE)</f>
        <v>JWDDCD2025060900080</v>
      </c>
      <c r="E3506" s="41" t="str">
        <f>VLOOKUP(F3506,辅助信息!A:B,2,FALSE)</f>
        <v>盘螺</v>
      </c>
      <c r="F3506" s="41" t="s">
        <v>41</v>
      </c>
      <c r="G3506" s="37">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1" t="str">
        <f>VLOOKUP(B3506,辅助信息!E:I,3,FALSE)</f>
        <v>（华西简阳西城嘉苑）四川省成都市简阳市简城街道高屋村</v>
      </c>
      <c r="J3506" s="41" t="str">
        <f>VLOOKUP(B3506,辅助信息!E:I,4,FALSE)</f>
        <v>张瀚镭</v>
      </c>
      <c r="K3506" s="41">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30" t="str">
        <f>VLOOKUP(B3506,辅助信息!E:M,9,FALSE)</f>
        <v>ZTWM-CDGS-XS-2024-0030-华西集采-简州大道</v>
      </c>
      <c r="R3506" s="30" t="str">
        <f>_xlfn._xlws.FILTER(辅助信息!D:D,辅助信息!E:E=B3506)</f>
        <v>华西简阳西城嘉苑</v>
      </c>
    </row>
    <row r="3507" hidden="1" spans="2:18">
      <c r="B3507" s="41" t="s">
        <v>81</v>
      </c>
      <c r="C3507" s="71">
        <v>45918</v>
      </c>
      <c r="D3507" s="41" t="str">
        <f>VLOOKUP(B3507,辅助信息!E:K,7,FALSE)</f>
        <v>JWDDCD2025060900080</v>
      </c>
      <c r="E3507" s="41" t="str">
        <f>VLOOKUP(F3507,辅助信息!A:B,2,FALSE)</f>
        <v>盘螺</v>
      </c>
      <c r="F3507" s="41" t="s">
        <v>26</v>
      </c>
      <c r="G3507" s="37">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1" t="str">
        <f>VLOOKUP(B3507,辅助信息!E:I,3,FALSE)</f>
        <v>（华西简阳西城嘉苑）四川省成都市简阳市简城街道高屋村</v>
      </c>
      <c r="J3507" s="41" t="str">
        <f>VLOOKUP(B3507,辅助信息!E:I,4,FALSE)</f>
        <v>张瀚镭</v>
      </c>
      <c r="K3507" s="41">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30" t="str">
        <f>VLOOKUP(B3507,辅助信息!E:M,9,FALSE)</f>
        <v>ZTWM-CDGS-XS-2024-0030-华西集采-简州大道</v>
      </c>
      <c r="R3507" s="30" t="str">
        <f>_xlfn._xlws.FILTER(辅助信息!D:D,辅助信息!E:E=B3507)</f>
        <v>华西简阳西城嘉苑</v>
      </c>
    </row>
    <row r="3508" hidden="1" spans="2:18">
      <c r="B3508" s="41" t="s">
        <v>81</v>
      </c>
      <c r="C3508" s="71">
        <v>45918</v>
      </c>
      <c r="D3508" s="41" t="str">
        <f>VLOOKUP(B3508,辅助信息!E:K,7,FALSE)</f>
        <v>JWDDCD2025060900080</v>
      </c>
      <c r="E3508" s="41" t="str">
        <f>VLOOKUP(F3508,辅助信息!A:B,2,FALSE)</f>
        <v>螺纹钢</v>
      </c>
      <c r="F3508" s="41" t="s">
        <v>33</v>
      </c>
      <c r="G3508" s="37">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1" t="str">
        <f>VLOOKUP(B3508,辅助信息!E:I,3,FALSE)</f>
        <v>（华西简阳西城嘉苑）四川省成都市简阳市简城街道高屋村</v>
      </c>
      <c r="J3508" s="41" t="str">
        <f>VLOOKUP(B3508,辅助信息!E:I,4,FALSE)</f>
        <v>张瀚镭</v>
      </c>
      <c r="K3508" s="41">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30" t="str">
        <f>VLOOKUP(B3508,辅助信息!E:M,9,FALSE)</f>
        <v>ZTWM-CDGS-XS-2024-0030-华西集采-简州大道</v>
      </c>
      <c r="R3508" s="30" t="str">
        <f>_xlfn._xlws.FILTER(辅助信息!D:D,辅助信息!E:E=B3508)</f>
        <v>华西简阳西城嘉苑</v>
      </c>
    </row>
    <row r="3509" hidden="1" spans="2:18">
      <c r="B3509" s="41" t="s">
        <v>81</v>
      </c>
      <c r="C3509" s="71">
        <v>45918</v>
      </c>
      <c r="D3509" s="41" t="str">
        <f>VLOOKUP(B3509,辅助信息!E:K,7,FALSE)</f>
        <v>JWDDCD2025060900080</v>
      </c>
      <c r="E3509" s="41" t="str">
        <f>VLOOKUP(F3509,辅助信息!A:B,2,FALSE)</f>
        <v>螺纹钢</v>
      </c>
      <c r="F3509" s="41" t="s">
        <v>22</v>
      </c>
      <c r="G3509" s="37">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1" t="str">
        <f>VLOOKUP(B3509,辅助信息!E:I,3,FALSE)</f>
        <v>（华西简阳西城嘉苑）四川省成都市简阳市简城街道高屋村</v>
      </c>
      <c r="J3509" s="41" t="str">
        <f>VLOOKUP(B3509,辅助信息!E:I,4,FALSE)</f>
        <v>张瀚镭</v>
      </c>
      <c r="K3509" s="41">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30" t="str">
        <f>VLOOKUP(B3509,辅助信息!E:M,9,FALSE)</f>
        <v>ZTWM-CDGS-XS-2024-0030-华西集采-简州大道</v>
      </c>
      <c r="R3509" s="30" t="str">
        <f>_xlfn._xlws.FILTER(辅助信息!D:D,辅助信息!E:E=B3509)</f>
        <v>华西简阳西城嘉苑</v>
      </c>
    </row>
    <row r="3510" hidden="1" spans="2:18">
      <c r="B3510" s="41" t="s">
        <v>186</v>
      </c>
      <c r="C3510" s="71">
        <v>45918</v>
      </c>
      <c r="D3510" s="41" t="str">
        <f>VLOOKUP(B3510,辅助信息!E:K,7,FALSE)</f>
        <v>JWDDCD2025072900123</v>
      </c>
      <c r="E3510" s="41" t="str">
        <f>VLOOKUP(F3510,辅助信息!A:B,2,FALSE)</f>
        <v>高线</v>
      </c>
      <c r="F3510" s="41" t="s">
        <v>57</v>
      </c>
      <c r="G3510" s="37">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1" t="str">
        <f>VLOOKUP(B3510,辅助信息!E:I,3,FALSE)</f>
        <v>(乐山市校地共建产教融合基地建设项目二标段)四川省乐山市市中区苏稽镇</v>
      </c>
      <c r="J3510" s="41" t="str">
        <f>VLOOKUP(B3510,辅助信息!E:I,4,FALSE)</f>
        <v>彭江涛</v>
      </c>
      <c r="K3510" s="41">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30" t="str">
        <f>VLOOKUP(B3510,辅助信息!E:M,9,FALSE)</f>
        <v>ZTWM-CDGS-XS-2025-0126-四川机司-乐山市校地共建产教融合基地配套设施项目施工二标段钢筋采购合同</v>
      </c>
      <c r="R3510" s="30" t="str">
        <f>_xlfn._xlws.FILTER(辅助信息!D:D,辅助信息!E:E=B3510)</f>
        <v>乐山市校地共建产教融合基地建设项目</v>
      </c>
    </row>
    <row r="3511" hidden="1" spans="2:18">
      <c r="B3511" s="41" t="s">
        <v>186</v>
      </c>
      <c r="C3511" s="71">
        <v>45918</v>
      </c>
      <c r="D3511" s="41" t="str">
        <f>VLOOKUP(B3511,辅助信息!E:K,7,FALSE)</f>
        <v>JWDDCD2025072900123</v>
      </c>
      <c r="E3511" s="41" t="str">
        <f>VLOOKUP(F3511,辅助信息!A:B,2,FALSE)</f>
        <v>高线</v>
      </c>
      <c r="F3511" s="41" t="s">
        <v>53</v>
      </c>
      <c r="G3511" s="37">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1" t="str">
        <f>VLOOKUP(B3511,辅助信息!E:I,3,FALSE)</f>
        <v>(乐山市校地共建产教融合基地建设项目二标段)四川省乐山市市中区苏稽镇</v>
      </c>
      <c r="J3511" s="41" t="str">
        <f>VLOOKUP(B3511,辅助信息!E:I,4,FALSE)</f>
        <v>彭江涛</v>
      </c>
      <c r="K3511" s="41">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30" t="str">
        <f>VLOOKUP(B3511,辅助信息!E:M,9,FALSE)</f>
        <v>ZTWM-CDGS-XS-2025-0126-四川机司-乐山市校地共建产教融合基地配套设施项目施工二标段钢筋采购合同</v>
      </c>
      <c r="R3511" s="30" t="str">
        <f>_xlfn._xlws.FILTER(辅助信息!D:D,辅助信息!E:E=B3511)</f>
        <v>乐山市校地共建产教融合基地建设项目</v>
      </c>
    </row>
    <row r="3512" hidden="1" spans="2:18">
      <c r="B3512" s="41" t="s">
        <v>186</v>
      </c>
      <c r="C3512" s="71">
        <v>45918</v>
      </c>
      <c r="D3512" s="41" t="str">
        <f>VLOOKUP(B3512,辅助信息!E:K,7,FALSE)</f>
        <v>JWDDCD2025072900123</v>
      </c>
      <c r="E3512" s="41" t="str">
        <f>VLOOKUP(F3512,辅助信息!A:B,2,FALSE)</f>
        <v>螺纹钢</v>
      </c>
      <c r="F3512" s="41" t="s">
        <v>76</v>
      </c>
      <c r="G3512" s="37">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1" t="str">
        <f>VLOOKUP(B3512,辅助信息!E:I,3,FALSE)</f>
        <v>(乐山市校地共建产教融合基地建设项目二标段)四川省乐山市市中区苏稽镇</v>
      </c>
      <c r="J3512" s="41" t="str">
        <f>VLOOKUP(B3512,辅助信息!E:I,4,FALSE)</f>
        <v>彭江涛</v>
      </c>
      <c r="K3512" s="41">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30" t="str">
        <f>VLOOKUP(B3512,辅助信息!E:M,9,FALSE)</f>
        <v>ZTWM-CDGS-XS-2025-0126-四川机司-乐山市校地共建产教融合基地配套设施项目施工二标段钢筋采购合同</v>
      </c>
      <c r="R3512" s="30" t="str">
        <f>_xlfn._xlws.FILTER(辅助信息!D:D,辅助信息!E:E=B3512)</f>
        <v>乐山市校地共建产教融合基地建设项目</v>
      </c>
    </row>
    <row r="3513" hidden="1" spans="2:18">
      <c r="B3513" s="41" t="s">
        <v>186</v>
      </c>
      <c r="C3513" s="71">
        <v>45918</v>
      </c>
      <c r="D3513" s="41" t="str">
        <f>VLOOKUP(B3513,辅助信息!E:K,7,FALSE)</f>
        <v>JWDDCD2025072900123</v>
      </c>
      <c r="E3513" s="41" t="str">
        <f>VLOOKUP(F3513,辅助信息!A:B,2,FALSE)</f>
        <v>螺纹钢</v>
      </c>
      <c r="F3513" s="41" t="s">
        <v>90</v>
      </c>
      <c r="G3513" s="37">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1" t="str">
        <f>VLOOKUP(B3513,辅助信息!E:I,3,FALSE)</f>
        <v>(乐山市校地共建产教融合基地建设项目二标段)四川省乐山市市中区苏稽镇</v>
      </c>
      <c r="J3513" s="41" t="str">
        <f>VLOOKUP(B3513,辅助信息!E:I,4,FALSE)</f>
        <v>彭江涛</v>
      </c>
      <c r="K3513" s="41">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30" t="str">
        <f>VLOOKUP(B3513,辅助信息!E:M,9,FALSE)</f>
        <v>ZTWM-CDGS-XS-2025-0126-四川机司-乐山市校地共建产教融合基地配套设施项目施工二标段钢筋采购合同</v>
      </c>
      <c r="R3513" s="30" t="str">
        <f>_xlfn._xlws.FILTER(辅助信息!D:D,辅助信息!E:E=B3513)</f>
        <v>乐山市校地共建产教融合基地建设项目</v>
      </c>
    </row>
    <row r="3514" hidden="1" spans="2:18">
      <c r="B3514" s="41" t="s">
        <v>186</v>
      </c>
      <c r="C3514" s="71">
        <v>45918</v>
      </c>
      <c r="D3514" s="41" t="str">
        <f>VLOOKUP(B3514,辅助信息!E:K,7,FALSE)</f>
        <v>JWDDCD2025072900123</v>
      </c>
      <c r="E3514" s="41" t="str">
        <f>VLOOKUP(F3514,辅助信息!A:B,2,FALSE)</f>
        <v>螺纹钢</v>
      </c>
      <c r="F3514" s="41" t="s">
        <v>140</v>
      </c>
      <c r="G3514" s="37">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1" t="str">
        <f>VLOOKUP(B3514,辅助信息!E:I,3,FALSE)</f>
        <v>(乐山市校地共建产教融合基地建设项目二标段)四川省乐山市市中区苏稽镇</v>
      </c>
      <c r="J3514" s="41" t="str">
        <f>VLOOKUP(B3514,辅助信息!E:I,4,FALSE)</f>
        <v>彭江涛</v>
      </c>
      <c r="K3514" s="41">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30" t="str">
        <f>VLOOKUP(B3514,辅助信息!E:M,9,FALSE)</f>
        <v>ZTWM-CDGS-XS-2025-0126-四川机司-乐山市校地共建产教融合基地配套设施项目施工二标段钢筋采购合同</v>
      </c>
      <c r="R3514" s="30" t="str">
        <f>_xlfn._xlws.FILTER(辅助信息!D:D,辅助信息!E:E=B3514)</f>
        <v>乐山市校地共建产教融合基地建设项目</v>
      </c>
    </row>
    <row r="3515" hidden="1" spans="2:18">
      <c r="B3515" s="41" t="s">
        <v>186</v>
      </c>
      <c r="C3515" s="71">
        <v>45918</v>
      </c>
      <c r="D3515" s="41" t="str">
        <f>VLOOKUP(B3515,辅助信息!E:K,7,FALSE)</f>
        <v>JWDDCD2025072900123</v>
      </c>
      <c r="E3515" s="41" t="str">
        <f>VLOOKUP(F3515,辅助信息!A:B,2,FALSE)</f>
        <v>螺纹钢</v>
      </c>
      <c r="F3515" s="41" t="s">
        <v>45</v>
      </c>
      <c r="G3515" s="37">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1" t="str">
        <f>VLOOKUP(B3515,辅助信息!E:I,3,FALSE)</f>
        <v>(乐山市校地共建产教融合基地建设项目二标段)四川省乐山市市中区苏稽镇</v>
      </c>
      <c r="J3515" s="41" t="str">
        <f>VLOOKUP(B3515,辅助信息!E:I,4,FALSE)</f>
        <v>彭江涛</v>
      </c>
      <c r="K3515" s="41">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30" t="str">
        <f>VLOOKUP(B3515,辅助信息!E:M,9,FALSE)</f>
        <v>ZTWM-CDGS-XS-2025-0126-四川机司-乐山市校地共建产教融合基地配套设施项目施工二标段钢筋采购合同</v>
      </c>
      <c r="R3515" s="30" t="str">
        <f>_xlfn._xlws.FILTER(辅助信息!D:D,辅助信息!E:E=B3515)</f>
        <v>乐山市校地共建产教融合基地建设项目</v>
      </c>
    </row>
    <row r="3516" hidden="1" spans="2:18">
      <c r="B3516" s="41" t="s">
        <v>186</v>
      </c>
      <c r="C3516" s="71">
        <v>45918</v>
      </c>
      <c r="D3516" s="41" t="str">
        <f>VLOOKUP(B3516,辅助信息!E:K,7,FALSE)</f>
        <v>JWDDCD2025072900123</v>
      </c>
      <c r="E3516" s="41" t="str">
        <f>VLOOKUP(F3516,辅助信息!A:B,2,FALSE)</f>
        <v>螺纹钢</v>
      </c>
      <c r="F3516" s="41" t="s">
        <v>21</v>
      </c>
      <c r="G3516" s="37">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1" t="str">
        <f>VLOOKUP(B3516,辅助信息!E:I,3,FALSE)</f>
        <v>(乐山市校地共建产教融合基地建设项目二标段)四川省乐山市市中区苏稽镇</v>
      </c>
      <c r="J3516" s="41" t="str">
        <f>VLOOKUP(B3516,辅助信息!E:I,4,FALSE)</f>
        <v>彭江涛</v>
      </c>
      <c r="K3516" s="41">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30" t="str">
        <f>VLOOKUP(B3516,辅助信息!E:M,9,FALSE)</f>
        <v>ZTWM-CDGS-XS-2025-0126-四川机司-乐山市校地共建产教融合基地配套设施项目施工二标段钢筋采购合同</v>
      </c>
      <c r="R3516" s="30" t="str">
        <f>_xlfn._xlws.FILTER(辅助信息!D:D,辅助信息!E:E=B3516)</f>
        <v>乐山市校地共建产教融合基地建设项目</v>
      </c>
    </row>
    <row r="3517" hidden="1" spans="2:18">
      <c r="B3517" s="41" t="s">
        <v>186</v>
      </c>
      <c r="C3517" s="71">
        <v>45918</v>
      </c>
      <c r="D3517" s="41" t="str">
        <f>VLOOKUP(B3517,辅助信息!E:K,7,FALSE)</f>
        <v>JWDDCD2025072900123</v>
      </c>
      <c r="E3517" s="41" t="str">
        <f>VLOOKUP(F3517,辅助信息!A:B,2,FALSE)</f>
        <v>螺纹钢</v>
      </c>
      <c r="F3517" s="41" t="s">
        <v>198</v>
      </c>
      <c r="G3517" s="37">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1" t="str">
        <f>VLOOKUP(B3517,辅助信息!E:I,3,FALSE)</f>
        <v>(乐山市校地共建产教融合基地建设项目二标段)四川省乐山市市中区苏稽镇</v>
      </c>
      <c r="J3517" s="41" t="str">
        <f>VLOOKUP(B3517,辅助信息!E:I,4,FALSE)</f>
        <v>彭江涛</v>
      </c>
      <c r="K3517" s="41">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30" t="str">
        <f>VLOOKUP(B3517,辅助信息!E:M,9,FALSE)</f>
        <v>ZTWM-CDGS-XS-2025-0126-四川机司-乐山市校地共建产教融合基地配套设施项目施工二标段钢筋采购合同</v>
      </c>
      <c r="R3517" s="30" t="str">
        <f>_xlfn._xlws.FILTER(辅助信息!D:D,辅助信息!E:E=B3517)</f>
        <v>乐山市校地共建产教融合基地建设项目</v>
      </c>
    </row>
    <row r="3518" hidden="1" spans="2:18">
      <c r="B3518" s="41" t="s">
        <v>186</v>
      </c>
      <c r="C3518" s="71">
        <v>45918</v>
      </c>
      <c r="D3518" s="41" t="str">
        <f>VLOOKUP(B3518,辅助信息!E:K,7,FALSE)</f>
        <v>JWDDCD2025072900123</v>
      </c>
      <c r="E3518" s="41" t="str">
        <f>VLOOKUP(F3518,辅助信息!A:B,2,FALSE)</f>
        <v>螺纹钢</v>
      </c>
      <c r="F3518" s="41" t="s">
        <v>58</v>
      </c>
      <c r="G3518" s="37">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1" t="str">
        <f>VLOOKUP(B3518,辅助信息!E:I,3,FALSE)</f>
        <v>(乐山市校地共建产教融合基地建设项目二标段)四川省乐山市市中区苏稽镇</v>
      </c>
      <c r="J3518" s="41" t="str">
        <f>VLOOKUP(B3518,辅助信息!E:I,4,FALSE)</f>
        <v>彭江涛</v>
      </c>
      <c r="K3518" s="41">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30" t="str">
        <f>VLOOKUP(B3518,辅助信息!E:M,9,FALSE)</f>
        <v>ZTWM-CDGS-XS-2025-0126-四川机司-乐山市校地共建产教融合基地配套设施项目施工二标段钢筋采购合同</v>
      </c>
      <c r="R3518" s="30" t="str">
        <f>_xlfn._xlws.FILTER(辅助信息!D:D,辅助信息!E:E=B3518)</f>
        <v>乐山市校地共建产教融合基地建设项目</v>
      </c>
    </row>
    <row r="3519" hidden="1" spans="2:18">
      <c r="B3519" s="41" t="s">
        <v>186</v>
      </c>
      <c r="C3519" s="71">
        <v>45918</v>
      </c>
      <c r="D3519" s="41" t="str">
        <f>VLOOKUP(B3519,辅助信息!E:K,7,FALSE)</f>
        <v>JWDDCD2025072900123</v>
      </c>
      <c r="E3519" s="41" t="str">
        <f>VLOOKUP(F3519,辅助信息!A:B,2,FALSE)</f>
        <v>螺纹钢</v>
      </c>
      <c r="F3519" s="41" t="s">
        <v>199</v>
      </c>
      <c r="G3519" s="37">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1" t="str">
        <f>VLOOKUP(B3519,辅助信息!E:I,3,FALSE)</f>
        <v>(乐山市校地共建产教融合基地建设项目二标段)四川省乐山市市中区苏稽镇</v>
      </c>
      <c r="J3519" s="41" t="str">
        <f>VLOOKUP(B3519,辅助信息!E:I,4,FALSE)</f>
        <v>彭江涛</v>
      </c>
      <c r="K3519" s="41">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30" t="str">
        <f>VLOOKUP(B3519,辅助信息!E:M,9,FALSE)</f>
        <v>ZTWM-CDGS-XS-2025-0126-四川机司-乐山市校地共建产教融合基地配套设施项目施工二标段钢筋采购合同</v>
      </c>
      <c r="R3519" s="30" t="str">
        <f>_xlfn._xlws.FILTER(辅助信息!D:D,辅助信息!E:E=B3519)</f>
        <v>乐山市校地共建产教融合基地建设项目</v>
      </c>
    </row>
    <row r="3520" hidden="1" spans="2:18">
      <c r="B3520" s="41" t="s">
        <v>186</v>
      </c>
      <c r="C3520" s="71">
        <v>45918</v>
      </c>
      <c r="D3520" s="41" t="str">
        <f>VLOOKUP(B3520,辅助信息!E:K,7,FALSE)</f>
        <v>JWDDCD2025072900123</v>
      </c>
      <c r="E3520" s="41" t="str">
        <f>VLOOKUP(F3520,辅助信息!A:B,2,FALSE)</f>
        <v>螺纹钢</v>
      </c>
      <c r="F3520" s="41" t="s">
        <v>46</v>
      </c>
      <c r="G3520" s="37">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1" t="str">
        <f>VLOOKUP(B3520,辅助信息!E:I,3,FALSE)</f>
        <v>(乐山市校地共建产教融合基地建设项目二标段)四川省乐山市市中区苏稽镇</v>
      </c>
      <c r="J3520" s="41" t="str">
        <f>VLOOKUP(B3520,辅助信息!E:I,4,FALSE)</f>
        <v>彭江涛</v>
      </c>
      <c r="K3520" s="41">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30" t="str">
        <f>VLOOKUP(B3520,辅助信息!E:M,9,FALSE)</f>
        <v>ZTWM-CDGS-XS-2025-0126-四川机司-乐山市校地共建产教融合基地配套设施项目施工二标段钢筋采购合同</v>
      </c>
      <c r="R3520" s="30" t="str">
        <f>_xlfn._xlws.FILTER(辅助信息!D:D,辅助信息!E:E=B3520)</f>
        <v>乐山市校地共建产教融合基地建设项目</v>
      </c>
    </row>
    <row r="3521" hidden="1" spans="2:18">
      <c r="B3521" s="41" t="s">
        <v>186</v>
      </c>
      <c r="C3521" s="71">
        <v>45918</v>
      </c>
      <c r="D3521" s="41" t="str">
        <f>VLOOKUP(B3521,辅助信息!E:K,7,FALSE)</f>
        <v>JWDDCD2025072900123</v>
      </c>
      <c r="E3521" s="41" t="str">
        <f>VLOOKUP(F3521,辅助信息!A:B,2,FALSE)</f>
        <v>螺纹钢</v>
      </c>
      <c r="F3521" s="41" t="s">
        <v>141</v>
      </c>
      <c r="G3521" s="37">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1" t="str">
        <f>VLOOKUP(B3521,辅助信息!E:I,3,FALSE)</f>
        <v>(乐山市校地共建产教融合基地建设项目二标段)四川省乐山市市中区苏稽镇</v>
      </c>
      <c r="J3521" s="41" t="str">
        <f>VLOOKUP(B3521,辅助信息!E:I,4,FALSE)</f>
        <v>彭江涛</v>
      </c>
      <c r="K3521" s="41">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30" t="str">
        <f>VLOOKUP(B3521,辅助信息!E:M,9,FALSE)</f>
        <v>ZTWM-CDGS-XS-2025-0126-四川机司-乐山市校地共建产教融合基地配套设施项目施工二标段钢筋采购合同</v>
      </c>
      <c r="R3521" s="30" t="str">
        <f>_xlfn._xlws.FILTER(辅助信息!D:D,辅助信息!E:E=B3521)</f>
        <v>乐山市校地共建产教融合基地建设项目</v>
      </c>
    </row>
    <row r="3522" hidden="1" spans="2:18">
      <c r="B3522" s="41" t="s">
        <v>186</v>
      </c>
      <c r="C3522" s="71">
        <v>45918</v>
      </c>
      <c r="D3522" s="41" t="str">
        <f>VLOOKUP(B3522,辅助信息!E:K,7,FALSE)</f>
        <v>JWDDCD2025072900123</v>
      </c>
      <c r="E3522" s="41" t="str">
        <f>VLOOKUP(F3522,辅助信息!A:B,2,FALSE)</f>
        <v>螺纹钢</v>
      </c>
      <c r="F3522" s="41" t="s">
        <v>22</v>
      </c>
      <c r="G3522" s="37">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1" t="str">
        <f>VLOOKUP(B3522,辅助信息!E:I,3,FALSE)</f>
        <v>(乐山市校地共建产教融合基地建设项目二标段)四川省乐山市市中区苏稽镇</v>
      </c>
      <c r="J3522" s="41" t="str">
        <f>VLOOKUP(B3522,辅助信息!E:I,4,FALSE)</f>
        <v>彭江涛</v>
      </c>
      <c r="K3522" s="41">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30" t="str">
        <f>VLOOKUP(B3522,辅助信息!E:M,9,FALSE)</f>
        <v>ZTWM-CDGS-XS-2025-0126-四川机司-乐山市校地共建产教融合基地配套设施项目施工二标段钢筋采购合同</v>
      </c>
      <c r="R3522" s="30" t="str">
        <f>_xlfn._xlws.FILTER(辅助信息!D:D,辅助信息!E:E=B3522)</f>
        <v>乐山市校地共建产教融合基地建设项目</v>
      </c>
    </row>
    <row r="3523" hidden="1" spans="2:18">
      <c r="B3523" s="41" t="s">
        <v>186</v>
      </c>
      <c r="C3523" s="71">
        <v>45918</v>
      </c>
      <c r="D3523" s="41" t="str">
        <f>VLOOKUP(B3523,辅助信息!E:K,7,FALSE)</f>
        <v>JWDDCD2025072900123</v>
      </c>
      <c r="E3523" s="41" t="str">
        <f>VLOOKUP(F3523,辅助信息!A:B,2,FALSE)</f>
        <v>螺纹钢</v>
      </c>
      <c r="F3523" s="41" t="s">
        <v>142</v>
      </c>
      <c r="G3523" s="37">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1" t="str">
        <f>VLOOKUP(B3523,辅助信息!E:I,3,FALSE)</f>
        <v>(乐山市校地共建产教融合基地建设项目二标段)四川省乐山市市中区苏稽镇</v>
      </c>
      <c r="J3523" s="41" t="str">
        <f>VLOOKUP(B3523,辅助信息!E:I,4,FALSE)</f>
        <v>彭江涛</v>
      </c>
      <c r="K3523" s="41">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30" t="str">
        <f>VLOOKUP(B3523,辅助信息!E:M,9,FALSE)</f>
        <v>ZTWM-CDGS-XS-2025-0126-四川机司-乐山市校地共建产教融合基地配套设施项目施工二标段钢筋采购合同</v>
      </c>
      <c r="R3523" s="30" t="str">
        <f>_xlfn._xlws.FILTER(辅助信息!D:D,辅助信息!E:E=B3523)</f>
        <v>乐山市校地共建产教融合基地建设项目</v>
      </c>
    </row>
    <row r="3524" hidden="1" spans="2:18">
      <c r="B3524" s="41" t="s">
        <v>186</v>
      </c>
      <c r="C3524" s="71">
        <v>45918</v>
      </c>
      <c r="D3524" s="41" t="str">
        <f>VLOOKUP(B3524,辅助信息!E:K,7,FALSE)</f>
        <v>JWDDCD2025072900123</v>
      </c>
      <c r="E3524" s="41" t="str">
        <f>VLOOKUP(F3524,辅助信息!A:B,2,FALSE)</f>
        <v>盘螺</v>
      </c>
      <c r="F3524" s="41" t="s">
        <v>41</v>
      </c>
      <c r="G3524" s="37">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1" t="str">
        <f>VLOOKUP(B3524,辅助信息!E:I,3,FALSE)</f>
        <v>(乐山市校地共建产教融合基地建设项目二标段)四川省乐山市市中区苏稽镇</v>
      </c>
      <c r="J3524" s="41" t="str">
        <f>VLOOKUP(B3524,辅助信息!E:I,4,FALSE)</f>
        <v>彭江涛</v>
      </c>
      <c r="K3524" s="41">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30" t="str">
        <f>VLOOKUP(B3524,辅助信息!E:M,9,FALSE)</f>
        <v>ZTWM-CDGS-XS-2025-0126-四川机司-乐山市校地共建产教融合基地配套设施项目施工二标段钢筋采购合同</v>
      </c>
      <c r="R3524" s="30" t="str">
        <f>_xlfn._xlws.FILTER(辅助信息!D:D,辅助信息!E:E=B3524)</f>
        <v>乐山市校地共建产教融合基地建设项目</v>
      </c>
    </row>
    <row r="3525" hidden="1" spans="2:18">
      <c r="B3525" s="41" t="s">
        <v>186</v>
      </c>
      <c r="C3525" s="71">
        <v>45918</v>
      </c>
      <c r="D3525" s="41" t="str">
        <f>VLOOKUP(B3525,辅助信息!E:K,7,FALSE)</f>
        <v>JWDDCD2025072900123</v>
      </c>
      <c r="E3525" s="41" t="str">
        <f>VLOOKUP(F3525,辅助信息!A:B,2,FALSE)</f>
        <v>盘螺</v>
      </c>
      <c r="F3525" s="41" t="s">
        <v>26</v>
      </c>
      <c r="G3525" s="37">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1" t="str">
        <f>VLOOKUP(B3525,辅助信息!E:I,3,FALSE)</f>
        <v>(乐山市校地共建产教融合基地建设项目二标段)四川省乐山市市中区苏稽镇</v>
      </c>
      <c r="J3525" s="41" t="str">
        <f>VLOOKUP(B3525,辅助信息!E:I,4,FALSE)</f>
        <v>彭江涛</v>
      </c>
      <c r="K3525" s="41">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30" t="str">
        <f>VLOOKUP(B3525,辅助信息!E:M,9,FALSE)</f>
        <v>ZTWM-CDGS-XS-2025-0126-四川机司-乐山市校地共建产教融合基地配套设施项目施工二标段钢筋采购合同</v>
      </c>
      <c r="R3525" s="30" t="str">
        <f>_xlfn._xlws.FILTER(辅助信息!D:D,辅助信息!E:E=B3525)</f>
        <v>乐山市校地共建产教融合基地建设项目</v>
      </c>
    </row>
    <row r="3526" hidden="1" spans="2:18">
      <c r="B3526" s="41" t="s">
        <v>186</v>
      </c>
      <c r="C3526" s="71">
        <v>45918</v>
      </c>
      <c r="D3526" s="41" t="str">
        <f>VLOOKUP(B3526,辅助信息!E:K,7,FALSE)</f>
        <v>JWDDCD2025072900123</v>
      </c>
      <c r="E3526" s="41" t="str">
        <f>VLOOKUP(F3526,辅助信息!A:B,2,FALSE)</f>
        <v>盘螺</v>
      </c>
      <c r="F3526" s="41" t="s">
        <v>49</v>
      </c>
      <c r="G3526" s="37">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1" t="str">
        <f>VLOOKUP(B3526,辅助信息!E:I,3,FALSE)</f>
        <v>(乐山市校地共建产教融合基地建设项目二标段)四川省乐山市市中区苏稽镇</v>
      </c>
      <c r="J3526" s="41" t="str">
        <f>VLOOKUP(B3526,辅助信息!E:I,4,FALSE)</f>
        <v>彭江涛</v>
      </c>
      <c r="K3526" s="41">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30" t="str">
        <f>VLOOKUP(B3526,辅助信息!E:M,9,FALSE)</f>
        <v>ZTWM-CDGS-XS-2025-0126-四川机司-乐山市校地共建产教融合基地配套设施项目施工二标段钢筋采购合同</v>
      </c>
      <c r="R3526" s="30" t="str">
        <f>_xlfn._xlws.FILTER(辅助信息!D:D,辅助信息!E:E=B3526)</f>
        <v>乐山市校地共建产教融合基地建设项目</v>
      </c>
    </row>
    <row r="3527" hidden="1" spans="2:18">
      <c r="B3527" s="41" t="s">
        <v>186</v>
      </c>
      <c r="C3527" s="71">
        <v>45918</v>
      </c>
      <c r="D3527" s="41" t="str">
        <f>VLOOKUP(B3527,辅助信息!E:K,7,FALSE)</f>
        <v>JWDDCD2025072900123</v>
      </c>
      <c r="E3527" s="41" t="str">
        <f>VLOOKUP(F3527,辅助信息!A:B,2,FALSE)</f>
        <v>盘螺</v>
      </c>
      <c r="F3527" s="41" t="s">
        <v>40</v>
      </c>
      <c r="G3527" s="37">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1" t="str">
        <f>VLOOKUP(B3527,辅助信息!E:I,3,FALSE)</f>
        <v>(乐山市校地共建产教融合基地建设项目二标段)四川省乐山市市中区苏稽镇</v>
      </c>
      <c r="J3527" s="41" t="str">
        <f>VLOOKUP(B3527,辅助信息!E:I,4,FALSE)</f>
        <v>彭江涛</v>
      </c>
      <c r="K3527" s="41">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30" t="str">
        <f>VLOOKUP(B3527,辅助信息!E:M,9,FALSE)</f>
        <v>ZTWM-CDGS-XS-2025-0126-四川机司-乐山市校地共建产教融合基地配套设施项目施工二标段钢筋采购合同</v>
      </c>
      <c r="R3527" s="30"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41</v>
      </c>
      <c r="Q3528" s="30" t="str">
        <f>VLOOKUP(B3528,辅助信息!E:M,9,FALSE)</f>
        <v>ZTWM-CDGS-XS-2024-0134-商投建工达州中医药科技成果示范园项目</v>
      </c>
      <c r="R3528" s="30"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41</v>
      </c>
      <c r="Q3529" s="30" t="str">
        <f>VLOOKUP(B3529,辅助信息!E:M,9,FALSE)</f>
        <v>ZTWM-CDGS-XS-2024-0134-商投建工达州中医药科技成果示范园项目</v>
      </c>
      <c r="R3529" s="30"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41</v>
      </c>
      <c r="Q3530" s="30" t="str">
        <f>VLOOKUP(B3530,辅助信息!E:M,9,FALSE)</f>
        <v>ZTWM-CDGS-XS-2024-0134-商投建工达州中医药科技成果示范园项目</v>
      </c>
      <c r="R3530" s="30"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41</v>
      </c>
      <c r="Q3531" s="30" t="str">
        <f>VLOOKUP(B3531,辅助信息!E:M,9,FALSE)</f>
        <v>ZTWM-CDGS-XS-2024-0134-商投建工达州中医药科技成果示范园项目</v>
      </c>
      <c r="R3531" s="30"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41</v>
      </c>
      <c r="Q3532" s="30" t="str">
        <f>VLOOKUP(B3532,辅助信息!E:M,9,FALSE)</f>
        <v>ZTWM-CDGS-XS-2024-0134-商投建工达州中医药科技成果示范园项目</v>
      </c>
      <c r="R3532" s="30"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41</v>
      </c>
      <c r="Q3533" s="30" t="str">
        <f>VLOOKUP(B3533,辅助信息!E:M,9,FALSE)</f>
        <v>ZTWM-CDGS-XS-2024-0134-商投建工达州中医药科技成果示范园项目</v>
      </c>
      <c r="R3533" s="30"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41</v>
      </c>
      <c r="Q3534" s="30" t="str">
        <f>VLOOKUP(B3534,辅助信息!E:M,9,FALSE)</f>
        <v>ZTWM-CDGS-XS-2025-0033-中铁武汉电气化局集团有限公司成达万高速铁路强电工程项目</v>
      </c>
      <c r="R3534" s="30"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41</v>
      </c>
      <c r="Q3535" s="30" t="str">
        <f>VLOOKUP(B3535,辅助信息!E:M,9,FALSE)</f>
        <v>ZTWM-CDGS-XS-2025-0033-中铁武汉电气化局集团有限公司成达万高速铁路强电工程项目</v>
      </c>
      <c r="R3535" s="30"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41</v>
      </c>
      <c r="Q3536" s="30" t="str">
        <f>VLOOKUP(B3536,辅助信息!E:M,9,FALSE)</f>
        <v>ZTWM-CDGS-XS-2025-0033-中铁武汉电气化局集团有限公司成达万高速铁路强电工程项目</v>
      </c>
      <c r="R3536" s="30"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41</v>
      </c>
      <c r="Q3537" s="30" t="str">
        <f>VLOOKUP(B3537,辅助信息!E:M,9,FALSE)</f>
        <v>ZTWM-CDGS-XS-2025-0033-中铁武汉电气化局集团有限公司成达万高速铁路强电工程项目</v>
      </c>
      <c r="R3537" s="30"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40</v>
      </c>
      <c r="Q3538" s="30" t="str">
        <f>VLOOKUP(B3538,辅助信息!E:M,9,FALSE)</f>
        <v>ZTWM-CDGS-XS-2024-0134-商投建工达州中医药科技成果示范园项目</v>
      </c>
      <c r="R3538" s="30"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40</v>
      </c>
      <c r="Q3539" s="30" t="str">
        <f>VLOOKUP(B3539,辅助信息!E:M,9,FALSE)</f>
        <v>ZTWM-CDGS-XS-2024-0134-商投建工达州中医药科技成果示范园项目</v>
      </c>
      <c r="R3539" s="30"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40</v>
      </c>
      <c r="Q3540" s="30" t="str">
        <f>VLOOKUP(B3540,辅助信息!E:M,9,FALSE)</f>
        <v>ZTWM-CDGS-XS-2024-0134-商投建工达州中医药科技成果示范园项目</v>
      </c>
      <c r="R3540" s="30"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30" t="str">
        <f>VLOOKUP(B3541,辅助信息!E:M,9,FALSE)</f>
        <v>ZTWM-CDGS-XS-2024-0134-商投建工达州中医药科技成果示范园项目</v>
      </c>
      <c r="R3541" s="30"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38</v>
      </c>
      <c r="Q3542" s="30" t="str">
        <f>VLOOKUP(B3542,辅助信息!E:M,9,FALSE)</f>
        <v>ZTWM-CDGS-XS-2025-0073-五冶天府-成都怡心湖片区及龙泉驿医院等项目</v>
      </c>
      <c r="R3542" s="30"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38</v>
      </c>
      <c r="Q3543" s="30" t="str">
        <f>VLOOKUP(B3543,辅助信息!E:M,9,FALSE)</f>
        <v>ZTWM-CDGS-XS-2025-0073-五冶天府-成都怡心湖片区及龙泉驿医院等项目</v>
      </c>
      <c r="R3543" s="30"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38</v>
      </c>
      <c r="Q3544" s="30" t="str">
        <f>VLOOKUP(B3544,辅助信息!E:M,9,FALSE)</f>
        <v>ZTWM-CDGS-XS-2025-0073-五冶天府-成都怡心湖片区及龙泉驿医院等项目</v>
      </c>
      <c r="R3544" s="30"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38</v>
      </c>
      <c r="Q3545" s="30" t="str">
        <f>VLOOKUP(B3545,辅助信息!E:M,9,FALSE)</f>
        <v>ZTWM-CDGS-XS-2024-0030-华西集采-简州大道</v>
      </c>
      <c r="R3545" s="30"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38</v>
      </c>
      <c r="Q3546" s="30" t="str">
        <f>VLOOKUP(B3546,辅助信息!E:M,9,FALSE)</f>
        <v>ZTWM-CDGS-XS-2024-0030-华西集采-简州大道</v>
      </c>
      <c r="R3546" s="30"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38</v>
      </c>
      <c r="Q3547" s="30" t="str">
        <f>VLOOKUP(B3547,辅助信息!E:M,9,FALSE)</f>
        <v>ZTWM-CDGS-XS-2024-0030-华西集采-简州大道</v>
      </c>
      <c r="R3547" s="30"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38</v>
      </c>
      <c r="Q3548" s="30" t="str">
        <f>VLOOKUP(B3548,辅助信息!E:M,9,FALSE)</f>
        <v>ZTWM-CDGS-XS-2024-0030-华西集采-简州大道</v>
      </c>
      <c r="R3548" s="30"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38</v>
      </c>
      <c r="Q3549" s="30" t="str">
        <f>VLOOKUP(B3549,辅助信息!E:M,9,FALSE)</f>
        <v>ZTWM-CDGS-XS-2024-0030-华西集采-简州大道</v>
      </c>
      <c r="R3549" s="30"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38</v>
      </c>
      <c r="Q3550" s="30" t="str">
        <f>VLOOKUP(B3550,辅助信息!E:M,9,FALSE)</f>
        <v>ZTWM-CDGS-XS-2024-0030-华西集采-简州大道</v>
      </c>
      <c r="R3550" s="30"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39</v>
      </c>
      <c r="Q3551" s="30" t="str">
        <f>VLOOKUP(B3551,辅助信息!E:M,9,FALSE)</f>
        <v>ZTWM-CDGS-XS-2025-0126-四川机司-乐山市校地共建产教融合基地配套设施项目施工二标段钢筋采购合同</v>
      </c>
      <c r="R3551" s="30"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39</v>
      </c>
      <c r="Q3552" s="30" t="str">
        <f>VLOOKUP(B3552,辅助信息!E:M,9,FALSE)</f>
        <v>ZTWM-CDGS-XS-2025-0126-四川机司-乐山市校地共建产教融合基地配套设施项目施工二标段钢筋采购合同</v>
      </c>
      <c r="R3552" s="30"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39</v>
      </c>
      <c r="Q3553" s="30" t="str">
        <f>VLOOKUP(B3553,辅助信息!E:M,9,FALSE)</f>
        <v>ZTWM-CDGS-XS-2025-0126-四川机司-乐山市校地共建产教融合基地配套设施项目施工二标段钢筋采购合同</v>
      </c>
      <c r="R3553" s="30"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39</v>
      </c>
      <c r="Q3554" s="30" t="str">
        <f>VLOOKUP(B3554,辅助信息!E:M,9,FALSE)</f>
        <v>ZTWM-CDGS-XS-2025-0126-四川机司-乐山市校地共建产教融合基地配套设施项目施工二标段钢筋采购合同</v>
      </c>
      <c r="R3554" s="30"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39</v>
      </c>
      <c r="Q3555" s="30" t="str">
        <f>VLOOKUP(B3555,辅助信息!E:M,9,FALSE)</f>
        <v>ZTWM-CDGS-XS-2025-0126-四川机司-乐山市校地共建产教融合基地配套设施项目施工二标段钢筋采购合同</v>
      </c>
      <c r="R3555" s="30"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39</v>
      </c>
      <c r="Q3556" s="30" t="str">
        <f>VLOOKUP(B3556,辅助信息!E:M,9,FALSE)</f>
        <v>ZTWM-CDGS-XS-2025-0126-四川机司-乐山市校地共建产教融合基地配套设施项目施工二标段钢筋采购合同</v>
      </c>
      <c r="R3556" s="30"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39</v>
      </c>
      <c r="Q3557" s="30" t="str">
        <f>VLOOKUP(B3557,辅助信息!E:M,9,FALSE)</f>
        <v>ZTWM-CDGS-XS-2025-0126-四川机司-乐山市校地共建产教融合基地配套设施项目施工二标段钢筋采购合同</v>
      </c>
      <c r="R3557" s="30"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39</v>
      </c>
      <c r="Q3558" s="30" t="str">
        <f>VLOOKUP(B3558,辅助信息!E:M,9,FALSE)</f>
        <v>ZTWM-CDGS-XS-2025-0126-四川机司-乐山市校地共建产教融合基地配套设施项目施工二标段钢筋采购合同</v>
      </c>
      <c r="R3558" s="30"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39</v>
      </c>
      <c r="Q3559" s="30" t="str">
        <f>VLOOKUP(B3559,辅助信息!E:M,9,FALSE)</f>
        <v>ZTWM-CDGS-XS-2025-0126-四川机司-乐山市校地共建产教融合基地配套设施项目施工二标段钢筋采购合同</v>
      </c>
      <c r="R3559" s="30"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39</v>
      </c>
      <c r="Q3560" s="30" t="str">
        <f>VLOOKUP(B3560,辅助信息!E:M,9,FALSE)</f>
        <v>ZTWM-CDGS-XS-2025-0126-四川机司-乐山市校地共建产教融合基地配套设施项目施工二标段钢筋采购合同</v>
      </c>
      <c r="R3560" s="30"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39</v>
      </c>
      <c r="Q3561" s="30" t="str">
        <f>VLOOKUP(B3561,辅助信息!E:M,9,FALSE)</f>
        <v>ZTWM-CDGS-XS-2025-0126-四川机司-乐山市校地共建产教融合基地配套设施项目施工二标段钢筋采购合同</v>
      </c>
      <c r="R3561" s="30"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39</v>
      </c>
      <c r="Q3562" s="30" t="str">
        <f>VLOOKUP(B3562,辅助信息!E:M,9,FALSE)</f>
        <v>ZTWM-CDGS-XS-2025-0126-四川机司-乐山市校地共建产教融合基地配套设施项目施工二标段钢筋采购合同</v>
      </c>
      <c r="R3562" s="30"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39</v>
      </c>
      <c r="Q3563" s="30" t="str">
        <f>VLOOKUP(B3563,辅助信息!E:M,9,FALSE)</f>
        <v>ZTWM-CDGS-XS-2025-0126-四川机司-乐山市校地共建产教融合基地配套设施项目施工二标段钢筋采购合同</v>
      </c>
      <c r="R3563" s="30"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39</v>
      </c>
      <c r="Q3564" s="30" t="str">
        <f>VLOOKUP(B3564,辅助信息!E:M,9,FALSE)</f>
        <v>ZTWM-CDGS-XS-2025-0126-四川机司-乐山市校地共建产教融合基地配套设施项目施工二标段钢筋采购合同</v>
      </c>
      <c r="R3564" s="30" t="str">
        <f>_xlfn._xlws.FILTER(辅助信息!D:D,辅助信息!E:E=B3564)</f>
        <v>乐山市校地共建产教融合基地建设项目</v>
      </c>
    </row>
    <row r="3565" hidden="1" spans="2:18">
      <c r="B3565" s="98" t="s">
        <v>187</v>
      </c>
      <c r="C3565" s="71">
        <v>45919</v>
      </c>
      <c r="D3565" s="41" t="str">
        <f>VLOOKUP(B3565,辅助信息!E:K,7,FALSE)</f>
        <v>JWDDCD2025072900121</v>
      </c>
      <c r="E3565" s="41" t="str">
        <f>VLOOKUP(F3565,辅助信息!A:B,2,FALSE)</f>
        <v>盘螺</v>
      </c>
      <c r="F3565" s="41" t="s">
        <v>41</v>
      </c>
      <c r="G3565" s="37">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1" t="str">
        <f>VLOOKUP(B3565,辅助信息!E:I,3,FALSE)</f>
        <v>(乐山市校地共建产教融合基地建设项目一标段)四川省乐山市市中区苏稽镇周山嘴</v>
      </c>
      <c r="J3565" s="41" t="str">
        <f>VLOOKUP(B3565,辅助信息!E:I,4,FALSE)</f>
        <v>范增云</v>
      </c>
      <c r="K3565" s="41">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30" t="str">
        <f>VLOOKUP(B3565,辅助信息!E:M,9,FALSE)</f>
        <v>ZTWM-CDGS-XS-2025-0125-四川机司-乐山市校地共建产教融合基地配套设施项目施工一标段钢筋采购合同</v>
      </c>
      <c r="R3565" s="30" t="str">
        <f>_xlfn._xlws.FILTER(辅助信息!D:D,辅助信息!E:E=B3565)</f>
        <v>乐山市校地共建产教融合基地建设项目</v>
      </c>
    </row>
    <row r="3566" hidden="1" spans="2:18">
      <c r="B3566" s="98" t="s">
        <v>187</v>
      </c>
      <c r="C3566" s="71">
        <v>45919</v>
      </c>
      <c r="D3566" s="41" t="str">
        <f>VLOOKUP(B3566,辅助信息!E:K,7,FALSE)</f>
        <v>JWDDCD2025072900121</v>
      </c>
      <c r="E3566" s="41" t="str">
        <f>VLOOKUP(F3566,辅助信息!A:B,2,FALSE)</f>
        <v>螺纹钢</v>
      </c>
      <c r="F3566" s="41" t="s">
        <v>21</v>
      </c>
      <c r="G3566" s="37">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1" t="str">
        <f>VLOOKUP(B3566,辅助信息!E:I,3,FALSE)</f>
        <v>(乐山市校地共建产教融合基地建设项目一标段)四川省乐山市市中区苏稽镇周山嘴</v>
      </c>
      <c r="J3566" s="41" t="str">
        <f>VLOOKUP(B3566,辅助信息!E:I,4,FALSE)</f>
        <v>范增云</v>
      </c>
      <c r="K3566" s="41">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30" t="str">
        <f>VLOOKUP(B3566,辅助信息!E:M,9,FALSE)</f>
        <v>ZTWM-CDGS-XS-2025-0125-四川机司-乐山市校地共建产教融合基地配套设施项目施工一标段钢筋采购合同</v>
      </c>
      <c r="R3566" s="30" t="str">
        <f>_xlfn._xlws.FILTER(辅助信息!D:D,辅助信息!E:E=B3566)</f>
        <v>乐山市校地共建产教融合基地建设项目</v>
      </c>
    </row>
    <row r="3567" hidden="1" spans="2:18">
      <c r="B3567" s="98" t="s">
        <v>187</v>
      </c>
      <c r="C3567" s="71">
        <v>45919</v>
      </c>
      <c r="D3567" s="41" t="str">
        <f>VLOOKUP(B3567,辅助信息!E:K,7,FALSE)</f>
        <v>JWDDCD2025072900121</v>
      </c>
      <c r="E3567" s="41" t="str">
        <f>VLOOKUP(F3567,辅助信息!A:B,2,FALSE)</f>
        <v>螺纹钢</v>
      </c>
      <c r="F3567" s="41" t="s">
        <v>46</v>
      </c>
      <c r="G3567" s="37">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1" t="str">
        <f>VLOOKUP(B3567,辅助信息!E:I,3,FALSE)</f>
        <v>(乐山市校地共建产教融合基地建设项目一标段)四川省乐山市市中区苏稽镇周山嘴</v>
      </c>
      <c r="J3567" s="41" t="str">
        <f>VLOOKUP(B3567,辅助信息!E:I,4,FALSE)</f>
        <v>范增云</v>
      </c>
      <c r="K3567" s="41">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30" t="str">
        <f>VLOOKUP(B3567,辅助信息!E:M,9,FALSE)</f>
        <v>ZTWM-CDGS-XS-2025-0125-四川机司-乐山市校地共建产教融合基地配套设施项目施工一标段钢筋采购合同</v>
      </c>
      <c r="R3567" s="30" t="str">
        <f>_xlfn._xlws.FILTER(辅助信息!D:D,辅助信息!E:E=B3567)</f>
        <v>乐山市校地共建产教融合基地建设项目</v>
      </c>
    </row>
    <row r="3568" hidden="1" spans="2:18">
      <c r="B3568" s="98" t="s">
        <v>187</v>
      </c>
      <c r="C3568" s="71">
        <v>45919</v>
      </c>
      <c r="D3568" s="41" t="str">
        <f>VLOOKUP(B3568,辅助信息!E:K,7,FALSE)</f>
        <v>JWDDCD2025072900121</v>
      </c>
      <c r="E3568" s="41" t="str">
        <f>VLOOKUP(F3568,辅助信息!A:B,2,FALSE)</f>
        <v>螺纹钢</v>
      </c>
      <c r="F3568" s="41" t="s">
        <v>22</v>
      </c>
      <c r="G3568" s="37">
        <v>10</v>
      </c>
      <c r="H3568" s="135">
        <v>10</v>
      </c>
      <c r="I3568" s="41" t="str">
        <f>VLOOKUP(B3568,辅助信息!E:I,3,FALSE)</f>
        <v>(乐山市校地共建产教融合基地建设项目一标段)四川省乐山市市中区苏稽镇周山嘴</v>
      </c>
      <c r="J3568" s="41" t="str">
        <f>VLOOKUP(B3568,辅助信息!E:I,4,FALSE)</f>
        <v>范增云</v>
      </c>
      <c r="K3568" s="41">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30" t="str">
        <f>VLOOKUP(B3568,辅助信息!E:M,9,FALSE)</f>
        <v>ZTWM-CDGS-XS-2025-0125-四川机司-乐山市校地共建产教融合基地配套设施项目施工一标段钢筋采购合同</v>
      </c>
      <c r="R3568" s="30" t="str">
        <f>_xlfn._xlws.FILTER(辅助信息!D:D,辅助信息!E:E=B3568)</f>
        <v>乐山市校地共建产教融合基地建设项目</v>
      </c>
    </row>
    <row r="3569" hidden="1" spans="2:18">
      <c r="B3569" s="98" t="s">
        <v>187</v>
      </c>
      <c r="C3569" s="71">
        <v>45919</v>
      </c>
      <c r="D3569" s="41" t="str">
        <f>VLOOKUP(B3569,辅助信息!E:K,7,FALSE)</f>
        <v>JWDDCD2025072900121</v>
      </c>
      <c r="E3569" s="41" t="str">
        <f>VLOOKUP(F3569,辅助信息!A:B,2,FALSE)</f>
        <v>螺纹钢</v>
      </c>
      <c r="F3569" s="41" t="s">
        <v>181</v>
      </c>
      <c r="G3569" s="37">
        <v>5</v>
      </c>
      <c r="H3569" s="135">
        <v>5</v>
      </c>
      <c r="I3569" s="41" t="str">
        <f>VLOOKUP(B3569,辅助信息!E:I,3,FALSE)</f>
        <v>(乐山市校地共建产教融合基地建设项目一标段)四川省乐山市市中区苏稽镇周山嘴</v>
      </c>
      <c r="J3569" s="41" t="str">
        <f>VLOOKUP(B3569,辅助信息!E:I,4,FALSE)</f>
        <v>范增云</v>
      </c>
      <c r="K3569" s="41">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30" t="str">
        <f>VLOOKUP(B3569,辅助信息!E:M,9,FALSE)</f>
        <v>ZTWM-CDGS-XS-2025-0125-四川机司-乐山市校地共建产教融合基地配套设施项目施工一标段钢筋采购合同</v>
      </c>
      <c r="R3569" s="30" t="str">
        <f>_xlfn._xlws.FILTER(辅助信息!D:D,辅助信息!E:E=B3569)</f>
        <v>乐山市校地共建产教融合基地建设项目</v>
      </c>
    </row>
    <row r="3570" hidden="1" spans="2:18">
      <c r="B3570" s="98" t="s">
        <v>187</v>
      </c>
      <c r="C3570" s="71">
        <v>45919</v>
      </c>
      <c r="D3570" s="41" t="str">
        <f>VLOOKUP(B3570,辅助信息!E:K,7,FALSE)</f>
        <v>JWDDCD2025072900121</v>
      </c>
      <c r="E3570" s="41" t="str">
        <f>VLOOKUP(F3570,辅助信息!A:B,2,FALSE)</f>
        <v>螺纹钢</v>
      </c>
      <c r="F3570" s="41" t="s">
        <v>22</v>
      </c>
      <c r="G3570" s="37">
        <v>20</v>
      </c>
      <c r="H3570" s="135">
        <v>20</v>
      </c>
      <c r="I3570" s="41" t="str">
        <f>VLOOKUP(B3570,辅助信息!E:I,3,FALSE)</f>
        <v>(乐山市校地共建产教融合基地建设项目一标段)四川省乐山市市中区苏稽镇周山嘴</v>
      </c>
      <c r="J3570" s="41" t="str">
        <f>VLOOKUP(B3570,辅助信息!E:I,4,FALSE)</f>
        <v>范增云</v>
      </c>
      <c r="K3570" s="41">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30" t="str">
        <f>VLOOKUP(B3570,辅助信息!E:M,9,FALSE)</f>
        <v>ZTWM-CDGS-XS-2025-0125-四川机司-乐山市校地共建产教融合基地配套设施项目施工一标段钢筋采购合同</v>
      </c>
      <c r="R3570" s="30" t="str">
        <f>_xlfn._xlws.FILTER(辅助信息!D:D,辅助信息!E:E=B3570)</f>
        <v>乐山市校地共建产教融合基地建设项目</v>
      </c>
    </row>
    <row r="3571" hidden="1" spans="2:18">
      <c r="B3571" s="98" t="s">
        <v>187</v>
      </c>
      <c r="C3571" s="71">
        <v>45919</v>
      </c>
      <c r="D3571" s="41" t="str">
        <f>VLOOKUP(B3571,辅助信息!E:K,7,FALSE)</f>
        <v>JWDDCD2025072900121</v>
      </c>
      <c r="E3571" s="41" t="str">
        <f>VLOOKUP(F3571,辅助信息!A:B,2,FALSE)</f>
        <v>螺纹钢</v>
      </c>
      <c r="F3571" s="41" t="s">
        <v>142</v>
      </c>
      <c r="G3571" s="37">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1" t="str">
        <f>VLOOKUP(B3571,辅助信息!E:I,3,FALSE)</f>
        <v>(乐山市校地共建产教融合基地建设项目一标段)四川省乐山市市中区苏稽镇周山嘴</v>
      </c>
      <c r="J3571" s="41" t="str">
        <f>VLOOKUP(B3571,辅助信息!E:I,4,FALSE)</f>
        <v>范增云</v>
      </c>
      <c r="K3571" s="41">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30" t="str">
        <f>VLOOKUP(B3571,辅助信息!E:M,9,FALSE)</f>
        <v>ZTWM-CDGS-XS-2025-0125-四川机司-乐山市校地共建产教融合基地配套设施项目施工一标段钢筋采购合同</v>
      </c>
      <c r="R3571" s="30" t="str">
        <f>_xlfn._xlws.FILTER(辅助信息!D:D,辅助信息!E:E=B3571)</f>
        <v>乐山市校地共建产教融合基地建设项目</v>
      </c>
    </row>
    <row r="3572" hidden="1" spans="2:18">
      <c r="B3572" s="41" t="s">
        <v>194</v>
      </c>
      <c r="C3572" s="71">
        <v>45919</v>
      </c>
      <c r="D3572" s="41" t="str">
        <f>VLOOKUP(B3572,辅助信息!E:K,7,FALSE)</f>
        <v>JWDD2025071500089</v>
      </c>
      <c r="E3572" s="41" t="str">
        <f>VLOOKUP(F3572,辅助信息!A:B,2,FALSE)</f>
        <v>盘螺</v>
      </c>
      <c r="F3572" s="41"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1" t="str">
        <f>VLOOKUP(B3572,辅助信息!E:I,3,FALSE)</f>
        <v>(宜宾兴港三江新区长江工业园保障性租赁住房建设项目-土建)四川省宜宾市翠屏区永善路南段宜宾市三江新区长江工业园区</v>
      </c>
      <c r="J3572" s="41" t="str">
        <f>VLOOKUP(B3572,辅助信息!E:I,4,FALSE)</f>
        <v>赵元虎</v>
      </c>
      <c r="K3572" s="41">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39</v>
      </c>
      <c r="Q3572" s="30" t="str">
        <f>VLOOKUP(B3572,辅助信息!E:M,9,FALSE)</f>
        <v>ZTWM-CDYXGS-XS-2025-0014-宜宾兴港建材-三江新区长江工业园片区保障性租赁住房建设项目</v>
      </c>
      <c r="R3572" s="30" t="str">
        <f>_xlfn._xlws.FILTER(辅助信息!D:D,辅助信息!E:E=B3572)</f>
        <v>宜宾兴港三江新区长江工业园建设项目</v>
      </c>
    </row>
    <row r="3573" hidden="1" spans="2:18">
      <c r="B3573" s="41" t="s">
        <v>194</v>
      </c>
      <c r="C3573" s="71">
        <v>45919</v>
      </c>
      <c r="D3573" s="41" t="str">
        <f>VLOOKUP(B3573,辅助信息!E:K,7,FALSE)</f>
        <v>JWDD2025071500089</v>
      </c>
      <c r="E3573" s="41" t="str">
        <f>VLOOKUP(F3573,辅助信息!A:B,2,FALSE)</f>
        <v>盘螺</v>
      </c>
      <c r="F3573" s="41"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1" t="str">
        <f>VLOOKUP(B3573,辅助信息!E:I,3,FALSE)</f>
        <v>(宜宾兴港三江新区长江工业园保障性租赁住房建设项目-土建)四川省宜宾市翠屏区永善路南段宜宾市三江新区长江工业园区</v>
      </c>
      <c r="J3573" s="41" t="str">
        <f>VLOOKUP(B3573,辅助信息!E:I,4,FALSE)</f>
        <v>赵元虎</v>
      </c>
      <c r="K3573" s="41">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39</v>
      </c>
      <c r="Q3573" s="30" t="str">
        <f>VLOOKUP(B3573,辅助信息!E:M,9,FALSE)</f>
        <v>ZTWM-CDYXGS-XS-2025-0014-宜宾兴港建材-三江新区长江工业园片区保障性租赁住房建设项目</v>
      </c>
      <c r="R3573" s="30" t="str">
        <f>_xlfn._xlws.FILTER(辅助信息!D:D,辅助信息!E:E=B3573)</f>
        <v>宜宾兴港三江新区长江工业园建设项目</v>
      </c>
    </row>
    <row r="3574" hidden="1" spans="2:18">
      <c r="B3574" s="41" t="s">
        <v>194</v>
      </c>
      <c r="C3574" s="71">
        <v>45919</v>
      </c>
      <c r="D3574" s="41" t="str">
        <f>VLOOKUP(B3574,辅助信息!E:K,7,FALSE)</f>
        <v>JWDD2025071500089</v>
      </c>
      <c r="E3574" s="41" t="str">
        <f>VLOOKUP(F3574,辅助信息!A:B,2,FALSE)</f>
        <v>螺纹钢</v>
      </c>
      <c r="F3574" s="41"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1" t="str">
        <f>VLOOKUP(B3574,辅助信息!E:I,3,FALSE)</f>
        <v>(宜宾兴港三江新区长江工业园保障性租赁住房建设项目-土建)四川省宜宾市翠屏区永善路南段宜宾市三江新区长江工业园区</v>
      </c>
      <c r="J3574" s="41" t="str">
        <f>VLOOKUP(B3574,辅助信息!E:I,4,FALSE)</f>
        <v>赵元虎</v>
      </c>
      <c r="K3574" s="41">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39</v>
      </c>
      <c r="Q3574" s="30" t="str">
        <f>VLOOKUP(B3574,辅助信息!E:M,9,FALSE)</f>
        <v>ZTWM-CDYXGS-XS-2025-0014-宜宾兴港建材-三江新区长江工业园片区保障性租赁住房建设项目</v>
      </c>
      <c r="R3574" s="30" t="str">
        <f>_xlfn._xlws.FILTER(辅助信息!D:D,辅助信息!E:E=B3574)</f>
        <v>宜宾兴港三江新区长江工业园建设项目</v>
      </c>
    </row>
    <row r="3575" hidden="1" spans="2:18">
      <c r="B3575" s="41" t="s">
        <v>194</v>
      </c>
      <c r="C3575" s="71">
        <v>45919</v>
      </c>
      <c r="D3575" s="41" t="str">
        <f>VLOOKUP(B3575,辅助信息!E:K,7,FALSE)</f>
        <v>JWDD2025071500089</v>
      </c>
      <c r="E3575" s="41" t="str">
        <f>VLOOKUP(F3575,辅助信息!A:B,2,FALSE)</f>
        <v>螺纹钢</v>
      </c>
      <c r="F3575" s="41"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1" t="str">
        <f>VLOOKUP(B3575,辅助信息!E:I,3,FALSE)</f>
        <v>(宜宾兴港三江新区长江工业园保障性租赁住房建设项目-土建)四川省宜宾市翠屏区永善路南段宜宾市三江新区长江工业园区</v>
      </c>
      <c r="J3575" s="41" t="str">
        <f>VLOOKUP(B3575,辅助信息!E:I,4,FALSE)</f>
        <v>赵元虎</v>
      </c>
      <c r="K3575" s="41">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39</v>
      </c>
      <c r="Q3575" s="30" t="str">
        <f>VLOOKUP(B3575,辅助信息!E:M,9,FALSE)</f>
        <v>ZTWM-CDYXGS-XS-2025-0014-宜宾兴港建材-三江新区长江工业园片区保障性租赁住房建设项目</v>
      </c>
      <c r="R3575" s="30" t="str">
        <f>_xlfn._xlws.FILTER(辅助信息!D:D,辅助信息!E:E=B3575)</f>
        <v>宜宾兴港三江新区长江工业园建设项目</v>
      </c>
    </row>
    <row r="3576" hidden="1" spans="2:18">
      <c r="B3576" s="41" t="s">
        <v>194</v>
      </c>
      <c r="C3576" s="71">
        <v>45919</v>
      </c>
      <c r="D3576" s="41" t="str">
        <f>VLOOKUP(B3576,辅助信息!E:K,7,FALSE)</f>
        <v>JWDD2025071500089</v>
      </c>
      <c r="E3576" s="41" t="str">
        <f>VLOOKUP(F3576,辅助信息!A:B,2,FALSE)</f>
        <v>螺纹钢</v>
      </c>
      <c r="F3576" s="41"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1" t="str">
        <f>VLOOKUP(B3576,辅助信息!E:I,3,FALSE)</f>
        <v>(宜宾兴港三江新区长江工业园保障性租赁住房建设项目-土建)四川省宜宾市翠屏区永善路南段宜宾市三江新区长江工业园区</v>
      </c>
      <c r="J3576" s="41" t="str">
        <f>VLOOKUP(B3576,辅助信息!E:I,4,FALSE)</f>
        <v>赵元虎</v>
      </c>
      <c r="K3576" s="41">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39</v>
      </c>
      <c r="Q3576" s="30" t="str">
        <f>VLOOKUP(B3576,辅助信息!E:M,9,FALSE)</f>
        <v>ZTWM-CDYXGS-XS-2025-0014-宜宾兴港建材-三江新区长江工业园片区保障性租赁住房建设项目</v>
      </c>
      <c r="R3576" s="30" t="str">
        <f>_xlfn._xlws.FILTER(辅助信息!D:D,辅助信息!E:E=B3576)</f>
        <v>宜宾兴港三江新区长江工业园建设项目</v>
      </c>
    </row>
    <row r="3577" hidden="1" spans="2:18">
      <c r="B3577" s="41" t="s">
        <v>194</v>
      </c>
      <c r="C3577" s="71">
        <v>45919</v>
      </c>
      <c r="D3577" s="41" t="str">
        <f>VLOOKUP(B3577,辅助信息!E:K,7,FALSE)</f>
        <v>JWDD2025071500089</v>
      </c>
      <c r="E3577" s="41" t="str">
        <f>VLOOKUP(F3577,辅助信息!A:B,2,FALSE)</f>
        <v>螺纹钢</v>
      </c>
      <c r="F3577" s="41"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1" t="str">
        <f>VLOOKUP(B3577,辅助信息!E:I,3,FALSE)</f>
        <v>(宜宾兴港三江新区长江工业园保障性租赁住房建设项目-土建)四川省宜宾市翠屏区永善路南段宜宾市三江新区长江工业园区</v>
      </c>
      <c r="J3577" s="41" t="str">
        <f>VLOOKUP(B3577,辅助信息!E:I,4,FALSE)</f>
        <v>赵元虎</v>
      </c>
      <c r="K3577" s="41">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39</v>
      </c>
      <c r="Q3577" s="30" t="str">
        <f>VLOOKUP(B3577,辅助信息!E:M,9,FALSE)</f>
        <v>ZTWM-CDYXGS-XS-2025-0014-宜宾兴港建材-三江新区长江工业园片区保障性租赁住房建设项目</v>
      </c>
      <c r="R3577" s="30" t="str">
        <f>_xlfn._xlws.FILTER(辅助信息!D:D,辅助信息!E:E=B3577)</f>
        <v>宜宾兴港三江新区长江工业园建设项目</v>
      </c>
    </row>
    <row r="3578" hidden="1" spans="2:18">
      <c r="B3578" s="41" t="s">
        <v>194</v>
      </c>
      <c r="C3578" s="71">
        <v>45919</v>
      </c>
      <c r="D3578" s="41" t="str">
        <f>VLOOKUP(B3578,辅助信息!E:K,7,FALSE)</f>
        <v>JWDD2025071500089</v>
      </c>
      <c r="E3578" s="41" t="str">
        <f>VLOOKUP(F3578,辅助信息!A:B,2,FALSE)</f>
        <v>螺纹钢</v>
      </c>
      <c r="F3578" s="41"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1" t="str">
        <f>VLOOKUP(B3578,辅助信息!E:I,3,FALSE)</f>
        <v>(宜宾兴港三江新区长江工业园保障性租赁住房建设项目-土建)四川省宜宾市翠屏区永善路南段宜宾市三江新区长江工业园区</v>
      </c>
      <c r="J3578" s="41" t="str">
        <f>VLOOKUP(B3578,辅助信息!E:I,4,FALSE)</f>
        <v>赵元虎</v>
      </c>
      <c r="K3578" s="41">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39</v>
      </c>
      <c r="Q3578" s="30" t="str">
        <f>VLOOKUP(B3578,辅助信息!E:M,9,FALSE)</f>
        <v>ZTWM-CDYXGS-XS-2025-0014-宜宾兴港建材-三江新区长江工业园片区保障性租赁住房建设项目</v>
      </c>
      <c r="R3578" s="30" t="str">
        <f>_xlfn._xlws.FILTER(辅助信息!D:D,辅助信息!E:E=B3578)</f>
        <v>宜宾兴港三江新区长江工业园建设项目</v>
      </c>
    </row>
    <row r="3579" hidden="1" spans="2:18">
      <c r="B3579" s="41" t="s">
        <v>194</v>
      </c>
      <c r="C3579" s="71">
        <v>45919</v>
      </c>
      <c r="D3579" s="41" t="str">
        <f>VLOOKUP(B3579,辅助信息!E:K,7,FALSE)</f>
        <v>JWDD2025071500089</v>
      </c>
      <c r="E3579" s="41" t="str">
        <f>VLOOKUP(F3579,辅助信息!A:B,2,FALSE)</f>
        <v>螺纹钢</v>
      </c>
      <c r="F3579" s="41"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1" t="str">
        <f>VLOOKUP(B3579,辅助信息!E:I,3,FALSE)</f>
        <v>(宜宾兴港三江新区长江工业园保障性租赁住房建设项目-土建)四川省宜宾市翠屏区永善路南段宜宾市三江新区长江工业园区</v>
      </c>
      <c r="J3579" s="41" t="str">
        <f>VLOOKUP(B3579,辅助信息!E:I,4,FALSE)</f>
        <v>赵元虎</v>
      </c>
      <c r="K3579" s="41">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39</v>
      </c>
      <c r="Q3579" s="30" t="str">
        <f>VLOOKUP(B3579,辅助信息!E:M,9,FALSE)</f>
        <v>ZTWM-CDYXGS-XS-2025-0014-宜宾兴港建材-三江新区长江工业园片区保障性租赁住房建设项目</v>
      </c>
      <c r="R3579" s="30" t="str">
        <f>_xlfn._xlws.FILTER(辅助信息!D:D,辅助信息!E:E=B3579)</f>
        <v>宜宾兴港三江新区长江工业园建设项目</v>
      </c>
    </row>
    <row r="3580" hidden="1" spans="2:18">
      <c r="B3580" s="41" t="s">
        <v>194</v>
      </c>
      <c r="C3580" s="71">
        <v>45919</v>
      </c>
      <c r="D3580" s="41" t="str">
        <f>VLOOKUP(B3580,辅助信息!E:K,7,FALSE)</f>
        <v>JWDD2025071500089</v>
      </c>
      <c r="E3580" s="41" t="str">
        <f>VLOOKUP(F3580,辅助信息!A:B,2,FALSE)</f>
        <v>盘螺</v>
      </c>
      <c r="F3580" s="41"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1" t="str">
        <f>VLOOKUP(B3580,辅助信息!E:I,3,FALSE)</f>
        <v>(宜宾兴港三江新区长江工业园保障性租赁住房建设项目-土建)四川省宜宾市翠屏区永善路南段宜宾市三江新区长江工业园区</v>
      </c>
      <c r="J3580" s="41" t="str">
        <f>VLOOKUP(B3580,辅助信息!E:I,4,FALSE)</f>
        <v>赵元虎</v>
      </c>
      <c r="K3580" s="41">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39</v>
      </c>
      <c r="Q3580" s="30" t="str">
        <f>VLOOKUP(B3580,辅助信息!E:M,9,FALSE)</f>
        <v>ZTWM-CDYXGS-XS-2025-0014-宜宾兴港建材-三江新区长江工业园片区保障性租赁住房建设项目</v>
      </c>
      <c r="R3580" s="30" t="str">
        <f>_xlfn._xlws.FILTER(辅助信息!D:D,辅助信息!E:E=B3580)</f>
        <v>宜宾兴港三江新区长江工业园建设项目</v>
      </c>
    </row>
    <row r="3581" hidden="1" spans="2:18">
      <c r="B3581" s="41" t="s">
        <v>194</v>
      </c>
      <c r="C3581" s="71">
        <v>45919</v>
      </c>
      <c r="D3581" s="41" t="str">
        <f>VLOOKUP(B3581,辅助信息!E:K,7,FALSE)</f>
        <v>JWDD2025071500089</v>
      </c>
      <c r="E3581" s="41" t="str">
        <f>VLOOKUP(F3581,辅助信息!A:B,2,FALSE)</f>
        <v>盘螺</v>
      </c>
      <c r="F3581" s="41"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1" t="str">
        <f>VLOOKUP(B3581,辅助信息!E:I,3,FALSE)</f>
        <v>(宜宾兴港三江新区长江工业园保障性租赁住房建设项目-土建)四川省宜宾市翠屏区永善路南段宜宾市三江新区长江工业园区</v>
      </c>
      <c r="J3581" s="41" t="str">
        <f>VLOOKUP(B3581,辅助信息!E:I,4,FALSE)</f>
        <v>赵元虎</v>
      </c>
      <c r="K3581" s="41">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39</v>
      </c>
      <c r="Q3581" s="30" t="str">
        <f>VLOOKUP(B3581,辅助信息!E:M,9,FALSE)</f>
        <v>ZTWM-CDYXGS-XS-2025-0014-宜宾兴港建材-三江新区长江工业园片区保障性租赁住房建设项目</v>
      </c>
      <c r="R3581" s="30"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41</v>
      </c>
      <c r="Q3582" s="30" t="str">
        <f>VLOOKUP(B3582,辅助信息!E:M,9,FALSE)</f>
        <v>ZTWM-CDGS-XS-2025-0033-中铁武汉电气化局集团有限公司成达万高速铁路强电工程项目</v>
      </c>
      <c r="R3582" s="30"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41</v>
      </c>
      <c r="Q3583" s="30" t="str">
        <f>VLOOKUP(B3583,辅助信息!E:M,9,FALSE)</f>
        <v>ZTWM-CDGS-XS-2025-0033-中铁武汉电气化局集团有限公司成达万高速铁路强电工程项目</v>
      </c>
      <c r="R3583" s="30"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41</v>
      </c>
      <c r="Q3584" s="30" t="str">
        <f>VLOOKUP(B3584,辅助信息!E:M,9,FALSE)</f>
        <v>ZTWM-CDGS-XS-2025-0033-中铁武汉电气化局集团有限公司成达万高速铁路强电工程项目</v>
      </c>
      <c r="R3584" s="30"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41</v>
      </c>
      <c r="Q3585" s="30" t="str">
        <f>VLOOKUP(B3585,辅助信息!E:M,9,FALSE)</f>
        <v>ZTWM-CDGS-XS-2025-0033-中铁武汉电气化局集团有限公司成达万高速铁路强电工程项目</v>
      </c>
      <c r="R3585" s="30"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40</v>
      </c>
      <c r="Q3586" s="30" t="str">
        <f>VLOOKUP(B3586,辅助信息!E:M,9,FALSE)</f>
        <v>ZTWM-CDGS-XS-2024-0134-商投建工达州中医药科技成果示范园项目</v>
      </c>
      <c r="R3586" s="30"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38</v>
      </c>
      <c r="Q3587" s="30" t="str">
        <f>VLOOKUP(B3587,辅助信息!E:M,9,FALSE)</f>
        <v>ZTWM-CDGS-XS-2025-0073-五冶天府-成都怡心湖片区及龙泉驿医院等项目</v>
      </c>
      <c r="R3587" s="30"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38</v>
      </c>
      <c r="Q3588" s="30" t="str">
        <f>VLOOKUP(B3588,辅助信息!E:M,9,FALSE)</f>
        <v>ZTWM-CDGS-XS-2025-0073-五冶天府-成都怡心湖片区及龙泉驿医院等项目</v>
      </c>
      <c r="R3588" s="30"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38</v>
      </c>
      <c r="Q3589" s="30" t="str">
        <f>VLOOKUP(B3589,辅助信息!E:M,9,FALSE)</f>
        <v>ZTWM-CDGS-XS-2025-0073-五冶天府-成都怡心湖片区及龙泉驿医院等项目</v>
      </c>
      <c r="R3589" s="30"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38</v>
      </c>
      <c r="Q3590" s="30" t="str">
        <f>VLOOKUP(B3590,辅助信息!E:M,9,FALSE)</f>
        <v>ZTWM-CDGS-XS-2024-0030-华西集采-简州大道</v>
      </c>
      <c r="R3590" s="30"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38</v>
      </c>
      <c r="Q3591" s="30" t="str">
        <f>VLOOKUP(B3591,辅助信息!E:M,9,FALSE)</f>
        <v>ZTWM-CDGS-XS-2024-0030-华西集采-简州大道</v>
      </c>
      <c r="R3591" s="30"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38</v>
      </c>
      <c r="Q3592" s="30" t="str">
        <f>VLOOKUP(B3592,辅助信息!E:M,9,FALSE)</f>
        <v>ZTWM-CDGS-XS-2024-0030-华西集采-简州大道</v>
      </c>
      <c r="R3592" s="30"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38</v>
      </c>
      <c r="Q3593" s="30" t="str">
        <f>VLOOKUP(B3593,辅助信息!E:M,9,FALSE)</f>
        <v>ZTWM-CDGS-XS-2024-0030-华西集采-简州大道</v>
      </c>
      <c r="R3593" s="30"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39</v>
      </c>
      <c r="Q3594" s="30" t="str">
        <f>VLOOKUP(B3594,辅助信息!E:M,9,FALSE)</f>
        <v>ZTWM-CDYXGS-XS-2025-0014-宜宾兴港建材-三江新区长江工业园片区保障性租赁住房建设项目</v>
      </c>
      <c r="R3594" s="30"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39</v>
      </c>
      <c r="Q3595" s="30" t="str">
        <f>VLOOKUP(B3595,辅助信息!E:M,9,FALSE)</f>
        <v>ZTWM-CDYXGS-XS-2025-0014-宜宾兴港建材-三江新区长江工业园片区保障性租赁住房建设项目</v>
      </c>
      <c r="R3595" s="30" t="str">
        <f>_xlfn._xlws.FILTER(辅助信息!D:D,辅助信息!E:E=B3595)</f>
        <v>宜宾兴港三江新区长江工业园建设项目</v>
      </c>
    </row>
    <row r="3596" hidden="1" spans="2:18">
      <c r="B3596" s="41" t="s">
        <v>169</v>
      </c>
      <c r="C3596" s="71">
        <v>45922</v>
      </c>
      <c r="D3596" s="41" t="str">
        <f>VLOOKUP(B3596,辅助信息!E:K,7,FALSE)</f>
        <v>JWDDCD2025051800044</v>
      </c>
      <c r="E3596" s="41" t="str">
        <f>VLOOKUP(F3596,辅助信息!A:B,2,FALSE)</f>
        <v>螺纹钢</v>
      </c>
      <c r="F3596" s="41" t="s">
        <v>28</v>
      </c>
      <c r="G3596" s="37">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1" t="str">
        <f>VLOOKUP(B3596,辅助信息!E:I,3,FALSE)</f>
        <v>(五冶建设龙泉芙蓉花语项目-1,3地块)龙泉驿区北川路双堰塘钓鱼东100米(北川路)</v>
      </c>
      <c r="J3596" s="41" t="str">
        <f>VLOOKUP(B3596,辅助信息!E:I,4,FALSE)</f>
        <v>祝斯阳</v>
      </c>
      <c r="K3596" s="41">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37</v>
      </c>
      <c r="Q3596" s="30" t="str">
        <f>VLOOKUP(B3596,辅助信息!E:M,9,FALSE)</f>
        <v>ZTWM-CDGS-XS-2025-0073-五冶天府-成都怡心湖片区及龙泉驿医院等项目</v>
      </c>
      <c r="R3596" s="30" t="str">
        <f>_xlfn._xlws.FILTER(辅助信息!D:D,辅助信息!E:E=B3596)</f>
        <v>五冶建设龙泉芙蓉花语项目</v>
      </c>
    </row>
    <row r="3597" hidden="1" spans="2:18">
      <c r="B3597" s="41" t="s">
        <v>31</v>
      </c>
      <c r="C3597" s="71">
        <v>45922</v>
      </c>
      <c r="D3597" s="41" t="str">
        <f>VLOOKUP(B3597,辅助信息!E:K,7,FALSE)</f>
        <v>JWDDCD2024121000136</v>
      </c>
      <c r="E3597" s="41" t="str">
        <f>VLOOKUP(F3597,辅助信息!A:B,2,FALSE)</f>
        <v>盘螺</v>
      </c>
      <c r="F3597" s="41" t="s">
        <v>49</v>
      </c>
      <c r="G3597" s="37">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1" t="str">
        <f>VLOOKUP(B3597,辅助信息!E:I,3,FALSE)</f>
        <v>（四川商建-射洪城乡一体化项目）遂宁市射洪市忠新幼儿园北侧约220米新溪小区</v>
      </c>
      <c r="J3597" s="41" t="str">
        <f>VLOOKUP(B3597,辅助信息!E:I,4,FALSE)</f>
        <v>柏子刚</v>
      </c>
      <c r="K3597" s="41">
        <f>VLOOKUP(J3597,辅助信息!H:I,2,FALSE)</f>
        <v>15692885305</v>
      </c>
      <c r="L3597" s="110" t="str">
        <f>VLOOKUP(B3597,辅助信息!E:J,6,FALSE)</f>
        <v>提前联系到场规格及数量</v>
      </c>
      <c r="M3597" s="92">
        <v>45922</v>
      </c>
      <c r="O3597" s="63">
        <f ca="1" t="shared" si="194"/>
        <v>0</v>
      </c>
      <c r="P3597" s="63">
        <f ca="1" t="shared" si="195"/>
        <v>37</v>
      </c>
      <c r="Q3597" s="30" t="str">
        <f>VLOOKUP(B3597,辅助信息!E:M,9,FALSE)</f>
        <v>ZTWM-CDGS-XS-2024-0179-四川商投-射洪城乡一体化建设项目</v>
      </c>
      <c r="R3597" s="30" t="str">
        <f>_xlfn._xlws.FILTER(辅助信息!D:D,辅助信息!E:E=B3597)</f>
        <v>四川商建
射洪城乡一体化项目</v>
      </c>
    </row>
    <row r="3598" hidden="1" spans="2:18">
      <c r="B3598" s="41" t="s">
        <v>31</v>
      </c>
      <c r="C3598" s="71">
        <v>45922</v>
      </c>
      <c r="D3598" s="41" t="str">
        <f>VLOOKUP(B3598,辅助信息!E:K,7,FALSE)</f>
        <v>JWDDCD2024121000136</v>
      </c>
      <c r="E3598" s="41" t="str">
        <f>VLOOKUP(F3598,辅助信息!A:B,2,FALSE)</f>
        <v>螺纹钢</v>
      </c>
      <c r="F3598" s="41" t="s">
        <v>18</v>
      </c>
      <c r="G3598" s="37">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1" t="str">
        <f>VLOOKUP(B3598,辅助信息!E:I,3,FALSE)</f>
        <v>（四川商建-射洪城乡一体化项目）遂宁市射洪市忠新幼儿园北侧约220米新溪小区</v>
      </c>
      <c r="J3598" s="41" t="str">
        <f>VLOOKUP(B3598,辅助信息!E:I,4,FALSE)</f>
        <v>柏子刚</v>
      </c>
      <c r="K3598" s="41">
        <f>VLOOKUP(J3598,辅助信息!H:I,2,FALSE)</f>
        <v>15692885305</v>
      </c>
      <c r="L3598" s="110" t="str">
        <f>VLOOKUP(B3598,辅助信息!E:J,6,FALSE)</f>
        <v>提前联系到场规格及数量</v>
      </c>
      <c r="M3598" s="92">
        <v>45922</v>
      </c>
      <c r="O3598" s="63">
        <f ca="1" t="shared" si="194"/>
        <v>0</v>
      </c>
      <c r="P3598" s="63">
        <f ca="1" t="shared" si="195"/>
        <v>37</v>
      </c>
      <c r="Q3598" s="30" t="str">
        <f>VLOOKUP(B3598,辅助信息!E:M,9,FALSE)</f>
        <v>ZTWM-CDGS-XS-2024-0179-四川商投-射洪城乡一体化建设项目</v>
      </c>
      <c r="R3598" s="30" t="str">
        <f>_xlfn._xlws.FILTER(辅助信息!D:D,辅助信息!E:E=B3598)</f>
        <v>四川商建
射洪城乡一体化项目</v>
      </c>
    </row>
    <row r="3599" hidden="1" spans="2:18">
      <c r="B3599" s="41" t="s">
        <v>176</v>
      </c>
      <c r="C3599" s="71">
        <v>45921</v>
      </c>
      <c r="D3599" s="41" t="str">
        <f>VLOOKUP(B3599,辅助信息!E:K,7,FALSE)</f>
        <v>JWDDCD2025062200016</v>
      </c>
      <c r="E3599" s="41" t="str">
        <f>VLOOKUP(F3599,辅助信息!A:B,2,FALSE)</f>
        <v>盘螺</v>
      </c>
      <c r="F3599" s="41" t="s">
        <v>40</v>
      </c>
      <c r="G3599" s="37">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1" t="str">
        <f>VLOOKUP(B3599,辅助信息!E:I,3,FALSE)</f>
        <v>(武汉电气化局成达万高铁强电项目-渠县)四川省达州市渠县渠北镇雷家湾渠县北站旁</v>
      </c>
      <c r="J3599" s="41" t="str">
        <f>VLOOKUP(B3599,辅助信息!E:I,4,FALSE)</f>
        <v>刘频</v>
      </c>
      <c r="K3599" s="41">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37</v>
      </c>
      <c r="Q3599" s="30" t="str">
        <f>VLOOKUP(B3599,辅助信息!E:M,9,FALSE)</f>
        <v>ZTWM-CDGS-XS-2025-0033-中铁武汉电气化局集团有限公司成达万高速铁路强电工程项目</v>
      </c>
      <c r="R3599" s="30" t="str">
        <f>_xlfn._xlws.FILTER(辅助信息!D:D,辅助信息!E:E=B3599)</f>
        <v>武汉电气化局成达万高铁强电项目</v>
      </c>
    </row>
    <row r="3600" hidden="1" spans="2:18">
      <c r="B3600" s="41" t="s">
        <v>176</v>
      </c>
      <c r="C3600" s="71">
        <v>45921</v>
      </c>
      <c r="D3600" s="41" t="str">
        <f>VLOOKUP(B3600,辅助信息!E:K,7,FALSE)</f>
        <v>JWDDCD2025062200016</v>
      </c>
      <c r="E3600" s="41" t="str">
        <f>VLOOKUP(F3600,辅助信息!A:B,2,FALSE)</f>
        <v>螺纹钢</v>
      </c>
      <c r="F3600" s="41" t="s">
        <v>30</v>
      </c>
      <c r="G3600" s="37">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1" t="str">
        <f>VLOOKUP(B3600,辅助信息!E:I,3,FALSE)</f>
        <v>(武汉电气化局成达万高铁强电项目-渠县)四川省达州市渠县渠北镇雷家湾渠县北站旁</v>
      </c>
      <c r="J3600" s="41" t="str">
        <f>VLOOKUP(B3600,辅助信息!E:I,4,FALSE)</f>
        <v>刘频</v>
      </c>
      <c r="K3600" s="41">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37</v>
      </c>
      <c r="Q3600" s="30" t="str">
        <f>VLOOKUP(B3600,辅助信息!E:M,9,FALSE)</f>
        <v>ZTWM-CDGS-XS-2025-0033-中铁武汉电气化局集团有限公司成达万高速铁路强电工程项目</v>
      </c>
      <c r="R3600" s="30" t="str">
        <f>_xlfn._xlws.FILTER(辅助信息!D:D,辅助信息!E:E=B3600)</f>
        <v>武汉电气化局成达万高铁强电项目</v>
      </c>
    </row>
    <row r="3601" hidden="1" spans="2:18">
      <c r="B3601" s="41" t="s">
        <v>176</v>
      </c>
      <c r="C3601" s="71">
        <v>45921</v>
      </c>
      <c r="D3601" s="41" t="str">
        <f>VLOOKUP(B3601,辅助信息!E:K,7,FALSE)</f>
        <v>JWDDCD2025062200016</v>
      </c>
      <c r="E3601" s="41" t="str">
        <f>VLOOKUP(F3601,辅助信息!A:B,2,FALSE)</f>
        <v>螺纹钢</v>
      </c>
      <c r="F3601" s="41" t="s">
        <v>90</v>
      </c>
      <c r="G3601" s="37">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1" t="str">
        <f>VLOOKUP(B3601,辅助信息!E:I,3,FALSE)</f>
        <v>(武汉电气化局成达万高铁强电项目-渠县)四川省达州市渠县渠北镇雷家湾渠县北站旁</v>
      </c>
      <c r="J3601" s="41" t="str">
        <f>VLOOKUP(B3601,辅助信息!E:I,4,FALSE)</f>
        <v>刘频</v>
      </c>
      <c r="K3601" s="41">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37</v>
      </c>
      <c r="Q3601" s="30" t="str">
        <f>VLOOKUP(B3601,辅助信息!E:M,9,FALSE)</f>
        <v>ZTWM-CDGS-XS-2025-0033-中铁武汉电气化局集团有限公司成达万高速铁路强电工程项目</v>
      </c>
      <c r="R3601" s="30" t="str">
        <f>_xlfn._xlws.FILTER(辅助信息!D:D,辅助信息!E:E=B3601)</f>
        <v>武汉电气化局成达万高铁强电项目</v>
      </c>
    </row>
    <row r="3602" hidden="1" spans="2:18">
      <c r="B3602" s="41" t="s">
        <v>176</v>
      </c>
      <c r="C3602" s="71">
        <v>45921</v>
      </c>
      <c r="D3602" s="41" t="str">
        <f>VLOOKUP(B3602,辅助信息!E:K,7,FALSE)</f>
        <v>JWDDCD2025062200016</v>
      </c>
      <c r="E3602" s="41" t="str">
        <f>VLOOKUP(F3602,辅助信息!A:B,2,FALSE)</f>
        <v>螺纹钢</v>
      </c>
      <c r="F3602" s="41" t="s">
        <v>133</v>
      </c>
      <c r="G3602" s="37">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1" t="str">
        <f>VLOOKUP(B3602,辅助信息!E:I,3,FALSE)</f>
        <v>(武汉电气化局成达万高铁强电项目-渠县)四川省达州市渠县渠北镇雷家湾渠县北站旁</v>
      </c>
      <c r="J3602" s="41" t="str">
        <f>VLOOKUP(B3602,辅助信息!E:I,4,FALSE)</f>
        <v>刘频</v>
      </c>
      <c r="K3602" s="41">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37</v>
      </c>
      <c r="Q3602" s="30" t="str">
        <f>VLOOKUP(B3602,辅助信息!E:M,9,FALSE)</f>
        <v>ZTWM-CDGS-XS-2025-0033-中铁武汉电气化局集团有限公司成达万高速铁路强电工程项目</v>
      </c>
      <c r="R3602" s="30" t="str">
        <f>_xlfn._xlws.FILTER(辅助信息!D:D,辅助信息!E:E=B3602)</f>
        <v>武汉电气化局成达万高铁强电项目</v>
      </c>
    </row>
    <row r="3603" hidden="1" spans="1:18">
      <c r="A3603" s="58" t="s">
        <v>220</v>
      </c>
      <c r="B3603" s="98" t="s">
        <v>188</v>
      </c>
      <c r="C3603" s="71">
        <v>45922</v>
      </c>
      <c r="D3603" s="41" t="str">
        <f>VLOOKUP(B3603,辅助信息!E:K,7,FALSE)</f>
        <v>JWDDCD2025062200016</v>
      </c>
      <c r="E3603" s="41" t="str">
        <f>VLOOKUP(F3603,辅助信息!A:B,2,FALSE)</f>
        <v>盘螺</v>
      </c>
      <c r="F3603" s="41" t="s">
        <v>40</v>
      </c>
      <c r="G3603" s="37">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1" t="str">
        <f>VLOOKUP(B3603,辅助信息!E:I,3,FALSE)</f>
        <v>(武汉电气化局成达万高铁强电项目-达州主城区)四川省达州市达川区斌郎街道四川省达州市达川区洞洞湾256米</v>
      </c>
      <c r="J3603" s="41" t="str">
        <f>VLOOKUP(B3603,辅助信息!E:I,4,FALSE)</f>
        <v>余凡</v>
      </c>
      <c r="K3603" s="41">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37</v>
      </c>
      <c r="Q3603" s="30" t="str">
        <f>VLOOKUP(B3603,辅助信息!E:M,9,FALSE)</f>
        <v>ZTWM-CDGS-XS-2025-0033-中铁武汉电气化局集团有限公司成达万高速铁路强电工程项目</v>
      </c>
      <c r="R3603" s="30" t="str">
        <f>_xlfn._xlws.FILTER(辅助信息!D:D,辅助信息!E:E=B3603)</f>
        <v>武汉电气化局成达万高铁强电项目</v>
      </c>
    </row>
    <row r="3604" hidden="1" spans="2:18">
      <c r="B3604" s="98" t="s">
        <v>188</v>
      </c>
      <c r="C3604" s="71">
        <v>45922</v>
      </c>
      <c r="D3604" s="41" t="str">
        <f>VLOOKUP(B3604,辅助信息!E:K,7,FALSE)</f>
        <v>JWDDCD2025062200016</v>
      </c>
      <c r="E3604" s="41" t="str">
        <f>VLOOKUP(F3604,辅助信息!A:B,2,FALSE)</f>
        <v>盘螺</v>
      </c>
      <c r="F3604" s="41" t="s">
        <v>41</v>
      </c>
      <c r="G3604" s="37">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1" t="str">
        <f>VLOOKUP(B3604,辅助信息!E:I,3,FALSE)</f>
        <v>(武汉电气化局成达万高铁强电项目-达州主城区)四川省达州市达川区斌郎街道四川省达州市达川区洞洞湾256米</v>
      </c>
      <c r="J3604" s="41" t="str">
        <f>VLOOKUP(B3604,辅助信息!E:I,4,FALSE)</f>
        <v>余凡</v>
      </c>
      <c r="K3604" s="41">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37</v>
      </c>
      <c r="Q3604" s="30" t="str">
        <f>VLOOKUP(B3604,辅助信息!E:M,9,FALSE)</f>
        <v>ZTWM-CDGS-XS-2025-0033-中铁武汉电气化局集团有限公司成达万高速铁路强电工程项目</v>
      </c>
      <c r="R3604" s="30" t="str">
        <f>_xlfn._xlws.FILTER(辅助信息!D:D,辅助信息!E:E=B3604)</f>
        <v>武汉电气化局成达万高铁强电项目</v>
      </c>
    </row>
    <row r="3605" hidden="1" spans="2:18">
      <c r="B3605" s="98" t="s">
        <v>188</v>
      </c>
      <c r="C3605" s="71">
        <v>45922</v>
      </c>
      <c r="D3605" s="41" t="str">
        <f>VLOOKUP(B3605,辅助信息!E:K,7,FALSE)</f>
        <v>JWDDCD2025062200016</v>
      </c>
      <c r="E3605" s="41" t="str">
        <f>VLOOKUP(F3605,辅助信息!A:B,2,FALSE)</f>
        <v>螺纹钢</v>
      </c>
      <c r="F3605" s="41" t="s">
        <v>18</v>
      </c>
      <c r="G3605" s="37">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1" t="str">
        <f>VLOOKUP(B3605,辅助信息!E:I,3,FALSE)</f>
        <v>(武汉电气化局成达万高铁强电项目-达州主城区)四川省达州市达川区斌郎街道四川省达州市达川区洞洞湾256米</v>
      </c>
      <c r="J3605" s="41" t="str">
        <f>VLOOKUP(B3605,辅助信息!E:I,4,FALSE)</f>
        <v>余凡</v>
      </c>
      <c r="K3605" s="41">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37</v>
      </c>
      <c r="Q3605" s="30" t="str">
        <f>VLOOKUP(B3605,辅助信息!E:M,9,FALSE)</f>
        <v>ZTWM-CDGS-XS-2025-0033-中铁武汉电气化局集团有限公司成达万高速铁路强电工程项目</v>
      </c>
      <c r="R3605" s="30" t="str">
        <f>_xlfn._xlws.FILTER(辅助信息!D:D,辅助信息!E:E=B3605)</f>
        <v>武汉电气化局成达万高铁强电项目</v>
      </c>
    </row>
    <row r="3606" hidden="1" spans="2:18">
      <c r="B3606" s="98" t="s">
        <v>188</v>
      </c>
      <c r="C3606" s="71">
        <v>45922</v>
      </c>
      <c r="D3606" s="41" t="str">
        <f>VLOOKUP(B3606,辅助信息!E:K,7,FALSE)</f>
        <v>JWDDCD2025062200016</v>
      </c>
      <c r="E3606" s="41" t="str">
        <f>VLOOKUP(F3606,辅助信息!A:B,2,FALSE)</f>
        <v>螺纹钢</v>
      </c>
      <c r="F3606" s="41" t="s">
        <v>30</v>
      </c>
      <c r="G3606" s="37">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1" t="str">
        <f>VLOOKUP(B3606,辅助信息!E:I,3,FALSE)</f>
        <v>(武汉电气化局成达万高铁强电项目-达州主城区)四川省达州市达川区斌郎街道四川省达州市达川区洞洞湾256米</v>
      </c>
      <c r="J3606" s="41" t="str">
        <f>VLOOKUP(B3606,辅助信息!E:I,4,FALSE)</f>
        <v>余凡</v>
      </c>
      <c r="K3606" s="41">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37</v>
      </c>
      <c r="Q3606" s="30" t="str">
        <f>VLOOKUP(B3606,辅助信息!E:M,9,FALSE)</f>
        <v>ZTWM-CDGS-XS-2025-0033-中铁武汉电气化局集团有限公司成达万高速铁路强电工程项目</v>
      </c>
      <c r="R3606" s="30" t="str">
        <f>_xlfn._xlws.FILTER(辅助信息!D:D,辅助信息!E:E=B3606)</f>
        <v>武汉电气化局成达万高铁强电项目</v>
      </c>
    </row>
    <row r="3607" hidden="1" spans="2:18">
      <c r="B3607" s="41" t="s">
        <v>186</v>
      </c>
      <c r="C3607" s="71">
        <v>45922</v>
      </c>
      <c r="D3607" s="41" t="str">
        <f>VLOOKUP(B3607,辅助信息!E:K,7,FALSE)</f>
        <v>JWDDCD2025072900123</v>
      </c>
      <c r="E3607" s="41" t="str">
        <f>VLOOKUP(F3607,辅助信息!A:B,2,FALSE)</f>
        <v>高线</v>
      </c>
      <c r="F3607" s="41" t="s">
        <v>57</v>
      </c>
      <c r="G3607" s="37">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1" t="str">
        <f>VLOOKUP(B3607,辅助信息!E:I,3,FALSE)</f>
        <v>(乐山市校地共建产教融合基地建设项目二标段)四川省乐山市市中区苏稽镇</v>
      </c>
      <c r="J3607" s="41" t="str">
        <f>VLOOKUP(B3607,辅助信息!E:I,4,FALSE)</f>
        <v>彭江涛</v>
      </c>
      <c r="K3607" s="41">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37</v>
      </c>
      <c r="Q3607" s="30" t="str">
        <f>VLOOKUP(B3607,辅助信息!E:M,9,FALSE)</f>
        <v>ZTWM-CDGS-XS-2025-0126-四川机司-乐山市校地共建产教融合基地配套设施项目施工二标段钢筋采购合同</v>
      </c>
      <c r="R3607" s="30" t="str">
        <f>_xlfn._xlws.FILTER(辅助信息!D:D,辅助信息!E:E=B3607)</f>
        <v>乐山市校地共建产教融合基地建设项目</v>
      </c>
    </row>
    <row r="3608" hidden="1" spans="2:18">
      <c r="B3608" s="41" t="s">
        <v>186</v>
      </c>
      <c r="C3608" s="71">
        <v>45922</v>
      </c>
      <c r="D3608" s="41" t="str">
        <f>VLOOKUP(B3608,辅助信息!E:K,7,FALSE)</f>
        <v>JWDDCD2025072900123</v>
      </c>
      <c r="E3608" s="41" t="str">
        <f>VLOOKUP(F3608,辅助信息!A:B,2,FALSE)</f>
        <v>高线</v>
      </c>
      <c r="F3608" s="41" t="s">
        <v>53</v>
      </c>
      <c r="G3608" s="37">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1" t="str">
        <f>VLOOKUP(B3608,辅助信息!E:I,3,FALSE)</f>
        <v>(乐山市校地共建产教融合基地建设项目二标段)四川省乐山市市中区苏稽镇</v>
      </c>
      <c r="J3608" s="41" t="str">
        <f>VLOOKUP(B3608,辅助信息!E:I,4,FALSE)</f>
        <v>彭江涛</v>
      </c>
      <c r="K3608" s="41">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37</v>
      </c>
      <c r="Q3608" s="30" t="str">
        <f>VLOOKUP(B3608,辅助信息!E:M,9,FALSE)</f>
        <v>ZTWM-CDGS-XS-2025-0126-四川机司-乐山市校地共建产教融合基地配套设施项目施工二标段钢筋采购合同</v>
      </c>
      <c r="R3608" s="30" t="str">
        <f>_xlfn._xlws.FILTER(辅助信息!D:D,辅助信息!E:E=B3608)</f>
        <v>乐山市校地共建产教融合基地建设项目</v>
      </c>
    </row>
    <row r="3609" hidden="1" spans="2:18">
      <c r="B3609" s="41" t="s">
        <v>186</v>
      </c>
      <c r="C3609" s="71">
        <v>45922</v>
      </c>
      <c r="D3609" s="41" t="str">
        <f>VLOOKUP(B3609,辅助信息!E:K,7,FALSE)</f>
        <v>JWDDCD2025072900123</v>
      </c>
      <c r="E3609" s="41" t="str">
        <f>VLOOKUP(F3609,辅助信息!A:B,2,FALSE)</f>
        <v>螺纹钢</v>
      </c>
      <c r="F3609" s="41" t="s">
        <v>76</v>
      </c>
      <c r="G3609" s="37">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1" t="str">
        <f>VLOOKUP(B3609,辅助信息!E:I,3,FALSE)</f>
        <v>(乐山市校地共建产教融合基地建设项目二标段)四川省乐山市市中区苏稽镇</v>
      </c>
      <c r="J3609" s="41" t="str">
        <f>VLOOKUP(B3609,辅助信息!E:I,4,FALSE)</f>
        <v>彭江涛</v>
      </c>
      <c r="K3609" s="41">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37</v>
      </c>
      <c r="Q3609" s="30" t="str">
        <f>VLOOKUP(B3609,辅助信息!E:M,9,FALSE)</f>
        <v>ZTWM-CDGS-XS-2025-0126-四川机司-乐山市校地共建产教融合基地配套设施项目施工二标段钢筋采购合同</v>
      </c>
      <c r="R3609" s="30" t="str">
        <f>_xlfn._xlws.FILTER(辅助信息!D:D,辅助信息!E:E=B3609)</f>
        <v>乐山市校地共建产教融合基地建设项目</v>
      </c>
    </row>
    <row r="3610" hidden="1" spans="2:18">
      <c r="B3610" s="41" t="s">
        <v>186</v>
      </c>
      <c r="C3610" s="71">
        <v>45922</v>
      </c>
      <c r="D3610" s="41" t="str">
        <f>VLOOKUP(B3610,辅助信息!E:K,7,FALSE)</f>
        <v>JWDDCD2025072900123</v>
      </c>
      <c r="E3610" s="41" t="str">
        <f>VLOOKUP(F3610,辅助信息!A:B,2,FALSE)</f>
        <v>螺纹钢</v>
      </c>
      <c r="F3610" s="41" t="s">
        <v>19</v>
      </c>
      <c r="G3610" s="37">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1" t="str">
        <f>VLOOKUP(B3610,辅助信息!E:I,3,FALSE)</f>
        <v>(乐山市校地共建产教融合基地建设项目二标段)四川省乐山市市中区苏稽镇</v>
      </c>
      <c r="J3610" s="41" t="str">
        <f>VLOOKUP(B3610,辅助信息!E:I,4,FALSE)</f>
        <v>彭江涛</v>
      </c>
      <c r="K3610" s="41">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37</v>
      </c>
      <c r="Q3610" s="30" t="str">
        <f>VLOOKUP(B3610,辅助信息!E:M,9,FALSE)</f>
        <v>ZTWM-CDGS-XS-2025-0126-四川机司-乐山市校地共建产教融合基地配套设施项目施工二标段钢筋采购合同</v>
      </c>
      <c r="R3610" s="30" t="str">
        <f>_xlfn._xlws.FILTER(辅助信息!D:D,辅助信息!E:E=B3610)</f>
        <v>乐山市校地共建产教融合基地建设项目</v>
      </c>
    </row>
    <row r="3611" hidden="1" spans="2:18">
      <c r="B3611" s="41" t="s">
        <v>186</v>
      </c>
      <c r="C3611" s="71">
        <v>45922</v>
      </c>
      <c r="D3611" s="41" t="str">
        <f>VLOOKUP(B3611,辅助信息!E:K,7,FALSE)</f>
        <v>JWDDCD2025072900123</v>
      </c>
      <c r="E3611" s="41" t="str">
        <f>VLOOKUP(F3611,辅助信息!A:B,2,FALSE)</f>
        <v>螺纹钢</v>
      </c>
      <c r="F3611" s="41" t="s">
        <v>90</v>
      </c>
      <c r="G3611" s="37">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1" t="str">
        <f>VLOOKUP(B3611,辅助信息!E:I,3,FALSE)</f>
        <v>(乐山市校地共建产教融合基地建设项目二标段)四川省乐山市市中区苏稽镇</v>
      </c>
      <c r="J3611" s="41" t="str">
        <f>VLOOKUP(B3611,辅助信息!E:I,4,FALSE)</f>
        <v>彭江涛</v>
      </c>
      <c r="K3611" s="41">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37</v>
      </c>
      <c r="Q3611" s="30" t="str">
        <f>VLOOKUP(B3611,辅助信息!E:M,9,FALSE)</f>
        <v>ZTWM-CDGS-XS-2025-0126-四川机司-乐山市校地共建产教融合基地配套设施项目施工二标段钢筋采购合同</v>
      </c>
      <c r="R3611" s="30" t="str">
        <f>_xlfn._xlws.FILTER(辅助信息!D:D,辅助信息!E:E=B3611)</f>
        <v>乐山市校地共建产教融合基地建设项目</v>
      </c>
    </row>
    <row r="3612" hidden="1" spans="2:18">
      <c r="B3612" s="41" t="s">
        <v>186</v>
      </c>
      <c r="C3612" s="71">
        <v>45922</v>
      </c>
      <c r="D3612" s="41" t="str">
        <f>VLOOKUP(B3612,辅助信息!E:K,7,FALSE)</f>
        <v>JWDDCD2025072900123</v>
      </c>
      <c r="E3612" s="41" t="str">
        <f>VLOOKUP(F3612,辅助信息!A:B,2,FALSE)</f>
        <v>螺纹钢</v>
      </c>
      <c r="F3612" s="41" t="s">
        <v>32</v>
      </c>
      <c r="G3612" s="37">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1" t="str">
        <f>VLOOKUP(B3612,辅助信息!E:I,3,FALSE)</f>
        <v>(乐山市校地共建产教融合基地建设项目二标段)四川省乐山市市中区苏稽镇</v>
      </c>
      <c r="J3612" s="41" t="str">
        <f>VLOOKUP(B3612,辅助信息!E:I,4,FALSE)</f>
        <v>彭江涛</v>
      </c>
      <c r="K3612" s="41">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37</v>
      </c>
      <c r="Q3612" s="30" t="str">
        <f>VLOOKUP(B3612,辅助信息!E:M,9,FALSE)</f>
        <v>ZTWM-CDGS-XS-2025-0126-四川机司-乐山市校地共建产教融合基地配套设施项目施工二标段钢筋采购合同</v>
      </c>
      <c r="R3612" s="30" t="str">
        <f>_xlfn._xlws.FILTER(辅助信息!D:D,辅助信息!E:E=B3612)</f>
        <v>乐山市校地共建产教融合基地建设项目</v>
      </c>
    </row>
    <row r="3613" hidden="1" spans="2:18">
      <c r="B3613" s="41" t="s">
        <v>186</v>
      </c>
      <c r="C3613" s="71">
        <v>45922</v>
      </c>
      <c r="D3613" s="41" t="str">
        <f>VLOOKUP(B3613,辅助信息!E:K,7,FALSE)</f>
        <v>JWDDCD2025072900123</v>
      </c>
      <c r="E3613" s="41" t="str">
        <f>VLOOKUP(F3613,辅助信息!A:B,2,FALSE)</f>
        <v>螺纹钢</v>
      </c>
      <c r="F3613" s="41" t="s">
        <v>66</v>
      </c>
      <c r="G3613" s="37">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1" t="str">
        <f>VLOOKUP(B3613,辅助信息!E:I,3,FALSE)</f>
        <v>(乐山市校地共建产教融合基地建设项目二标段)四川省乐山市市中区苏稽镇</v>
      </c>
      <c r="J3613" s="41" t="str">
        <f>VLOOKUP(B3613,辅助信息!E:I,4,FALSE)</f>
        <v>彭江涛</v>
      </c>
      <c r="K3613" s="41">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37</v>
      </c>
      <c r="Q3613" s="30" t="str">
        <f>VLOOKUP(B3613,辅助信息!E:M,9,FALSE)</f>
        <v>ZTWM-CDGS-XS-2025-0126-四川机司-乐山市校地共建产教融合基地配套设施项目施工二标段钢筋采购合同</v>
      </c>
      <c r="R3613" s="30" t="str">
        <f>_xlfn._xlws.FILTER(辅助信息!D:D,辅助信息!E:E=B3613)</f>
        <v>乐山市校地共建产教融合基地建设项目</v>
      </c>
    </row>
    <row r="3614" hidden="1" spans="2:18">
      <c r="B3614" s="41" t="s">
        <v>186</v>
      </c>
      <c r="C3614" s="71">
        <v>45922</v>
      </c>
      <c r="D3614" s="41" t="str">
        <f>VLOOKUP(B3614,辅助信息!E:K,7,FALSE)</f>
        <v>JWDDCD2025072900123</v>
      </c>
      <c r="E3614" s="41" t="str">
        <f>VLOOKUP(F3614,辅助信息!A:B,2,FALSE)</f>
        <v>螺纹钢</v>
      </c>
      <c r="F3614" s="41" t="s">
        <v>82</v>
      </c>
      <c r="G3614" s="37">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1" t="str">
        <f>VLOOKUP(B3614,辅助信息!E:I,3,FALSE)</f>
        <v>(乐山市校地共建产教融合基地建设项目二标段)四川省乐山市市中区苏稽镇</v>
      </c>
      <c r="J3614" s="41" t="str">
        <f>VLOOKUP(B3614,辅助信息!E:I,4,FALSE)</f>
        <v>彭江涛</v>
      </c>
      <c r="K3614" s="41">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37</v>
      </c>
      <c r="Q3614" s="30" t="str">
        <f>VLOOKUP(B3614,辅助信息!E:M,9,FALSE)</f>
        <v>ZTWM-CDGS-XS-2025-0126-四川机司-乐山市校地共建产教融合基地配套设施项目施工二标段钢筋采购合同</v>
      </c>
      <c r="R3614" s="30" t="str">
        <f>_xlfn._xlws.FILTER(辅助信息!D:D,辅助信息!E:E=B3614)</f>
        <v>乐山市校地共建产教融合基地建设项目</v>
      </c>
    </row>
    <row r="3615" hidden="1" spans="2:18">
      <c r="B3615" s="41" t="s">
        <v>186</v>
      </c>
      <c r="C3615" s="71">
        <v>45922</v>
      </c>
      <c r="D3615" s="41" t="str">
        <f>VLOOKUP(B3615,辅助信息!E:K,7,FALSE)</f>
        <v>JWDDCD2025072900123</v>
      </c>
      <c r="E3615" s="41" t="str">
        <f>VLOOKUP(F3615,辅助信息!A:B,2,FALSE)</f>
        <v>螺纹钢</v>
      </c>
      <c r="F3615" s="41" t="s">
        <v>45</v>
      </c>
      <c r="G3615" s="37">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1" t="str">
        <f>VLOOKUP(B3615,辅助信息!E:I,3,FALSE)</f>
        <v>(乐山市校地共建产教融合基地建设项目二标段)四川省乐山市市中区苏稽镇</v>
      </c>
      <c r="J3615" s="41" t="str">
        <f>VLOOKUP(B3615,辅助信息!E:I,4,FALSE)</f>
        <v>彭江涛</v>
      </c>
      <c r="K3615" s="41">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37</v>
      </c>
      <c r="Q3615" s="30" t="str">
        <f>VLOOKUP(B3615,辅助信息!E:M,9,FALSE)</f>
        <v>ZTWM-CDGS-XS-2025-0126-四川机司-乐山市校地共建产教融合基地配套设施项目施工二标段钢筋采购合同</v>
      </c>
      <c r="R3615" s="30" t="str">
        <f>_xlfn._xlws.FILTER(辅助信息!D:D,辅助信息!E:E=B3615)</f>
        <v>乐山市校地共建产教融合基地建设项目</v>
      </c>
    </row>
    <row r="3616" hidden="1" spans="2:18">
      <c r="B3616" s="41" t="s">
        <v>186</v>
      </c>
      <c r="C3616" s="71">
        <v>45922</v>
      </c>
      <c r="D3616" s="41" t="str">
        <f>VLOOKUP(B3616,辅助信息!E:K,7,FALSE)</f>
        <v>JWDDCD2025072900123</v>
      </c>
      <c r="E3616" s="41" t="str">
        <f>VLOOKUP(F3616,辅助信息!A:B,2,FALSE)</f>
        <v>螺纹钢</v>
      </c>
      <c r="F3616" s="41" t="s">
        <v>21</v>
      </c>
      <c r="G3616" s="37">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1" t="str">
        <f>VLOOKUP(B3616,辅助信息!E:I,3,FALSE)</f>
        <v>(乐山市校地共建产教融合基地建设项目二标段)四川省乐山市市中区苏稽镇</v>
      </c>
      <c r="J3616" s="41" t="str">
        <f>VLOOKUP(B3616,辅助信息!E:I,4,FALSE)</f>
        <v>彭江涛</v>
      </c>
      <c r="K3616" s="41">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37</v>
      </c>
      <c r="Q3616" s="30" t="str">
        <f>VLOOKUP(B3616,辅助信息!E:M,9,FALSE)</f>
        <v>ZTWM-CDGS-XS-2025-0126-四川机司-乐山市校地共建产教融合基地配套设施项目施工二标段钢筋采购合同</v>
      </c>
      <c r="R3616" s="30" t="str">
        <f>_xlfn._xlws.FILTER(辅助信息!D:D,辅助信息!E:E=B3616)</f>
        <v>乐山市校地共建产教融合基地建设项目</v>
      </c>
    </row>
    <row r="3617" hidden="1" spans="2:18">
      <c r="B3617" s="41" t="s">
        <v>186</v>
      </c>
      <c r="C3617" s="71">
        <v>45922</v>
      </c>
      <c r="D3617" s="41" t="str">
        <f>VLOOKUP(B3617,辅助信息!E:K,7,FALSE)</f>
        <v>JWDDCD2025072900123</v>
      </c>
      <c r="E3617" s="41" t="str">
        <f>VLOOKUP(F3617,辅助信息!A:B,2,FALSE)</f>
        <v>螺纹钢</v>
      </c>
      <c r="F3617" s="41" t="s">
        <v>198</v>
      </c>
      <c r="G3617" s="37">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1" t="str">
        <f>VLOOKUP(B3617,辅助信息!E:I,3,FALSE)</f>
        <v>(乐山市校地共建产教融合基地建设项目二标段)四川省乐山市市中区苏稽镇</v>
      </c>
      <c r="J3617" s="41" t="str">
        <f>VLOOKUP(B3617,辅助信息!E:I,4,FALSE)</f>
        <v>彭江涛</v>
      </c>
      <c r="K3617" s="41">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37</v>
      </c>
      <c r="Q3617" s="30" t="str">
        <f>VLOOKUP(B3617,辅助信息!E:M,9,FALSE)</f>
        <v>ZTWM-CDGS-XS-2025-0126-四川机司-乐山市校地共建产教融合基地配套设施项目施工二标段钢筋采购合同</v>
      </c>
      <c r="R3617" s="30" t="str">
        <f>_xlfn._xlws.FILTER(辅助信息!D:D,辅助信息!E:E=B3617)</f>
        <v>乐山市校地共建产教融合基地建设项目</v>
      </c>
    </row>
    <row r="3618" hidden="1" spans="2:18">
      <c r="B3618" s="41" t="s">
        <v>186</v>
      </c>
      <c r="C3618" s="71">
        <v>45922</v>
      </c>
      <c r="D3618" s="41" t="str">
        <f>VLOOKUP(B3618,辅助信息!E:K,7,FALSE)</f>
        <v>JWDDCD2025072900123</v>
      </c>
      <c r="E3618" s="41" t="str">
        <f>VLOOKUP(F3618,辅助信息!A:B,2,FALSE)</f>
        <v>螺纹钢</v>
      </c>
      <c r="F3618" s="41" t="s">
        <v>58</v>
      </c>
      <c r="G3618" s="37">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1" t="str">
        <f>VLOOKUP(B3618,辅助信息!E:I,3,FALSE)</f>
        <v>(乐山市校地共建产教融合基地建设项目二标段)四川省乐山市市中区苏稽镇</v>
      </c>
      <c r="J3618" s="41" t="str">
        <f>VLOOKUP(B3618,辅助信息!E:I,4,FALSE)</f>
        <v>彭江涛</v>
      </c>
      <c r="K3618" s="41">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37</v>
      </c>
      <c r="Q3618" s="30" t="str">
        <f>VLOOKUP(B3618,辅助信息!E:M,9,FALSE)</f>
        <v>ZTWM-CDGS-XS-2025-0126-四川机司-乐山市校地共建产教融合基地配套设施项目施工二标段钢筋采购合同</v>
      </c>
      <c r="R3618" s="30" t="str">
        <f>_xlfn._xlws.FILTER(辅助信息!D:D,辅助信息!E:E=B3618)</f>
        <v>乐山市校地共建产教融合基地建设项目</v>
      </c>
    </row>
    <row r="3619" hidden="1" spans="2:18">
      <c r="B3619" s="41" t="s">
        <v>186</v>
      </c>
      <c r="C3619" s="71">
        <v>45922</v>
      </c>
      <c r="D3619" s="41" t="str">
        <f>VLOOKUP(B3619,辅助信息!E:K,7,FALSE)</f>
        <v>JWDDCD2025072900123</v>
      </c>
      <c r="E3619" s="41" t="str">
        <f>VLOOKUP(F3619,辅助信息!A:B,2,FALSE)</f>
        <v>螺纹钢</v>
      </c>
      <c r="F3619" s="41" t="s">
        <v>199</v>
      </c>
      <c r="G3619" s="37">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1" t="str">
        <f>VLOOKUP(B3619,辅助信息!E:I,3,FALSE)</f>
        <v>(乐山市校地共建产教融合基地建设项目二标段)四川省乐山市市中区苏稽镇</v>
      </c>
      <c r="J3619" s="41" t="str">
        <f>VLOOKUP(B3619,辅助信息!E:I,4,FALSE)</f>
        <v>彭江涛</v>
      </c>
      <c r="K3619" s="41">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37</v>
      </c>
      <c r="Q3619" s="30" t="str">
        <f>VLOOKUP(B3619,辅助信息!E:M,9,FALSE)</f>
        <v>ZTWM-CDGS-XS-2025-0126-四川机司-乐山市校地共建产教融合基地配套设施项目施工二标段钢筋采购合同</v>
      </c>
      <c r="R3619" s="30" t="str">
        <f>_xlfn._xlws.FILTER(辅助信息!D:D,辅助信息!E:E=B3619)</f>
        <v>乐山市校地共建产教融合基地建设项目</v>
      </c>
    </row>
    <row r="3620" hidden="1" spans="2:18">
      <c r="B3620" s="41" t="s">
        <v>186</v>
      </c>
      <c r="C3620" s="71">
        <v>45922</v>
      </c>
      <c r="D3620" s="41" t="str">
        <f>VLOOKUP(B3620,辅助信息!E:K,7,FALSE)</f>
        <v>JWDDCD2025072900123</v>
      </c>
      <c r="E3620" s="41" t="str">
        <f>VLOOKUP(F3620,辅助信息!A:B,2,FALSE)</f>
        <v>螺纹钢</v>
      </c>
      <c r="F3620" s="41" t="s">
        <v>46</v>
      </c>
      <c r="G3620" s="37">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1" t="str">
        <f>VLOOKUP(B3620,辅助信息!E:I,3,FALSE)</f>
        <v>(乐山市校地共建产教融合基地建设项目二标段)四川省乐山市市中区苏稽镇</v>
      </c>
      <c r="J3620" s="41" t="str">
        <f>VLOOKUP(B3620,辅助信息!E:I,4,FALSE)</f>
        <v>彭江涛</v>
      </c>
      <c r="K3620" s="41">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37</v>
      </c>
      <c r="Q3620" s="30" t="str">
        <f>VLOOKUP(B3620,辅助信息!E:M,9,FALSE)</f>
        <v>ZTWM-CDGS-XS-2025-0126-四川机司-乐山市校地共建产教融合基地配套设施项目施工二标段钢筋采购合同</v>
      </c>
      <c r="R3620" s="30" t="str">
        <f>_xlfn._xlws.FILTER(辅助信息!D:D,辅助信息!E:E=B3620)</f>
        <v>乐山市校地共建产教融合基地建设项目</v>
      </c>
    </row>
    <row r="3621" hidden="1" spans="2:18">
      <c r="B3621" s="41" t="s">
        <v>186</v>
      </c>
      <c r="C3621" s="71">
        <v>45922</v>
      </c>
      <c r="D3621" s="41" t="str">
        <f>VLOOKUP(B3621,辅助信息!E:K,7,FALSE)</f>
        <v>JWDDCD2025072900123</v>
      </c>
      <c r="E3621" s="41" t="str">
        <f>VLOOKUP(F3621,辅助信息!A:B,2,FALSE)</f>
        <v>螺纹钢</v>
      </c>
      <c r="F3621" s="41" t="s">
        <v>22</v>
      </c>
      <c r="G3621" s="37">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1" t="str">
        <f>VLOOKUP(B3621,辅助信息!E:I,3,FALSE)</f>
        <v>(乐山市校地共建产教融合基地建设项目二标段)四川省乐山市市中区苏稽镇</v>
      </c>
      <c r="J3621" s="41" t="str">
        <f>VLOOKUP(B3621,辅助信息!E:I,4,FALSE)</f>
        <v>彭江涛</v>
      </c>
      <c r="K3621" s="41">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37</v>
      </c>
      <c r="Q3621" s="30" t="str">
        <f>VLOOKUP(B3621,辅助信息!E:M,9,FALSE)</f>
        <v>ZTWM-CDGS-XS-2025-0126-四川机司-乐山市校地共建产教融合基地配套设施项目施工二标段钢筋采购合同</v>
      </c>
      <c r="R3621" s="30" t="str">
        <f>_xlfn._xlws.FILTER(辅助信息!D:D,辅助信息!E:E=B3621)</f>
        <v>乐山市校地共建产教融合基地建设项目</v>
      </c>
    </row>
    <row r="3622" hidden="1" spans="2:18">
      <c r="B3622" s="41" t="s">
        <v>186</v>
      </c>
      <c r="C3622" s="71">
        <v>45922</v>
      </c>
      <c r="D3622" s="41" t="str">
        <f>VLOOKUP(B3622,辅助信息!E:K,7,FALSE)</f>
        <v>JWDDCD2025072900123</v>
      </c>
      <c r="E3622" s="41" t="str">
        <f>VLOOKUP(F3622,辅助信息!A:B,2,FALSE)</f>
        <v>螺纹钢</v>
      </c>
      <c r="F3622" s="41" t="s">
        <v>142</v>
      </c>
      <c r="G3622" s="37">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1" t="str">
        <f>VLOOKUP(B3622,辅助信息!E:I,3,FALSE)</f>
        <v>(乐山市校地共建产教融合基地建设项目二标段)四川省乐山市市中区苏稽镇</v>
      </c>
      <c r="J3622" s="41" t="str">
        <f>VLOOKUP(B3622,辅助信息!E:I,4,FALSE)</f>
        <v>彭江涛</v>
      </c>
      <c r="K3622" s="41">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37</v>
      </c>
      <c r="Q3622" s="30" t="str">
        <f>VLOOKUP(B3622,辅助信息!E:M,9,FALSE)</f>
        <v>ZTWM-CDGS-XS-2025-0126-四川机司-乐山市校地共建产教融合基地配套设施项目施工二标段钢筋采购合同</v>
      </c>
      <c r="R3622" s="30" t="str">
        <f>_xlfn._xlws.FILTER(辅助信息!D:D,辅助信息!E:E=B3622)</f>
        <v>乐山市校地共建产教融合基地建设项目</v>
      </c>
    </row>
    <row r="3623" hidden="1" spans="2:18">
      <c r="B3623" s="41" t="s">
        <v>186</v>
      </c>
      <c r="C3623" s="71">
        <v>45922</v>
      </c>
      <c r="D3623" s="41" t="str">
        <f>VLOOKUP(B3623,辅助信息!E:K,7,FALSE)</f>
        <v>JWDDCD2025072900123</v>
      </c>
      <c r="E3623" s="41" t="str">
        <f>VLOOKUP(F3623,辅助信息!A:B,2,FALSE)</f>
        <v>螺纹钢</v>
      </c>
      <c r="F3623" s="41" t="s">
        <v>181</v>
      </c>
      <c r="G3623" s="37">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1" t="str">
        <f>VLOOKUP(B3623,辅助信息!E:I,3,FALSE)</f>
        <v>(乐山市校地共建产教融合基地建设项目二标段)四川省乐山市市中区苏稽镇</v>
      </c>
      <c r="J3623" s="41" t="str">
        <f>VLOOKUP(B3623,辅助信息!E:I,4,FALSE)</f>
        <v>彭江涛</v>
      </c>
      <c r="K3623" s="41">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37</v>
      </c>
      <c r="Q3623" s="30" t="str">
        <f>VLOOKUP(B3623,辅助信息!E:M,9,FALSE)</f>
        <v>ZTWM-CDGS-XS-2025-0126-四川机司-乐山市校地共建产教融合基地配套设施项目施工二标段钢筋采购合同</v>
      </c>
      <c r="R3623" s="30" t="str">
        <f>_xlfn._xlws.FILTER(辅助信息!D:D,辅助信息!E:E=B3623)</f>
        <v>乐山市校地共建产教融合基地建设项目</v>
      </c>
    </row>
    <row r="3624" hidden="1" spans="2:18">
      <c r="B3624" s="41" t="s">
        <v>186</v>
      </c>
      <c r="C3624" s="71">
        <v>45922</v>
      </c>
      <c r="D3624" s="41" t="str">
        <f>VLOOKUP(B3624,辅助信息!E:K,7,FALSE)</f>
        <v>JWDDCD2025072900123</v>
      </c>
      <c r="E3624" s="41" t="str">
        <f>VLOOKUP(F3624,辅助信息!A:B,2,FALSE)</f>
        <v>螺纹钢</v>
      </c>
      <c r="F3624" s="41" t="s">
        <v>182</v>
      </c>
      <c r="G3624" s="37">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1" t="str">
        <f>VLOOKUP(B3624,辅助信息!E:I,3,FALSE)</f>
        <v>(乐山市校地共建产教融合基地建设项目二标段)四川省乐山市市中区苏稽镇</v>
      </c>
      <c r="J3624" s="41" t="str">
        <f>VLOOKUP(B3624,辅助信息!E:I,4,FALSE)</f>
        <v>彭江涛</v>
      </c>
      <c r="K3624" s="41">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37</v>
      </c>
      <c r="Q3624" s="30" t="str">
        <f>VLOOKUP(B3624,辅助信息!E:M,9,FALSE)</f>
        <v>ZTWM-CDGS-XS-2025-0126-四川机司-乐山市校地共建产教融合基地配套设施项目施工二标段钢筋采购合同</v>
      </c>
      <c r="R3624" s="30" t="str">
        <f>_xlfn._xlws.FILTER(辅助信息!D:D,辅助信息!E:E=B3624)</f>
        <v>乐山市校地共建产教融合基地建设项目</v>
      </c>
    </row>
    <row r="3625" hidden="1" spans="2:18">
      <c r="B3625" s="41" t="s">
        <v>186</v>
      </c>
      <c r="C3625" s="71">
        <v>45922</v>
      </c>
      <c r="D3625" s="41" t="str">
        <f>VLOOKUP(B3625,辅助信息!E:K,7,FALSE)</f>
        <v>JWDDCD2025072900123</v>
      </c>
      <c r="E3625" s="41" t="str">
        <f>VLOOKUP(F3625,辅助信息!A:B,2,FALSE)</f>
        <v>盘螺</v>
      </c>
      <c r="F3625" s="41" t="s">
        <v>41</v>
      </c>
      <c r="G3625" s="37">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1" t="str">
        <f>VLOOKUP(B3625,辅助信息!E:I,3,FALSE)</f>
        <v>(乐山市校地共建产教融合基地建设项目二标段)四川省乐山市市中区苏稽镇</v>
      </c>
      <c r="J3625" s="41" t="str">
        <f>VLOOKUP(B3625,辅助信息!E:I,4,FALSE)</f>
        <v>彭江涛</v>
      </c>
      <c r="K3625" s="41">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37</v>
      </c>
      <c r="Q3625" s="30" t="str">
        <f>VLOOKUP(B3625,辅助信息!E:M,9,FALSE)</f>
        <v>ZTWM-CDGS-XS-2025-0126-四川机司-乐山市校地共建产教融合基地配套设施项目施工二标段钢筋采购合同</v>
      </c>
      <c r="R3625" s="30" t="str">
        <f>_xlfn._xlws.FILTER(辅助信息!D:D,辅助信息!E:E=B3625)</f>
        <v>乐山市校地共建产教融合基地建设项目</v>
      </c>
    </row>
    <row r="3626" hidden="1" spans="2:18">
      <c r="B3626" s="41" t="s">
        <v>186</v>
      </c>
      <c r="C3626" s="71">
        <v>45922</v>
      </c>
      <c r="D3626" s="41" t="str">
        <f>VLOOKUP(B3626,辅助信息!E:K,7,FALSE)</f>
        <v>JWDDCD2025072900123</v>
      </c>
      <c r="E3626" s="41" t="str">
        <f>VLOOKUP(F3626,辅助信息!A:B,2,FALSE)</f>
        <v>盘螺</v>
      </c>
      <c r="F3626" s="41" t="s">
        <v>26</v>
      </c>
      <c r="G3626" s="37">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1" t="str">
        <f>VLOOKUP(B3626,辅助信息!E:I,3,FALSE)</f>
        <v>(乐山市校地共建产教融合基地建设项目二标段)四川省乐山市市中区苏稽镇</v>
      </c>
      <c r="J3626" s="41" t="str">
        <f>VLOOKUP(B3626,辅助信息!E:I,4,FALSE)</f>
        <v>彭江涛</v>
      </c>
      <c r="K3626" s="41">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37</v>
      </c>
      <c r="Q3626" s="30" t="str">
        <f>VLOOKUP(B3626,辅助信息!E:M,9,FALSE)</f>
        <v>ZTWM-CDGS-XS-2025-0126-四川机司-乐山市校地共建产教融合基地配套设施项目施工二标段钢筋采购合同</v>
      </c>
      <c r="R3626" s="30" t="str">
        <f>_xlfn._xlws.FILTER(辅助信息!D:D,辅助信息!E:E=B3626)</f>
        <v>乐山市校地共建产教融合基地建设项目</v>
      </c>
    </row>
    <row r="3627" hidden="1" spans="2:18">
      <c r="B3627" s="41" t="s">
        <v>186</v>
      </c>
      <c r="C3627" s="71">
        <v>45922</v>
      </c>
      <c r="D3627" s="41" t="str">
        <f>VLOOKUP(B3627,辅助信息!E:K,7,FALSE)</f>
        <v>JWDDCD2025072900123</v>
      </c>
      <c r="E3627" s="41" t="str">
        <f>VLOOKUP(F3627,辅助信息!A:B,2,FALSE)</f>
        <v>盘螺</v>
      </c>
      <c r="F3627" s="41" t="s">
        <v>49</v>
      </c>
      <c r="G3627" s="37">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1" t="str">
        <f>VLOOKUP(B3627,辅助信息!E:I,3,FALSE)</f>
        <v>(乐山市校地共建产教融合基地建设项目二标段)四川省乐山市市中区苏稽镇</v>
      </c>
      <c r="J3627" s="41" t="str">
        <f>VLOOKUP(B3627,辅助信息!E:I,4,FALSE)</f>
        <v>彭江涛</v>
      </c>
      <c r="K3627" s="41">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37</v>
      </c>
      <c r="Q3627" s="30" t="str">
        <f>VLOOKUP(B3627,辅助信息!E:M,9,FALSE)</f>
        <v>ZTWM-CDGS-XS-2025-0126-四川机司-乐山市校地共建产教融合基地配套设施项目施工二标段钢筋采购合同</v>
      </c>
      <c r="R3627" s="30" t="str">
        <f>_xlfn._xlws.FILTER(辅助信息!D:D,辅助信息!E:E=B3627)</f>
        <v>乐山市校地共建产教融合基地建设项目</v>
      </c>
    </row>
    <row r="3628" hidden="1" spans="2:18">
      <c r="B3628" s="41" t="s">
        <v>163</v>
      </c>
      <c r="C3628" s="71">
        <v>45922</v>
      </c>
      <c r="D3628" s="41" t="str">
        <f>VLOOKUP(B3628,辅助信息!E:K,7,FALSE)</f>
        <v>JWDDCD2025052800131</v>
      </c>
      <c r="E3628" s="41" t="str">
        <f>VLOOKUP(F3628,辅助信息!A:B,2,FALSE)</f>
        <v>盘螺</v>
      </c>
      <c r="F3628" s="41" t="s">
        <v>49</v>
      </c>
      <c r="G3628" s="37">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1" t="str">
        <f>VLOOKUP(B3628,辅助信息!E:I,3,FALSE)</f>
        <v>（商投建工达州中医药科技园-4工区-9号楼）达州市通川区达州中医药职业学院犀牛大道北段</v>
      </c>
      <c r="J3628" s="41" t="str">
        <f>VLOOKUP(B3628,辅助信息!E:I,4,FALSE)</f>
        <v>张扬</v>
      </c>
      <c r="K3628" s="41">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30" t="str">
        <f>VLOOKUP(B3628,辅助信息!E:M,9,FALSE)</f>
        <v>ZTWM-CDGS-XS-2024-0134-商投建工达州中医药科技成果示范园项目</v>
      </c>
      <c r="R3628" s="30" t="str">
        <f>_xlfn._xlws.FILTER(辅助信息!D:D,辅助信息!E:E=B3628)</f>
        <v>商投建工达州中医药科技园</v>
      </c>
    </row>
    <row r="3629" hidden="1" spans="1:18">
      <c r="A3629" s="58" t="s">
        <v>221</v>
      </c>
      <c r="B3629" s="98" t="s">
        <v>163</v>
      </c>
      <c r="C3629" s="71">
        <v>45922</v>
      </c>
      <c r="D3629" s="41" t="str">
        <f>VLOOKUP(B3629,辅助信息!E:K,7,FALSE)</f>
        <v>JWDDCD2025052800131</v>
      </c>
      <c r="E3629" s="41" t="str">
        <f>VLOOKUP(F3629,辅助信息!A:B,2,FALSE)</f>
        <v>盘螺</v>
      </c>
      <c r="F3629" s="41"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1" t="str">
        <f>VLOOKUP(B3629,辅助信息!E:I,3,FALSE)</f>
        <v>（商投建工达州中医药科技园-4工区-9号楼）达州市通川区达州中医药职业学院犀牛大道北段</v>
      </c>
      <c r="J3629" s="41" t="str">
        <f>VLOOKUP(B3629,辅助信息!E:I,4,FALSE)</f>
        <v>张扬</v>
      </c>
      <c r="K3629" s="41">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37</v>
      </c>
      <c r="Q3629" s="30" t="str">
        <f>VLOOKUP(B3629,辅助信息!E:M,9,FALSE)</f>
        <v>ZTWM-CDGS-XS-2024-0134-商投建工达州中医药科技成果示范园项目</v>
      </c>
      <c r="R3629" s="30" t="str">
        <f>_xlfn._xlws.FILTER(辅助信息!D:D,辅助信息!E:E=B3629)</f>
        <v>商投建工达州中医药科技园</v>
      </c>
    </row>
    <row r="3630" hidden="1" spans="2:18">
      <c r="B3630" s="98" t="s">
        <v>163</v>
      </c>
      <c r="C3630" s="71">
        <v>45922</v>
      </c>
      <c r="D3630" s="41" t="str">
        <f>VLOOKUP(B3630,辅助信息!E:K,7,FALSE)</f>
        <v>JWDDCD2025052800131</v>
      </c>
      <c r="E3630" s="41" t="str">
        <f>VLOOKUP(F3630,辅助信息!A:B,2,FALSE)</f>
        <v>盘螺</v>
      </c>
      <c r="F3630" s="41"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1" t="str">
        <f>VLOOKUP(B3630,辅助信息!E:I,3,FALSE)</f>
        <v>（商投建工达州中医药科技园-4工区-9号楼）达州市通川区达州中医药职业学院犀牛大道北段</v>
      </c>
      <c r="J3630" s="41" t="str">
        <f>VLOOKUP(B3630,辅助信息!E:I,4,FALSE)</f>
        <v>张扬</v>
      </c>
      <c r="K3630" s="41">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37</v>
      </c>
      <c r="Q3630" s="30" t="str">
        <f>VLOOKUP(B3630,辅助信息!E:M,9,FALSE)</f>
        <v>ZTWM-CDGS-XS-2024-0134-商投建工达州中医药科技成果示范园项目</v>
      </c>
      <c r="R3630" s="30" t="str">
        <f>_xlfn._xlws.FILTER(辅助信息!D:D,辅助信息!E:E=B3630)</f>
        <v>商投建工达州中医药科技园</v>
      </c>
    </row>
    <row r="3631" hidden="1" spans="2:18">
      <c r="B3631" s="41" t="s">
        <v>163</v>
      </c>
      <c r="C3631" s="71">
        <v>45922</v>
      </c>
      <c r="D3631" s="41" t="str">
        <f>VLOOKUP(B3631,辅助信息!E:K,7,FALSE)</f>
        <v>JWDDCD2025052800131</v>
      </c>
      <c r="E3631" s="41" t="str">
        <f>VLOOKUP(F3631,辅助信息!A:B,2,FALSE)</f>
        <v>螺纹钢</v>
      </c>
      <c r="F3631" s="41"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1" t="str">
        <f>VLOOKUP(B3631,辅助信息!E:I,3,FALSE)</f>
        <v>（商投建工达州中医药科技园-4工区-9号楼）达州市通川区达州中医药职业学院犀牛大道北段</v>
      </c>
      <c r="J3631" s="41" t="str">
        <f>VLOOKUP(B3631,辅助信息!E:I,4,FALSE)</f>
        <v>张扬</v>
      </c>
      <c r="K3631" s="41">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30" t="str">
        <f>VLOOKUP(B3631,辅助信息!E:M,9,FALSE)</f>
        <v>ZTWM-CDGS-XS-2024-0134-商投建工达州中医药科技成果示范园项目</v>
      </c>
      <c r="R3631" s="30" t="str">
        <f>_xlfn._xlws.FILTER(辅助信息!D:D,辅助信息!E:E=B3631)</f>
        <v>商投建工达州中医药科技园</v>
      </c>
    </row>
    <row r="3632" hidden="1" spans="2:18">
      <c r="B3632" s="41" t="s">
        <v>163</v>
      </c>
      <c r="C3632" s="71">
        <v>45922</v>
      </c>
      <c r="D3632" s="41" t="str">
        <f>VLOOKUP(B3632,辅助信息!E:K,7,FALSE)</f>
        <v>JWDDCD2025052800131</v>
      </c>
      <c r="E3632" s="41" t="str">
        <f>VLOOKUP(F3632,辅助信息!A:B,2,FALSE)</f>
        <v>螺纹钢</v>
      </c>
      <c r="F3632" s="41"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1" t="str">
        <f>VLOOKUP(B3632,辅助信息!E:I,3,FALSE)</f>
        <v>（商投建工达州中医药科技园-4工区-9号楼）达州市通川区达州中医药职业学院犀牛大道北段</v>
      </c>
      <c r="J3632" s="41" t="str">
        <f>VLOOKUP(B3632,辅助信息!E:I,4,FALSE)</f>
        <v>张扬</v>
      </c>
      <c r="K3632" s="41">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30" t="str">
        <f>VLOOKUP(B3632,辅助信息!E:M,9,FALSE)</f>
        <v>ZTWM-CDGS-XS-2024-0134-商投建工达州中医药科技成果示范园项目</v>
      </c>
      <c r="R3632" s="30" t="str">
        <f>_xlfn._xlws.FILTER(辅助信息!D:D,辅助信息!E:E=B3632)</f>
        <v>商投建工达州中医药科技园</v>
      </c>
    </row>
    <row r="3633" hidden="1" spans="2:18">
      <c r="B3633" s="41" t="s">
        <v>163</v>
      </c>
      <c r="C3633" s="71">
        <v>45922</v>
      </c>
      <c r="D3633" s="41" t="str">
        <f>VLOOKUP(B3633,辅助信息!E:K,7,FALSE)</f>
        <v>JWDDCD2025052800131</v>
      </c>
      <c r="E3633" s="41" t="str">
        <f>VLOOKUP(F3633,辅助信息!A:B,2,FALSE)</f>
        <v>螺纹钢</v>
      </c>
      <c r="F3633" s="41"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1" t="str">
        <f>VLOOKUP(B3633,辅助信息!E:I,3,FALSE)</f>
        <v>（商投建工达州中医药科技园-4工区-9号楼）达州市通川区达州中医药职业学院犀牛大道北段</v>
      </c>
      <c r="J3633" s="41" t="str">
        <f>VLOOKUP(B3633,辅助信息!E:I,4,FALSE)</f>
        <v>张扬</v>
      </c>
      <c r="K3633" s="41">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30" t="str">
        <f>VLOOKUP(B3633,辅助信息!E:M,9,FALSE)</f>
        <v>ZTWM-CDGS-XS-2024-0134-商投建工达州中医药科技成果示范园项目</v>
      </c>
      <c r="R3633" s="30" t="str">
        <f>_xlfn._xlws.FILTER(辅助信息!D:D,辅助信息!E:E=B3633)</f>
        <v>商投建工达州中医药科技园</v>
      </c>
    </row>
    <row r="3634" hidden="1" spans="2:18">
      <c r="B3634" s="41" t="s">
        <v>112</v>
      </c>
      <c r="C3634" s="71">
        <v>45922</v>
      </c>
      <c r="D3634" s="41" t="str">
        <f>VLOOKUP(B3634,辅助信息!E:K,7,FALSE)</f>
        <v>JWDDCD2025052800131</v>
      </c>
      <c r="E3634" s="41" t="str">
        <f>VLOOKUP(F3634,辅助信息!A:B,2,FALSE)</f>
        <v>螺纹钢</v>
      </c>
      <c r="F3634" s="41" t="s">
        <v>27</v>
      </c>
      <c r="G3634" s="37">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1" t="str">
        <f>VLOOKUP(B3634,辅助信息!E:I,3,FALSE)</f>
        <v>（商投建工达州中医药科技园-4工区-10号楼）达州市通川区达州中医药职业学院犀牛大道北段</v>
      </c>
      <c r="J3634" s="41" t="str">
        <f>VLOOKUP(B3634,辅助信息!E:I,4,FALSE)</f>
        <v>张扬</v>
      </c>
      <c r="K3634" s="41">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34</v>
      </c>
      <c r="Q3634" s="30" t="str">
        <f>VLOOKUP(B3634,辅助信息!E:M,9,FALSE)</f>
        <v>ZTWM-CDGS-XS-2024-0134-商投建工达州中医药科技成果示范园项目</v>
      </c>
      <c r="R3634" s="30" t="str">
        <f>_xlfn._xlws.FILTER(辅助信息!D:D,辅助信息!E:E=B3634)</f>
        <v>商投建工达州中医药科技园</v>
      </c>
    </row>
    <row r="3635" hidden="1" spans="2:18">
      <c r="B3635" s="41" t="s">
        <v>112</v>
      </c>
      <c r="C3635" s="71">
        <v>45922</v>
      </c>
      <c r="D3635" s="41" t="str">
        <f>VLOOKUP(B3635,辅助信息!E:K,7,FALSE)</f>
        <v>JWDDCD2025052800131</v>
      </c>
      <c r="E3635" s="41" t="str">
        <f>VLOOKUP(F3635,辅助信息!A:B,2,FALSE)</f>
        <v>螺纹钢</v>
      </c>
      <c r="F3635" s="41" t="s">
        <v>45</v>
      </c>
      <c r="G3635" s="37">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1" t="str">
        <f>VLOOKUP(B3635,辅助信息!E:I,3,FALSE)</f>
        <v>（商投建工达州中医药科技园-4工区-10号楼）达州市通川区达州中医药职业学院犀牛大道北段</v>
      </c>
      <c r="J3635" s="41" t="str">
        <f>VLOOKUP(B3635,辅助信息!E:I,4,FALSE)</f>
        <v>张扬</v>
      </c>
      <c r="K3635" s="41">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34</v>
      </c>
      <c r="Q3635" s="30" t="str">
        <f>VLOOKUP(B3635,辅助信息!E:M,9,FALSE)</f>
        <v>ZTWM-CDGS-XS-2024-0134-商投建工达州中医药科技成果示范园项目</v>
      </c>
      <c r="R3635" s="30" t="str">
        <f>_xlfn._xlws.FILTER(辅助信息!D:D,辅助信息!E:E=B3635)</f>
        <v>商投建工达州中医药科技园</v>
      </c>
    </row>
    <row r="3636" hidden="1" spans="2:18">
      <c r="B3636" s="41" t="s">
        <v>112</v>
      </c>
      <c r="C3636" s="71">
        <v>45922</v>
      </c>
      <c r="D3636" s="41" t="str">
        <f>VLOOKUP(B3636,辅助信息!E:K,7,FALSE)</f>
        <v>JWDDCD2025052800131</v>
      </c>
      <c r="E3636" s="41" t="str">
        <f>VLOOKUP(F3636,辅助信息!A:B,2,FALSE)</f>
        <v>螺纹钢</v>
      </c>
      <c r="F3636" s="41" t="s">
        <v>21</v>
      </c>
      <c r="G3636" s="37">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1" t="str">
        <f>VLOOKUP(B3636,辅助信息!E:I,3,FALSE)</f>
        <v>（商投建工达州中医药科技园-4工区-10号楼）达州市通川区达州中医药职业学院犀牛大道北段</v>
      </c>
      <c r="J3636" s="41" t="str">
        <f>VLOOKUP(B3636,辅助信息!E:I,4,FALSE)</f>
        <v>张扬</v>
      </c>
      <c r="K3636" s="41">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34</v>
      </c>
      <c r="Q3636" s="30" t="str">
        <f>VLOOKUP(B3636,辅助信息!E:M,9,FALSE)</f>
        <v>ZTWM-CDGS-XS-2024-0134-商投建工达州中医药科技成果示范园项目</v>
      </c>
      <c r="R3636" s="30" t="str">
        <f>_xlfn._xlws.FILTER(辅助信息!D:D,辅助信息!E:E=B3636)</f>
        <v>商投建工达州中医药科技园</v>
      </c>
    </row>
    <row r="3637" hidden="1" spans="2:18">
      <c r="B3637" s="41" t="s">
        <v>112</v>
      </c>
      <c r="C3637" s="71">
        <v>45922</v>
      </c>
      <c r="D3637" s="41" t="str">
        <f>VLOOKUP(B3637,辅助信息!E:K,7,FALSE)</f>
        <v>JWDDCD2025052800131</v>
      </c>
      <c r="E3637" s="41" t="str">
        <f>VLOOKUP(F3637,辅助信息!A:B,2,FALSE)</f>
        <v>螺纹钢</v>
      </c>
      <c r="F3637" s="41" t="s">
        <v>58</v>
      </c>
      <c r="G3637" s="37">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1" t="str">
        <f>VLOOKUP(B3637,辅助信息!E:I,3,FALSE)</f>
        <v>（商投建工达州中医药科技园-4工区-10号楼）达州市通川区达州中医药职业学院犀牛大道北段</v>
      </c>
      <c r="J3637" s="41" t="str">
        <f>VLOOKUP(B3637,辅助信息!E:I,4,FALSE)</f>
        <v>张扬</v>
      </c>
      <c r="K3637" s="41">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34</v>
      </c>
      <c r="Q3637" s="30" t="str">
        <f>VLOOKUP(B3637,辅助信息!E:M,9,FALSE)</f>
        <v>ZTWM-CDGS-XS-2024-0134-商投建工达州中医药科技成果示范园项目</v>
      </c>
      <c r="R3637" s="30" t="str">
        <f>_xlfn._xlws.FILTER(辅助信息!D:D,辅助信息!E:E=B3637)</f>
        <v>商投建工达州中医药科技园</v>
      </c>
    </row>
    <row r="3638" hidden="1" spans="2:18">
      <c r="B3638" s="41" t="s">
        <v>112</v>
      </c>
      <c r="C3638" s="71">
        <v>45922</v>
      </c>
      <c r="D3638" s="41" t="str">
        <f>VLOOKUP(B3638,辅助信息!E:K,7,FALSE)</f>
        <v>JWDDCD2025052800131</v>
      </c>
      <c r="E3638" s="41" t="str">
        <f>VLOOKUP(F3638,辅助信息!A:B,2,FALSE)</f>
        <v>螺纹钢</v>
      </c>
      <c r="F3638" s="41" t="s">
        <v>46</v>
      </c>
      <c r="G3638" s="37">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1" t="str">
        <f>VLOOKUP(B3638,辅助信息!E:I,3,FALSE)</f>
        <v>（商投建工达州中医药科技园-4工区-10号楼）达州市通川区达州中医药职业学院犀牛大道北段</v>
      </c>
      <c r="J3638" s="41" t="str">
        <f>VLOOKUP(B3638,辅助信息!E:I,4,FALSE)</f>
        <v>张扬</v>
      </c>
      <c r="K3638" s="41">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34</v>
      </c>
      <c r="Q3638" s="30" t="str">
        <f>VLOOKUP(B3638,辅助信息!E:M,9,FALSE)</f>
        <v>ZTWM-CDGS-XS-2024-0134-商投建工达州中医药科技成果示范园项目</v>
      </c>
      <c r="R3638" s="30" t="str">
        <f>_xlfn._xlws.FILTER(辅助信息!D:D,辅助信息!E:E=B3638)</f>
        <v>商投建工达州中医药科技园</v>
      </c>
    </row>
    <row r="3639" hidden="1" spans="2:18">
      <c r="B3639" s="41" t="s">
        <v>112</v>
      </c>
      <c r="C3639" s="71">
        <v>45922</v>
      </c>
      <c r="D3639" s="41" t="str">
        <f>VLOOKUP(B3639,辅助信息!E:K,7,FALSE)</f>
        <v>JWDDCD2025052800131</v>
      </c>
      <c r="E3639" s="41" t="str">
        <f>VLOOKUP(F3639,辅助信息!A:B,2,FALSE)</f>
        <v>螺纹钢</v>
      </c>
      <c r="F3639" s="41" t="s">
        <v>22</v>
      </c>
      <c r="G3639" s="37">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1" t="str">
        <f>VLOOKUP(B3639,辅助信息!E:I,3,FALSE)</f>
        <v>（商投建工达州中医药科技园-4工区-10号楼）达州市通川区达州中医药职业学院犀牛大道北段</v>
      </c>
      <c r="J3639" s="41" t="str">
        <f>VLOOKUP(B3639,辅助信息!E:I,4,FALSE)</f>
        <v>张扬</v>
      </c>
      <c r="K3639" s="41">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34</v>
      </c>
      <c r="Q3639" s="30" t="str">
        <f>VLOOKUP(B3639,辅助信息!E:M,9,FALSE)</f>
        <v>ZTWM-CDGS-XS-2024-0134-商投建工达州中医药科技成果示范园项目</v>
      </c>
      <c r="R3639" s="30" t="str">
        <f>_xlfn._xlws.FILTER(辅助信息!D:D,辅助信息!E:E=B3639)</f>
        <v>商投建工达州中医药科技园</v>
      </c>
    </row>
    <row r="3640" hidden="1" spans="1:18">
      <c r="A3640" s="58" t="s">
        <v>222</v>
      </c>
      <c r="B3640" s="98" t="s">
        <v>203</v>
      </c>
      <c r="C3640" s="71">
        <v>45922</v>
      </c>
      <c r="D3640" s="41" t="str">
        <f>VLOOKUP(B3640,辅助信息!E:K,7,FALSE)</f>
        <v>JWDDCD2025102100479</v>
      </c>
      <c r="E3640" s="41" t="str">
        <f>VLOOKUP(F3640,辅助信息!A:B,2,FALSE)</f>
        <v>螺纹钢</v>
      </c>
      <c r="F3640" s="41" t="s">
        <v>27</v>
      </c>
      <c r="G3640" s="37">
        <v>25</v>
      </c>
      <c r="H3640" s="135">
        <v>25</v>
      </c>
      <c r="I3640" s="41" t="str">
        <f>VLOOKUP(B3640,辅助信息!E:I,3,FALSE)</f>
        <v>(五冶建设空港兴城怡心街道83亩项目)成都市双流区怡心街道高峰社区一组剑和路一段空港兴城怡心街道83亩项目中国五冶项目部</v>
      </c>
      <c r="J3640" s="41" t="str">
        <f>VLOOKUP(B3640,辅助信息!E:I,4,FALSE)</f>
        <v>王刚</v>
      </c>
      <c r="K3640" s="41">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36</v>
      </c>
      <c r="Q3640" s="30" t="str">
        <f>VLOOKUP(B3640,辅助信息!E:M,9,FALSE)</f>
        <v>ZTWM-CDGS-XS-2025-0073-五冶天府-成都怡心湖片区及龙泉驿医院等项目</v>
      </c>
      <c r="R3640" s="30" t="str">
        <f>_xlfn._xlws.FILTER(辅助信息!D:D,辅助信息!E:E=B3640)</f>
        <v>五冶建设空港兴城怡心街道83亩项目</v>
      </c>
    </row>
    <row r="3641" hidden="1" spans="2:18">
      <c r="B3641" s="98" t="s">
        <v>203</v>
      </c>
      <c r="C3641" s="71">
        <v>45922</v>
      </c>
      <c r="D3641" s="41" t="str">
        <f>VLOOKUP(B3641,辅助信息!E:K,7,FALSE)</f>
        <v>JWDDCD2025102100479</v>
      </c>
      <c r="E3641" s="41" t="str">
        <f>VLOOKUP(F3641,辅助信息!A:B,2,FALSE)</f>
        <v>螺纹钢</v>
      </c>
      <c r="F3641" s="41" t="s">
        <v>19</v>
      </c>
      <c r="G3641" s="37">
        <v>28</v>
      </c>
      <c r="H3641" s="135">
        <v>28</v>
      </c>
      <c r="I3641" s="41" t="str">
        <f>VLOOKUP(B3641,辅助信息!E:I,3,FALSE)</f>
        <v>(五冶建设空港兴城怡心街道83亩项目)成都市双流区怡心街道高峰社区一组剑和路一段空港兴城怡心街道83亩项目中国五冶项目部</v>
      </c>
      <c r="J3641" s="41" t="str">
        <f>VLOOKUP(B3641,辅助信息!E:I,4,FALSE)</f>
        <v>王刚</v>
      </c>
      <c r="K3641" s="41">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36</v>
      </c>
      <c r="Q3641" s="30" t="str">
        <f>VLOOKUP(B3641,辅助信息!E:M,9,FALSE)</f>
        <v>ZTWM-CDGS-XS-2025-0073-五冶天府-成都怡心湖片区及龙泉驿医院等项目</v>
      </c>
      <c r="R3641" s="30" t="str">
        <f>_xlfn._xlws.FILTER(辅助信息!D:D,辅助信息!E:E=B3641)</f>
        <v>五冶建设空港兴城怡心街道83亩项目</v>
      </c>
    </row>
    <row r="3642" hidden="1" spans="2:18">
      <c r="B3642" s="98" t="s">
        <v>203</v>
      </c>
      <c r="C3642" s="71">
        <v>45922</v>
      </c>
      <c r="D3642" s="41" t="str">
        <f>VLOOKUP(B3642,辅助信息!E:K,7,FALSE)</f>
        <v>JWDDCD2025102100479</v>
      </c>
      <c r="E3642" s="41" t="str">
        <f>VLOOKUP(F3642,辅助信息!A:B,2,FALSE)</f>
        <v>螺纹钢</v>
      </c>
      <c r="F3642" s="41" t="s">
        <v>32</v>
      </c>
      <c r="G3642" s="37">
        <v>10</v>
      </c>
      <c r="H3642" s="135">
        <v>10</v>
      </c>
      <c r="I3642" s="41" t="str">
        <f>VLOOKUP(B3642,辅助信息!E:I,3,FALSE)</f>
        <v>(五冶建设空港兴城怡心街道83亩项目)成都市双流区怡心街道高峰社区一组剑和路一段空港兴城怡心街道83亩项目中国五冶项目部</v>
      </c>
      <c r="J3642" s="41" t="str">
        <f>VLOOKUP(B3642,辅助信息!E:I,4,FALSE)</f>
        <v>王刚</v>
      </c>
      <c r="K3642" s="41">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36</v>
      </c>
      <c r="Q3642" s="30" t="str">
        <f>VLOOKUP(B3642,辅助信息!E:M,9,FALSE)</f>
        <v>ZTWM-CDGS-XS-2025-0073-五冶天府-成都怡心湖片区及龙泉驿医院等项目</v>
      </c>
      <c r="R3642" s="30" t="str">
        <f>_xlfn._xlws.FILTER(辅助信息!D:D,辅助信息!E:E=B3642)</f>
        <v>五冶建设空港兴城怡心街道83亩项目</v>
      </c>
    </row>
    <row r="3643" hidden="1" spans="2:18">
      <c r="B3643" s="98" t="s">
        <v>203</v>
      </c>
      <c r="C3643" s="71">
        <v>45922</v>
      </c>
      <c r="D3643" s="41" t="str">
        <f>VLOOKUP(B3643,辅助信息!E:K,7,FALSE)</f>
        <v>JWDDCD2025102100479</v>
      </c>
      <c r="E3643" s="41" t="str">
        <f>VLOOKUP(F3643,辅助信息!A:B,2,FALSE)</f>
        <v>螺纹钢</v>
      </c>
      <c r="F3643" s="41" t="s">
        <v>30</v>
      </c>
      <c r="G3643" s="37">
        <v>10</v>
      </c>
      <c r="H3643" s="135">
        <v>10</v>
      </c>
      <c r="I3643" s="41" t="str">
        <f>VLOOKUP(B3643,辅助信息!E:I,3,FALSE)</f>
        <v>(五冶建设空港兴城怡心街道83亩项目)成都市双流区怡心街道高峰社区一组剑和路一段空港兴城怡心街道83亩项目中国五冶项目部</v>
      </c>
      <c r="J3643" s="41" t="str">
        <f>VLOOKUP(B3643,辅助信息!E:I,4,FALSE)</f>
        <v>王刚</v>
      </c>
      <c r="K3643" s="41">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36</v>
      </c>
      <c r="Q3643" s="30" t="str">
        <f>VLOOKUP(B3643,辅助信息!E:M,9,FALSE)</f>
        <v>ZTWM-CDGS-XS-2025-0073-五冶天府-成都怡心湖片区及龙泉驿医院等项目</v>
      </c>
      <c r="R3643" s="30" t="str">
        <f>_xlfn._xlws.FILTER(辅助信息!D:D,辅助信息!E:E=B3643)</f>
        <v>五冶建设空港兴城怡心街道83亩项目</v>
      </c>
    </row>
    <row r="3644" hidden="1" spans="2:18">
      <c r="B3644" s="98" t="s">
        <v>203</v>
      </c>
      <c r="C3644" s="71">
        <v>45922</v>
      </c>
      <c r="D3644" s="41" t="str">
        <f>VLOOKUP(B3644,辅助信息!E:K,7,FALSE)</f>
        <v>JWDDCD2025102100479</v>
      </c>
      <c r="E3644" s="41" t="str">
        <f>VLOOKUP(F3644,辅助信息!A:B,2,FALSE)</f>
        <v>螺纹钢</v>
      </c>
      <c r="F3644" s="41" t="s">
        <v>33</v>
      </c>
      <c r="G3644" s="37">
        <v>10</v>
      </c>
      <c r="H3644" s="135">
        <v>10</v>
      </c>
      <c r="I3644" s="41" t="str">
        <f>VLOOKUP(B3644,辅助信息!E:I,3,FALSE)</f>
        <v>(五冶建设空港兴城怡心街道83亩项目)成都市双流区怡心街道高峰社区一组剑和路一段空港兴城怡心街道83亩项目中国五冶项目部</v>
      </c>
      <c r="J3644" s="41" t="str">
        <f>VLOOKUP(B3644,辅助信息!E:I,4,FALSE)</f>
        <v>王刚</v>
      </c>
      <c r="K3644" s="41">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36</v>
      </c>
      <c r="Q3644" s="30" t="str">
        <f>VLOOKUP(B3644,辅助信息!E:M,9,FALSE)</f>
        <v>ZTWM-CDGS-XS-2025-0073-五冶天府-成都怡心湖片区及龙泉驿医院等项目</v>
      </c>
      <c r="R3644" s="30" t="str">
        <f>_xlfn._xlws.FILTER(辅助信息!D:D,辅助信息!E:E=B3644)</f>
        <v>五冶建设空港兴城怡心街道83亩项目</v>
      </c>
    </row>
    <row r="3645" hidden="1" spans="2:18">
      <c r="B3645" s="98" t="s">
        <v>203</v>
      </c>
      <c r="C3645" s="71">
        <v>45922</v>
      </c>
      <c r="D3645" s="41" t="str">
        <f>VLOOKUP(B3645,辅助信息!E:K,7,FALSE)</f>
        <v>JWDDCD2025102100479</v>
      </c>
      <c r="E3645" s="41" t="str">
        <f>VLOOKUP(F3645,辅助信息!A:B,2,FALSE)</f>
        <v>螺纹钢</v>
      </c>
      <c r="F3645" s="41" t="s">
        <v>28</v>
      </c>
      <c r="G3645" s="37">
        <v>10</v>
      </c>
      <c r="H3645" s="135">
        <v>10</v>
      </c>
      <c r="I3645" s="41" t="str">
        <f>VLOOKUP(B3645,辅助信息!E:I,3,FALSE)</f>
        <v>(五冶建设空港兴城怡心街道83亩项目)成都市双流区怡心街道高峰社区一组剑和路一段空港兴城怡心街道83亩项目中国五冶项目部</v>
      </c>
      <c r="J3645" s="41" t="str">
        <f>VLOOKUP(B3645,辅助信息!E:I,4,FALSE)</f>
        <v>王刚</v>
      </c>
      <c r="K3645" s="41">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36</v>
      </c>
      <c r="Q3645" s="30" t="str">
        <f>VLOOKUP(B3645,辅助信息!E:M,9,FALSE)</f>
        <v>ZTWM-CDGS-XS-2025-0073-五冶天府-成都怡心湖片区及龙泉驿医院等项目</v>
      </c>
      <c r="R3645" s="30" t="str">
        <f>_xlfn._xlws.FILTER(辅助信息!D:D,辅助信息!E:E=B3645)</f>
        <v>五冶建设空港兴城怡心街道83亩项目</v>
      </c>
    </row>
    <row r="3646" hidden="1" spans="2:18">
      <c r="B3646" s="98" t="s">
        <v>203</v>
      </c>
      <c r="C3646" s="71">
        <v>45922</v>
      </c>
      <c r="D3646" s="41" t="str">
        <f>VLOOKUP(B3646,辅助信息!E:K,7,FALSE)</f>
        <v>JWDDCD2025102100479</v>
      </c>
      <c r="E3646" s="41" t="str">
        <f>VLOOKUP(F3646,辅助信息!A:B,2,FALSE)</f>
        <v>螺纹钢</v>
      </c>
      <c r="F3646" s="41" t="s">
        <v>18</v>
      </c>
      <c r="G3646" s="37">
        <v>10</v>
      </c>
      <c r="H3646" s="135">
        <v>10</v>
      </c>
      <c r="I3646" s="41" t="str">
        <f>VLOOKUP(B3646,辅助信息!E:I,3,FALSE)</f>
        <v>(五冶建设空港兴城怡心街道83亩项目)成都市双流区怡心街道高峰社区一组剑和路一段空港兴城怡心街道83亩项目中国五冶项目部</v>
      </c>
      <c r="J3646" s="41" t="str">
        <f>VLOOKUP(B3646,辅助信息!E:I,4,FALSE)</f>
        <v>王刚</v>
      </c>
      <c r="K3646" s="41">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36</v>
      </c>
      <c r="Q3646" s="30" t="str">
        <f>VLOOKUP(B3646,辅助信息!E:M,9,FALSE)</f>
        <v>ZTWM-CDGS-XS-2025-0073-五冶天府-成都怡心湖片区及龙泉驿医院等项目</v>
      </c>
      <c r="R3646" s="30" t="str">
        <f>_xlfn._xlws.FILTER(辅助信息!D:D,辅助信息!E:E=B3646)</f>
        <v>五冶建设空港兴城怡心街道83亩项目</v>
      </c>
    </row>
    <row r="3647" hidden="1" spans="2:18">
      <c r="B3647" s="98" t="s">
        <v>203</v>
      </c>
      <c r="C3647" s="71">
        <v>45922</v>
      </c>
      <c r="D3647" s="41" t="str">
        <f>VLOOKUP(B3647,辅助信息!E:K,7,FALSE)</f>
        <v>JWDDCD2025102100479</v>
      </c>
      <c r="E3647" s="41" t="str">
        <f>VLOOKUP(F3647,辅助信息!A:B,2,FALSE)</f>
        <v>螺纹钢</v>
      </c>
      <c r="F3647" s="41" t="s">
        <v>65</v>
      </c>
      <c r="G3647" s="37">
        <v>3</v>
      </c>
      <c r="H3647" s="135">
        <v>3</v>
      </c>
      <c r="I3647" s="41" t="str">
        <f>VLOOKUP(B3647,辅助信息!E:I,3,FALSE)</f>
        <v>(五冶建设空港兴城怡心街道83亩项目)成都市双流区怡心街道高峰社区一组剑和路一段空港兴城怡心街道83亩项目中国五冶项目部</v>
      </c>
      <c r="J3647" s="41" t="str">
        <f>VLOOKUP(B3647,辅助信息!E:I,4,FALSE)</f>
        <v>王刚</v>
      </c>
      <c r="K3647" s="41">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36</v>
      </c>
      <c r="Q3647" s="30" t="str">
        <f>VLOOKUP(B3647,辅助信息!E:M,9,FALSE)</f>
        <v>ZTWM-CDGS-XS-2025-0073-五冶天府-成都怡心湖片区及龙泉驿医院等项目</v>
      </c>
      <c r="R3647" s="30" t="str">
        <f>_xlfn._xlws.FILTER(辅助信息!D:D,辅助信息!E:E=B3647)</f>
        <v>五冶建设空港兴城怡心街道83亩项目</v>
      </c>
    </row>
    <row r="3648" hidden="1" spans="2:18">
      <c r="B3648" s="41" t="s">
        <v>167</v>
      </c>
      <c r="C3648" s="71">
        <v>45922</v>
      </c>
      <c r="D3648" s="41" t="str">
        <f>VLOOKUP(B3648,辅助信息!E:K,7,FALSE)</f>
        <v>JWDDCD2025102100473</v>
      </c>
      <c r="E3648" s="41" t="str">
        <f>VLOOKUP(F3648,辅助信息!A:B,2,FALSE)</f>
        <v>螺纹钢</v>
      </c>
      <c r="F3648" s="41" t="s">
        <v>27</v>
      </c>
      <c r="G3648" s="37">
        <v>21</v>
      </c>
      <c r="H3648" s="135"/>
      <c r="I3648" s="41" t="str">
        <f>VLOOKUP(B3648,辅助信息!E:I,3,FALSE)</f>
        <v>(五冶建设扩建艺体中学二期工程)四川省成都市双流区光荣路成都艺体中学南200米</v>
      </c>
      <c r="J3648" s="41" t="str">
        <f>VLOOKUP(B3648,辅助信息!E:I,4,FALSE)</f>
        <v>谢序强</v>
      </c>
      <c r="K3648" s="41">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34</v>
      </c>
      <c r="Q3648" s="30" t="str">
        <f>VLOOKUP(B3648,辅助信息!E:M,9,FALSE)</f>
        <v>ZTWM-CDGS-XS-2025-0073-五冶天府-成都怡心湖片区及龙泉驿医院等项目</v>
      </c>
      <c r="R3648" s="30" t="str">
        <f>_xlfn._xlws.FILTER(辅助信息!D:D,辅助信息!E:E=B3648)</f>
        <v>五冶建设扩建艺体中学二期工程</v>
      </c>
    </row>
    <row r="3649" hidden="1" spans="2:18">
      <c r="B3649" s="41" t="s">
        <v>167</v>
      </c>
      <c r="C3649" s="71">
        <v>45922</v>
      </c>
      <c r="D3649" s="41" t="str">
        <f>VLOOKUP(B3649,辅助信息!E:K,7,FALSE)</f>
        <v>JWDDCD2025102100473</v>
      </c>
      <c r="E3649" s="41" t="str">
        <f>VLOOKUP(F3649,辅助信息!A:B,2,FALSE)</f>
        <v>螺纹钢</v>
      </c>
      <c r="F3649" s="41" t="s">
        <v>19</v>
      </c>
      <c r="G3649" s="37">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1" t="str">
        <f>VLOOKUP(B3649,辅助信息!E:I,3,FALSE)</f>
        <v>(五冶建设扩建艺体中学二期工程)四川省成都市双流区光荣路成都艺体中学南200米</v>
      </c>
      <c r="J3649" s="41" t="str">
        <f>VLOOKUP(B3649,辅助信息!E:I,4,FALSE)</f>
        <v>谢序强</v>
      </c>
      <c r="K3649" s="41">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34</v>
      </c>
      <c r="Q3649" s="30" t="str">
        <f>VLOOKUP(B3649,辅助信息!E:M,9,FALSE)</f>
        <v>ZTWM-CDGS-XS-2025-0073-五冶天府-成都怡心湖片区及龙泉驿医院等项目</v>
      </c>
      <c r="R3649" s="30" t="str">
        <f>_xlfn._xlws.FILTER(辅助信息!D:D,辅助信息!E:E=B3649)</f>
        <v>五冶建设扩建艺体中学二期工程</v>
      </c>
    </row>
    <row r="3650" hidden="1" spans="2:18">
      <c r="B3650" s="41" t="s">
        <v>167</v>
      </c>
      <c r="C3650" s="71">
        <v>45922</v>
      </c>
      <c r="D3650" s="41" t="str">
        <f>VLOOKUP(B3650,辅助信息!E:K,7,FALSE)</f>
        <v>JWDDCD2025102100473</v>
      </c>
      <c r="E3650" s="41" t="str">
        <f>VLOOKUP(F3650,辅助信息!A:B,2,FALSE)</f>
        <v>螺纹钢</v>
      </c>
      <c r="F3650" s="41" t="s">
        <v>32</v>
      </c>
      <c r="G3650" s="37">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1" t="str">
        <f>VLOOKUP(B3650,辅助信息!E:I,3,FALSE)</f>
        <v>(五冶建设扩建艺体中学二期工程)四川省成都市双流区光荣路成都艺体中学南200米</v>
      </c>
      <c r="J3650" s="41" t="str">
        <f>VLOOKUP(B3650,辅助信息!E:I,4,FALSE)</f>
        <v>谢序强</v>
      </c>
      <c r="K3650" s="41">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34</v>
      </c>
      <c r="Q3650" s="30" t="str">
        <f>VLOOKUP(B3650,辅助信息!E:M,9,FALSE)</f>
        <v>ZTWM-CDGS-XS-2025-0073-五冶天府-成都怡心湖片区及龙泉驿医院等项目</v>
      </c>
      <c r="R3650" s="30" t="str">
        <f>_xlfn._xlws.FILTER(辅助信息!D:D,辅助信息!E:E=B3650)</f>
        <v>五冶建设扩建艺体中学二期工程</v>
      </c>
    </row>
    <row r="3651" hidden="1" spans="2:18">
      <c r="B3651" s="41" t="s">
        <v>167</v>
      </c>
      <c r="C3651" s="71">
        <v>45922</v>
      </c>
      <c r="D3651" s="41" t="str">
        <f>VLOOKUP(B3651,辅助信息!E:K,7,FALSE)</f>
        <v>JWDDCD2025102100473</v>
      </c>
      <c r="E3651" s="41" t="str">
        <f>VLOOKUP(F3651,辅助信息!A:B,2,FALSE)</f>
        <v>螺纹钢</v>
      </c>
      <c r="F3651" s="41" t="s">
        <v>33</v>
      </c>
      <c r="G3651" s="37">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1" t="str">
        <f>VLOOKUP(B3651,辅助信息!E:I,3,FALSE)</f>
        <v>(五冶建设扩建艺体中学二期工程)四川省成都市双流区光荣路成都艺体中学南200米</v>
      </c>
      <c r="J3651" s="41" t="str">
        <f>VLOOKUP(B3651,辅助信息!E:I,4,FALSE)</f>
        <v>谢序强</v>
      </c>
      <c r="K3651" s="41">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34</v>
      </c>
      <c r="Q3651" s="30" t="str">
        <f>VLOOKUP(B3651,辅助信息!E:M,9,FALSE)</f>
        <v>ZTWM-CDGS-XS-2025-0073-五冶天府-成都怡心湖片区及龙泉驿医院等项目</v>
      </c>
      <c r="R3651" s="30" t="str">
        <f>_xlfn._xlws.FILTER(辅助信息!D:D,辅助信息!E:E=B3651)</f>
        <v>五冶建设扩建艺体中学二期工程</v>
      </c>
    </row>
    <row r="3652" hidden="1" spans="2:18">
      <c r="B3652" s="41" t="s">
        <v>167</v>
      </c>
      <c r="C3652" s="71">
        <v>45922</v>
      </c>
      <c r="D3652" s="41" t="str">
        <f>VLOOKUP(B3652,辅助信息!E:K,7,FALSE)</f>
        <v>JWDDCD2025102100473</v>
      </c>
      <c r="E3652" s="41" t="str">
        <f>VLOOKUP(F3652,辅助信息!A:B,2,FALSE)</f>
        <v>螺纹钢</v>
      </c>
      <c r="F3652" s="41" t="s">
        <v>28</v>
      </c>
      <c r="G3652" s="37">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1" t="str">
        <f>VLOOKUP(B3652,辅助信息!E:I,3,FALSE)</f>
        <v>(五冶建设扩建艺体中学二期工程)四川省成都市双流区光荣路成都艺体中学南200米</v>
      </c>
      <c r="J3652" s="41" t="str">
        <f>VLOOKUP(B3652,辅助信息!E:I,4,FALSE)</f>
        <v>谢序强</v>
      </c>
      <c r="K3652" s="41">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34</v>
      </c>
      <c r="Q3652" s="30" t="str">
        <f>VLOOKUP(B3652,辅助信息!E:M,9,FALSE)</f>
        <v>ZTWM-CDGS-XS-2025-0073-五冶天府-成都怡心湖片区及龙泉驿医院等项目</v>
      </c>
      <c r="R3652" s="30" t="str">
        <f>_xlfn._xlws.FILTER(辅助信息!D:D,辅助信息!E:E=B3652)</f>
        <v>五冶建设扩建艺体中学二期工程</v>
      </c>
    </row>
    <row r="3653" hidden="1" spans="2:18">
      <c r="B3653" s="41" t="s">
        <v>167</v>
      </c>
      <c r="C3653" s="71">
        <v>45922</v>
      </c>
      <c r="D3653" s="41" t="str">
        <f>VLOOKUP(B3653,辅助信息!E:K,7,FALSE)</f>
        <v>JWDDCD2025102100473</v>
      </c>
      <c r="E3653" s="41" t="str">
        <f>VLOOKUP(F3653,辅助信息!A:B,2,FALSE)</f>
        <v>螺纹钢</v>
      </c>
      <c r="F3653" s="41" t="s">
        <v>18</v>
      </c>
      <c r="G3653" s="37">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1" t="str">
        <f>VLOOKUP(B3653,辅助信息!E:I,3,FALSE)</f>
        <v>(五冶建设扩建艺体中学二期工程)四川省成都市双流区光荣路成都艺体中学南200米</v>
      </c>
      <c r="J3653" s="41" t="str">
        <f>VLOOKUP(B3653,辅助信息!E:I,4,FALSE)</f>
        <v>谢序强</v>
      </c>
      <c r="K3653" s="41">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34</v>
      </c>
      <c r="Q3653" s="30" t="str">
        <f>VLOOKUP(B3653,辅助信息!E:M,9,FALSE)</f>
        <v>ZTWM-CDGS-XS-2025-0073-五冶天府-成都怡心湖片区及龙泉驿医院等项目</v>
      </c>
      <c r="R3653" s="30" t="str">
        <f>_xlfn._xlws.FILTER(辅助信息!D:D,辅助信息!E:E=B3653)</f>
        <v>五冶建设扩建艺体中学二期工程</v>
      </c>
    </row>
    <row r="3654" hidden="1" spans="2:18">
      <c r="B3654" s="41" t="s">
        <v>187</v>
      </c>
      <c r="C3654" s="71">
        <v>45922</v>
      </c>
      <c r="D3654" s="41" t="str">
        <f>VLOOKUP(B3654,辅助信息!E:K,7,FALSE)</f>
        <v>JWDDCD2025072900121</v>
      </c>
      <c r="E3654" s="41" t="str">
        <f>VLOOKUP(F3654,辅助信息!A:B,2,FALSE)</f>
        <v>盘螺</v>
      </c>
      <c r="F3654" s="41" t="s">
        <v>40</v>
      </c>
      <c r="G3654" s="37">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1" t="str">
        <f>VLOOKUP(B3654,辅助信息!E:I,3,FALSE)</f>
        <v>(乐山市校地共建产教融合基地建设项目一标段)四川省乐山市市中区苏稽镇周山嘴</v>
      </c>
      <c r="J3654" s="41" t="str">
        <f>VLOOKUP(B3654,辅助信息!E:I,4,FALSE)</f>
        <v>范增云</v>
      </c>
      <c r="K3654" s="41">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30" t="str">
        <f>VLOOKUP(B3654,辅助信息!E:M,9,FALSE)</f>
        <v>ZTWM-CDGS-XS-2025-0125-四川机司-乐山市校地共建产教融合基地配套设施项目施工一标段钢筋采购合同</v>
      </c>
      <c r="R3654" s="30" t="str">
        <f>_xlfn._xlws.FILTER(辅助信息!D:D,辅助信息!E:E=B3654)</f>
        <v>乐山市校地共建产教融合基地建设项目</v>
      </c>
    </row>
    <row r="3655" hidden="1" spans="2:18">
      <c r="B3655" s="41" t="s">
        <v>187</v>
      </c>
      <c r="C3655" s="71">
        <v>45922</v>
      </c>
      <c r="D3655" s="41" t="str">
        <f>VLOOKUP(B3655,辅助信息!E:K,7,FALSE)</f>
        <v>JWDDCD2025072900121</v>
      </c>
      <c r="E3655" s="41" t="str">
        <f>VLOOKUP(F3655,辅助信息!A:B,2,FALSE)</f>
        <v>盘螺</v>
      </c>
      <c r="F3655" s="41" t="s">
        <v>41</v>
      </c>
      <c r="G3655" s="37">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1" t="str">
        <f>VLOOKUP(B3655,辅助信息!E:I,3,FALSE)</f>
        <v>(乐山市校地共建产教融合基地建设项目一标段)四川省乐山市市中区苏稽镇周山嘴</v>
      </c>
      <c r="J3655" s="41" t="str">
        <f>VLOOKUP(B3655,辅助信息!E:I,4,FALSE)</f>
        <v>范增云</v>
      </c>
      <c r="K3655" s="41">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30" t="str">
        <f>VLOOKUP(B3655,辅助信息!E:M,9,FALSE)</f>
        <v>ZTWM-CDGS-XS-2025-0125-四川机司-乐山市校地共建产教融合基地配套设施项目施工一标段钢筋采购合同</v>
      </c>
      <c r="R3655" s="30" t="str">
        <f>_xlfn._xlws.FILTER(辅助信息!D:D,辅助信息!E:E=B3655)</f>
        <v>乐山市校地共建产教融合基地建设项目</v>
      </c>
    </row>
    <row r="3656" hidden="1" spans="2:18">
      <c r="B3656" s="41" t="s">
        <v>187</v>
      </c>
      <c r="C3656" s="71">
        <v>45922</v>
      </c>
      <c r="D3656" s="41" t="str">
        <f>VLOOKUP(B3656,辅助信息!E:K,7,FALSE)</f>
        <v>JWDDCD2025072900121</v>
      </c>
      <c r="E3656" s="41" t="str">
        <f>VLOOKUP(F3656,辅助信息!A:B,2,FALSE)</f>
        <v>螺纹钢</v>
      </c>
      <c r="F3656" s="41" t="s">
        <v>66</v>
      </c>
      <c r="G3656" s="37">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1" t="str">
        <f>VLOOKUP(B3656,辅助信息!E:I,3,FALSE)</f>
        <v>(乐山市校地共建产教融合基地建设项目一标段)四川省乐山市市中区苏稽镇周山嘴</v>
      </c>
      <c r="J3656" s="41" t="str">
        <f>VLOOKUP(B3656,辅助信息!E:I,4,FALSE)</f>
        <v>范增云</v>
      </c>
      <c r="K3656" s="41">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30" t="str">
        <f>VLOOKUP(B3656,辅助信息!E:M,9,FALSE)</f>
        <v>ZTWM-CDGS-XS-2025-0125-四川机司-乐山市校地共建产教融合基地配套设施项目施工一标段钢筋采购合同</v>
      </c>
      <c r="R3656" s="30" t="str">
        <f>_xlfn._xlws.FILTER(辅助信息!D:D,辅助信息!E:E=B3656)</f>
        <v>乐山市校地共建产教融合基地建设项目</v>
      </c>
    </row>
    <row r="3657" hidden="1" spans="2:18">
      <c r="B3657" s="41" t="s">
        <v>187</v>
      </c>
      <c r="C3657" s="71">
        <v>45922</v>
      </c>
      <c r="D3657" s="41" t="str">
        <f>VLOOKUP(B3657,辅助信息!E:K,7,FALSE)</f>
        <v>JWDDCD2025072900121</v>
      </c>
      <c r="E3657" s="41" t="str">
        <f>VLOOKUP(F3657,辅助信息!A:B,2,FALSE)</f>
        <v>螺纹钢</v>
      </c>
      <c r="F3657" s="41" t="s">
        <v>82</v>
      </c>
      <c r="G3657" s="37">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1" t="str">
        <f>VLOOKUP(B3657,辅助信息!E:I,3,FALSE)</f>
        <v>(乐山市校地共建产教融合基地建设项目一标段)四川省乐山市市中区苏稽镇周山嘴</v>
      </c>
      <c r="J3657" s="41" t="str">
        <f>VLOOKUP(B3657,辅助信息!E:I,4,FALSE)</f>
        <v>范增云</v>
      </c>
      <c r="K3657" s="41">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30" t="str">
        <f>VLOOKUP(B3657,辅助信息!E:M,9,FALSE)</f>
        <v>ZTWM-CDGS-XS-2025-0125-四川机司-乐山市校地共建产教融合基地配套设施项目施工一标段钢筋采购合同</v>
      </c>
      <c r="R3657" s="30" t="str">
        <f>_xlfn._xlws.FILTER(辅助信息!D:D,辅助信息!E:E=B3657)</f>
        <v>乐山市校地共建产教融合基地建设项目</v>
      </c>
    </row>
    <row r="3658" hidden="1" spans="2:18">
      <c r="B3658" s="41" t="s">
        <v>187</v>
      </c>
      <c r="C3658" s="71">
        <v>45922</v>
      </c>
      <c r="D3658" s="41" t="str">
        <f>VLOOKUP(B3658,辅助信息!E:K,7,FALSE)</f>
        <v>JWDDCD2025072900121</v>
      </c>
      <c r="E3658" s="41" t="str">
        <f>VLOOKUP(F3658,辅助信息!A:B,2,FALSE)</f>
        <v>螺纹钢</v>
      </c>
      <c r="F3658" s="41" t="s">
        <v>22</v>
      </c>
      <c r="G3658" s="37">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1" t="str">
        <f>VLOOKUP(B3658,辅助信息!E:I,3,FALSE)</f>
        <v>(乐山市校地共建产教融合基地建设项目一标段)四川省乐山市市中区苏稽镇周山嘴</v>
      </c>
      <c r="J3658" s="41" t="str">
        <f>VLOOKUP(B3658,辅助信息!E:I,4,FALSE)</f>
        <v>范增云</v>
      </c>
      <c r="K3658" s="41">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30" t="str">
        <f>VLOOKUP(B3658,辅助信息!E:M,9,FALSE)</f>
        <v>ZTWM-CDGS-XS-2025-0125-四川机司-乐山市校地共建产教融合基地配套设施项目施工一标段钢筋采购合同</v>
      </c>
      <c r="R3658" s="30" t="str">
        <f>_xlfn._xlws.FILTER(辅助信息!D:D,辅助信息!E:E=B3658)</f>
        <v>乐山市校地共建产教融合基地建设项目</v>
      </c>
    </row>
    <row r="3659" hidden="1" spans="2:18">
      <c r="B3659" s="41" t="s">
        <v>187</v>
      </c>
      <c r="C3659" s="71">
        <v>45922</v>
      </c>
      <c r="D3659" s="41" t="str">
        <f>VLOOKUP(B3659,辅助信息!E:K,7,FALSE)</f>
        <v>JWDDCD2025072900121</v>
      </c>
      <c r="E3659" s="41" t="str">
        <f>VLOOKUP(F3659,辅助信息!A:B,2,FALSE)</f>
        <v>螺纹钢</v>
      </c>
      <c r="F3659" s="41" t="s">
        <v>141</v>
      </c>
      <c r="G3659" s="37">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1" t="str">
        <f>VLOOKUP(B3659,辅助信息!E:I,3,FALSE)</f>
        <v>(乐山市校地共建产教融合基地建设项目一标段)四川省乐山市市中区苏稽镇周山嘴</v>
      </c>
      <c r="J3659" s="41" t="str">
        <f>VLOOKUP(B3659,辅助信息!E:I,4,FALSE)</f>
        <v>范增云</v>
      </c>
      <c r="K3659" s="41">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30" t="str">
        <f>VLOOKUP(B3659,辅助信息!E:M,9,FALSE)</f>
        <v>ZTWM-CDGS-XS-2025-0125-四川机司-乐山市校地共建产教融合基地配套设施项目施工一标段钢筋采购合同</v>
      </c>
      <c r="R3659" s="30" t="str">
        <f>_xlfn._xlws.FILTER(辅助信息!D:D,辅助信息!E:E=B3659)</f>
        <v>乐山市校地共建产教融合基地建设项目</v>
      </c>
    </row>
    <row r="3660" hidden="1" spans="2:18">
      <c r="B3660" s="41" t="s">
        <v>187</v>
      </c>
      <c r="C3660" s="71">
        <v>45922</v>
      </c>
      <c r="D3660" s="41" t="str">
        <f>VLOOKUP(B3660,辅助信息!E:K,7,FALSE)</f>
        <v>JWDDCD2025072900121</v>
      </c>
      <c r="E3660" s="41" t="str">
        <f>VLOOKUP(F3660,辅助信息!A:B,2,FALSE)</f>
        <v>螺纹钢</v>
      </c>
      <c r="F3660" s="41" t="s">
        <v>142</v>
      </c>
      <c r="G3660" s="37">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1" t="str">
        <f>VLOOKUP(B3660,辅助信息!E:I,3,FALSE)</f>
        <v>(乐山市校地共建产教融合基地建设项目一标段)四川省乐山市市中区苏稽镇周山嘴</v>
      </c>
      <c r="J3660" s="41" t="str">
        <f>VLOOKUP(B3660,辅助信息!E:I,4,FALSE)</f>
        <v>范增云</v>
      </c>
      <c r="K3660" s="41">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30" t="str">
        <f>VLOOKUP(B3660,辅助信息!E:M,9,FALSE)</f>
        <v>ZTWM-CDGS-XS-2025-0125-四川机司-乐山市校地共建产教融合基地配套设施项目施工一标段钢筋采购合同</v>
      </c>
      <c r="R3660" s="30" t="str">
        <f>_xlfn._xlws.FILTER(辅助信息!D:D,辅助信息!E:E=B3660)</f>
        <v>乐山市校地共建产教融合基地建设项目</v>
      </c>
    </row>
    <row r="3661" hidden="1" spans="2:18">
      <c r="B3661" s="41" t="s">
        <v>187</v>
      </c>
      <c r="C3661" s="71">
        <v>45922</v>
      </c>
      <c r="D3661" s="41" t="str">
        <f>VLOOKUP(B3661,辅助信息!E:K,7,FALSE)</f>
        <v>JWDDCD2025072900121</v>
      </c>
      <c r="E3661" s="41" t="str">
        <f>VLOOKUP(F3661,辅助信息!A:B,2,FALSE)</f>
        <v>螺纹钢</v>
      </c>
      <c r="F3661" s="41" t="s">
        <v>200</v>
      </c>
      <c r="G3661" s="37">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1" t="str">
        <f>VLOOKUP(B3661,辅助信息!E:I,3,FALSE)</f>
        <v>(乐山市校地共建产教融合基地建设项目一标段)四川省乐山市市中区苏稽镇周山嘴</v>
      </c>
      <c r="J3661" s="41" t="str">
        <f>VLOOKUP(B3661,辅助信息!E:I,4,FALSE)</f>
        <v>范增云</v>
      </c>
      <c r="K3661" s="41">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30" t="str">
        <f>VLOOKUP(B3661,辅助信息!E:M,9,FALSE)</f>
        <v>ZTWM-CDGS-XS-2025-0125-四川机司-乐山市校地共建产教融合基地配套设施项目施工一标段钢筋采购合同</v>
      </c>
      <c r="R3661" s="30"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38</v>
      </c>
      <c r="Q3662" s="30" t="str">
        <f>VLOOKUP(B3662,辅助信息!E:M,9,FALSE)</f>
        <v>ZTWM-CDGS-XS-2024-0030-华西集采-简州大道</v>
      </c>
      <c r="R3662" s="30"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38</v>
      </c>
      <c r="Q3663" s="30" t="str">
        <f>VLOOKUP(B3663,辅助信息!E:M,9,FALSE)</f>
        <v>ZTWM-CDGS-XS-2024-0030-华西集采-简州大道</v>
      </c>
      <c r="R3663" s="30"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37</v>
      </c>
      <c r="Q3664" s="30" t="str">
        <f>VLOOKUP(B3664,辅助信息!E:M,9,FALSE)</f>
        <v>ZTWM-CDGS-XS-2025-0073-五冶天府-成都怡心湖片区及龙泉驿医院等项目</v>
      </c>
      <c r="R3664" s="30"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37</v>
      </c>
      <c r="Q3665" s="30" t="str">
        <f>VLOOKUP(B3665,辅助信息!E:M,9,FALSE)</f>
        <v>ZTWM-CDGS-XS-2025-0126-四川机司-乐山市校地共建产教融合基地配套设施项目施工二标段钢筋采购合同</v>
      </c>
      <c r="R3665" s="30"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37</v>
      </c>
      <c r="Q3666" s="30" t="str">
        <f>VLOOKUP(B3666,辅助信息!E:M,9,FALSE)</f>
        <v>ZTWM-CDGS-XS-2025-0126-四川机司-乐山市校地共建产教融合基地配套设施项目施工二标段钢筋采购合同</v>
      </c>
      <c r="R3666" s="30"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30" t="str">
        <f>VLOOKUP(B3667,辅助信息!E:M,9,FALSE)</f>
        <v>ZTWM-CDGS-XS-2024-0134-商投建工达州中医药科技成果示范园项目</v>
      </c>
      <c r="R3667" s="30"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37</v>
      </c>
      <c r="Q3668" s="30" t="str">
        <f>VLOOKUP(B3668,辅助信息!E:M,9,FALSE)</f>
        <v>ZTWM-CDGS-XS-2024-0134-商投建工达州中医药科技成果示范园项目</v>
      </c>
      <c r="R3668" s="30"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37</v>
      </c>
      <c r="Q3669" s="30" t="str">
        <f>VLOOKUP(B3669,辅助信息!E:M,9,FALSE)</f>
        <v>ZTWM-CDGS-XS-2024-0134-商投建工达州中医药科技成果示范园项目</v>
      </c>
      <c r="R3669" s="30"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30" t="str">
        <f>VLOOKUP(B3670,辅助信息!E:M,9,FALSE)</f>
        <v>ZTWM-CDGS-XS-2024-0134-商投建工达州中医药科技成果示范园项目</v>
      </c>
      <c r="R3670" s="30"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30" t="str">
        <f>VLOOKUP(B3671,辅助信息!E:M,9,FALSE)</f>
        <v>ZTWM-CDGS-XS-2024-0134-商投建工达州中医药科技成果示范园项目</v>
      </c>
      <c r="R3671" s="30"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30" t="str">
        <f>VLOOKUP(B3672,辅助信息!E:M,9,FALSE)</f>
        <v>ZTWM-CDGS-XS-2024-0134-商投建工达州中医药科技成果示范园项目</v>
      </c>
      <c r="R3672" s="30"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30" t="str">
        <f>VLOOKUP(B3673,辅助信息!E:M,9,FALSE)</f>
        <v>ZTWM-CDGS-XS-2024-0134-商投建工达州中医药科技成果示范园项目</v>
      </c>
      <c r="R3673" s="30"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30" t="str">
        <f>VLOOKUP(B3674,辅助信息!E:M,9,FALSE)</f>
        <v>ZTWM-CDGS-XS-2024-0134-商投建工达州中医药科技成果示范园项目</v>
      </c>
      <c r="R3674" s="30"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34</v>
      </c>
      <c r="Q3675" s="30" t="str">
        <f>VLOOKUP(B3675,辅助信息!E:M,9,FALSE)</f>
        <v>ZTWM-CDGS-XS-2024-0134-商投建工达州中医药科技成果示范园项目</v>
      </c>
      <c r="R3675" s="30"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30" t="str">
        <f>VLOOKUP(B3676,辅助信息!E:M,9,FALSE)</f>
        <v>ZTWM-CDGS-XS-2024-0134-商投建工达州中医药科技成果示范园项目</v>
      </c>
      <c r="R3676" s="30"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30" t="str">
        <f>VLOOKUP(B3677,辅助信息!E:M,9,FALSE)</f>
        <v>ZTWM-CDGS-XS-2024-0134-商投建工达州中医药科技成果示范园项目</v>
      </c>
      <c r="R3677" s="30"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30" t="str">
        <f>VLOOKUP(B3678,辅助信息!E:M,9,FALSE)</f>
        <v>ZTWM-CDGS-XS-2024-0134-商投建工达州中医药科技成果示范园项目</v>
      </c>
      <c r="R3678" s="30"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34</v>
      </c>
      <c r="Q3679" s="30" t="str">
        <f>VLOOKUP(B3679,辅助信息!E:M,9,FALSE)</f>
        <v>ZTWM-CDGS-XS-2024-0134-商投建工达州中医药科技成果示范园项目</v>
      </c>
      <c r="R3679" s="30"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34</v>
      </c>
      <c r="Q3680" s="30" t="str">
        <f>VLOOKUP(B3680,辅助信息!E:M,9,FALSE)</f>
        <v>ZTWM-CDGS-XS-2024-0134-商投建工达州中医药科技成果示范园项目</v>
      </c>
      <c r="R3680" s="30"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34</v>
      </c>
      <c r="Q3681" s="30" t="str">
        <f>VLOOKUP(B3681,辅助信息!E:M,9,FALSE)</f>
        <v>ZTWM-CDGS-XS-2024-0134-商投建工达州中医药科技成果示范园项目</v>
      </c>
      <c r="R3681" s="30"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34</v>
      </c>
      <c r="Q3682" s="30" t="str">
        <f>VLOOKUP(B3682,辅助信息!E:M,9,FALSE)</f>
        <v>ZTWM-CDGS-XS-2024-0134-商投建工达州中医药科技成果示范园项目</v>
      </c>
      <c r="R3682" s="30"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34</v>
      </c>
      <c r="Q3683" s="30" t="str">
        <f>VLOOKUP(B3683,辅助信息!E:M,9,FALSE)</f>
        <v>ZTWM-CDGS-XS-2024-0134-商投建工达州中医药科技成果示范园项目</v>
      </c>
      <c r="R3683" s="30"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34</v>
      </c>
      <c r="Q3684" s="30" t="str">
        <f>VLOOKUP(B3684,辅助信息!E:M,9,FALSE)</f>
        <v>ZTWM-CDGS-XS-2025-0073-五冶天府-成都怡心湖片区及龙泉驿医院等项目</v>
      </c>
      <c r="R3684" s="30"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34</v>
      </c>
      <c r="Q3685" s="30" t="str">
        <f>VLOOKUP(B3685,辅助信息!E:M,9,FALSE)</f>
        <v>ZTWM-CDGS-XS-2025-0073-五冶天府-成都怡心湖片区及龙泉驿医院等项目</v>
      </c>
      <c r="R3685" s="30"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34</v>
      </c>
      <c r="Q3686" s="30" t="str">
        <f>VLOOKUP(B3686,辅助信息!E:M,9,FALSE)</f>
        <v>ZTWM-CDGS-XS-2025-0073-五冶天府-成都怡心湖片区及龙泉驿医院等项目</v>
      </c>
      <c r="R3686" s="30"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34</v>
      </c>
      <c r="Q3687" s="30" t="str">
        <f>VLOOKUP(B3687,辅助信息!E:M,9,FALSE)</f>
        <v>ZTWM-CDGS-XS-2025-0073-五冶天府-成都怡心湖片区及龙泉驿医院等项目</v>
      </c>
      <c r="R3687" s="30"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34</v>
      </c>
      <c r="Q3688" s="30" t="str">
        <f>VLOOKUP(B3688,辅助信息!E:M,9,FALSE)</f>
        <v>ZTWM-CDGS-XS-2025-0073-五冶天府-成都怡心湖片区及龙泉驿医院等项目</v>
      </c>
      <c r="R3688" s="30"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34</v>
      </c>
      <c r="Q3689" s="30" t="str">
        <f>VLOOKUP(B3689,辅助信息!E:M,9,FALSE)</f>
        <v>ZTWM-CDGS-XS-2025-0073-五冶天府-成都怡心湖片区及龙泉驿医院等项目</v>
      </c>
      <c r="R3689" s="30"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35</v>
      </c>
      <c r="Q3690" s="30" t="str">
        <f>VLOOKUP(B3690,辅助信息!E:M,9,FALSE)</f>
        <v>ZTWM-CDGS-XS-2025-0125-四川机司-乐山市校地共建产教融合基地配套设施项目施工一标段钢筋采购合同</v>
      </c>
      <c r="R3690" s="30"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35</v>
      </c>
      <c r="Q3691" s="30" t="str">
        <f>VLOOKUP(B3691,辅助信息!E:M,9,FALSE)</f>
        <v>ZTWM-CDGS-XS-2025-0125-四川机司-乐山市校地共建产教融合基地配套设施项目施工一标段钢筋采购合同</v>
      </c>
      <c r="R3691" s="30"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35</v>
      </c>
      <c r="Q3692" s="30" t="str">
        <f>VLOOKUP(B3692,辅助信息!E:M,9,FALSE)</f>
        <v>ZTWM-CDGS-XS-2025-0125-四川机司-乐山市校地共建产教融合基地配套设施项目施工一标段钢筋采购合同</v>
      </c>
      <c r="R3692" s="30"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35</v>
      </c>
      <c r="Q3693" s="30" t="str">
        <f>VLOOKUP(B3693,辅助信息!E:M,9,FALSE)</f>
        <v>ZTWM-CDGS-XS-2025-0125-四川机司-乐山市校地共建产教融合基地配套设施项目施工一标段钢筋采购合同</v>
      </c>
      <c r="R3693" s="30"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35</v>
      </c>
      <c r="Q3694" s="30" t="str">
        <f>VLOOKUP(B3694,辅助信息!E:M,9,FALSE)</f>
        <v>ZTWM-CDGS-XS-2025-0125-四川机司-乐山市校地共建产教融合基地配套设施项目施工一标段钢筋采购合同</v>
      </c>
      <c r="R3694" s="30"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35</v>
      </c>
      <c r="Q3695" s="30" t="str">
        <f>VLOOKUP(B3695,辅助信息!E:M,9,FALSE)</f>
        <v>ZTWM-CDGS-XS-2025-0125-四川机司-乐山市校地共建产教融合基地配套设施项目施工一标段钢筋采购合同</v>
      </c>
      <c r="R3695" s="30"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35</v>
      </c>
      <c r="Q3696" s="30" t="str">
        <f>VLOOKUP(B3696,辅助信息!E:M,9,FALSE)</f>
        <v>ZTWM-CDGS-XS-2025-0125-四川机司-乐山市校地共建产教融合基地配套设施项目施工一标段钢筋采购合同</v>
      </c>
      <c r="R3696" s="30"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35</v>
      </c>
      <c r="Q3697" s="30" t="str">
        <f>VLOOKUP(B3697,辅助信息!E:M,9,FALSE)</f>
        <v>ZTWM-CDGS-XS-2025-0125-四川机司-乐山市校地共建产教融合基地配套设施项目施工一标段钢筋采购合同</v>
      </c>
      <c r="R3697" s="30" t="str">
        <f>_xlfn._xlws.FILTER(辅助信息!D:D,辅助信息!E:E=B3697)</f>
        <v>乐山市校地共建产教融合基地建设项目</v>
      </c>
    </row>
    <row r="3698" hidden="1" spans="2:18">
      <c r="B3698" s="41" t="s">
        <v>215</v>
      </c>
      <c r="C3698" s="71">
        <v>45923</v>
      </c>
      <c r="D3698" s="41" t="str">
        <f>VLOOKUP(B3698,辅助信息!E:K,7,FALSE)</f>
        <v>JWDDCD2025102100486</v>
      </c>
      <c r="E3698" s="41" t="str">
        <f>VLOOKUP(F3698,辅助信息!A:B,2,FALSE)</f>
        <v>螺纹钢</v>
      </c>
      <c r="F3698" s="41" t="s">
        <v>19</v>
      </c>
      <c r="G3698" s="37">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1" t="str">
        <f>VLOOKUP(B3698,辅助信息!E:I,3,FALSE)</f>
        <v>(五冶建设龙泉驿一医院配套建设工程)成都市龙泉驿区董朗路69号龙泉驿一医院5号门</v>
      </c>
      <c r="J3698" s="41" t="str">
        <f>VLOOKUP(B3698,辅助信息!E:I,4,FALSE)</f>
        <v>孙敏</v>
      </c>
      <c r="K3698" s="41">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35</v>
      </c>
      <c r="Q3698" s="30" t="str">
        <f>VLOOKUP(B3698,辅助信息!E:M,9,FALSE)</f>
        <v>ZTWM-CDGS-XS-2025-0073-五冶天府-成都怡心湖片区及龙泉驿医院等项目</v>
      </c>
      <c r="R3698" s="30" t="str">
        <f>_xlfn._xlws.FILTER(辅助信息!D:D,辅助信息!E:E=B3698)</f>
        <v>五冶建设龙泉驿一医院配套建设工程</v>
      </c>
    </row>
    <row r="3699" hidden="1" spans="2:18">
      <c r="B3699" s="41" t="s">
        <v>215</v>
      </c>
      <c r="C3699" s="71">
        <v>45923</v>
      </c>
      <c r="D3699" s="41" t="str">
        <f>VLOOKUP(B3699,辅助信息!E:K,7,FALSE)</f>
        <v>JWDDCD2025102100486</v>
      </c>
      <c r="E3699" s="41" t="str">
        <f>VLOOKUP(F3699,辅助信息!A:B,2,FALSE)</f>
        <v>螺纹钢</v>
      </c>
      <c r="F3699" s="41" t="s">
        <v>28</v>
      </c>
      <c r="G3699" s="37">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1" t="str">
        <f>VLOOKUP(B3699,辅助信息!E:I,3,FALSE)</f>
        <v>(五冶建设龙泉驿一医院配套建设工程)成都市龙泉驿区董朗路69号龙泉驿一医院5号门</v>
      </c>
      <c r="J3699" s="41" t="str">
        <f>VLOOKUP(B3699,辅助信息!E:I,4,FALSE)</f>
        <v>孙敏</v>
      </c>
      <c r="K3699" s="41">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35</v>
      </c>
      <c r="Q3699" s="30" t="str">
        <f>VLOOKUP(B3699,辅助信息!E:M,9,FALSE)</f>
        <v>ZTWM-CDGS-XS-2025-0073-五冶天府-成都怡心湖片区及龙泉驿医院等项目</v>
      </c>
      <c r="R3699" s="30" t="str">
        <f>_xlfn._xlws.FILTER(辅助信息!D:D,辅助信息!E:E=B3699)</f>
        <v>五冶建设龙泉驿一医院配套建设工程</v>
      </c>
    </row>
    <row r="3700" hidden="1" spans="2:18">
      <c r="B3700" s="41" t="s">
        <v>215</v>
      </c>
      <c r="C3700" s="71">
        <v>45923</v>
      </c>
      <c r="D3700" s="41" t="str">
        <f>VLOOKUP(B3700,辅助信息!E:K,7,FALSE)</f>
        <v>JWDDCD2025102100486</v>
      </c>
      <c r="E3700" s="41" t="str">
        <f>VLOOKUP(F3700,辅助信息!A:B,2,FALSE)</f>
        <v>螺纹钢</v>
      </c>
      <c r="F3700" s="41" t="s">
        <v>18</v>
      </c>
      <c r="G3700" s="37">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1" t="str">
        <f>VLOOKUP(B3700,辅助信息!E:I,3,FALSE)</f>
        <v>(五冶建设龙泉驿一医院配套建设工程)成都市龙泉驿区董朗路69号龙泉驿一医院5号门</v>
      </c>
      <c r="J3700" s="41" t="str">
        <f>VLOOKUP(B3700,辅助信息!E:I,4,FALSE)</f>
        <v>孙敏</v>
      </c>
      <c r="K3700" s="41">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35</v>
      </c>
      <c r="Q3700" s="30" t="str">
        <f>VLOOKUP(B3700,辅助信息!E:M,9,FALSE)</f>
        <v>ZTWM-CDGS-XS-2025-0073-五冶天府-成都怡心湖片区及龙泉驿医院等项目</v>
      </c>
      <c r="R3700" s="30" t="str">
        <f>_xlfn._xlws.FILTER(辅助信息!D:D,辅助信息!E:E=B3700)</f>
        <v>五冶建设龙泉驿一医院配套建设工程</v>
      </c>
    </row>
    <row r="3701" hidden="1" spans="2:18">
      <c r="B3701" s="41" t="s">
        <v>215</v>
      </c>
      <c r="C3701" s="71">
        <v>45923</v>
      </c>
      <c r="D3701" s="41" t="str">
        <f>VLOOKUP(B3701,辅助信息!E:K,7,FALSE)</f>
        <v>JWDDCD2025102100486</v>
      </c>
      <c r="E3701" s="41" t="str">
        <f>VLOOKUP(F3701,辅助信息!A:B,2,FALSE)</f>
        <v>螺纹钢</v>
      </c>
      <c r="F3701" s="41" t="s">
        <v>58</v>
      </c>
      <c r="G3701" s="37">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1" t="str">
        <f>VLOOKUP(B3701,辅助信息!E:I,3,FALSE)</f>
        <v>(五冶建设龙泉驿一医院配套建设工程)成都市龙泉驿区董朗路69号龙泉驿一医院5号门</v>
      </c>
      <c r="J3701" s="41" t="str">
        <f>VLOOKUP(B3701,辅助信息!E:I,4,FALSE)</f>
        <v>孙敏</v>
      </c>
      <c r="K3701" s="41">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35</v>
      </c>
      <c r="Q3701" s="30" t="str">
        <f>VLOOKUP(B3701,辅助信息!E:M,9,FALSE)</f>
        <v>ZTWM-CDGS-XS-2025-0073-五冶天府-成都怡心湖片区及龙泉驿医院等项目</v>
      </c>
      <c r="R3701" s="30" t="str">
        <f>_xlfn._xlws.FILTER(辅助信息!D:D,辅助信息!E:E=B3701)</f>
        <v>五冶建设龙泉驿一医院配套建设工程</v>
      </c>
    </row>
    <row r="3702" hidden="1" spans="2:18">
      <c r="B3702" s="41" t="s">
        <v>215</v>
      </c>
      <c r="C3702" s="71">
        <v>45923</v>
      </c>
      <c r="D3702" s="41" t="str">
        <f>VLOOKUP(B3702,辅助信息!E:K,7,FALSE)</f>
        <v>JWDDCD2025102100486</v>
      </c>
      <c r="E3702" s="41" t="str">
        <f>VLOOKUP(F3702,辅助信息!A:B,2,FALSE)</f>
        <v>螺纹钢</v>
      </c>
      <c r="F3702" s="41" t="s">
        <v>46</v>
      </c>
      <c r="G3702" s="37">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1" t="str">
        <f>VLOOKUP(B3702,辅助信息!E:I,3,FALSE)</f>
        <v>(五冶建设龙泉驿一医院配套建设工程)成都市龙泉驿区董朗路69号龙泉驿一医院5号门</v>
      </c>
      <c r="J3702" s="41" t="str">
        <f>VLOOKUP(B3702,辅助信息!E:I,4,FALSE)</f>
        <v>孙敏</v>
      </c>
      <c r="K3702" s="41">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35</v>
      </c>
      <c r="Q3702" s="30" t="str">
        <f>VLOOKUP(B3702,辅助信息!E:M,9,FALSE)</f>
        <v>ZTWM-CDGS-XS-2025-0073-五冶天府-成都怡心湖片区及龙泉驿医院等项目</v>
      </c>
      <c r="R3702" s="30" t="str">
        <f>_xlfn._xlws.FILTER(辅助信息!D:D,辅助信息!E:E=B3702)</f>
        <v>五冶建设龙泉驿一医院配套建设工程</v>
      </c>
    </row>
    <row r="3703" hidden="1" spans="2:18">
      <c r="B3703" s="41" t="s">
        <v>196</v>
      </c>
      <c r="C3703" s="71">
        <v>45923</v>
      </c>
      <c r="D3703" s="41" t="str">
        <f>VLOOKUP(B3703,辅助信息!E:K,7,FALSE)</f>
        <v>JWDDCD2025102100476</v>
      </c>
      <c r="E3703" s="41" t="str">
        <f>VLOOKUP(F3703,辅助信息!A:B,2,FALSE)</f>
        <v>盘螺</v>
      </c>
      <c r="F3703" s="41" t="s">
        <v>40</v>
      </c>
      <c r="G3703" s="37">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1" t="str">
        <f>VLOOKUP(B3703,辅助信息!E:I,3,FALSE)</f>
        <v>(五冶建设师大附中外语校新建教学楼工程)四川省成都市成华区大观堰2号(四川师范大学附属中学外国语学校)</v>
      </c>
      <c r="J3703" s="41" t="str">
        <f>VLOOKUP(B3703,辅助信息!E:I,4,FALSE)</f>
        <v>蔡浩</v>
      </c>
      <c r="K3703" s="41">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30" t="str">
        <f>VLOOKUP(B3703,辅助信息!E:M,9,FALSE)</f>
        <v>ZTWM-CDGS-XS-2025-0073-五冶天府-成都怡心湖片区及龙泉驿医院等项目</v>
      </c>
      <c r="R3703" s="30" t="str">
        <f>_xlfn._xlws.FILTER(辅助信息!D:D,辅助信息!E:E=B3703)</f>
        <v>五冶建设师大附中外语校新建教学楼工程</v>
      </c>
    </row>
    <row r="3704" hidden="1" spans="2:18">
      <c r="B3704" s="41" t="s">
        <v>196</v>
      </c>
      <c r="C3704" s="71">
        <v>45923</v>
      </c>
      <c r="D3704" s="41" t="str">
        <f>VLOOKUP(B3704,辅助信息!E:K,7,FALSE)</f>
        <v>JWDDCD2025102100476</v>
      </c>
      <c r="E3704" s="41" t="str">
        <f>VLOOKUP(F3704,辅助信息!A:B,2,FALSE)</f>
        <v>螺纹钢</v>
      </c>
      <c r="F3704" s="41" t="s">
        <v>27</v>
      </c>
      <c r="G3704" s="37">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1" t="str">
        <f>VLOOKUP(B3704,辅助信息!E:I,3,FALSE)</f>
        <v>(五冶建设师大附中外语校新建教学楼工程)四川省成都市成华区大观堰2号(四川师范大学附属中学外国语学校)</v>
      </c>
      <c r="J3704" s="41" t="str">
        <f>VLOOKUP(B3704,辅助信息!E:I,4,FALSE)</f>
        <v>蔡浩</v>
      </c>
      <c r="K3704" s="41">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30" t="str">
        <f>VLOOKUP(B3704,辅助信息!E:M,9,FALSE)</f>
        <v>ZTWM-CDGS-XS-2025-0073-五冶天府-成都怡心湖片区及龙泉驿医院等项目</v>
      </c>
      <c r="R3704" s="30" t="str">
        <f>_xlfn._xlws.FILTER(辅助信息!D:D,辅助信息!E:E=B3704)</f>
        <v>五冶建设师大附中外语校新建教学楼工程</v>
      </c>
    </row>
    <row r="3705" hidden="1" spans="2:18">
      <c r="B3705" s="41" t="s">
        <v>196</v>
      </c>
      <c r="C3705" s="71">
        <v>45923</v>
      </c>
      <c r="D3705" s="41" t="str">
        <f>VLOOKUP(B3705,辅助信息!E:K,7,FALSE)</f>
        <v>JWDDCD2025102100476</v>
      </c>
      <c r="E3705" s="41" t="str">
        <f>VLOOKUP(F3705,辅助信息!A:B,2,FALSE)</f>
        <v>螺纹钢</v>
      </c>
      <c r="F3705" s="41" t="s">
        <v>19</v>
      </c>
      <c r="G3705" s="37">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1" t="str">
        <f>VLOOKUP(B3705,辅助信息!E:I,3,FALSE)</f>
        <v>(五冶建设师大附中外语校新建教学楼工程)四川省成都市成华区大观堰2号(四川师范大学附属中学外国语学校)</v>
      </c>
      <c r="J3705" s="41" t="str">
        <f>VLOOKUP(B3705,辅助信息!E:I,4,FALSE)</f>
        <v>蔡浩</v>
      </c>
      <c r="K3705" s="41">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30" t="str">
        <f>VLOOKUP(B3705,辅助信息!E:M,9,FALSE)</f>
        <v>ZTWM-CDGS-XS-2025-0073-五冶天府-成都怡心湖片区及龙泉驿医院等项目</v>
      </c>
      <c r="R3705" s="30" t="str">
        <f>_xlfn._xlws.FILTER(辅助信息!D:D,辅助信息!E:E=B3705)</f>
        <v>五冶建设师大附中外语校新建教学楼工程</v>
      </c>
    </row>
    <row r="3706" hidden="1" spans="2:18">
      <c r="B3706" s="41" t="s">
        <v>196</v>
      </c>
      <c r="C3706" s="71">
        <v>45923</v>
      </c>
      <c r="D3706" s="41" t="str">
        <f>VLOOKUP(B3706,辅助信息!E:K,7,FALSE)</f>
        <v>JWDDCD2025102100476</v>
      </c>
      <c r="E3706" s="41" t="str">
        <f>VLOOKUP(F3706,辅助信息!A:B,2,FALSE)</f>
        <v>螺纹钢</v>
      </c>
      <c r="F3706" s="41" t="s">
        <v>32</v>
      </c>
      <c r="G3706" s="37">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1" t="str">
        <f>VLOOKUP(B3706,辅助信息!E:I,3,FALSE)</f>
        <v>(五冶建设师大附中外语校新建教学楼工程)四川省成都市成华区大观堰2号(四川师范大学附属中学外国语学校)</v>
      </c>
      <c r="J3706" s="41" t="str">
        <f>VLOOKUP(B3706,辅助信息!E:I,4,FALSE)</f>
        <v>蔡浩</v>
      </c>
      <c r="K3706" s="41">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30" t="str">
        <f>VLOOKUP(B3706,辅助信息!E:M,9,FALSE)</f>
        <v>ZTWM-CDGS-XS-2025-0073-五冶天府-成都怡心湖片区及龙泉驿医院等项目</v>
      </c>
      <c r="R3706" s="30" t="str">
        <f>_xlfn._xlws.FILTER(辅助信息!D:D,辅助信息!E:E=B3706)</f>
        <v>五冶建设师大附中外语校新建教学楼工程</v>
      </c>
    </row>
    <row r="3707" hidden="1" spans="2:18">
      <c r="B3707" s="41" t="s">
        <v>196</v>
      </c>
      <c r="C3707" s="71">
        <v>45923</v>
      </c>
      <c r="D3707" s="41" t="str">
        <f>VLOOKUP(B3707,辅助信息!E:K,7,FALSE)</f>
        <v>JWDDCD2025102100476</v>
      </c>
      <c r="E3707" s="41" t="str">
        <f>VLOOKUP(F3707,辅助信息!A:B,2,FALSE)</f>
        <v>螺纹钢</v>
      </c>
      <c r="F3707" s="41" t="s">
        <v>30</v>
      </c>
      <c r="G3707" s="37">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1" t="str">
        <f>VLOOKUP(B3707,辅助信息!E:I,3,FALSE)</f>
        <v>(五冶建设师大附中外语校新建教学楼工程)四川省成都市成华区大观堰2号(四川师范大学附属中学外国语学校)</v>
      </c>
      <c r="J3707" s="41" t="str">
        <f>VLOOKUP(B3707,辅助信息!E:I,4,FALSE)</f>
        <v>蔡浩</v>
      </c>
      <c r="K3707" s="41">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30" t="str">
        <f>VLOOKUP(B3707,辅助信息!E:M,9,FALSE)</f>
        <v>ZTWM-CDGS-XS-2025-0073-五冶天府-成都怡心湖片区及龙泉驿医院等项目</v>
      </c>
      <c r="R3707" s="30" t="str">
        <f>_xlfn._xlws.FILTER(辅助信息!D:D,辅助信息!E:E=B3707)</f>
        <v>五冶建设师大附中外语校新建教学楼工程</v>
      </c>
    </row>
    <row r="3708" hidden="1" spans="2:18">
      <c r="B3708" s="41" t="s">
        <v>196</v>
      </c>
      <c r="C3708" s="71">
        <v>45923</v>
      </c>
      <c r="D3708" s="41" t="str">
        <f>VLOOKUP(B3708,辅助信息!E:K,7,FALSE)</f>
        <v>JWDDCD2025102100476</v>
      </c>
      <c r="E3708" s="41" t="str">
        <f>VLOOKUP(F3708,辅助信息!A:B,2,FALSE)</f>
        <v>螺纹钢</v>
      </c>
      <c r="F3708" s="41" t="s">
        <v>33</v>
      </c>
      <c r="G3708" s="37">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1" t="str">
        <f>VLOOKUP(B3708,辅助信息!E:I,3,FALSE)</f>
        <v>(五冶建设师大附中外语校新建教学楼工程)四川省成都市成华区大观堰2号(四川师范大学附属中学外国语学校)</v>
      </c>
      <c r="J3708" s="41" t="str">
        <f>VLOOKUP(B3708,辅助信息!E:I,4,FALSE)</f>
        <v>蔡浩</v>
      </c>
      <c r="K3708" s="41">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30" t="str">
        <f>VLOOKUP(B3708,辅助信息!E:M,9,FALSE)</f>
        <v>ZTWM-CDGS-XS-2025-0073-五冶天府-成都怡心湖片区及龙泉驿医院等项目</v>
      </c>
      <c r="R3708" s="30" t="str">
        <f>_xlfn._xlws.FILTER(辅助信息!D:D,辅助信息!E:E=B3708)</f>
        <v>五冶建设师大附中外语校新建教学楼工程</v>
      </c>
    </row>
    <row r="3709" hidden="1" spans="2:18">
      <c r="B3709" s="41" t="s">
        <v>196</v>
      </c>
      <c r="C3709" s="71">
        <v>45923</v>
      </c>
      <c r="D3709" s="41" t="str">
        <f>VLOOKUP(B3709,辅助信息!E:K,7,FALSE)</f>
        <v>JWDDCD2025102100476</v>
      </c>
      <c r="E3709" s="41" t="str">
        <f>VLOOKUP(F3709,辅助信息!A:B,2,FALSE)</f>
        <v>螺纹钢</v>
      </c>
      <c r="F3709" s="41" t="s">
        <v>28</v>
      </c>
      <c r="G3709" s="37">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1" t="str">
        <f>VLOOKUP(B3709,辅助信息!E:I,3,FALSE)</f>
        <v>(五冶建设师大附中外语校新建教学楼工程)四川省成都市成华区大观堰2号(四川师范大学附属中学外国语学校)</v>
      </c>
      <c r="J3709" s="41" t="str">
        <f>VLOOKUP(B3709,辅助信息!E:I,4,FALSE)</f>
        <v>蔡浩</v>
      </c>
      <c r="K3709" s="41">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30" t="str">
        <f>VLOOKUP(B3709,辅助信息!E:M,9,FALSE)</f>
        <v>ZTWM-CDGS-XS-2025-0073-五冶天府-成都怡心湖片区及龙泉驿医院等项目</v>
      </c>
      <c r="R3709" s="30" t="str">
        <f>_xlfn._xlws.FILTER(辅助信息!D:D,辅助信息!E:E=B3709)</f>
        <v>五冶建设师大附中外语校新建教学楼工程</v>
      </c>
    </row>
    <row r="3710" hidden="1" spans="2:18">
      <c r="B3710" s="41" t="s">
        <v>196</v>
      </c>
      <c r="C3710" s="71">
        <v>45923</v>
      </c>
      <c r="D3710" s="41" t="str">
        <f>VLOOKUP(B3710,辅助信息!E:K,7,FALSE)</f>
        <v>JWDDCD2025102100476</v>
      </c>
      <c r="E3710" s="41" t="str">
        <f>VLOOKUP(F3710,辅助信息!A:B,2,FALSE)</f>
        <v>螺纹钢</v>
      </c>
      <c r="F3710" s="41" t="s">
        <v>18</v>
      </c>
      <c r="G3710" s="37">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1" t="str">
        <f>VLOOKUP(B3710,辅助信息!E:I,3,FALSE)</f>
        <v>(五冶建设师大附中外语校新建教学楼工程)四川省成都市成华区大观堰2号(四川师范大学附属中学外国语学校)</v>
      </c>
      <c r="J3710" s="41" t="str">
        <f>VLOOKUP(B3710,辅助信息!E:I,4,FALSE)</f>
        <v>蔡浩</v>
      </c>
      <c r="K3710" s="41">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30" t="str">
        <f>VLOOKUP(B3710,辅助信息!E:M,9,FALSE)</f>
        <v>ZTWM-CDGS-XS-2025-0073-五冶天府-成都怡心湖片区及龙泉驿医院等项目</v>
      </c>
      <c r="R3710" s="30" t="str">
        <f>_xlfn._xlws.FILTER(辅助信息!D:D,辅助信息!E:E=B3710)</f>
        <v>五冶建设师大附中外语校新建教学楼工程</v>
      </c>
    </row>
    <row r="3711" hidden="1" spans="2:18">
      <c r="B3711" s="41" t="s">
        <v>196</v>
      </c>
      <c r="C3711" s="71">
        <v>45923</v>
      </c>
      <c r="D3711" s="41" t="str">
        <f>VLOOKUP(B3711,辅助信息!E:K,7,FALSE)</f>
        <v>JWDDCD2025102100476</v>
      </c>
      <c r="E3711" s="41" t="str">
        <f>VLOOKUP(F3711,辅助信息!A:B,2,FALSE)</f>
        <v>螺纹钢</v>
      </c>
      <c r="F3711" s="41" t="s">
        <v>65</v>
      </c>
      <c r="G3711" s="37">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1" t="str">
        <f>VLOOKUP(B3711,辅助信息!E:I,3,FALSE)</f>
        <v>(五冶建设师大附中外语校新建教学楼工程)四川省成都市成华区大观堰2号(四川师范大学附属中学外国语学校)</v>
      </c>
      <c r="J3711" s="41" t="str">
        <f>VLOOKUP(B3711,辅助信息!E:I,4,FALSE)</f>
        <v>蔡浩</v>
      </c>
      <c r="K3711" s="41">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30" t="str">
        <f>VLOOKUP(B3711,辅助信息!E:M,9,FALSE)</f>
        <v>ZTWM-CDGS-XS-2025-0073-五冶天府-成都怡心湖片区及龙泉驿医院等项目</v>
      </c>
      <c r="R3711" s="30" t="str">
        <f>_xlfn._xlws.FILTER(辅助信息!D:D,辅助信息!E:E=B3711)</f>
        <v>五冶建设师大附中外语校新建教学楼工程</v>
      </c>
    </row>
    <row r="3712" hidden="1" spans="2:18">
      <c r="B3712" s="41" t="s">
        <v>196</v>
      </c>
      <c r="C3712" s="71">
        <v>45923</v>
      </c>
      <c r="D3712" s="41" t="str">
        <f>VLOOKUP(B3712,辅助信息!E:K,7,FALSE)</f>
        <v>JWDDCD2025102100476</v>
      </c>
      <c r="E3712" s="41" t="str">
        <f>VLOOKUP(F3712,辅助信息!A:B,2,FALSE)</f>
        <v>螺纹钢</v>
      </c>
      <c r="F3712" s="41" t="s">
        <v>58</v>
      </c>
      <c r="G3712" s="37">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1" t="str">
        <f>VLOOKUP(B3712,辅助信息!E:I,3,FALSE)</f>
        <v>(五冶建设师大附中外语校新建教学楼工程)四川省成都市成华区大观堰2号(四川师范大学附属中学外国语学校)</v>
      </c>
      <c r="J3712" s="41" t="str">
        <f>VLOOKUP(B3712,辅助信息!E:I,4,FALSE)</f>
        <v>蔡浩</v>
      </c>
      <c r="K3712" s="41">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30" t="str">
        <f>VLOOKUP(B3712,辅助信息!E:M,9,FALSE)</f>
        <v>ZTWM-CDGS-XS-2025-0073-五冶天府-成都怡心湖片区及龙泉驿医院等项目</v>
      </c>
      <c r="R3712" s="30" t="str">
        <f>_xlfn._xlws.FILTER(辅助信息!D:D,辅助信息!E:E=B3712)</f>
        <v>五冶建设师大附中外语校新建教学楼工程</v>
      </c>
    </row>
    <row r="3713" hidden="1" spans="2:18">
      <c r="B3713" s="41" t="s">
        <v>196</v>
      </c>
      <c r="C3713" s="71">
        <v>45923</v>
      </c>
      <c r="D3713" s="41" t="str">
        <f>VLOOKUP(B3713,辅助信息!E:K,7,FALSE)</f>
        <v>JWDDCD2025102100476</v>
      </c>
      <c r="E3713" s="41" t="str">
        <f>VLOOKUP(F3713,辅助信息!A:B,2,FALSE)</f>
        <v>螺纹钢</v>
      </c>
      <c r="F3713" s="41" t="s">
        <v>46</v>
      </c>
      <c r="G3713" s="37">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1" t="str">
        <f>VLOOKUP(B3713,辅助信息!E:I,3,FALSE)</f>
        <v>(五冶建设师大附中外语校新建教学楼工程)四川省成都市成华区大观堰2号(四川师范大学附属中学外国语学校)</v>
      </c>
      <c r="J3713" s="41" t="str">
        <f>VLOOKUP(B3713,辅助信息!E:I,4,FALSE)</f>
        <v>蔡浩</v>
      </c>
      <c r="K3713" s="41">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30" t="str">
        <f>VLOOKUP(B3713,辅助信息!E:M,9,FALSE)</f>
        <v>ZTWM-CDGS-XS-2025-0073-五冶天府-成都怡心湖片区及龙泉驿医院等项目</v>
      </c>
      <c r="R3713" s="30" t="str">
        <f>_xlfn._xlws.FILTER(辅助信息!D:D,辅助信息!E:E=B3713)</f>
        <v>五冶建设师大附中外语校新建教学楼工程</v>
      </c>
    </row>
    <row r="3714" hidden="1" spans="2:18">
      <c r="B3714" s="41" t="s">
        <v>196</v>
      </c>
      <c r="C3714" s="71">
        <v>45923</v>
      </c>
      <c r="D3714" s="41" t="str">
        <f>VLOOKUP(B3714,辅助信息!E:K,7,FALSE)</f>
        <v>JWDDCD2025102100476</v>
      </c>
      <c r="E3714" s="41" t="str">
        <f>VLOOKUP(F3714,辅助信息!A:B,2,FALSE)</f>
        <v>螺纹钢</v>
      </c>
      <c r="F3714" s="41" t="s">
        <v>22</v>
      </c>
      <c r="G3714" s="37">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1" t="str">
        <f>VLOOKUP(B3714,辅助信息!E:I,3,FALSE)</f>
        <v>(五冶建设师大附中外语校新建教学楼工程)四川省成都市成华区大观堰2号(四川师范大学附属中学外国语学校)</v>
      </c>
      <c r="J3714" s="41" t="str">
        <f>VLOOKUP(B3714,辅助信息!E:I,4,FALSE)</f>
        <v>蔡浩</v>
      </c>
      <c r="K3714" s="41">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30" t="str">
        <f>VLOOKUP(B3714,辅助信息!E:M,9,FALSE)</f>
        <v>ZTWM-CDGS-XS-2025-0073-五冶天府-成都怡心湖片区及龙泉驿医院等项目</v>
      </c>
      <c r="R3714" s="30" t="str">
        <f>_xlfn._xlws.FILTER(辅助信息!D:D,辅助信息!E:E=B3714)</f>
        <v>五冶建设师大附中外语校新建教学楼工程</v>
      </c>
    </row>
    <row r="3715" hidden="1" spans="2:18">
      <c r="B3715" s="41" t="s">
        <v>196</v>
      </c>
      <c r="C3715" s="71">
        <v>45923</v>
      </c>
      <c r="D3715" s="41" t="str">
        <f>VLOOKUP(B3715,辅助信息!E:K,7,FALSE)</f>
        <v>JWDDCD2025102100476</v>
      </c>
      <c r="E3715" s="41" t="str">
        <f>VLOOKUP(F3715,辅助信息!A:B,2,FALSE)</f>
        <v>螺纹钢</v>
      </c>
      <c r="F3715" s="41" t="s">
        <v>181</v>
      </c>
      <c r="G3715" s="37">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1" t="str">
        <f>VLOOKUP(B3715,辅助信息!E:I,3,FALSE)</f>
        <v>(五冶建设师大附中外语校新建教学楼工程)四川省成都市成华区大观堰2号(四川师范大学附属中学外国语学校)</v>
      </c>
      <c r="J3715" s="41" t="str">
        <f>VLOOKUP(B3715,辅助信息!E:I,4,FALSE)</f>
        <v>蔡浩</v>
      </c>
      <c r="K3715" s="41">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30" t="str">
        <f>VLOOKUP(B3715,辅助信息!E:M,9,FALSE)</f>
        <v>ZTWM-CDGS-XS-2025-0073-五冶天府-成都怡心湖片区及龙泉驿医院等项目</v>
      </c>
      <c r="R3715" s="30" t="str">
        <f>_xlfn._xlws.FILTER(辅助信息!D:D,辅助信息!E:E=B3715)</f>
        <v>五冶建设师大附中外语校新建教学楼工程</v>
      </c>
    </row>
    <row r="3716" hidden="1" spans="2:18">
      <c r="B3716" s="41" t="s">
        <v>196</v>
      </c>
      <c r="C3716" s="71">
        <v>45923</v>
      </c>
      <c r="D3716" s="41" t="str">
        <f>VLOOKUP(B3716,辅助信息!E:K,7,FALSE)</f>
        <v>JWDDCD2025102100476</v>
      </c>
      <c r="E3716" s="41" t="str">
        <f>VLOOKUP(F3716,辅助信息!A:B,2,FALSE)</f>
        <v>螺纹钢</v>
      </c>
      <c r="F3716" s="41" t="s">
        <v>182</v>
      </c>
      <c r="G3716" s="37">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1" t="str">
        <f>VLOOKUP(B3716,辅助信息!E:I,3,FALSE)</f>
        <v>(五冶建设师大附中外语校新建教学楼工程)四川省成都市成华区大观堰2号(四川师范大学附属中学外国语学校)</v>
      </c>
      <c r="J3716" s="41" t="str">
        <f>VLOOKUP(B3716,辅助信息!E:I,4,FALSE)</f>
        <v>蔡浩</v>
      </c>
      <c r="K3716" s="41">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30" t="str">
        <f>VLOOKUP(B3716,辅助信息!E:M,9,FALSE)</f>
        <v>ZTWM-CDGS-XS-2025-0073-五冶天府-成都怡心湖片区及龙泉驿医院等项目</v>
      </c>
      <c r="R3716" s="30"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30" t="str">
        <f>VLOOKUP(B3717,辅助信息!E:M,9,FALSE)</f>
        <v>ZTWM-CDGS-XS-2024-0134-商投建工达州中医药科技成果示范园项目</v>
      </c>
      <c r="R3717" s="30"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37</v>
      </c>
      <c r="Q3718" s="30" t="str">
        <f>VLOOKUP(B3718,辅助信息!E:M,9,FALSE)</f>
        <v>ZTWM-CDGS-XS-2024-0134-商投建工达州中医药科技成果示范园项目</v>
      </c>
      <c r="R3718" s="30"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37</v>
      </c>
      <c r="Q3719" s="30" t="str">
        <f>VLOOKUP(B3719,辅助信息!E:M,9,FALSE)</f>
        <v>ZTWM-CDGS-XS-2024-0134-商投建工达州中医药科技成果示范园项目</v>
      </c>
      <c r="R3719" s="30"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30" t="str">
        <f>VLOOKUP(B3720,辅助信息!E:M,9,FALSE)</f>
        <v>ZTWM-CDGS-XS-2024-0134-商投建工达州中医药科技成果示范园项目</v>
      </c>
      <c r="R3720" s="30"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30" t="str">
        <f>VLOOKUP(B3721,辅助信息!E:M,9,FALSE)</f>
        <v>ZTWM-CDGS-XS-2024-0134-商投建工达州中医药科技成果示范园项目</v>
      </c>
      <c r="R3721" s="30"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30" t="str">
        <f>VLOOKUP(B3722,辅助信息!E:M,9,FALSE)</f>
        <v>ZTWM-CDGS-XS-2024-0134-商投建工达州中医药科技成果示范园项目</v>
      </c>
      <c r="R3722" s="30"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30" t="str">
        <f>VLOOKUP(B3723,辅助信息!E:M,9,FALSE)</f>
        <v>ZTWM-CDGS-XS-2024-0134-商投建工达州中医药科技成果示范园项目</v>
      </c>
      <c r="R3723" s="30"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30" t="str">
        <f>VLOOKUP(B3724,辅助信息!E:M,9,FALSE)</f>
        <v>ZTWM-CDGS-XS-2024-0134-商投建工达州中医药科技成果示范园项目</v>
      </c>
      <c r="R3724" s="30"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34</v>
      </c>
      <c r="Q3725" s="30" t="str">
        <f>VLOOKUP(B3725,辅助信息!E:M,9,FALSE)</f>
        <v>ZTWM-CDGS-XS-2024-0134-商投建工达州中医药科技成果示范园项目</v>
      </c>
      <c r="R3725" s="30"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34</v>
      </c>
      <c r="Q3726" s="30" t="str">
        <f>VLOOKUP(B3726,辅助信息!E:M,9,FALSE)</f>
        <v>ZTWM-CDGS-XS-2024-0134-商投建工达州中医药科技成果示范园项目</v>
      </c>
      <c r="R3726" s="30"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34</v>
      </c>
      <c r="Q3727" s="30" t="str">
        <f>VLOOKUP(B3727,辅助信息!E:M,9,FALSE)</f>
        <v>ZTWM-CDGS-XS-2024-0134-商投建工达州中医药科技成果示范园项目</v>
      </c>
      <c r="R3727" s="30"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34</v>
      </c>
      <c r="Q3728" s="30" t="str">
        <f>VLOOKUP(B3728,辅助信息!E:M,9,FALSE)</f>
        <v>ZTWM-CDGS-XS-2024-0134-商投建工达州中医药科技成果示范园项目</v>
      </c>
      <c r="R3728" s="30" t="str">
        <f>_xlfn._xlws.FILTER(辅助信息!D:D,辅助信息!E:E=B3728)</f>
        <v>商投建工达州中医药科技园</v>
      </c>
    </row>
    <row r="3729" hidden="1" spans="2:18">
      <c r="B3729" s="41" t="s">
        <v>211</v>
      </c>
      <c r="C3729" s="71">
        <v>45924</v>
      </c>
      <c r="D3729" s="41" t="e">
        <f>VLOOKUP(B3729,辅助信息!E:K,7,FALSE)</f>
        <v>#N/A</v>
      </c>
      <c r="E3729" s="41" t="str">
        <f>VLOOKUP(F3729,辅助信息!A:B,2,FALSE)</f>
        <v>螺纹钢</v>
      </c>
      <c r="F3729" s="41" t="s">
        <v>19</v>
      </c>
      <c r="G3729" s="37">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1" t="e">
        <f>VLOOKUP(B3729,辅助信息!E:I,3,FALSE)</f>
        <v>#N/A</v>
      </c>
      <c r="J3729" s="41" t="e">
        <f>VLOOKUP(B3729,辅助信息!E:I,4,FALSE)</f>
        <v>#N/A</v>
      </c>
      <c r="K3729" s="41" t="e">
        <f>VLOOKUP(J3729,辅助信息!H:I,2,FALSE)</f>
        <v>#N/A</v>
      </c>
      <c r="L3729" s="110" t="e">
        <f>VLOOKUP(B3729,辅助信息!E:J,6,FALSE)</f>
        <v>#N/A</v>
      </c>
      <c r="M3729" s="92">
        <v>45925</v>
      </c>
      <c r="O3729" s="63">
        <f ca="1" t="shared" si="198"/>
        <v>0</v>
      </c>
      <c r="P3729" s="63">
        <f ca="1" t="shared" si="199"/>
        <v>34</v>
      </c>
      <c r="Q3729" s="30" t="e">
        <f>VLOOKUP(B3729,辅助信息!E:M,9,FALSE)</f>
        <v>#N/A</v>
      </c>
      <c r="R3729" s="30" vm="1" t="e">
        <f>_xlfn._xlws.FILTER(辅助信息!D:D,辅助信息!E:E=B3729)</f>
        <v>#VALUE!</v>
      </c>
    </row>
    <row r="3730" hidden="1" spans="2:18">
      <c r="B3730" s="41" t="s">
        <v>211</v>
      </c>
      <c r="C3730" s="71">
        <v>45924</v>
      </c>
      <c r="D3730" s="41" t="e">
        <f>VLOOKUP(B3730,辅助信息!E:K,7,FALSE)</f>
        <v>#N/A</v>
      </c>
      <c r="E3730" s="41" t="str">
        <f>VLOOKUP(F3730,辅助信息!A:B,2,FALSE)</f>
        <v>螺纹钢</v>
      </c>
      <c r="F3730" s="41" t="s">
        <v>32</v>
      </c>
      <c r="G3730" s="37">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1" t="e">
        <f>VLOOKUP(B3730,辅助信息!E:I,3,FALSE)</f>
        <v>#N/A</v>
      </c>
      <c r="J3730" s="41" t="e">
        <f>VLOOKUP(B3730,辅助信息!E:I,4,FALSE)</f>
        <v>#N/A</v>
      </c>
      <c r="K3730" s="41" t="e">
        <f>VLOOKUP(J3730,辅助信息!H:I,2,FALSE)</f>
        <v>#N/A</v>
      </c>
      <c r="L3730" s="110" t="e">
        <f>VLOOKUP(B3730,辅助信息!E:J,6,FALSE)</f>
        <v>#N/A</v>
      </c>
      <c r="M3730" s="92">
        <v>45925</v>
      </c>
      <c r="O3730" s="63">
        <f ca="1" t="shared" si="198"/>
        <v>0</v>
      </c>
      <c r="P3730" s="63">
        <f ca="1" t="shared" si="199"/>
        <v>34</v>
      </c>
      <c r="Q3730" s="30" t="e">
        <f>VLOOKUP(B3730,辅助信息!E:M,9,FALSE)</f>
        <v>#N/A</v>
      </c>
      <c r="R3730" s="30" vm="1" t="e">
        <f>_xlfn._xlws.FILTER(辅助信息!D:D,辅助信息!E:E=B3730)</f>
        <v>#VALUE!</v>
      </c>
    </row>
    <row r="3731" hidden="1" spans="2:18">
      <c r="B3731" s="41" t="s">
        <v>211</v>
      </c>
      <c r="C3731" s="71">
        <v>45924</v>
      </c>
      <c r="D3731" s="41" t="e">
        <f>VLOOKUP(B3731,辅助信息!E:K,7,FALSE)</f>
        <v>#N/A</v>
      </c>
      <c r="E3731" s="41" t="str">
        <f>VLOOKUP(F3731,辅助信息!A:B,2,FALSE)</f>
        <v>螺纹钢</v>
      </c>
      <c r="F3731" s="41" t="s">
        <v>30</v>
      </c>
      <c r="G3731" s="37">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1" t="e">
        <f>VLOOKUP(B3731,辅助信息!E:I,3,FALSE)</f>
        <v>#N/A</v>
      </c>
      <c r="J3731" s="41" t="e">
        <f>VLOOKUP(B3731,辅助信息!E:I,4,FALSE)</f>
        <v>#N/A</v>
      </c>
      <c r="K3731" s="41" t="e">
        <f>VLOOKUP(J3731,辅助信息!H:I,2,FALSE)</f>
        <v>#N/A</v>
      </c>
      <c r="L3731" s="110" t="e">
        <f>VLOOKUP(B3731,辅助信息!E:J,6,FALSE)</f>
        <v>#N/A</v>
      </c>
      <c r="M3731" s="92">
        <v>45925</v>
      </c>
      <c r="O3731" s="63">
        <f ca="1" t="shared" si="198"/>
        <v>0</v>
      </c>
      <c r="P3731" s="63">
        <f ca="1" t="shared" si="199"/>
        <v>34</v>
      </c>
      <c r="Q3731" s="30" t="e">
        <f>VLOOKUP(B3731,辅助信息!E:M,9,FALSE)</f>
        <v>#N/A</v>
      </c>
      <c r="R3731" s="30" vm="1" t="e">
        <f>_xlfn._xlws.FILTER(辅助信息!D:D,辅助信息!E:E=B3731)</f>
        <v>#VALUE!</v>
      </c>
    </row>
    <row r="3732" hidden="1" spans="2:18">
      <c r="B3732" s="41" t="s">
        <v>211</v>
      </c>
      <c r="C3732" s="71">
        <v>45924</v>
      </c>
      <c r="D3732" s="41" t="e">
        <f>VLOOKUP(B3732,辅助信息!E:K,7,FALSE)</f>
        <v>#N/A</v>
      </c>
      <c r="E3732" s="41" t="str">
        <f>VLOOKUP(F3732,辅助信息!A:B,2,FALSE)</f>
        <v>螺纹钢</v>
      </c>
      <c r="F3732" s="41" t="s">
        <v>33</v>
      </c>
      <c r="G3732" s="37">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1" t="e">
        <f>VLOOKUP(B3732,辅助信息!E:I,3,FALSE)</f>
        <v>#N/A</v>
      </c>
      <c r="J3732" s="41" t="e">
        <f>VLOOKUP(B3732,辅助信息!E:I,4,FALSE)</f>
        <v>#N/A</v>
      </c>
      <c r="K3732" s="41" t="e">
        <f>VLOOKUP(J3732,辅助信息!H:I,2,FALSE)</f>
        <v>#N/A</v>
      </c>
      <c r="L3732" s="110" t="e">
        <f>VLOOKUP(B3732,辅助信息!E:J,6,FALSE)</f>
        <v>#N/A</v>
      </c>
      <c r="M3732" s="92">
        <v>45925</v>
      </c>
      <c r="O3732" s="63">
        <f ca="1" t="shared" si="198"/>
        <v>0</v>
      </c>
      <c r="P3732" s="63">
        <f ca="1" t="shared" si="199"/>
        <v>34</v>
      </c>
      <c r="Q3732" s="30" t="e">
        <f>VLOOKUP(B3732,辅助信息!E:M,9,FALSE)</f>
        <v>#N/A</v>
      </c>
      <c r="R3732" s="30" vm="1" t="e">
        <f>_xlfn._xlws.FILTER(辅助信息!D:D,辅助信息!E:E=B3732)</f>
        <v>#VALUE!</v>
      </c>
    </row>
    <row r="3733" hidden="1" spans="2:18">
      <c r="B3733" s="41" t="s">
        <v>211</v>
      </c>
      <c r="C3733" s="71">
        <v>45924</v>
      </c>
      <c r="D3733" s="41" t="e">
        <f>VLOOKUP(B3733,辅助信息!E:K,7,FALSE)</f>
        <v>#N/A</v>
      </c>
      <c r="E3733" s="41" t="str">
        <f>VLOOKUP(F3733,辅助信息!A:B,2,FALSE)</f>
        <v>螺纹钢</v>
      </c>
      <c r="F3733" s="41" t="s">
        <v>28</v>
      </c>
      <c r="G3733" s="37">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1" t="e">
        <f>VLOOKUP(B3733,辅助信息!E:I,3,FALSE)</f>
        <v>#N/A</v>
      </c>
      <c r="J3733" s="41" t="e">
        <f>VLOOKUP(B3733,辅助信息!E:I,4,FALSE)</f>
        <v>#N/A</v>
      </c>
      <c r="K3733" s="41" t="e">
        <f>VLOOKUP(J3733,辅助信息!H:I,2,FALSE)</f>
        <v>#N/A</v>
      </c>
      <c r="L3733" s="110" t="e">
        <f>VLOOKUP(B3733,辅助信息!E:J,6,FALSE)</f>
        <v>#N/A</v>
      </c>
      <c r="M3733" s="92">
        <v>45925</v>
      </c>
      <c r="O3733" s="63">
        <f ca="1" t="shared" si="198"/>
        <v>0</v>
      </c>
      <c r="P3733" s="63">
        <f ca="1" t="shared" si="199"/>
        <v>34</v>
      </c>
      <c r="Q3733" s="30" t="e">
        <f>VLOOKUP(B3733,辅助信息!E:M,9,FALSE)</f>
        <v>#N/A</v>
      </c>
      <c r="R3733" s="30" vm="1" t="e">
        <f>_xlfn._xlws.FILTER(辅助信息!D:D,辅助信息!E:E=B3733)</f>
        <v>#VALUE!</v>
      </c>
    </row>
    <row r="3734" hidden="1" spans="1:18">
      <c r="A3734" s="154" t="s">
        <v>223</v>
      </c>
      <c r="B3734" s="41" t="s">
        <v>167</v>
      </c>
      <c r="C3734" s="71">
        <v>45924</v>
      </c>
      <c r="D3734" s="41" t="str">
        <f>VLOOKUP(B3734,辅助信息!E:K,7,FALSE)</f>
        <v>JWDDCD2025102100473</v>
      </c>
      <c r="E3734" s="41" t="str">
        <f>VLOOKUP(F3734,辅助信息!A:B,2,FALSE)</f>
        <v>盘螺</v>
      </c>
      <c r="F3734" s="41" t="s">
        <v>49</v>
      </c>
      <c r="G3734" s="37">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1" t="str">
        <f>VLOOKUP(B3734,辅助信息!E:I,3,FALSE)</f>
        <v>(五冶建设扩建艺体中学二期工程)四川省成都市双流区光荣路成都艺体中学南200米</v>
      </c>
      <c r="J3734" s="41" t="str">
        <f>VLOOKUP(B3734,辅助信息!E:I,4,FALSE)</f>
        <v>谢序强</v>
      </c>
      <c r="K3734" s="41">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30" t="str">
        <f>VLOOKUP(B3734,辅助信息!E:M,9,FALSE)</f>
        <v>ZTWM-CDGS-XS-2025-0073-五冶天府-成都怡心湖片区及龙泉驿医院等项目</v>
      </c>
      <c r="R3734" s="30" t="str">
        <f>_xlfn._xlws.FILTER(辅助信息!D:D,辅助信息!E:E=B3734)</f>
        <v>五冶建设扩建艺体中学二期工程</v>
      </c>
    </row>
    <row r="3735" hidden="1" spans="1:18">
      <c r="A3735" s="154"/>
      <c r="B3735" s="41" t="s">
        <v>167</v>
      </c>
      <c r="C3735" s="71">
        <v>45924</v>
      </c>
      <c r="D3735" s="41" t="str">
        <f>VLOOKUP(B3735,辅助信息!E:K,7,FALSE)</f>
        <v>JWDDCD2025102100473</v>
      </c>
      <c r="E3735" s="41" t="str">
        <f>VLOOKUP(F3735,辅助信息!A:B,2,FALSE)</f>
        <v>盘螺</v>
      </c>
      <c r="F3735" s="41" t="s">
        <v>40</v>
      </c>
      <c r="G3735" s="37">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1" t="str">
        <f>VLOOKUP(B3735,辅助信息!E:I,3,FALSE)</f>
        <v>(五冶建设扩建艺体中学二期工程)四川省成都市双流区光荣路成都艺体中学南200米</v>
      </c>
      <c r="J3735" s="41" t="str">
        <f>VLOOKUP(B3735,辅助信息!E:I,4,FALSE)</f>
        <v>谢序强</v>
      </c>
      <c r="K3735" s="41">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30" t="str">
        <f>VLOOKUP(B3735,辅助信息!E:M,9,FALSE)</f>
        <v>ZTWM-CDGS-XS-2025-0073-五冶天府-成都怡心湖片区及龙泉驿医院等项目</v>
      </c>
      <c r="R3735" s="30" t="str">
        <f>_xlfn._xlws.FILTER(辅助信息!D:D,辅助信息!E:E=B3735)</f>
        <v>五冶建设扩建艺体中学二期工程</v>
      </c>
    </row>
    <row r="3736" hidden="1" spans="1:18">
      <c r="A3736" s="154"/>
      <c r="B3736" s="41" t="s">
        <v>167</v>
      </c>
      <c r="C3736" s="71">
        <v>45924</v>
      </c>
      <c r="D3736" s="41" t="str">
        <f>VLOOKUP(B3736,辅助信息!E:K,7,FALSE)</f>
        <v>JWDDCD2025102100473</v>
      </c>
      <c r="E3736" s="41" t="str">
        <f>VLOOKUP(F3736,辅助信息!A:B,2,FALSE)</f>
        <v>盘螺</v>
      </c>
      <c r="F3736" s="41" t="s">
        <v>41</v>
      </c>
      <c r="G3736" s="37">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1" t="str">
        <f>VLOOKUP(B3736,辅助信息!E:I,3,FALSE)</f>
        <v>(五冶建设扩建艺体中学二期工程)四川省成都市双流区光荣路成都艺体中学南200米</v>
      </c>
      <c r="J3736" s="41" t="str">
        <f>VLOOKUP(B3736,辅助信息!E:I,4,FALSE)</f>
        <v>谢序强</v>
      </c>
      <c r="K3736" s="41">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30" t="str">
        <f>VLOOKUP(B3736,辅助信息!E:M,9,FALSE)</f>
        <v>ZTWM-CDGS-XS-2025-0073-五冶天府-成都怡心湖片区及龙泉驿医院等项目</v>
      </c>
      <c r="R3736" s="30" t="str">
        <f>_xlfn._xlws.FILTER(辅助信息!D:D,辅助信息!E:E=B3736)</f>
        <v>五冶建设扩建艺体中学二期工程</v>
      </c>
    </row>
    <row r="3737" hidden="1" spans="1:18">
      <c r="A3737" s="154"/>
      <c r="B3737" s="41" t="s">
        <v>167</v>
      </c>
      <c r="C3737" s="71">
        <v>45924</v>
      </c>
      <c r="D3737" s="41" t="str">
        <f>VLOOKUP(B3737,辅助信息!E:K,7,FALSE)</f>
        <v>JWDDCD2025102100473</v>
      </c>
      <c r="E3737" s="41" t="str">
        <f>VLOOKUP(F3737,辅助信息!A:B,2,FALSE)</f>
        <v>螺纹钢</v>
      </c>
      <c r="F3737" s="41" t="s">
        <v>27</v>
      </c>
      <c r="G3737" s="37">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1" t="str">
        <f>VLOOKUP(B3737,辅助信息!E:I,3,FALSE)</f>
        <v>(五冶建设扩建艺体中学二期工程)四川省成都市双流区光荣路成都艺体中学南200米</v>
      </c>
      <c r="J3737" s="41" t="str">
        <f>VLOOKUP(B3737,辅助信息!E:I,4,FALSE)</f>
        <v>谢序强</v>
      </c>
      <c r="K3737" s="41">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30" t="str">
        <f>VLOOKUP(B3737,辅助信息!E:M,9,FALSE)</f>
        <v>ZTWM-CDGS-XS-2025-0073-五冶天府-成都怡心湖片区及龙泉驿医院等项目</v>
      </c>
      <c r="R3737" s="30" t="str">
        <f>_xlfn._xlws.FILTER(辅助信息!D:D,辅助信息!E:E=B3737)</f>
        <v>五冶建设扩建艺体中学二期工程</v>
      </c>
    </row>
    <row r="3738" hidden="1" spans="1:18">
      <c r="A3738" s="154"/>
      <c r="B3738" s="41" t="s">
        <v>167</v>
      </c>
      <c r="C3738" s="71">
        <v>45924</v>
      </c>
      <c r="D3738" s="41" t="str">
        <f>VLOOKUP(B3738,辅助信息!E:K,7,FALSE)</f>
        <v>JWDDCD2025102100473</v>
      </c>
      <c r="E3738" s="41" t="str">
        <f>VLOOKUP(F3738,辅助信息!A:B,2,FALSE)</f>
        <v>螺纹钢</v>
      </c>
      <c r="F3738" s="41" t="s">
        <v>45</v>
      </c>
      <c r="G3738" s="37">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1" t="str">
        <f>VLOOKUP(B3738,辅助信息!E:I,3,FALSE)</f>
        <v>(五冶建设扩建艺体中学二期工程)四川省成都市双流区光荣路成都艺体中学南200米</v>
      </c>
      <c r="J3738" s="41" t="str">
        <f>VLOOKUP(B3738,辅助信息!E:I,4,FALSE)</f>
        <v>谢序强</v>
      </c>
      <c r="K3738" s="41">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30" t="str">
        <f>VLOOKUP(B3738,辅助信息!E:M,9,FALSE)</f>
        <v>ZTWM-CDGS-XS-2025-0073-五冶天府-成都怡心湖片区及龙泉驿医院等项目</v>
      </c>
      <c r="R3738" s="30" t="str">
        <f>_xlfn._xlws.FILTER(辅助信息!D:D,辅助信息!E:E=B3738)</f>
        <v>五冶建设扩建艺体中学二期工程</v>
      </c>
    </row>
    <row r="3739" hidden="1" spans="1:18">
      <c r="A3739" s="154"/>
      <c r="B3739" s="41" t="s">
        <v>167</v>
      </c>
      <c r="C3739" s="71">
        <v>45924</v>
      </c>
      <c r="D3739" s="41" t="str">
        <f>VLOOKUP(B3739,辅助信息!E:K,7,FALSE)</f>
        <v>JWDDCD2025102100473</v>
      </c>
      <c r="E3739" s="41" t="str">
        <f>VLOOKUP(F3739,辅助信息!A:B,2,FALSE)</f>
        <v>螺纹钢</v>
      </c>
      <c r="F3739" s="41" t="s">
        <v>58</v>
      </c>
      <c r="G3739" s="37">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1" t="str">
        <f>VLOOKUP(B3739,辅助信息!E:I,3,FALSE)</f>
        <v>(五冶建设扩建艺体中学二期工程)四川省成都市双流区光荣路成都艺体中学南200米</v>
      </c>
      <c r="J3739" s="41" t="str">
        <f>VLOOKUP(B3739,辅助信息!E:I,4,FALSE)</f>
        <v>谢序强</v>
      </c>
      <c r="K3739" s="41">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30" t="str">
        <f>VLOOKUP(B3739,辅助信息!E:M,9,FALSE)</f>
        <v>ZTWM-CDGS-XS-2025-0073-五冶天府-成都怡心湖片区及龙泉驿医院等项目</v>
      </c>
      <c r="R3739" s="30" t="str">
        <f>_xlfn._xlws.FILTER(辅助信息!D:D,辅助信息!E:E=B3739)</f>
        <v>五冶建设扩建艺体中学二期工程</v>
      </c>
    </row>
    <row r="3740" hidden="1" spans="1:18">
      <c r="A3740" s="154"/>
      <c r="B3740" s="41" t="s">
        <v>167</v>
      </c>
      <c r="C3740" s="71">
        <v>45924</v>
      </c>
      <c r="D3740" s="41" t="str">
        <f>VLOOKUP(B3740,辅助信息!E:K,7,FALSE)</f>
        <v>JWDDCD2025102100473</v>
      </c>
      <c r="E3740" s="41" t="str">
        <f>VLOOKUP(F3740,辅助信息!A:B,2,FALSE)</f>
        <v>螺纹钢</v>
      </c>
      <c r="F3740" s="41" t="s">
        <v>46</v>
      </c>
      <c r="G3740" s="37">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1" t="str">
        <f>VLOOKUP(B3740,辅助信息!E:I,3,FALSE)</f>
        <v>(五冶建设扩建艺体中学二期工程)四川省成都市双流区光荣路成都艺体中学南200米</v>
      </c>
      <c r="J3740" s="41" t="str">
        <f>VLOOKUP(B3740,辅助信息!E:I,4,FALSE)</f>
        <v>谢序强</v>
      </c>
      <c r="K3740" s="41">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30" t="str">
        <f>VLOOKUP(B3740,辅助信息!E:M,9,FALSE)</f>
        <v>ZTWM-CDGS-XS-2025-0073-五冶天府-成都怡心湖片区及龙泉驿医院等项目</v>
      </c>
      <c r="R3740" s="30" t="str">
        <f>_xlfn._xlws.FILTER(辅助信息!D:D,辅助信息!E:E=B3740)</f>
        <v>五冶建设扩建艺体中学二期工程</v>
      </c>
    </row>
    <row r="3741" hidden="1" spans="1:18">
      <c r="A3741" s="154"/>
      <c r="B3741" s="41" t="s">
        <v>167</v>
      </c>
      <c r="C3741" s="71">
        <v>45924</v>
      </c>
      <c r="D3741" s="41" t="str">
        <f>VLOOKUP(B3741,辅助信息!E:K,7,FALSE)</f>
        <v>JWDDCD2025102100473</v>
      </c>
      <c r="E3741" s="41" t="str">
        <f>VLOOKUP(F3741,辅助信息!A:B,2,FALSE)</f>
        <v>螺纹钢</v>
      </c>
      <c r="F3741" s="41" t="s">
        <v>22</v>
      </c>
      <c r="G3741" s="37">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1" t="str">
        <f>VLOOKUP(B3741,辅助信息!E:I,3,FALSE)</f>
        <v>(五冶建设扩建艺体中学二期工程)四川省成都市双流区光荣路成都艺体中学南200米</v>
      </c>
      <c r="J3741" s="41" t="str">
        <f>VLOOKUP(B3741,辅助信息!E:I,4,FALSE)</f>
        <v>谢序强</v>
      </c>
      <c r="K3741" s="41">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30" t="str">
        <f>VLOOKUP(B3741,辅助信息!E:M,9,FALSE)</f>
        <v>ZTWM-CDGS-XS-2025-0073-五冶天府-成都怡心湖片区及龙泉驿医院等项目</v>
      </c>
      <c r="R3741" s="30" t="str">
        <f>_xlfn._xlws.FILTER(辅助信息!D:D,辅助信息!E:E=B3741)</f>
        <v>五冶建设扩建艺体中学二期工程</v>
      </c>
    </row>
    <row r="3742" hidden="1" spans="1:18">
      <c r="A3742" s="154"/>
      <c r="B3742" s="41" t="s">
        <v>167</v>
      </c>
      <c r="C3742" s="71">
        <v>45924</v>
      </c>
      <c r="D3742" s="41" t="str">
        <f>VLOOKUP(B3742,辅助信息!E:K,7,FALSE)</f>
        <v>JWDDCD2025102100473</v>
      </c>
      <c r="E3742" s="41" t="str">
        <f>VLOOKUP(F3742,辅助信息!A:B,2,FALSE)</f>
        <v>螺纹钢</v>
      </c>
      <c r="F3742" s="41" t="s">
        <v>181</v>
      </c>
      <c r="G3742" s="37">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1" t="str">
        <f>VLOOKUP(B3742,辅助信息!E:I,3,FALSE)</f>
        <v>(五冶建设扩建艺体中学二期工程)四川省成都市双流区光荣路成都艺体中学南200米</v>
      </c>
      <c r="J3742" s="41" t="str">
        <f>VLOOKUP(B3742,辅助信息!E:I,4,FALSE)</f>
        <v>谢序强</v>
      </c>
      <c r="K3742" s="41">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30" t="str">
        <f>VLOOKUP(B3742,辅助信息!E:M,9,FALSE)</f>
        <v>ZTWM-CDGS-XS-2025-0073-五冶天府-成都怡心湖片区及龙泉驿医院等项目</v>
      </c>
      <c r="R3742" s="30" t="str">
        <f>_xlfn._xlws.FILTER(辅助信息!D:D,辅助信息!E:E=B3742)</f>
        <v>五冶建设扩建艺体中学二期工程</v>
      </c>
    </row>
    <row r="3743" hidden="1" spans="1:18">
      <c r="A3743" s="154"/>
      <c r="B3743" s="41" t="s">
        <v>167</v>
      </c>
      <c r="C3743" s="71">
        <v>45924</v>
      </c>
      <c r="D3743" s="41" t="str">
        <f>VLOOKUP(B3743,辅助信息!E:K,7,FALSE)</f>
        <v>JWDDCD2025102100473</v>
      </c>
      <c r="E3743" s="41" t="str">
        <f>VLOOKUP(F3743,辅助信息!A:B,2,FALSE)</f>
        <v>螺纹钢</v>
      </c>
      <c r="F3743" s="41" t="s">
        <v>182</v>
      </c>
      <c r="G3743" s="37">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1" t="str">
        <f>VLOOKUP(B3743,辅助信息!E:I,3,FALSE)</f>
        <v>(五冶建设扩建艺体中学二期工程)四川省成都市双流区光荣路成都艺体中学南200米</v>
      </c>
      <c r="J3743" s="41" t="str">
        <f>VLOOKUP(B3743,辅助信息!E:I,4,FALSE)</f>
        <v>谢序强</v>
      </c>
      <c r="K3743" s="41">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30" t="str">
        <f>VLOOKUP(B3743,辅助信息!E:M,9,FALSE)</f>
        <v>ZTWM-CDGS-XS-2025-0073-五冶天府-成都怡心湖片区及龙泉驿医院等项目</v>
      </c>
      <c r="R3743" s="30" t="str">
        <f>_xlfn._xlws.FILTER(辅助信息!D:D,辅助信息!E:E=B3743)</f>
        <v>五冶建设扩建艺体中学二期工程</v>
      </c>
    </row>
    <row r="3744" hidden="1" spans="2:18">
      <c r="B3744" s="41" t="s">
        <v>47</v>
      </c>
      <c r="C3744" s="71">
        <v>45924</v>
      </c>
      <c r="D3744" s="41" t="str">
        <f>VLOOKUP(B3744,辅助信息!E:K,7,FALSE)</f>
        <v>JWDDCD2025052800131</v>
      </c>
      <c r="E3744" s="41" t="str">
        <f>VLOOKUP(F3744,辅助信息!A:B,2,FALSE)</f>
        <v>盘螺</v>
      </c>
      <c r="F3744" s="41" t="s">
        <v>49</v>
      </c>
      <c r="G3744" s="37">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1" t="str">
        <f>VLOOKUP(B3744,辅助信息!E:I,3,FALSE)</f>
        <v>（商投建工达州中医药科技园-1工区）达州市通川区达州中医药职业学院犀牛大道北段</v>
      </c>
      <c r="J3744" s="41" t="str">
        <f>VLOOKUP(B3744,辅助信息!E:I,4,FALSE)</f>
        <v>程黄刚</v>
      </c>
      <c r="K3744" s="41">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30" t="str">
        <f>VLOOKUP(B3744,辅助信息!E:M,9,FALSE)</f>
        <v>ZTWM-CDGS-XS-2024-0134-商投建工达州中医药科技成果示范园项目</v>
      </c>
      <c r="R3744" s="30" t="str">
        <f>_xlfn._xlws.FILTER(辅助信息!D:D,辅助信息!E:E=B3744)</f>
        <v>商投建工达州中医药科技园</v>
      </c>
    </row>
    <row r="3745" hidden="1" spans="2:18">
      <c r="B3745" s="41" t="s">
        <v>47</v>
      </c>
      <c r="C3745" s="71">
        <v>45924</v>
      </c>
      <c r="D3745" s="41" t="str">
        <f>VLOOKUP(B3745,辅助信息!E:K,7,FALSE)</f>
        <v>JWDDCD2025052800131</v>
      </c>
      <c r="E3745" s="41" t="str">
        <f>VLOOKUP(F3745,辅助信息!A:B,2,FALSE)</f>
        <v>盘螺</v>
      </c>
      <c r="F3745" s="41" t="s">
        <v>40</v>
      </c>
      <c r="G3745" s="37">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1" t="str">
        <f>VLOOKUP(B3745,辅助信息!E:I,3,FALSE)</f>
        <v>（商投建工达州中医药科技园-1工区）达州市通川区达州中医药职业学院犀牛大道北段</v>
      </c>
      <c r="J3745" s="41" t="str">
        <f>VLOOKUP(B3745,辅助信息!E:I,4,FALSE)</f>
        <v>程黄刚</v>
      </c>
      <c r="K3745" s="41">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30" t="str">
        <f>VLOOKUP(B3745,辅助信息!E:M,9,FALSE)</f>
        <v>ZTWM-CDGS-XS-2024-0134-商投建工达州中医药科技成果示范园项目</v>
      </c>
      <c r="R3745" s="30" t="str">
        <f>_xlfn._xlws.FILTER(辅助信息!D:D,辅助信息!E:E=B3745)</f>
        <v>商投建工达州中医药科技园</v>
      </c>
    </row>
    <row r="3746" hidden="1" spans="2:18">
      <c r="B3746" s="41" t="s">
        <v>47</v>
      </c>
      <c r="C3746" s="71">
        <v>45924</v>
      </c>
      <c r="D3746" s="41" t="str">
        <f>VLOOKUP(B3746,辅助信息!E:K,7,FALSE)</f>
        <v>JWDDCD2025052800131</v>
      </c>
      <c r="E3746" s="41" t="str">
        <f>VLOOKUP(F3746,辅助信息!A:B,2,FALSE)</f>
        <v>盘螺</v>
      </c>
      <c r="F3746" s="41" t="s">
        <v>41</v>
      </c>
      <c r="G3746" s="37">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1" t="str">
        <f>VLOOKUP(B3746,辅助信息!E:I,3,FALSE)</f>
        <v>（商投建工达州中医药科技园-1工区）达州市通川区达州中医药职业学院犀牛大道北段</v>
      </c>
      <c r="J3746" s="41" t="str">
        <f>VLOOKUP(B3746,辅助信息!E:I,4,FALSE)</f>
        <v>程黄刚</v>
      </c>
      <c r="K3746" s="41">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30" t="str">
        <f>VLOOKUP(B3746,辅助信息!E:M,9,FALSE)</f>
        <v>ZTWM-CDGS-XS-2024-0134-商投建工达州中医药科技成果示范园项目</v>
      </c>
      <c r="R3746" s="30" t="str">
        <f>_xlfn._xlws.FILTER(辅助信息!D:D,辅助信息!E:E=B3746)</f>
        <v>商投建工达州中医药科技园</v>
      </c>
    </row>
    <row r="3747" hidden="1" spans="2:18">
      <c r="B3747" s="41" t="s">
        <v>47</v>
      </c>
      <c r="C3747" s="71">
        <v>45924</v>
      </c>
      <c r="D3747" s="41" t="str">
        <f>VLOOKUP(B3747,辅助信息!E:K,7,FALSE)</f>
        <v>JWDDCD2025052800131</v>
      </c>
      <c r="E3747" s="41" t="str">
        <f>VLOOKUP(F3747,辅助信息!A:B,2,FALSE)</f>
        <v>螺纹钢</v>
      </c>
      <c r="F3747" s="41" t="s">
        <v>27</v>
      </c>
      <c r="G3747" s="37">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1" t="str">
        <f>VLOOKUP(B3747,辅助信息!E:I,3,FALSE)</f>
        <v>（商投建工达州中医药科技园-1工区）达州市通川区达州中医药职业学院犀牛大道北段</v>
      </c>
      <c r="J3747" s="41" t="str">
        <f>VLOOKUP(B3747,辅助信息!E:I,4,FALSE)</f>
        <v>程黄刚</v>
      </c>
      <c r="K3747" s="41">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30" t="str">
        <f>VLOOKUP(B3747,辅助信息!E:M,9,FALSE)</f>
        <v>ZTWM-CDGS-XS-2024-0134-商投建工达州中医药科技成果示范园项目</v>
      </c>
      <c r="R3747" s="30" t="str">
        <f>_xlfn._xlws.FILTER(辅助信息!D:D,辅助信息!E:E=B3747)</f>
        <v>商投建工达州中医药科技园</v>
      </c>
    </row>
    <row r="3748" hidden="1" spans="2:18">
      <c r="B3748" s="41" t="s">
        <v>47</v>
      </c>
      <c r="C3748" s="71">
        <v>45924</v>
      </c>
      <c r="D3748" s="41" t="str">
        <f>VLOOKUP(B3748,辅助信息!E:K,7,FALSE)</f>
        <v>JWDDCD2025052800131</v>
      </c>
      <c r="E3748" s="41" t="str">
        <f>VLOOKUP(F3748,辅助信息!A:B,2,FALSE)</f>
        <v>螺纹钢</v>
      </c>
      <c r="F3748" s="41" t="s">
        <v>19</v>
      </c>
      <c r="G3748" s="37">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1" t="str">
        <f>VLOOKUP(B3748,辅助信息!E:I,3,FALSE)</f>
        <v>（商投建工达州中医药科技园-1工区）达州市通川区达州中医药职业学院犀牛大道北段</v>
      </c>
      <c r="J3748" s="41" t="str">
        <f>VLOOKUP(B3748,辅助信息!E:I,4,FALSE)</f>
        <v>程黄刚</v>
      </c>
      <c r="K3748" s="41">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30" t="str">
        <f>VLOOKUP(B3748,辅助信息!E:M,9,FALSE)</f>
        <v>ZTWM-CDGS-XS-2024-0134-商投建工达州中医药科技成果示范园项目</v>
      </c>
      <c r="R3748" s="30" t="str">
        <f>_xlfn._xlws.FILTER(辅助信息!D:D,辅助信息!E:E=B3748)</f>
        <v>商投建工达州中医药科技园</v>
      </c>
    </row>
    <row r="3749" hidden="1" spans="2:18">
      <c r="B3749" s="41" t="s">
        <v>47</v>
      </c>
      <c r="C3749" s="71">
        <v>45924</v>
      </c>
      <c r="D3749" s="41" t="str">
        <f>VLOOKUP(B3749,辅助信息!E:K,7,FALSE)</f>
        <v>JWDDCD2025052800131</v>
      </c>
      <c r="E3749" s="41" t="str">
        <f>VLOOKUP(F3749,辅助信息!A:B,2,FALSE)</f>
        <v>螺纹钢</v>
      </c>
      <c r="F3749" s="41" t="s">
        <v>32</v>
      </c>
      <c r="G3749" s="37">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1" t="str">
        <f>VLOOKUP(B3749,辅助信息!E:I,3,FALSE)</f>
        <v>（商投建工达州中医药科技园-1工区）达州市通川区达州中医药职业学院犀牛大道北段</v>
      </c>
      <c r="J3749" s="41" t="str">
        <f>VLOOKUP(B3749,辅助信息!E:I,4,FALSE)</f>
        <v>程黄刚</v>
      </c>
      <c r="K3749" s="41">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30" t="str">
        <f>VLOOKUP(B3749,辅助信息!E:M,9,FALSE)</f>
        <v>ZTWM-CDGS-XS-2024-0134-商投建工达州中医药科技成果示范园项目</v>
      </c>
      <c r="R3749" s="30" t="str">
        <f>_xlfn._xlws.FILTER(辅助信息!D:D,辅助信息!E:E=B3749)</f>
        <v>商投建工达州中医药科技园</v>
      </c>
    </row>
    <row r="3750" hidden="1" spans="2:18">
      <c r="B3750" s="41" t="s">
        <v>47</v>
      </c>
      <c r="C3750" s="71">
        <v>45924</v>
      </c>
      <c r="D3750" s="41" t="str">
        <f>VLOOKUP(B3750,辅助信息!E:K,7,FALSE)</f>
        <v>JWDDCD2025052800131</v>
      </c>
      <c r="E3750" s="41" t="str">
        <f>VLOOKUP(F3750,辅助信息!A:B,2,FALSE)</f>
        <v>螺纹钢</v>
      </c>
      <c r="F3750" s="41" t="s">
        <v>33</v>
      </c>
      <c r="G3750" s="37">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1" t="str">
        <f>VLOOKUP(B3750,辅助信息!E:I,3,FALSE)</f>
        <v>（商投建工达州中医药科技园-1工区）达州市通川区达州中医药职业学院犀牛大道北段</v>
      </c>
      <c r="J3750" s="41" t="str">
        <f>VLOOKUP(B3750,辅助信息!E:I,4,FALSE)</f>
        <v>程黄刚</v>
      </c>
      <c r="K3750" s="41">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30" t="str">
        <f>VLOOKUP(B3750,辅助信息!E:M,9,FALSE)</f>
        <v>ZTWM-CDGS-XS-2024-0134-商投建工达州中医药科技成果示范园项目</v>
      </c>
      <c r="R3750" s="30" t="str">
        <f>_xlfn._xlws.FILTER(辅助信息!D:D,辅助信息!E:E=B3750)</f>
        <v>商投建工达州中医药科技园</v>
      </c>
    </row>
    <row r="3751" hidden="1" spans="2:18">
      <c r="B3751" s="41" t="s">
        <v>47</v>
      </c>
      <c r="C3751" s="71">
        <v>45924</v>
      </c>
      <c r="D3751" s="41" t="str">
        <f>VLOOKUP(B3751,辅助信息!E:K,7,FALSE)</f>
        <v>JWDDCD2025052800131</v>
      </c>
      <c r="E3751" s="41" t="str">
        <f>VLOOKUP(F3751,辅助信息!A:B,2,FALSE)</f>
        <v>螺纹钢</v>
      </c>
      <c r="F3751" s="41" t="s">
        <v>28</v>
      </c>
      <c r="G3751" s="37">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1" t="str">
        <f>VLOOKUP(B3751,辅助信息!E:I,3,FALSE)</f>
        <v>（商投建工达州中医药科技园-1工区）达州市通川区达州中医药职业学院犀牛大道北段</v>
      </c>
      <c r="J3751" s="41" t="str">
        <f>VLOOKUP(B3751,辅助信息!E:I,4,FALSE)</f>
        <v>程黄刚</v>
      </c>
      <c r="K3751" s="41">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30" t="str">
        <f>VLOOKUP(B3751,辅助信息!E:M,9,FALSE)</f>
        <v>ZTWM-CDGS-XS-2024-0134-商投建工达州中医药科技成果示范园项目</v>
      </c>
      <c r="R3751" s="30" t="str">
        <f>_xlfn._xlws.FILTER(辅助信息!D:D,辅助信息!E:E=B3751)</f>
        <v>商投建工达州中医药科技园</v>
      </c>
    </row>
    <row r="3752" hidden="1" spans="2:18">
      <c r="B3752" s="41" t="s">
        <v>47</v>
      </c>
      <c r="C3752" s="71">
        <v>45924</v>
      </c>
      <c r="D3752" s="41" t="str">
        <f>VLOOKUP(B3752,辅助信息!E:K,7,FALSE)</f>
        <v>JWDDCD2025052800131</v>
      </c>
      <c r="E3752" s="41" t="str">
        <f>VLOOKUP(F3752,辅助信息!A:B,2,FALSE)</f>
        <v>螺纹钢</v>
      </c>
      <c r="F3752" s="41" t="s">
        <v>18</v>
      </c>
      <c r="G3752" s="37">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1" t="str">
        <f>VLOOKUP(B3752,辅助信息!E:I,3,FALSE)</f>
        <v>（商投建工达州中医药科技园-1工区）达州市通川区达州中医药职业学院犀牛大道北段</v>
      </c>
      <c r="J3752" s="41" t="str">
        <f>VLOOKUP(B3752,辅助信息!E:I,4,FALSE)</f>
        <v>程黄刚</v>
      </c>
      <c r="K3752" s="41">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30" t="str">
        <f>VLOOKUP(B3752,辅助信息!E:M,9,FALSE)</f>
        <v>ZTWM-CDGS-XS-2024-0134-商投建工达州中医药科技成果示范园项目</v>
      </c>
      <c r="R3752" s="30" t="str">
        <f>_xlfn._xlws.FILTER(辅助信息!D:D,辅助信息!E:E=B3752)</f>
        <v>商投建工达州中医药科技园</v>
      </c>
    </row>
    <row r="3753" hidden="1" spans="2:18">
      <c r="B3753" s="41" t="s">
        <v>224</v>
      </c>
      <c r="C3753" s="71">
        <v>45924</v>
      </c>
      <c r="D3753" s="41" t="str">
        <f>VLOOKUP(B3753,辅助信息!E:K,7,FALSE)</f>
        <v>JWDDCD2025092400188</v>
      </c>
      <c r="E3753" s="41" t="str">
        <f>VLOOKUP(F3753,辅助信息!A:B,2,FALSE)</f>
        <v>盘螺</v>
      </c>
      <c r="F3753" s="41" t="s">
        <v>40</v>
      </c>
      <c r="G3753" s="37">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1" t="str">
        <f>VLOOKUP(B3753,辅助信息!E:I,3,FALSE)</f>
        <v>(五冶钢构龙泉东洪片区70亩住宅、商业及配套工程项目一标段)成都市龙泉驿外东洪路地铁2号线惠王陵地铁C口</v>
      </c>
      <c r="J3753" s="41" t="str">
        <f>VLOOKUP(B3753,辅助信息!E:I,4,FALSE)</f>
        <v>邹爱国</v>
      </c>
      <c r="K3753" s="41">
        <f>VLOOKUP(J3753,辅助信息!H:I,2,FALSE)</f>
        <v>13540231225</v>
      </c>
      <c r="L3753" s="110">
        <f>VLOOKUP(B3753,辅助信息!E:J,6,FALSE)</f>
        <v>0</v>
      </c>
      <c r="O3753" s="63" t="str">
        <f ca="1" t="shared" si="200"/>
        <v/>
      </c>
      <c r="P3753" s="63" t="str">
        <f ca="1" t="shared" si="201"/>
        <v/>
      </c>
      <c r="Q3753" s="30" t="str">
        <f>VLOOKUP(B3753,辅助信息!E:M,9,FALSE)</f>
        <v>ZTWM-CDGS-XS-2025-0156-五冶钢构-2025年九月第一批次钢筋采购合同(三圣乡项目)-中铁物贸成都公司</v>
      </c>
      <c r="R3753" s="30" t="str">
        <f>_xlfn._xlws.FILTER(辅助信息!D:D,辅助信息!E:E=B3753)</f>
        <v>五冶钢构龙泉东洪片区(70亩、85亩)住宅、商业及配套工程项目</v>
      </c>
    </row>
    <row r="3754" hidden="1" spans="2:18">
      <c r="B3754" s="41" t="s">
        <v>224</v>
      </c>
      <c r="C3754" s="71">
        <v>45924</v>
      </c>
      <c r="D3754" s="41" t="str">
        <f>VLOOKUP(B3754,辅助信息!E:K,7,FALSE)</f>
        <v>JWDDCD2025092400188</v>
      </c>
      <c r="E3754" s="41" t="str">
        <f>VLOOKUP(F3754,辅助信息!A:B,2,FALSE)</f>
        <v>盘螺</v>
      </c>
      <c r="F3754" s="41" t="s">
        <v>41</v>
      </c>
      <c r="G3754" s="37">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1" t="str">
        <f>VLOOKUP(B3754,辅助信息!E:I,3,FALSE)</f>
        <v>(五冶钢构龙泉东洪片区70亩住宅、商业及配套工程项目一标段)成都市龙泉驿外东洪路地铁2号线惠王陵地铁C口</v>
      </c>
      <c r="J3754" s="41" t="str">
        <f>VLOOKUP(B3754,辅助信息!E:I,4,FALSE)</f>
        <v>邹爱国</v>
      </c>
      <c r="K3754" s="41">
        <f>VLOOKUP(J3754,辅助信息!H:I,2,FALSE)</f>
        <v>13540231225</v>
      </c>
      <c r="L3754" s="110">
        <f>VLOOKUP(B3754,辅助信息!E:J,6,FALSE)</f>
        <v>0</v>
      </c>
      <c r="O3754" s="63" t="str">
        <f ca="1" t="shared" si="200"/>
        <v/>
      </c>
      <c r="P3754" s="63" t="str">
        <f ca="1" t="shared" si="201"/>
        <v/>
      </c>
      <c r="Q3754" s="30" t="str">
        <f>VLOOKUP(B3754,辅助信息!E:M,9,FALSE)</f>
        <v>ZTWM-CDGS-XS-2025-0156-五冶钢构-2025年九月第一批次钢筋采购合同(三圣乡项目)-中铁物贸成都公司</v>
      </c>
      <c r="R3754" s="30" t="str">
        <f>_xlfn._xlws.FILTER(辅助信息!D:D,辅助信息!E:E=B3754)</f>
        <v>五冶钢构龙泉东洪片区(70亩、85亩)住宅、商业及配套工程项目</v>
      </c>
    </row>
    <row r="3755" hidden="1" spans="2:18">
      <c r="B3755" s="41" t="s">
        <v>224</v>
      </c>
      <c r="C3755" s="71">
        <v>45924</v>
      </c>
      <c r="D3755" s="41" t="str">
        <f>VLOOKUP(B3755,辅助信息!E:K,7,FALSE)</f>
        <v>JWDDCD2025092400188</v>
      </c>
      <c r="E3755" s="41" t="str">
        <f>VLOOKUP(F3755,辅助信息!A:B,2,FALSE)</f>
        <v>螺纹钢</v>
      </c>
      <c r="F3755" s="41" t="s">
        <v>27</v>
      </c>
      <c r="G3755" s="37">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1" t="str">
        <f>VLOOKUP(B3755,辅助信息!E:I,3,FALSE)</f>
        <v>(五冶钢构龙泉东洪片区70亩住宅、商业及配套工程项目一标段)成都市龙泉驿外东洪路地铁2号线惠王陵地铁C口</v>
      </c>
      <c r="J3755" s="41" t="str">
        <f>VLOOKUP(B3755,辅助信息!E:I,4,FALSE)</f>
        <v>邹爱国</v>
      </c>
      <c r="K3755" s="41">
        <f>VLOOKUP(J3755,辅助信息!H:I,2,FALSE)</f>
        <v>13540231225</v>
      </c>
      <c r="L3755" s="110">
        <f>VLOOKUP(B3755,辅助信息!E:J,6,FALSE)</f>
        <v>0</v>
      </c>
      <c r="O3755" s="63" t="str">
        <f ca="1" t="shared" si="200"/>
        <v/>
      </c>
      <c r="P3755" s="63" t="str">
        <f ca="1" t="shared" si="201"/>
        <v/>
      </c>
      <c r="Q3755" s="30" t="str">
        <f>VLOOKUP(B3755,辅助信息!E:M,9,FALSE)</f>
        <v>ZTWM-CDGS-XS-2025-0156-五冶钢构-2025年九月第一批次钢筋采购合同(三圣乡项目)-中铁物贸成都公司</v>
      </c>
      <c r="R3755" s="30" t="str">
        <f>_xlfn._xlws.FILTER(辅助信息!D:D,辅助信息!E:E=B3755)</f>
        <v>五冶钢构龙泉东洪片区(70亩、85亩)住宅、商业及配套工程项目</v>
      </c>
    </row>
    <row r="3756" hidden="1" spans="2:18">
      <c r="B3756" s="41" t="s">
        <v>224</v>
      </c>
      <c r="C3756" s="71">
        <v>45924</v>
      </c>
      <c r="D3756" s="41" t="str">
        <f>VLOOKUP(B3756,辅助信息!E:K,7,FALSE)</f>
        <v>JWDDCD2025092400188</v>
      </c>
      <c r="E3756" s="41" t="str">
        <f>VLOOKUP(F3756,辅助信息!A:B,2,FALSE)</f>
        <v>螺纹钢</v>
      </c>
      <c r="F3756" s="41" t="s">
        <v>19</v>
      </c>
      <c r="G3756" s="37">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1" t="str">
        <f>VLOOKUP(B3756,辅助信息!E:I,3,FALSE)</f>
        <v>(五冶钢构龙泉东洪片区70亩住宅、商业及配套工程项目一标段)成都市龙泉驿外东洪路地铁2号线惠王陵地铁C口</v>
      </c>
      <c r="J3756" s="41" t="str">
        <f>VLOOKUP(B3756,辅助信息!E:I,4,FALSE)</f>
        <v>邹爱国</v>
      </c>
      <c r="K3756" s="41">
        <f>VLOOKUP(J3756,辅助信息!H:I,2,FALSE)</f>
        <v>13540231225</v>
      </c>
      <c r="L3756" s="110">
        <f>VLOOKUP(B3756,辅助信息!E:J,6,FALSE)</f>
        <v>0</v>
      </c>
      <c r="O3756" s="63" t="str">
        <f ca="1" t="shared" si="200"/>
        <v/>
      </c>
      <c r="P3756" s="63" t="str">
        <f ca="1" t="shared" si="201"/>
        <v/>
      </c>
      <c r="Q3756" s="30" t="str">
        <f>VLOOKUP(B3756,辅助信息!E:M,9,FALSE)</f>
        <v>ZTWM-CDGS-XS-2025-0156-五冶钢构-2025年九月第一批次钢筋采购合同(三圣乡项目)-中铁物贸成都公司</v>
      </c>
      <c r="R3756" s="30" t="str">
        <f>_xlfn._xlws.FILTER(辅助信息!D:D,辅助信息!E:E=B3756)</f>
        <v>五冶钢构龙泉东洪片区(70亩、85亩)住宅、商业及配套工程项目</v>
      </c>
    </row>
    <row r="3757" hidden="1" spans="2:18">
      <c r="B3757" s="41" t="s">
        <v>224</v>
      </c>
      <c r="C3757" s="71">
        <v>45924</v>
      </c>
      <c r="D3757" s="41" t="str">
        <f>VLOOKUP(B3757,辅助信息!E:K,7,FALSE)</f>
        <v>JWDDCD2025092400188</v>
      </c>
      <c r="E3757" s="41" t="str">
        <f>VLOOKUP(F3757,辅助信息!A:B,2,FALSE)</f>
        <v>螺纹钢</v>
      </c>
      <c r="F3757" s="41" t="s">
        <v>32</v>
      </c>
      <c r="G3757" s="37">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1" t="str">
        <f>VLOOKUP(B3757,辅助信息!E:I,3,FALSE)</f>
        <v>(五冶钢构龙泉东洪片区70亩住宅、商业及配套工程项目一标段)成都市龙泉驿外东洪路地铁2号线惠王陵地铁C口</v>
      </c>
      <c r="J3757" s="41" t="str">
        <f>VLOOKUP(B3757,辅助信息!E:I,4,FALSE)</f>
        <v>邹爱国</v>
      </c>
      <c r="K3757" s="41">
        <f>VLOOKUP(J3757,辅助信息!H:I,2,FALSE)</f>
        <v>13540231225</v>
      </c>
      <c r="L3757" s="110">
        <f>VLOOKUP(B3757,辅助信息!E:J,6,FALSE)</f>
        <v>0</v>
      </c>
      <c r="O3757" s="63" t="str">
        <f ca="1" t="shared" si="200"/>
        <v/>
      </c>
      <c r="P3757" s="63" t="str">
        <f ca="1" t="shared" si="201"/>
        <v/>
      </c>
      <c r="Q3757" s="30" t="str">
        <f>VLOOKUP(B3757,辅助信息!E:M,9,FALSE)</f>
        <v>ZTWM-CDGS-XS-2025-0156-五冶钢构-2025年九月第一批次钢筋采购合同(三圣乡项目)-中铁物贸成都公司</v>
      </c>
      <c r="R3757" s="30" t="str">
        <f>_xlfn._xlws.FILTER(辅助信息!D:D,辅助信息!E:E=B3757)</f>
        <v>五冶钢构龙泉东洪片区(70亩、85亩)住宅、商业及配套工程项目</v>
      </c>
    </row>
    <row r="3758" hidden="1" spans="2:18">
      <c r="B3758" s="41" t="s">
        <v>224</v>
      </c>
      <c r="C3758" s="71">
        <v>45924</v>
      </c>
      <c r="D3758" s="41" t="str">
        <f>VLOOKUP(B3758,辅助信息!E:K,7,FALSE)</f>
        <v>JWDDCD2025092400188</v>
      </c>
      <c r="E3758" s="41" t="str">
        <f>VLOOKUP(F3758,辅助信息!A:B,2,FALSE)</f>
        <v>螺纹钢</v>
      </c>
      <c r="F3758" s="41" t="s">
        <v>30</v>
      </c>
      <c r="G3758" s="37">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1" t="str">
        <f>VLOOKUP(B3758,辅助信息!E:I,3,FALSE)</f>
        <v>(五冶钢构龙泉东洪片区70亩住宅、商业及配套工程项目一标段)成都市龙泉驿外东洪路地铁2号线惠王陵地铁C口</v>
      </c>
      <c r="J3758" s="41" t="str">
        <f>VLOOKUP(B3758,辅助信息!E:I,4,FALSE)</f>
        <v>邹爱国</v>
      </c>
      <c r="K3758" s="41">
        <f>VLOOKUP(J3758,辅助信息!H:I,2,FALSE)</f>
        <v>13540231225</v>
      </c>
      <c r="L3758" s="110">
        <f>VLOOKUP(B3758,辅助信息!E:J,6,FALSE)</f>
        <v>0</v>
      </c>
      <c r="O3758" s="63" t="str">
        <f ca="1" t="shared" si="200"/>
        <v/>
      </c>
      <c r="P3758" s="63" t="str">
        <f ca="1" t="shared" si="201"/>
        <v/>
      </c>
      <c r="Q3758" s="30" t="str">
        <f>VLOOKUP(B3758,辅助信息!E:M,9,FALSE)</f>
        <v>ZTWM-CDGS-XS-2025-0156-五冶钢构-2025年九月第一批次钢筋采购合同(三圣乡项目)-中铁物贸成都公司</v>
      </c>
      <c r="R3758" s="30" t="str">
        <f>_xlfn._xlws.FILTER(辅助信息!D:D,辅助信息!E:E=B3758)</f>
        <v>五冶钢构龙泉东洪片区(70亩、85亩)住宅、商业及配套工程项目</v>
      </c>
    </row>
    <row r="3759" hidden="1" spans="2:18">
      <c r="B3759" s="41" t="s">
        <v>224</v>
      </c>
      <c r="C3759" s="71">
        <v>45924</v>
      </c>
      <c r="D3759" s="41" t="str">
        <f>VLOOKUP(B3759,辅助信息!E:K,7,FALSE)</f>
        <v>JWDDCD2025092400188</v>
      </c>
      <c r="E3759" s="41" t="str">
        <f>VLOOKUP(F3759,辅助信息!A:B,2,FALSE)</f>
        <v>螺纹钢</v>
      </c>
      <c r="F3759" s="41" t="s">
        <v>33</v>
      </c>
      <c r="G3759" s="37">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1" t="str">
        <f>VLOOKUP(B3759,辅助信息!E:I,3,FALSE)</f>
        <v>(五冶钢构龙泉东洪片区70亩住宅、商业及配套工程项目一标段)成都市龙泉驿外东洪路地铁2号线惠王陵地铁C口</v>
      </c>
      <c r="J3759" s="41" t="str">
        <f>VLOOKUP(B3759,辅助信息!E:I,4,FALSE)</f>
        <v>邹爱国</v>
      </c>
      <c r="K3759" s="41">
        <f>VLOOKUP(J3759,辅助信息!H:I,2,FALSE)</f>
        <v>13540231225</v>
      </c>
      <c r="L3759" s="110">
        <f>VLOOKUP(B3759,辅助信息!E:J,6,FALSE)</f>
        <v>0</v>
      </c>
      <c r="O3759" s="63" t="str">
        <f ca="1" t="shared" si="200"/>
        <v/>
      </c>
      <c r="P3759" s="63" t="str">
        <f ca="1" t="shared" si="201"/>
        <v/>
      </c>
      <c r="Q3759" s="30" t="str">
        <f>VLOOKUP(B3759,辅助信息!E:M,9,FALSE)</f>
        <v>ZTWM-CDGS-XS-2025-0156-五冶钢构-2025年九月第一批次钢筋采购合同(三圣乡项目)-中铁物贸成都公司</v>
      </c>
      <c r="R3759" s="30" t="str">
        <f>_xlfn._xlws.FILTER(辅助信息!D:D,辅助信息!E:E=B3759)</f>
        <v>五冶钢构龙泉东洪片区(70亩、85亩)住宅、商业及配套工程项目</v>
      </c>
    </row>
    <row r="3760" hidden="1" spans="2:18">
      <c r="B3760" s="41" t="s">
        <v>224</v>
      </c>
      <c r="C3760" s="71">
        <v>45924</v>
      </c>
      <c r="D3760" s="41" t="str">
        <f>VLOOKUP(B3760,辅助信息!E:K,7,FALSE)</f>
        <v>JWDDCD2025092400188</v>
      </c>
      <c r="E3760" s="41" t="str">
        <f>VLOOKUP(F3760,辅助信息!A:B,2,FALSE)</f>
        <v>螺纹钢</v>
      </c>
      <c r="F3760" s="41" t="s">
        <v>28</v>
      </c>
      <c r="G3760" s="37">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1" t="str">
        <f>VLOOKUP(B3760,辅助信息!E:I,3,FALSE)</f>
        <v>(五冶钢构龙泉东洪片区70亩住宅、商业及配套工程项目一标段)成都市龙泉驿外东洪路地铁2号线惠王陵地铁C口</v>
      </c>
      <c r="J3760" s="41" t="str">
        <f>VLOOKUP(B3760,辅助信息!E:I,4,FALSE)</f>
        <v>邹爱国</v>
      </c>
      <c r="K3760" s="41">
        <f>VLOOKUP(J3760,辅助信息!H:I,2,FALSE)</f>
        <v>13540231225</v>
      </c>
      <c r="L3760" s="110">
        <f>VLOOKUP(B3760,辅助信息!E:J,6,FALSE)</f>
        <v>0</v>
      </c>
      <c r="O3760" s="63" t="str">
        <f ca="1" t="shared" si="200"/>
        <v/>
      </c>
      <c r="P3760" s="63" t="str">
        <f ca="1" t="shared" si="201"/>
        <v/>
      </c>
      <c r="Q3760" s="30" t="str">
        <f>VLOOKUP(B3760,辅助信息!E:M,9,FALSE)</f>
        <v>ZTWM-CDGS-XS-2025-0156-五冶钢构-2025年九月第一批次钢筋采购合同(三圣乡项目)-中铁物贸成都公司</v>
      </c>
      <c r="R3760" s="30" t="str">
        <f>_xlfn._xlws.FILTER(辅助信息!D:D,辅助信息!E:E=B3760)</f>
        <v>五冶钢构龙泉东洪片区(70亩、85亩)住宅、商业及配套工程项目</v>
      </c>
    </row>
    <row r="3761" hidden="1" spans="2:18">
      <c r="B3761" s="41" t="s">
        <v>224</v>
      </c>
      <c r="C3761" s="71">
        <v>45924</v>
      </c>
      <c r="D3761" s="41" t="str">
        <f>VLOOKUP(B3761,辅助信息!E:K,7,FALSE)</f>
        <v>JWDDCD2025092400188</v>
      </c>
      <c r="E3761" s="41" t="str">
        <f>VLOOKUP(F3761,辅助信息!A:B,2,FALSE)</f>
        <v>螺纹钢</v>
      </c>
      <c r="F3761" s="41" t="s">
        <v>18</v>
      </c>
      <c r="G3761" s="37">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1" t="str">
        <f>VLOOKUP(B3761,辅助信息!E:I,3,FALSE)</f>
        <v>(五冶钢构龙泉东洪片区70亩住宅、商业及配套工程项目一标段)成都市龙泉驿外东洪路地铁2号线惠王陵地铁C口</v>
      </c>
      <c r="J3761" s="41" t="str">
        <f>VLOOKUP(B3761,辅助信息!E:I,4,FALSE)</f>
        <v>邹爱国</v>
      </c>
      <c r="K3761" s="41">
        <f>VLOOKUP(J3761,辅助信息!H:I,2,FALSE)</f>
        <v>13540231225</v>
      </c>
      <c r="L3761" s="110">
        <f>VLOOKUP(B3761,辅助信息!E:J,6,FALSE)</f>
        <v>0</v>
      </c>
      <c r="O3761" s="63" t="str">
        <f ca="1" t="shared" si="200"/>
        <v/>
      </c>
      <c r="P3761" s="63" t="str">
        <f ca="1" t="shared" si="201"/>
        <v/>
      </c>
      <c r="Q3761" s="30" t="str">
        <f>VLOOKUP(B3761,辅助信息!E:M,9,FALSE)</f>
        <v>ZTWM-CDGS-XS-2025-0156-五冶钢构-2025年九月第一批次钢筋采购合同(三圣乡项目)-中铁物贸成都公司</v>
      </c>
      <c r="R3761" s="30" t="str">
        <f>_xlfn._xlws.FILTER(辅助信息!D:D,辅助信息!E:E=B3761)</f>
        <v>五冶钢构龙泉东洪片区(70亩、85亩)住宅、商业及配套工程项目</v>
      </c>
    </row>
    <row r="3762" hidden="1" spans="2:18">
      <c r="B3762" s="41" t="s">
        <v>225</v>
      </c>
      <c r="C3762" s="71">
        <v>45924</v>
      </c>
      <c r="D3762" s="41" t="str">
        <f>VLOOKUP(B3762,辅助信息!E:K,7,FALSE)</f>
        <v>JWDDCD2025092400210</v>
      </c>
      <c r="E3762" s="41" t="str">
        <f>VLOOKUP(F3762,辅助信息!A:B,2,FALSE)</f>
        <v>盘螺</v>
      </c>
      <c r="F3762" s="41" t="s">
        <v>40</v>
      </c>
      <c r="G3762" s="37">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1" t="str">
        <f>VLOOKUP(B3762,辅助信息!E:I,3,FALSE)</f>
        <v>(五冶钢构龙泉东洪片区85亩住宅、商业及配套工程项目一标段)成都市龙泉驿外东洪路地铁2号线惠王陵地铁C口</v>
      </c>
      <c r="J3762" s="41" t="str">
        <f>VLOOKUP(B3762,辅助信息!E:I,4,FALSE)</f>
        <v>岳工</v>
      </c>
      <c r="K3762" s="41">
        <f>VLOOKUP(J3762,辅助信息!H:I,2,FALSE)</f>
        <v>18599951655</v>
      </c>
      <c r="L3762" s="110">
        <f>VLOOKUP(B3762,辅助信息!E:J,6,FALSE)</f>
        <v>0</v>
      </c>
      <c r="O3762" s="63" t="str">
        <f ca="1" t="shared" si="200"/>
        <v/>
      </c>
      <c r="P3762" s="63" t="str">
        <f ca="1" t="shared" si="201"/>
        <v/>
      </c>
      <c r="Q3762" s="30" t="str">
        <f>VLOOKUP(B3762,辅助信息!E:M,9,FALSE)</f>
        <v>ZTWM-CDGS-XS-2025-0156-五冶钢构-2025年九月第一批次钢筋采购合同(三圣乡项目)-中铁物贸成都公司</v>
      </c>
      <c r="R3762" s="30" t="str">
        <f>_xlfn._xlws.FILTER(辅助信息!D:D,辅助信息!E:E=B3762)</f>
        <v>五冶钢构龙泉东洪片区(70亩、85亩)住宅、商业及配套工程项目</v>
      </c>
    </row>
    <row r="3763" hidden="1" spans="2:18">
      <c r="B3763" s="41" t="s">
        <v>225</v>
      </c>
      <c r="C3763" s="71">
        <v>45924</v>
      </c>
      <c r="D3763" s="41" t="str">
        <f>VLOOKUP(B3763,辅助信息!E:K,7,FALSE)</f>
        <v>JWDDCD2025092400210</v>
      </c>
      <c r="E3763" s="41" t="str">
        <f>VLOOKUP(F3763,辅助信息!A:B,2,FALSE)</f>
        <v>盘螺</v>
      </c>
      <c r="F3763" s="41" t="s">
        <v>41</v>
      </c>
      <c r="G3763" s="37">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1" t="str">
        <f>VLOOKUP(B3763,辅助信息!E:I,3,FALSE)</f>
        <v>(五冶钢构龙泉东洪片区85亩住宅、商业及配套工程项目一标段)成都市龙泉驿外东洪路地铁2号线惠王陵地铁C口</v>
      </c>
      <c r="J3763" s="41" t="str">
        <f>VLOOKUP(B3763,辅助信息!E:I,4,FALSE)</f>
        <v>岳工</v>
      </c>
      <c r="K3763" s="41">
        <f>VLOOKUP(J3763,辅助信息!H:I,2,FALSE)</f>
        <v>18599951655</v>
      </c>
      <c r="L3763" s="110">
        <f>VLOOKUP(B3763,辅助信息!E:J,6,FALSE)</f>
        <v>0</v>
      </c>
      <c r="O3763" s="63" t="str">
        <f ca="1" t="shared" si="200"/>
        <v/>
      </c>
      <c r="P3763" s="63" t="str">
        <f ca="1" t="shared" si="201"/>
        <v/>
      </c>
      <c r="Q3763" s="30" t="str">
        <f>VLOOKUP(B3763,辅助信息!E:M,9,FALSE)</f>
        <v>ZTWM-CDGS-XS-2025-0156-五冶钢构-2025年九月第一批次钢筋采购合同(三圣乡项目)-中铁物贸成都公司</v>
      </c>
      <c r="R3763" s="30" t="str">
        <f>_xlfn._xlws.FILTER(辅助信息!D:D,辅助信息!E:E=B3763)</f>
        <v>五冶钢构龙泉东洪片区(70亩、85亩)住宅、商业及配套工程项目</v>
      </c>
    </row>
    <row r="3764" hidden="1" spans="2:18">
      <c r="B3764" s="41" t="s">
        <v>225</v>
      </c>
      <c r="C3764" s="71">
        <v>45924</v>
      </c>
      <c r="D3764" s="41" t="str">
        <f>VLOOKUP(B3764,辅助信息!E:K,7,FALSE)</f>
        <v>JWDDCD2025092400210</v>
      </c>
      <c r="E3764" s="41" t="str">
        <f>VLOOKUP(F3764,辅助信息!A:B,2,FALSE)</f>
        <v>螺纹钢</v>
      </c>
      <c r="F3764" s="41" t="s">
        <v>27</v>
      </c>
      <c r="G3764" s="37">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1" t="str">
        <f>VLOOKUP(B3764,辅助信息!E:I,3,FALSE)</f>
        <v>(五冶钢构龙泉东洪片区85亩住宅、商业及配套工程项目一标段)成都市龙泉驿外东洪路地铁2号线惠王陵地铁C口</v>
      </c>
      <c r="J3764" s="41" t="str">
        <f>VLOOKUP(B3764,辅助信息!E:I,4,FALSE)</f>
        <v>岳工</v>
      </c>
      <c r="K3764" s="41">
        <f>VLOOKUP(J3764,辅助信息!H:I,2,FALSE)</f>
        <v>18599951655</v>
      </c>
      <c r="L3764" s="110">
        <f>VLOOKUP(B3764,辅助信息!E:J,6,FALSE)</f>
        <v>0</v>
      </c>
      <c r="O3764" s="63" t="str">
        <f ca="1" t="shared" si="200"/>
        <v/>
      </c>
      <c r="P3764" s="63" t="str">
        <f ca="1" t="shared" si="201"/>
        <v/>
      </c>
      <c r="Q3764" s="30" t="str">
        <f>VLOOKUP(B3764,辅助信息!E:M,9,FALSE)</f>
        <v>ZTWM-CDGS-XS-2025-0156-五冶钢构-2025年九月第一批次钢筋采购合同(三圣乡项目)-中铁物贸成都公司</v>
      </c>
      <c r="R3764" s="30" t="str">
        <f>_xlfn._xlws.FILTER(辅助信息!D:D,辅助信息!E:E=B3764)</f>
        <v>五冶钢构龙泉东洪片区(70亩、85亩)住宅、商业及配套工程项目</v>
      </c>
    </row>
    <row r="3765" hidden="1" spans="2:18">
      <c r="B3765" s="41" t="s">
        <v>225</v>
      </c>
      <c r="C3765" s="71">
        <v>45924</v>
      </c>
      <c r="D3765" s="41" t="str">
        <f>VLOOKUP(B3765,辅助信息!E:K,7,FALSE)</f>
        <v>JWDDCD2025092400210</v>
      </c>
      <c r="E3765" s="41" t="str">
        <f>VLOOKUP(F3765,辅助信息!A:B,2,FALSE)</f>
        <v>螺纹钢</v>
      </c>
      <c r="F3765" s="41" t="s">
        <v>19</v>
      </c>
      <c r="G3765" s="37">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1" t="str">
        <f>VLOOKUP(B3765,辅助信息!E:I,3,FALSE)</f>
        <v>(五冶钢构龙泉东洪片区85亩住宅、商业及配套工程项目一标段)成都市龙泉驿外东洪路地铁2号线惠王陵地铁C口</v>
      </c>
      <c r="J3765" s="41" t="str">
        <f>VLOOKUP(B3765,辅助信息!E:I,4,FALSE)</f>
        <v>岳工</v>
      </c>
      <c r="K3765" s="41">
        <f>VLOOKUP(J3765,辅助信息!H:I,2,FALSE)</f>
        <v>18599951655</v>
      </c>
      <c r="L3765" s="110">
        <f>VLOOKUP(B3765,辅助信息!E:J,6,FALSE)</f>
        <v>0</v>
      </c>
      <c r="O3765" s="63" t="str">
        <f ca="1" t="shared" si="200"/>
        <v/>
      </c>
      <c r="P3765" s="63" t="str">
        <f ca="1" t="shared" si="201"/>
        <v/>
      </c>
      <c r="Q3765" s="30" t="str">
        <f>VLOOKUP(B3765,辅助信息!E:M,9,FALSE)</f>
        <v>ZTWM-CDGS-XS-2025-0156-五冶钢构-2025年九月第一批次钢筋采购合同(三圣乡项目)-中铁物贸成都公司</v>
      </c>
      <c r="R3765" s="30" t="str">
        <f>_xlfn._xlws.FILTER(辅助信息!D:D,辅助信息!E:E=B3765)</f>
        <v>五冶钢构龙泉东洪片区(70亩、85亩)住宅、商业及配套工程项目</v>
      </c>
    </row>
    <row r="3766" hidden="1" spans="2:18">
      <c r="B3766" s="41" t="s">
        <v>225</v>
      </c>
      <c r="C3766" s="71">
        <v>45924</v>
      </c>
      <c r="D3766" s="41" t="str">
        <f>VLOOKUP(B3766,辅助信息!E:K,7,FALSE)</f>
        <v>JWDDCD2025092400210</v>
      </c>
      <c r="E3766" s="41" t="str">
        <f>VLOOKUP(F3766,辅助信息!A:B,2,FALSE)</f>
        <v>螺纹钢</v>
      </c>
      <c r="F3766" s="41" t="s">
        <v>33</v>
      </c>
      <c r="G3766" s="37">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1" t="str">
        <f>VLOOKUP(B3766,辅助信息!E:I,3,FALSE)</f>
        <v>(五冶钢构龙泉东洪片区85亩住宅、商业及配套工程项目一标段)成都市龙泉驿外东洪路地铁2号线惠王陵地铁C口</v>
      </c>
      <c r="J3766" s="41" t="str">
        <f>VLOOKUP(B3766,辅助信息!E:I,4,FALSE)</f>
        <v>岳工</v>
      </c>
      <c r="K3766" s="41">
        <f>VLOOKUP(J3766,辅助信息!H:I,2,FALSE)</f>
        <v>18599951655</v>
      </c>
      <c r="L3766" s="110">
        <f>VLOOKUP(B3766,辅助信息!E:J,6,FALSE)</f>
        <v>0</v>
      </c>
      <c r="O3766" s="63" t="str">
        <f ca="1" t="shared" si="200"/>
        <v/>
      </c>
      <c r="P3766" s="63" t="str">
        <f ca="1" t="shared" si="201"/>
        <v/>
      </c>
      <c r="Q3766" s="30" t="str">
        <f>VLOOKUP(B3766,辅助信息!E:M,9,FALSE)</f>
        <v>ZTWM-CDGS-XS-2025-0156-五冶钢构-2025年九月第一批次钢筋采购合同(三圣乡项目)-中铁物贸成都公司</v>
      </c>
      <c r="R3766" s="30" t="str">
        <f>_xlfn._xlws.FILTER(辅助信息!D:D,辅助信息!E:E=B3766)</f>
        <v>五冶钢构龙泉东洪片区(70亩、85亩)住宅、商业及配套工程项目</v>
      </c>
    </row>
    <row r="3767" hidden="1" spans="2:18">
      <c r="B3767" s="41" t="s">
        <v>225</v>
      </c>
      <c r="C3767" s="71">
        <v>45924</v>
      </c>
      <c r="D3767" s="41" t="str">
        <f>VLOOKUP(B3767,辅助信息!E:K,7,FALSE)</f>
        <v>JWDDCD2025092400210</v>
      </c>
      <c r="E3767" s="41" t="str">
        <f>VLOOKUP(F3767,辅助信息!A:B,2,FALSE)</f>
        <v>螺纹钢</v>
      </c>
      <c r="F3767" s="41" t="s">
        <v>18</v>
      </c>
      <c r="G3767" s="37">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1" t="str">
        <f>VLOOKUP(B3767,辅助信息!E:I,3,FALSE)</f>
        <v>(五冶钢构龙泉东洪片区85亩住宅、商业及配套工程项目一标段)成都市龙泉驿外东洪路地铁2号线惠王陵地铁C口</v>
      </c>
      <c r="J3767" s="41" t="str">
        <f>VLOOKUP(B3767,辅助信息!E:I,4,FALSE)</f>
        <v>岳工</v>
      </c>
      <c r="K3767" s="41">
        <f>VLOOKUP(J3767,辅助信息!H:I,2,FALSE)</f>
        <v>18599951655</v>
      </c>
      <c r="L3767" s="110">
        <f>VLOOKUP(B3767,辅助信息!E:J,6,FALSE)</f>
        <v>0</v>
      </c>
      <c r="O3767" s="63" t="str">
        <f ca="1" t="shared" si="200"/>
        <v/>
      </c>
      <c r="P3767" s="63" t="str">
        <f ca="1" t="shared" si="201"/>
        <v/>
      </c>
      <c r="Q3767" s="30" t="str">
        <f>VLOOKUP(B3767,辅助信息!E:M,9,FALSE)</f>
        <v>ZTWM-CDGS-XS-2025-0156-五冶钢构-2025年九月第一批次钢筋采购合同(三圣乡项目)-中铁物贸成都公司</v>
      </c>
      <c r="R3767" s="30" t="str">
        <f>_xlfn._xlws.FILTER(辅助信息!D:D,辅助信息!E:E=B3767)</f>
        <v>五冶钢构龙泉东洪片区(70亩、85亩)住宅、商业及配套工程项目</v>
      </c>
    </row>
    <row r="3768" hidden="1" spans="2:18">
      <c r="B3768" s="41" t="s">
        <v>225</v>
      </c>
      <c r="C3768" s="71">
        <v>45924</v>
      </c>
      <c r="D3768" s="41" t="str">
        <f>VLOOKUP(B3768,辅助信息!E:K,7,FALSE)</f>
        <v>JWDDCD2025092400210</v>
      </c>
      <c r="E3768" s="41" t="str">
        <f>VLOOKUP(F3768,辅助信息!A:B,2,FALSE)</f>
        <v>螺纹钢</v>
      </c>
      <c r="F3768" s="41" t="s">
        <v>21</v>
      </c>
      <c r="G3768" s="37">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1" t="str">
        <f>VLOOKUP(B3768,辅助信息!E:I,3,FALSE)</f>
        <v>(五冶钢构龙泉东洪片区85亩住宅、商业及配套工程项目一标段)成都市龙泉驿外东洪路地铁2号线惠王陵地铁C口</v>
      </c>
      <c r="J3768" s="41" t="str">
        <f>VLOOKUP(B3768,辅助信息!E:I,4,FALSE)</f>
        <v>岳工</v>
      </c>
      <c r="K3768" s="41">
        <f>VLOOKUP(J3768,辅助信息!H:I,2,FALSE)</f>
        <v>18599951655</v>
      </c>
      <c r="L3768" s="110">
        <f>VLOOKUP(B3768,辅助信息!E:J,6,FALSE)</f>
        <v>0</v>
      </c>
      <c r="O3768" s="63" t="str">
        <f ca="1" t="shared" si="200"/>
        <v/>
      </c>
      <c r="P3768" s="63" t="str">
        <f ca="1" t="shared" si="201"/>
        <v/>
      </c>
      <c r="Q3768" s="30" t="str">
        <f>VLOOKUP(B3768,辅助信息!E:M,9,FALSE)</f>
        <v>ZTWM-CDGS-XS-2025-0156-五冶钢构-2025年九月第一批次钢筋采购合同(三圣乡项目)-中铁物贸成都公司</v>
      </c>
      <c r="R3768" s="30" t="str">
        <f>_xlfn._xlws.FILTER(辅助信息!D:D,辅助信息!E:E=B3768)</f>
        <v>五冶钢构龙泉东洪片区(70亩、85亩)住宅、商业及配套工程项目</v>
      </c>
    </row>
    <row r="3769" hidden="1" spans="2:18">
      <c r="B3769" s="41" t="s">
        <v>225</v>
      </c>
      <c r="C3769" s="71">
        <v>45924</v>
      </c>
      <c r="D3769" s="41" t="str">
        <f>VLOOKUP(B3769,辅助信息!E:K,7,FALSE)</f>
        <v>JWDDCD2025092400210</v>
      </c>
      <c r="E3769" s="41" t="str">
        <f>VLOOKUP(F3769,辅助信息!A:B,2,FALSE)</f>
        <v>螺纹钢</v>
      </c>
      <c r="F3769" s="41" t="s">
        <v>58</v>
      </c>
      <c r="G3769" s="37">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1" t="str">
        <f>VLOOKUP(B3769,辅助信息!E:I,3,FALSE)</f>
        <v>(五冶钢构龙泉东洪片区85亩住宅、商业及配套工程项目一标段)成都市龙泉驿外东洪路地铁2号线惠王陵地铁C口</v>
      </c>
      <c r="J3769" s="41" t="str">
        <f>VLOOKUP(B3769,辅助信息!E:I,4,FALSE)</f>
        <v>岳工</v>
      </c>
      <c r="K3769" s="41">
        <f>VLOOKUP(J3769,辅助信息!H:I,2,FALSE)</f>
        <v>18599951655</v>
      </c>
      <c r="L3769" s="110">
        <f>VLOOKUP(B3769,辅助信息!E:J,6,FALSE)</f>
        <v>0</v>
      </c>
      <c r="O3769" s="63" t="str">
        <f ca="1" t="shared" si="200"/>
        <v/>
      </c>
      <c r="P3769" s="63" t="str">
        <f ca="1" t="shared" si="201"/>
        <v/>
      </c>
      <c r="Q3769" s="30" t="str">
        <f>VLOOKUP(B3769,辅助信息!E:M,9,FALSE)</f>
        <v>ZTWM-CDGS-XS-2025-0156-五冶钢构-2025年九月第一批次钢筋采购合同(三圣乡项目)-中铁物贸成都公司</v>
      </c>
      <c r="R3769" s="30" t="str">
        <f>_xlfn._xlws.FILTER(辅助信息!D:D,辅助信息!E:E=B3769)</f>
        <v>五冶钢构龙泉东洪片区(70亩、85亩)住宅、商业及配套工程项目</v>
      </c>
    </row>
    <row r="3770" hidden="1" spans="2:18">
      <c r="B3770" s="41" t="s">
        <v>225</v>
      </c>
      <c r="C3770" s="71">
        <v>45924</v>
      </c>
      <c r="D3770" s="41" t="str">
        <f>VLOOKUP(B3770,辅助信息!E:K,7,FALSE)</f>
        <v>JWDDCD2025092400210</v>
      </c>
      <c r="E3770" s="41" t="str">
        <f>VLOOKUP(F3770,辅助信息!A:B,2,FALSE)</f>
        <v>螺纹钢</v>
      </c>
      <c r="F3770" s="41" t="s">
        <v>46</v>
      </c>
      <c r="G3770" s="37">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1" t="str">
        <f>VLOOKUP(B3770,辅助信息!E:I,3,FALSE)</f>
        <v>(五冶钢构龙泉东洪片区85亩住宅、商业及配套工程项目一标段)成都市龙泉驿外东洪路地铁2号线惠王陵地铁C口</v>
      </c>
      <c r="J3770" s="41" t="str">
        <f>VLOOKUP(B3770,辅助信息!E:I,4,FALSE)</f>
        <v>岳工</v>
      </c>
      <c r="K3770" s="41">
        <f>VLOOKUP(J3770,辅助信息!H:I,2,FALSE)</f>
        <v>18599951655</v>
      </c>
      <c r="L3770" s="110">
        <f>VLOOKUP(B3770,辅助信息!E:J,6,FALSE)</f>
        <v>0</v>
      </c>
      <c r="O3770" s="63" t="str">
        <f ca="1" t="shared" si="200"/>
        <v/>
      </c>
      <c r="P3770" s="63" t="str">
        <f ca="1" t="shared" si="201"/>
        <v/>
      </c>
      <c r="Q3770" s="30" t="str">
        <f>VLOOKUP(B3770,辅助信息!E:M,9,FALSE)</f>
        <v>ZTWM-CDGS-XS-2025-0156-五冶钢构-2025年九月第一批次钢筋采购合同(三圣乡项目)-中铁物贸成都公司</v>
      </c>
      <c r="R3770" s="30" t="str">
        <f>_xlfn._xlws.FILTER(辅助信息!D:D,辅助信息!E:E=B3770)</f>
        <v>五冶钢构龙泉东洪片区(70亩、85亩)住宅、商业及配套工程项目</v>
      </c>
    </row>
    <row r="3771" hidden="1" spans="2:18">
      <c r="B3771" s="41" t="s">
        <v>225</v>
      </c>
      <c r="C3771" s="71">
        <v>45924</v>
      </c>
      <c r="D3771" s="41" t="str">
        <f>VLOOKUP(B3771,辅助信息!E:K,7,FALSE)</f>
        <v>JWDDCD2025092400210</v>
      </c>
      <c r="E3771" s="41" t="str">
        <f>VLOOKUP(F3771,辅助信息!A:B,2,FALSE)</f>
        <v>螺纹钢</v>
      </c>
      <c r="F3771" s="41" t="s">
        <v>22</v>
      </c>
      <c r="G3771" s="37">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1" t="str">
        <f>VLOOKUP(B3771,辅助信息!E:I,3,FALSE)</f>
        <v>(五冶钢构龙泉东洪片区85亩住宅、商业及配套工程项目一标段)成都市龙泉驿外东洪路地铁2号线惠王陵地铁C口</v>
      </c>
      <c r="J3771" s="41" t="str">
        <f>VLOOKUP(B3771,辅助信息!E:I,4,FALSE)</f>
        <v>岳工</v>
      </c>
      <c r="K3771" s="41">
        <f>VLOOKUP(J3771,辅助信息!H:I,2,FALSE)</f>
        <v>18599951655</v>
      </c>
      <c r="L3771" s="110">
        <f>VLOOKUP(B3771,辅助信息!E:J,6,FALSE)</f>
        <v>0</v>
      </c>
      <c r="O3771" s="63" t="str">
        <f ca="1" t="shared" si="200"/>
        <v/>
      </c>
      <c r="P3771" s="63" t="str">
        <f ca="1" t="shared" si="201"/>
        <v/>
      </c>
      <c r="Q3771" s="30" t="str">
        <f>VLOOKUP(B3771,辅助信息!E:M,9,FALSE)</f>
        <v>ZTWM-CDGS-XS-2025-0156-五冶钢构-2025年九月第一批次钢筋采购合同(三圣乡项目)-中铁物贸成都公司</v>
      </c>
      <c r="R3771" s="30" t="str">
        <f>_xlfn._xlws.FILTER(辅助信息!D:D,辅助信息!E:E=B3771)</f>
        <v>五冶钢构龙泉东洪片区(70亩、85亩)住宅、商业及配套工程项目</v>
      </c>
    </row>
    <row r="3772" hidden="1" spans="2:18">
      <c r="B3772" s="41" t="s">
        <v>226</v>
      </c>
      <c r="C3772" s="71">
        <v>45924</v>
      </c>
      <c r="D3772" s="41" t="str">
        <f>VLOOKUP(B3772,辅助信息!E:K,7,FALSE)</f>
        <v>JWDDCD2025092400211</v>
      </c>
      <c r="E3772" s="41" t="str">
        <f>VLOOKUP(F3772,辅助信息!A:B,2,FALSE)</f>
        <v>盘螺</v>
      </c>
      <c r="F3772" s="41" t="s">
        <v>49</v>
      </c>
      <c r="G3772" s="37">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1" t="str">
        <f>VLOOKUP(B3772,辅助信息!E:I,3,FALSE)</f>
        <v>(五冶钢构龙泉东洪片区85亩住宅、商业及配套工程项目二标段)成都市龙泉驿外东洪路地铁2号线惠王陵地铁C口</v>
      </c>
      <c r="J3772" s="41" t="str">
        <f>VLOOKUP(B3772,辅助信息!E:I,4,FALSE)</f>
        <v>李渊</v>
      </c>
      <c r="K3772" s="41">
        <f>VLOOKUP(J3772,辅助信息!H:I,2,FALSE)</f>
        <v>18381013849</v>
      </c>
      <c r="L3772" s="110">
        <f>VLOOKUP(B3772,辅助信息!E:J,6,FALSE)</f>
        <v>0</v>
      </c>
      <c r="O3772" s="63" t="str">
        <f ca="1" t="shared" si="200"/>
        <v/>
      </c>
      <c r="P3772" s="63" t="str">
        <f ca="1" t="shared" si="201"/>
        <v/>
      </c>
      <c r="Q3772" s="30" t="str">
        <f>VLOOKUP(B3772,辅助信息!E:M,9,FALSE)</f>
        <v>ZTWM-CDGS-XS-2025-0156-五冶钢构-2025年九月第一批次钢筋采购合同(三圣乡项目)-中铁物贸成都公司</v>
      </c>
      <c r="R3772" s="30" t="str">
        <f>_xlfn._xlws.FILTER(辅助信息!D:D,辅助信息!E:E=B3772)</f>
        <v>五冶钢构龙泉东洪片区(70亩、85亩)住宅、商业及配套工程项目</v>
      </c>
    </row>
    <row r="3773" hidden="1" spans="2:18">
      <c r="B3773" s="41" t="s">
        <v>226</v>
      </c>
      <c r="C3773" s="71">
        <v>45924</v>
      </c>
      <c r="D3773" s="41" t="str">
        <f>VLOOKUP(B3773,辅助信息!E:K,7,FALSE)</f>
        <v>JWDDCD2025092400211</v>
      </c>
      <c r="E3773" s="41" t="str">
        <f>VLOOKUP(F3773,辅助信息!A:B,2,FALSE)</f>
        <v>盘螺</v>
      </c>
      <c r="F3773" s="41" t="s">
        <v>40</v>
      </c>
      <c r="G3773" s="37">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1" t="str">
        <f>VLOOKUP(B3773,辅助信息!E:I,3,FALSE)</f>
        <v>(五冶钢构龙泉东洪片区85亩住宅、商业及配套工程项目二标段)成都市龙泉驿外东洪路地铁2号线惠王陵地铁C口</v>
      </c>
      <c r="J3773" s="41" t="str">
        <f>VLOOKUP(B3773,辅助信息!E:I,4,FALSE)</f>
        <v>李渊</v>
      </c>
      <c r="K3773" s="41">
        <f>VLOOKUP(J3773,辅助信息!H:I,2,FALSE)</f>
        <v>18381013849</v>
      </c>
      <c r="L3773" s="110">
        <f>VLOOKUP(B3773,辅助信息!E:J,6,FALSE)</f>
        <v>0</v>
      </c>
      <c r="O3773" s="63" t="str">
        <f ca="1" t="shared" si="200"/>
        <v/>
      </c>
      <c r="P3773" s="63" t="str">
        <f ca="1" t="shared" si="201"/>
        <v/>
      </c>
      <c r="Q3773" s="30" t="str">
        <f>VLOOKUP(B3773,辅助信息!E:M,9,FALSE)</f>
        <v>ZTWM-CDGS-XS-2025-0156-五冶钢构-2025年九月第一批次钢筋采购合同(三圣乡项目)-中铁物贸成都公司</v>
      </c>
      <c r="R3773" s="30" t="str">
        <f>_xlfn._xlws.FILTER(辅助信息!D:D,辅助信息!E:E=B3773)</f>
        <v>五冶钢构龙泉东洪片区(70亩、85亩)住宅、商业及配套工程项目</v>
      </c>
    </row>
    <row r="3774" hidden="1" spans="2:18">
      <c r="B3774" s="41" t="s">
        <v>226</v>
      </c>
      <c r="C3774" s="71">
        <v>45924</v>
      </c>
      <c r="D3774" s="41" t="str">
        <f>VLOOKUP(B3774,辅助信息!E:K,7,FALSE)</f>
        <v>JWDDCD2025092400211</v>
      </c>
      <c r="E3774" s="41" t="str">
        <f>VLOOKUP(F3774,辅助信息!A:B,2,FALSE)</f>
        <v>螺纹钢</v>
      </c>
      <c r="F3774" s="41" t="s">
        <v>27</v>
      </c>
      <c r="G3774" s="37">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1" t="str">
        <f>VLOOKUP(B3774,辅助信息!E:I,3,FALSE)</f>
        <v>(五冶钢构龙泉东洪片区85亩住宅、商业及配套工程项目二标段)成都市龙泉驿外东洪路地铁2号线惠王陵地铁C口</v>
      </c>
      <c r="J3774" s="41" t="str">
        <f>VLOOKUP(B3774,辅助信息!E:I,4,FALSE)</f>
        <v>李渊</v>
      </c>
      <c r="K3774" s="41">
        <f>VLOOKUP(J3774,辅助信息!H:I,2,FALSE)</f>
        <v>18381013849</v>
      </c>
      <c r="L3774" s="110">
        <f>VLOOKUP(B3774,辅助信息!E:J,6,FALSE)</f>
        <v>0</v>
      </c>
      <c r="O3774" s="63" t="str">
        <f ca="1" t="shared" si="200"/>
        <v/>
      </c>
      <c r="P3774" s="63" t="str">
        <f ca="1" t="shared" si="201"/>
        <v/>
      </c>
      <c r="Q3774" s="30" t="str">
        <f>VLOOKUP(B3774,辅助信息!E:M,9,FALSE)</f>
        <v>ZTWM-CDGS-XS-2025-0156-五冶钢构-2025年九月第一批次钢筋采购合同(三圣乡项目)-中铁物贸成都公司</v>
      </c>
      <c r="R3774" s="30" t="str">
        <f>_xlfn._xlws.FILTER(辅助信息!D:D,辅助信息!E:E=B3774)</f>
        <v>五冶钢构龙泉东洪片区(70亩、85亩)住宅、商业及配套工程项目</v>
      </c>
    </row>
    <row r="3775" hidden="1" spans="2:18">
      <c r="B3775" s="41" t="s">
        <v>226</v>
      </c>
      <c r="C3775" s="71">
        <v>45924</v>
      </c>
      <c r="D3775" s="41" t="str">
        <f>VLOOKUP(B3775,辅助信息!E:K,7,FALSE)</f>
        <v>JWDDCD2025092400211</v>
      </c>
      <c r="E3775" s="41" t="str">
        <f>VLOOKUP(F3775,辅助信息!A:B,2,FALSE)</f>
        <v>螺纹钢</v>
      </c>
      <c r="F3775" s="41" t="s">
        <v>19</v>
      </c>
      <c r="G3775" s="37">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1" t="str">
        <f>VLOOKUP(B3775,辅助信息!E:I,3,FALSE)</f>
        <v>(五冶钢构龙泉东洪片区85亩住宅、商业及配套工程项目二标段)成都市龙泉驿外东洪路地铁2号线惠王陵地铁C口</v>
      </c>
      <c r="J3775" s="41" t="str">
        <f>VLOOKUP(B3775,辅助信息!E:I,4,FALSE)</f>
        <v>李渊</v>
      </c>
      <c r="K3775" s="41">
        <f>VLOOKUP(J3775,辅助信息!H:I,2,FALSE)</f>
        <v>18381013849</v>
      </c>
      <c r="L3775" s="110">
        <f>VLOOKUP(B3775,辅助信息!E:J,6,FALSE)</f>
        <v>0</v>
      </c>
      <c r="O3775" s="63" t="str">
        <f ca="1" t="shared" si="200"/>
        <v/>
      </c>
      <c r="P3775" s="63" t="str">
        <f ca="1" t="shared" si="201"/>
        <v/>
      </c>
      <c r="Q3775" s="30" t="str">
        <f>VLOOKUP(B3775,辅助信息!E:M,9,FALSE)</f>
        <v>ZTWM-CDGS-XS-2025-0156-五冶钢构-2025年九月第一批次钢筋采购合同(三圣乡项目)-中铁物贸成都公司</v>
      </c>
      <c r="R3775" s="30" t="str">
        <f>_xlfn._xlws.FILTER(辅助信息!D:D,辅助信息!E:E=B3775)</f>
        <v>五冶钢构龙泉东洪片区(70亩、85亩)住宅、商业及配套工程项目</v>
      </c>
    </row>
    <row r="3776" hidden="1" spans="2:18">
      <c r="B3776" s="41" t="s">
        <v>226</v>
      </c>
      <c r="C3776" s="71">
        <v>45924</v>
      </c>
      <c r="D3776" s="41" t="str">
        <f>VLOOKUP(B3776,辅助信息!E:K,7,FALSE)</f>
        <v>JWDDCD2025092400211</v>
      </c>
      <c r="E3776" s="41" t="str">
        <f>VLOOKUP(F3776,辅助信息!A:B,2,FALSE)</f>
        <v>螺纹钢</v>
      </c>
      <c r="F3776" s="41" t="s">
        <v>30</v>
      </c>
      <c r="G3776" s="37">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1" t="str">
        <f>VLOOKUP(B3776,辅助信息!E:I,3,FALSE)</f>
        <v>(五冶钢构龙泉东洪片区85亩住宅、商业及配套工程项目二标段)成都市龙泉驿外东洪路地铁2号线惠王陵地铁C口</v>
      </c>
      <c r="J3776" s="41" t="str">
        <f>VLOOKUP(B3776,辅助信息!E:I,4,FALSE)</f>
        <v>李渊</v>
      </c>
      <c r="K3776" s="41">
        <f>VLOOKUP(J3776,辅助信息!H:I,2,FALSE)</f>
        <v>18381013849</v>
      </c>
      <c r="L3776" s="110">
        <f>VLOOKUP(B3776,辅助信息!E:J,6,FALSE)</f>
        <v>0</v>
      </c>
      <c r="O3776" s="63" t="str">
        <f ca="1" t="shared" si="200"/>
        <v/>
      </c>
      <c r="P3776" s="63" t="str">
        <f ca="1" t="shared" si="201"/>
        <v/>
      </c>
      <c r="Q3776" s="30" t="str">
        <f>VLOOKUP(B3776,辅助信息!E:M,9,FALSE)</f>
        <v>ZTWM-CDGS-XS-2025-0156-五冶钢构-2025年九月第一批次钢筋采购合同(三圣乡项目)-中铁物贸成都公司</v>
      </c>
      <c r="R3776" s="30" t="str">
        <f>_xlfn._xlws.FILTER(辅助信息!D:D,辅助信息!E:E=B3776)</f>
        <v>五冶钢构龙泉东洪片区(70亩、85亩)住宅、商业及配套工程项目</v>
      </c>
    </row>
    <row r="3777" hidden="1" spans="2:18">
      <c r="B3777" s="41" t="s">
        <v>150</v>
      </c>
      <c r="C3777" s="71">
        <v>45924</v>
      </c>
      <c r="D3777" s="41" t="str">
        <f>VLOOKUP(B3777,辅助信息!E:K,7,FALSE)</f>
        <v>JWDDCD2025050800101</v>
      </c>
      <c r="E3777" s="41" t="str">
        <f>VLOOKUP(F3777,辅助信息!A:B,2,FALSE)</f>
        <v>螺纹钢</v>
      </c>
      <c r="F3777" s="41" t="s">
        <v>32</v>
      </c>
      <c r="G3777" s="37">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1" t="str">
        <f>VLOOKUP(B3777,辅助信息!E:I,3,FALSE)</f>
        <v>(中铁科研院宜宾泥溪项目)中铁科研院集团有限公司宜宾市泥溪东互通式立交下穿成贵客专铁路工程项目钢筋加工厂</v>
      </c>
      <c r="J3777" s="41" t="str">
        <f>VLOOKUP(B3777,辅助信息!E:I,4,FALSE)</f>
        <v>蔡鹏</v>
      </c>
      <c r="K3777" s="41">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30" t="str">
        <f>VLOOKUP(B3777,辅助信息!E:M,9,FALSE)</f>
        <v>ZTWM-CDGS-XS-2025-0050-中铁科研院-宜宾泥溪项目</v>
      </c>
      <c r="R3777" s="30" t="str">
        <f>_xlfn._xlws.FILTER(辅助信息!D:D,辅助信息!E:E=B3777)</f>
        <v>中铁科研院宜宾泥溪项目</v>
      </c>
    </row>
    <row r="3778" hidden="1" spans="2:18">
      <c r="B3778" s="41" t="s">
        <v>150</v>
      </c>
      <c r="C3778" s="71">
        <v>45924</v>
      </c>
      <c r="D3778" s="41" t="str">
        <f>VLOOKUP(B3778,辅助信息!E:K,7,FALSE)</f>
        <v>JWDDCD2025050800101</v>
      </c>
      <c r="E3778" s="41" t="str">
        <f>VLOOKUP(F3778,辅助信息!A:B,2,FALSE)</f>
        <v>螺纹钢</v>
      </c>
      <c r="F3778" s="41" t="s">
        <v>33</v>
      </c>
      <c r="G3778" s="37">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1" t="str">
        <f>VLOOKUP(B3778,辅助信息!E:I,3,FALSE)</f>
        <v>(中铁科研院宜宾泥溪项目)中铁科研院集团有限公司宜宾市泥溪东互通式立交下穿成贵客专铁路工程项目钢筋加工厂</v>
      </c>
      <c r="J3778" s="41" t="str">
        <f>VLOOKUP(B3778,辅助信息!E:I,4,FALSE)</f>
        <v>蔡鹏</v>
      </c>
      <c r="K3778" s="41">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30" t="str">
        <f>VLOOKUP(B3778,辅助信息!E:M,9,FALSE)</f>
        <v>ZTWM-CDGS-XS-2025-0050-中铁科研院-宜宾泥溪项目</v>
      </c>
      <c r="R3778" s="30" t="str">
        <f>_xlfn._xlws.FILTER(辅助信息!D:D,辅助信息!E:E=B3778)</f>
        <v>中铁科研院宜宾泥溪项目</v>
      </c>
    </row>
    <row r="3779" hidden="1" spans="2:18">
      <c r="B3779" s="41" t="s">
        <v>150</v>
      </c>
      <c r="C3779" s="71">
        <v>45924</v>
      </c>
      <c r="D3779" s="41" t="str">
        <f>VLOOKUP(B3779,辅助信息!E:K,7,FALSE)</f>
        <v>JWDDCD2025050800101</v>
      </c>
      <c r="E3779" s="41" t="str">
        <f>VLOOKUP(F3779,辅助信息!A:B,2,FALSE)</f>
        <v>螺纹钢</v>
      </c>
      <c r="F3779" s="41" t="s">
        <v>65</v>
      </c>
      <c r="G3779" s="37">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1" t="str">
        <f>VLOOKUP(B3779,辅助信息!E:I,3,FALSE)</f>
        <v>(中铁科研院宜宾泥溪项目)中铁科研院集团有限公司宜宾市泥溪东互通式立交下穿成贵客专铁路工程项目钢筋加工厂</v>
      </c>
      <c r="J3779" s="41" t="str">
        <f>VLOOKUP(B3779,辅助信息!E:I,4,FALSE)</f>
        <v>蔡鹏</v>
      </c>
      <c r="K3779" s="41">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30" t="str">
        <f>VLOOKUP(B3779,辅助信息!E:M,9,FALSE)</f>
        <v>ZTWM-CDGS-XS-2025-0050-中铁科研院-宜宾泥溪项目</v>
      </c>
      <c r="R3779" s="30" t="str">
        <f>_xlfn._xlws.FILTER(辅助信息!D:D,辅助信息!E:E=B3779)</f>
        <v>中铁科研院宜宾泥溪项目</v>
      </c>
    </row>
    <row r="3780" hidden="1" spans="2:18">
      <c r="B3780" s="41" t="s">
        <v>150</v>
      </c>
      <c r="C3780" s="71">
        <v>45924</v>
      </c>
      <c r="D3780" s="41" t="str">
        <f>VLOOKUP(B3780,辅助信息!E:K,7,FALSE)</f>
        <v>JWDDCD2025050800101</v>
      </c>
      <c r="E3780" s="41" t="str">
        <f>VLOOKUP(F3780,辅助信息!A:B,2,FALSE)</f>
        <v>盘螺</v>
      </c>
      <c r="F3780" s="41" t="s">
        <v>41</v>
      </c>
      <c r="G3780" s="37">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1" t="str">
        <f>VLOOKUP(B3780,辅助信息!E:I,3,FALSE)</f>
        <v>(中铁科研院宜宾泥溪项目)中铁科研院集团有限公司宜宾市泥溪东互通式立交下穿成贵客专铁路工程项目钢筋加工厂</v>
      </c>
      <c r="J3780" s="41" t="str">
        <f>VLOOKUP(B3780,辅助信息!E:I,4,FALSE)</f>
        <v>蔡鹏</v>
      </c>
      <c r="K3780" s="41">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30" t="str">
        <f>VLOOKUP(B3780,辅助信息!E:M,9,FALSE)</f>
        <v>ZTWM-CDGS-XS-2025-0050-中铁科研院-宜宾泥溪项目</v>
      </c>
      <c r="R3780" s="30" t="str">
        <f>_xlfn._xlws.FILTER(辅助信息!D:D,辅助信息!E:E=B3780)</f>
        <v>中铁科研院宜宾泥溪项目</v>
      </c>
    </row>
    <row r="3781" hidden="1" spans="2:18">
      <c r="B3781" s="41" t="s">
        <v>150</v>
      </c>
      <c r="C3781" s="71">
        <v>45924</v>
      </c>
      <c r="D3781" s="41" t="str">
        <f>VLOOKUP(B3781,辅助信息!E:K,7,FALSE)</f>
        <v>JWDDCD2025050800101</v>
      </c>
      <c r="E3781" s="41" t="str">
        <f>VLOOKUP(F3781,辅助信息!A:B,2,FALSE)</f>
        <v>盘螺</v>
      </c>
      <c r="F3781" s="41" t="s">
        <v>26</v>
      </c>
      <c r="G3781" s="37">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1" t="str">
        <f>VLOOKUP(B3781,辅助信息!E:I,3,FALSE)</f>
        <v>(中铁科研院宜宾泥溪项目)中铁科研院集团有限公司宜宾市泥溪东互通式立交下穿成贵客专铁路工程项目钢筋加工厂</v>
      </c>
      <c r="J3781" s="41" t="str">
        <f>VLOOKUP(B3781,辅助信息!E:I,4,FALSE)</f>
        <v>蔡鹏</v>
      </c>
      <c r="K3781" s="41">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30" t="str">
        <f>VLOOKUP(B3781,辅助信息!E:M,9,FALSE)</f>
        <v>ZTWM-CDGS-XS-2025-0050-中铁科研院-宜宾泥溪项目</v>
      </c>
      <c r="R3781" s="30"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30" t="str">
        <f>VLOOKUP(B3782,辅助信息!E:M,9,FALSE)</f>
        <v>ZTWM-CDGS-XS-2024-0134-商投建工达州中医药科技成果示范园项目</v>
      </c>
      <c r="R3782" s="30"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37</v>
      </c>
      <c r="Q3783" s="30" t="str">
        <f>VLOOKUP(B3783,辅助信息!E:M,9,FALSE)</f>
        <v>ZTWM-CDGS-XS-2024-0134-商投建工达州中医药科技成果示范园项目</v>
      </c>
      <c r="R3783" s="30"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37</v>
      </c>
      <c r="Q3784" s="30" t="str">
        <f>VLOOKUP(B3784,辅助信息!E:M,9,FALSE)</f>
        <v>ZTWM-CDGS-XS-2024-0134-商投建工达州中医药科技成果示范园项目</v>
      </c>
      <c r="R3784" s="30"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30" t="str">
        <f>VLOOKUP(B3785,辅助信息!E:M,9,FALSE)</f>
        <v>ZTWM-CDGS-XS-2024-0134-商投建工达州中医药科技成果示范园项目</v>
      </c>
      <c r="R3785" s="30"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30" t="str">
        <f>VLOOKUP(B3786,辅助信息!E:M,9,FALSE)</f>
        <v>ZTWM-CDGS-XS-2024-0134-商投建工达州中医药科技成果示范园项目</v>
      </c>
      <c r="R3786" s="30"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30" t="str">
        <f>VLOOKUP(B3787,辅助信息!E:M,9,FALSE)</f>
        <v>ZTWM-CDGS-XS-2024-0134-商投建工达州中医药科技成果示范园项目</v>
      </c>
      <c r="R3787" s="30"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30" t="str">
        <f>VLOOKUP(B3788,辅助信息!E:M,9,FALSE)</f>
        <v>ZTWM-CDGS-XS-2024-0134-商投建工达州中医药科技成果示范园项目</v>
      </c>
      <c r="R3788" s="30"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30" t="str">
        <f>VLOOKUP(B3789,辅助信息!E:M,9,FALSE)</f>
        <v>ZTWM-CDGS-XS-2024-0134-商投建工达州中医药科技成果示范园项目</v>
      </c>
      <c r="R3789" s="30"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34</v>
      </c>
      <c r="Q3790" s="30" t="str">
        <f>VLOOKUP(B3790,辅助信息!E:M,9,FALSE)</f>
        <v>ZTWM-CDGS-XS-2024-0134-商投建工达州中医药科技成果示范园项目</v>
      </c>
      <c r="R3790" s="30"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34</v>
      </c>
      <c r="Q3791" s="30" t="str">
        <f>VLOOKUP(B3791,辅助信息!E:M,9,FALSE)</f>
        <v>ZTWM-CDGS-XS-2024-0134-商投建工达州中医药科技成果示范园项目</v>
      </c>
      <c r="R3791" s="30"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34</v>
      </c>
      <c r="Q3792" s="30" t="str">
        <f>VLOOKUP(B3792,辅助信息!E:M,9,FALSE)</f>
        <v>ZTWM-CDGS-XS-2024-0134-商投建工达州中医药科技成果示范园项目</v>
      </c>
      <c r="R3792" s="30"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34</v>
      </c>
      <c r="Q3793" s="30" t="str">
        <f>VLOOKUP(B3793,辅助信息!E:M,9,FALSE)</f>
        <v>ZTWM-CDGS-XS-2024-0134-商投建工达州中医药科技成果示范园项目</v>
      </c>
      <c r="R3793" s="30"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30" t="str">
        <f>VLOOKUP(B3794,辅助信息!E:M,9,FALSE)</f>
        <v>ZTWM-CDGS-XS-2025-0073-五冶天府-成都怡心湖片区及龙泉驿医院等项目</v>
      </c>
      <c r="R3794" s="30"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30" t="str">
        <f>VLOOKUP(B3795,辅助信息!E:M,9,FALSE)</f>
        <v>ZTWM-CDGS-XS-2025-0073-五冶天府-成都怡心湖片区及龙泉驿医院等项目</v>
      </c>
      <c r="R3795" s="30"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30" t="str">
        <f>VLOOKUP(B3796,辅助信息!E:M,9,FALSE)</f>
        <v>ZTWM-CDGS-XS-2024-0134-商投建工达州中医药科技成果示范园项目</v>
      </c>
      <c r="R3796" s="30"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30" t="str">
        <f>VLOOKUP(B3797,辅助信息!E:M,9,FALSE)</f>
        <v>ZTWM-CDGS-XS-2024-0134-商投建工达州中医药科技成果示范园项目</v>
      </c>
      <c r="R3797" s="30"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30" t="str">
        <f>VLOOKUP(B3798,辅助信息!E:M,9,FALSE)</f>
        <v>ZTWM-CDGS-XS-2024-0134-商投建工达州中医药科技成果示范园项目</v>
      </c>
      <c r="R3798" s="30"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30" t="str">
        <f>VLOOKUP(B3799,辅助信息!E:M,9,FALSE)</f>
        <v>ZTWM-CDGS-XS-2024-0134-商投建工达州中医药科技成果示范园项目</v>
      </c>
      <c r="R3799" s="30"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30" t="str">
        <f>VLOOKUP(B3800,辅助信息!E:M,9,FALSE)</f>
        <v>ZTWM-CDGS-XS-2024-0134-商投建工达州中医药科技成果示范园项目</v>
      </c>
      <c r="R3800" s="30"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30" t="str">
        <f>VLOOKUP(B3801,辅助信息!E:M,9,FALSE)</f>
        <v>ZTWM-CDGS-XS-2024-0134-商投建工达州中医药科技成果示范园项目</v>
      </c>
      <c r="R3801" s="30"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30" t="str">
        <f>VLOOKUP(B3802,辅助信息!E:M,9,FALSE)</f>
        <v>ZTWM-CDGS-XS-2024-0134-商投建工达州中医药科技成果示范园项目</v>
      </c>
      <c r="R3802" s="30"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30" t="str">
        <f>VLOOKUP(B3803,辅助信息!E:M,9,FALSE)</f>
        <v>ZTWM-CDGS-XS-2024-0134-商投建工达州中医药科技成果示范园项目</v>
      </c>
      <c r="R3803" s="30"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30" t="str">
        <f>VLOOKUP(B3804,辅助信息!E:M,9,FALSE)</f>
        <v>ZTWM-CDGS-XS-2024-0134-商投建工达州中医药科技成果示范园项目</v>
      </c>
      <c r="R3804" s="30"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30" t="str">
        <f>VLOOKUP(B3805,辅助信息!E:M,9,FALSE)</f>
        <v>ZTWM-CDGS-XS-2025-0050-中铁科研院-宜宾泥溪项目</v>
      </c>
      <c r="R3805" s="30"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30" t="str">
        <f>VLOOKUP(B3806,辅助信息!E:M,9,FALSE)</f>
        <v>ZTWM-CDGS-XS-2025-0050-中铁科研院-宜宾泥溪项目</v>
      </c>
      <c r="R3806" s="30"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30" t="str">
        <f>VLOOKUP(B3807,辅助信息!E:M,9,FALSE)</f>
        <v>ZTWM-CDGS-XS-2025-0050-中铁科研院-宜宾泥溪项目</v>
      </c>
      <c r="R3807" s="30"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30" t="str">
        <f>VLOOKUP(B3808,辅助信息!E:M,9,FALSE)</f>
        <v>ZTWM-CDGS-XS-2025-0050-中铁科研院-宜宾泥溪项目</v>
      </c>
      <c r="R3808" s="30"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30" t="str">
        <f>VLOOKUP(B3809,辅助信息!E:M,9,FALSE)</f>
        <v>ZTWM-CDGS-XS-2025-0050-中铁科研院-宜宾泥溪项目</v>
      </c>
      <c r="R3809" s="30" t="str">
        <f>_xlfn._xlws.FILTER(辅助信息!D:D,辅助信息!E:E=B3809)</f>
        <v>中铁科研院宜宾泥溪项目</v>
      </c>
    </row>
    <row r="3810" hidden="1" spans="2:18">
      <c r="B3810" s="41" t="s">
        <v>215</v>
      </c>
      <c r="C3810" s="71">
        <v>45925</v>
      </c>
      <c r="D3810" s="41" t="str">
        <f>VLOOKUP(B3810,辅助信息!E:K,7,FALSE)</f>
        <v>JWDDCD2025102100486</v>
      </c>
      <c r="E3810" s="41" t="str">
        <f>VLOOKUP(F3810,辅助信息!A:B,2,FALSE)</f>
        <v>盘螺</v>
      </c>
      <c r="F3810" s="41" t="s">
        <v>40</v>
      </c>
      <c r="G3810" s="37">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1" t="str">
        <f>VLOOKUP(B3810,辅助信息!E:I,3,FALSE)</f>
        <v>(五冶建设龙泉驿一医院配套建设工程)成都市龙泉驿区董朗路69号龙泉驿一医院5号门</v>
      </c>
      <c r="J3810" s="41" t="str">
        <f>VLOOKUP(B3810,辅助信息!E:I,4,FALSE)</f>
        <v>孙敏</v>
      </c>
      <c r="K3810" s="41">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30" t="str">
        <f>VLOOKUP(B3810,辅助信息!E:M,9,FALSE)</f>
        <v>ZTWM-CDGS-XS-2025-0073-五冶天府-成都怡心湖片区及龙泉驿医院等项目</v>
      </c>
      <c r="R3810" s="30" t="str">
        <f>_xlfn._xlws.FILTER(辅助信息!D:D,辅助信息!E:E=B3810)</f>
        <v>五冶建设龙泉驿一医院配套建设工程</v>
      </c>
    </row>
    <row r="3811" hidden="1" spans="2:18">
      <c r="B3811" s="41" t="s">
        <v>215</v>
      </c>
      <c r="C3811" s="71">
        <v>45925</v>
      </c>
      <c r="D3811" s="41" t="str">
        <f>VLOOKUP(B3811,辅助信息!E:K,7,FALSE)</f>
        <v>JWDDCD2025102100486</v>
      </c>
      <c r="E3811" s="41" t="str">
        <f>VLOOKUP(F3811,辅助信息!A:B,2,FALSE)</f>
        <v>盘螺</v>
      </c>
      <c r="F3811" s="41" t="s">
        <v>41</v>
      </c>
      <c r="G3811" s="37">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1" t="str">
        <f>VLOOKUP(B3811,辅助信息!E:I,3,FALSE)</f>
        <v>(五冶建设龙泉驿一医院配套建设工程)成都市龙泉驿区董朗路69号龙泉驿一医院5号门</v>
      </c>
      <c r="J3811" s="41" t="str">
        <f>VLOOKUP(B3811,辅助信息!E:I,4,FALSE)</f>
        <v>孙敏</v>
      </c>
      <c r="K3811" s="41">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30" t="str">
        <f>VLOOKUP(B3811,辅助信息!E:M,9,FALSE)</f>
        <v>ZTWM-CDGS-XS-2025-0073-五冶天府-成都怡心湖片区及龙泉驿医院等项目</v>
      </c>
      <c r="R3811" s="30" t="str">
        <f>_xlfn._xlws.FILTER(辅助信息!D:D,辅助信息!E:E=B3811)</f>
        <v>五冶建设龙泉驿一医院配套建设工程</v>
      </c>
    </row>
    <row r="3812" hidden="1" spans="2:18">
      <c r="B3812" s="41" t="s">
        <v>215</v>
      </c>
      <c r="C3812" s="71">
        <v>45925</v>
      </c>
      <c r="D3812" s="41" t="str">
        <f>VLOOKUP(B3812,辅助信息!E:K,7,FALSE)</f>
        <v>JWDDCD2025102100486</v>
      </c>
      <c r="E3812" s="41" t="str">
        <f>VLOOKUP(F3812,辅助信息!A:B,2,FALSE)</f>
        <v>盘螺</v>
      </c>
      <c r="F3812" s="41" t="s">
        <v>26</v>
      </c>
      <c r="G3812" s="37">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1" t="str">
        <f>VLOOKUP(B3812,辅助信息!E:I,3,FALSE)</f>
        <v>(五冶建设龙泉驿一医院配套建设工程)成都市龙泉驿区董朗路69号龙泉驿一医院5号门</v>
      </c>
      <c r="J3812" s="41" t="str">
        <f>VLOOKUP(B3812,辅助信息!E:I,4,FALSE)</f>
        <v>孙敏</v>
      </c>
      <c r="K3812" s="41">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30" t="str">
        <f>VLOOKUP(B3812,辅助信息!E:M,9,FALSE)</f>
        <v>ZTWM-CDGS-XS-2025-0073-五冶天府-成都怡心湖片区及龙泉驿医院等项目</v>
      </c>
      <c r="R3812" s="30" t="str">
        <f>_xlfn._xlws.FILTER(辅助信息!D:D,辅助信息!E:E=B3812)</f>
        <v>五冶建设龙泉驿一医院配套建设工程</v>
      </c>
    </row>
    <row r="3813" hidden="1" spans="2:18">
      <c r="B3813" s="41" t="s">
        <v>215</v>
      </c>
      <c r="C3813" s="71">
        <v>45925</v>
      </c>
      <c r="D3813" s="41" t="str">
        <f>VLOOKUP(B3813,辅助信息!E:K,7,FALSE)</f>
        <v>JWDDCD2025102100486</v>
      </c>
      <c r="E3813" s="41" t="str">
        <f>VLOOKUP(F3813,辅助信息!A:B,2,FALSE)</f>
        <v>螺纹钢</v>
      </c>
      <c r="F3813" s="41" t="s">
        <v>19</v>
      </c>
      <c r="G3813" s="37">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1" t="str">
        <f>VLOOKUP(B3813,辅助信息!E:I,3,FALSE)</f>
        <v>(五冶建设龙泉驿一医院配套建设工程)成都市龙泉驿区董朗路69号龙泉驿一医院5号门</v>
      </c>
      <c r="J3813" s="41" t="str">
        <f>VLOOKUP(B3813,辅助信息!E:I,4,FALSE)</f>
        <v>孙敏</v>
      </c>
      <c r="K3813" s="41">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30" t="str">
        <f>VLOOKUP(B3813,辅助信息!E:M,9,FALSE)</f>
        <v>ZTWM-CDGS-XS-2025-0073-五冶天府-成都怡心湖片区及龙泉驿医院等项目</v>
      </c>
      <c r="R3813" s="30" t="str">
        <f>_xlfn._xlws.FILTER(辅助信息!D:D,辅助信息!E:E=B3813)</f>
        <v>五冶建设龙泉驿一医院配套建设工程</v>
      </c>
    </row>
    <row r="3814" hidden="1" spans="2:18">
      <c r="B3814" s="41" t="s">
        <v>215</v>
      </c>
      <c r="C3814" s="71">
        <v>45925</v>
      </c>
      <c r="D3814" s="41" t="str">
        <f>VLOOKUP(B3814,辅助信息!E:K,7,FALSE)</f>
        <v>JWDDCD2025102100486</v>
      </c>
      <c r="E3814" s="41" t="str">
        <f>VLOOKUP(F3814,辅助信息!A:B,2,FALSE)</f>
        <v>螺纹钢</v>
      </c>
      <c r="F3814" s="41" t="s">
        <v>32</v>
      </c>
      <c r="G3814" s="37">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1" t="str">
        <f>VLOOKUP(B3814,辅助信息!E:I,3,FALSE)</f>
        <v>(五冶建设龙泉驿一医院配套建设工程)成都市龙泉驿区董朗路69号龙泉驿一医院5号门</v>
      </c>
      <c r="J3814" s="41" t="str">
        <f>VLOOKUP(B3814,辅助信息!E:I,4,FALSE)</f>
        <v>孙敏</v>
      </c>
      <c r="K3814" s="41">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30" t="str">
        <f>VLOOKUP(B3814,辅助信息!E:M,9,FALSE)</f>
        <v>ZTWM-CDGS-XS-2025-0073-五冶天府-成都怡心湖片区及龙泉驿医院等项目</v>
      </c>
      <c r="R3814" s="30" t="str">
        <f>_xlfn._xlws.FILTER(辅助信息!D:D,辅助信息!E:E=B3814)</f>
        <v>五冶建设龙泉驿一医院配套建设工程</v>
      </c>
    </row>
    <row r="3815" hidden="1" spans="2:18">
      <c r="B3815" s="41" t="s">
        <v>215</v>
      </c>
      <c r="C3815" s="71">
        <v>45925</v>
      </c>
      <c r="D3815" s="41" t="str">
        <f>VLOOKUP(B3815,辅助信息!E:K,7,FALSE)</f>
        <v>JWDDCD2025102100486</v>
      </c>
      <c r="E3815" s="41" t="str">
        <f>VLOOKUP(F3815,辅助信息!A:B,2,FALSE)</f>
        <v>螺纹钢</v>
      </c>
      <c r="F3815" s="41" t="s">
        <v>30</v>
      </c>
      <c r="G3815" s="37">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1" t="str">
        <f>VLOOKUP(B3815,辅助信息!E:I,3,FALSE)</f>
        <v>(五冶建设龙泉驿一医院配套建设工程)成都市龙泉驿区董朗路69号龙泉驿一医院5号门</v>
      </c>
      <c r="J3815" s="41" t="str">
        <f>VLOOKUP(B3815,辅助信息!E:I,4,FALSE)</f>
        <v>孙敏</v>
      </c>
      <c r="K3815" s="41">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30" t="str">
        <f>VLOOKUP(B3815,辅助信息!E:M,9,FALSE)</f>
        <v>ZTWM-CDGS-XS-2025-0073-五冶天府-成都怡心湖片区及龙泉驿医院等项目</v>
      </c>
      <c r="R3815" s="30" t="str">
        <f>_xlfn._xlws.FILTER(辅助信息!D:D,辅助信息!E:E=B3815)</f>
        <v>五冶建设龙泉驿一医院配套建设工程</v>
      </c>
    </row>
    <row r="3816" hidden="1" spans="2:18">
      <c r="B3816" s="41" t="s">
        <v>215</v>
      </c>
      <c r="C3816" s="71">
        <v>45925</v>
      </c>
      <c r="D3816" s="41" t="str">
        <f>VLOOKUP(B3816,辅助信息!E:K,7,FALSE)</f>
        <v>JWDDCD2025102100486</v>
      </c>
      <c r="E3816" s="41" t="str">
        <f>VLOOKUP(F3816,辅助信息!A:B,2,FALSE)</f>
        <v>螺纹钢</v>
      </c>
      <c r="F3816" s="41" t="s">
        <v>33</v>
      </c>
      <c r="G3816" s="37">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1" t="str">
        <f>VLOOKUP(B3816,辅助信息!E:I,3,FALSE)</f>
        <v>(五冶建设龙泉驿一医院配套建设工程)成都市龙泉驿区董朗路69号龙泉驿一医院5号门</v>
      </c>
      <c r="J3816" s="41" t="str">
        <f>VLOOKUP(B3816,辅助信息!E:I,4,FALSE)</f>
        <v>孙敏</v>
      </c>
      <c r="K3816" s="41">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30" t="str">
        <f>VLOOKUP(B3816,辅助信息!E:M,9,FALSE)</f>
        <v>ZTWM-CDGS-XS-2025-0073-五冶天府-成都怡心湖片区及龙泉驿医院等项目</v>
      </c>
      <c r="R3816" s="30" t="str">
        <f>_xlfn._xlws.FILTER(辅助信息!D:D,辅助信息!E:E=B3816)</f>
        <v>五冶建设龙泉驿一医院配套建设工程</v>
      </c>
    </row>
    <row r="3817" hidden="1" spans="2:18">
      <c r="B3817" s="41" t="s">
        <v>215</v>
      </c>
      <c r="C3817" s="71">
        <v>45925</v>
      </c>
      <c r="D3817" s="41" t="str">
        <f>VLOOKUP(B3817,辅助信息!E:K,7,FALSE)</f>
        <v>JWDDCD2025102100486</v>
      </c>
      <c r="E3817" s="41" t="str">
        <f>VLOOKUP(F3817,辅助信息!A:B,2,FALSE)</f>
        <v>螺纹钢</v>
      </c>
      <c r="F3817" s="41" t="s">
        <v>28</v>
      </c>
      <c r="G3817" s="37">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1" t="str">
        <f>VLOOKUP(B3817,辅助信息!E:I,3,FALSE)</f>
        <v>(五冶建设龙泉驿一医院配套建设工程)成都市龙泉驿区董朗路69号龙泉驿一医院5号门</v>
      </c>
      <c r="J3817" s="41" t="str">
        <f>VLOOKUP(B3817,辅助信息!E:I,4,FALSE)</f>
        <v>孙敏</v>
      </c>
      <c r="K3817" s="41">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30" t="str">
        <f>VLOOKUP(B3817,辅助信息!E:M,9,FALSE)</f>
        <v>ZTWM-CDGS-XS-2025-0073-五冶天府-成都怡心湖片区及龙泉驿医院等项目</v>
      </c>
      <c r="R3817" s="30" t="str">
        <f>_xlfn._xlws.FILTER(辅助信息!D:D,辅助信息!E:E=B3817)</f>
        <v>五冶建设龙泉驿一医院配套建设工程</v>
      </c>
    </row>
    <row r="3818" hidden="1" spans="2:18">
      <c r="B3818" s="41" t="s">
        <v>215</v>
      </c>
      <c r="C3818" s="71">
        <v>45925</v>
      </c>
      <c r="D3818" s="41" t="str">
        <f>VLOOKUP(B3818,辅助信息!E:K,7,FALSE)</f>
        <v>JWDDCD2025102100486</v>
      </c>
      <c r="E3818" s="41" t="str">
        <f>VLOOKUP(F3818,辅助信息!A:B,2,FALSE)</f>
        <v>螺纹钢</v>
      </c>
      <c r="F3818" s="41" t="s">
        <v>18</v>
      </c>
      <c r="G3818" s="37">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1" t="str">
        <f>VLOOKUP(B3818,辅助信息!E:I,3,FALSE)</f>
        <v>(五冶建设龙泉驿一医院配套建设工程)成都市龙泉驿区董朗路69号龙泉驿一医院5号门</v>
      </c>
      <c r="J3818" s="41" t="str">
        <f>VLOOKUP(B3818,辅助信息!E:I,4,FALSE)</f>
        <v>孙敏</v>
      </c>
      <c r="K3818" s="41">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30" t="str">
        <f>VLOOKUP(B3818,辅助信息!E:M,9,FALSE)</f>
        <v>ZTWM-CDGS-XS-2025-0073-五冶天府-成都怡心湖片区及龙泉驿医院等项目</v>
      </c>
      <c r="R3818" s="30" t="str">
        <f>_xlfn._xlws.FILTER(辅助信息!D:D,辅助信息!E:E=B3818)</f>
        <v>五冶建设龙泉驿一医院配套建设工程</v>
      </c>
    </row>
    <row r="3819" hidden="1" spans="2:18">
      <c r="B3819" s="41" t="s">
        <v>215</v>
      </c>
      <c r="C3819" s="71">
        <v>45925</v>
      </c>
      <c r="D3819" s="41" t="str">
        <f>VLOOKUP(B3819,辅助信息!E:K,7,FALSE)</f>
        <v>JWDDCD2025102100486</v>
      </c>
      <c r="E3819" s="41" t="str">
        <f>VLOOKUP(F3819,辅助信息!A:B,2,FALSE)</f>
        <v>螺纹钢</v>
      </c>
      <c r="F3819" s="41" t="s">
        <v>52</v>
      </c>
      <c r="G3819" s="37">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1" t="str">
        <f>VLOOKUP(B3819,辅助信息!E:I,3,FALSE)</f>
        <v>(五冶建设龙泉驿一医院配套建设工程)成都市龙泉驿区董朗路69号龙泉驿一医院5号门</v>
      </c>
      <c r="J3819" s="41" t="str">
        <f>VLOOKUP(B3819,辅助信息!E:I,4,FALSE)</f>
        <v>孙敏</v>
      </c>
      <c r="K3819" s="41">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30" t="str">
        <f>VLOOKUP(B3819,辅助信息!E:M,9,FALSE)</f>
        <v>ZTWM-CDGS-XS-2025-0073-五冶天府-成都怡心湖片区及龙泉驿医院等项目</v>
      </c>
      <c r="R3819" s="30" t="str">
        <f>_xlfn._xlws.FILTER(辅助信息!D:D,辅助信息!E:E=B3819)</f>
        <v>五冶建设龙泉驿一医院配套建设工程</v>
      </c>
    </row>
    <row r="3820" hidden="1" spans="2:18">
      <c r="B3820" s="41" t="s">
        <v>215</v>
      </c>
      <c r="C3820" s="71">
        <v>45925</v>
      </c>
      <c r="D3820" s="41" t="str">
        <f>VLOOKUP(B3820,辅助信息!E:K,7,FALSE)</f>
        <v>JWDDCD2025102100486</v>
      </c>
      <c r="E3820" s="41" t="str">
        <f>VLOOKUP(F3820,辅助信息!A:B,2,FALSE)</f>
        <v>螺纹钢</v>
      </c>
      <c r="F3820" s="41" t="s">
        <v>82</v>
      </c>
      <c r="G3820" s="37">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1" t="str">
        <f>VLOOKUP(B3820,辅助信息!E:I,3,FALSE)</f>
        <v>(五冶建设龙泉驿一医院配套建设工程)成都市龙泉驿区董朗路69号龙泉驿一医院5号门</v>
      </c>
      <c r="J3820" s="41" t="str">
        <f>VLOOKUP(B3820,辅助信息!E:I,4,FALSE)</f>
        <v>孙敏</v>
      </c>
      <c r="K3820" s="41">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30" t="str">
        <f>VLOOKUP(B3820,辅助信息!E:M,9,FALSE)</f>
        <v>ZTWM-CDGS-XS-2025-0073-五冶天府-成都怡心湖片区及龙泉驿医院等项目</v>
      </c>
      <c r="R3820" s="30" t="str">
        <f>_xlfn._xlws.FILTER(辅助信息!D:D,辅助信息!E:E=B3820)</f>
        <v>五冶建设龙泉驿一医院配套建设工程</v>
      </c>
    </row>
    <row r="3821" hidden="1" spans="2:18">
      <c r="B3821" s="41" t="s">
        <v>215</v>
      </c>
      <c r="C3821" s="71">
        <v>45925</v>
      </c>
      <c r="D3821" s="41" t="str">
        <f>VLOOKUP(B3821,辅助信息!E:K,7,FALSE)</f>
        <v>JWDDCD2025102100486</v>
      </c>
      <c r="E3821" s="41" t="str">
        <f>VLOOKUP(F3821,辅助信息!A:B,2,FALSE)</f>
        <v>螺纹钢</v>
      </c>
      <c r="F3821" s="41" t="s">
        <v>45</v>
      </c>
      <c r="G3821" s="37">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1" t="str">
        <f>VLOOKUP(B3821,辅助信息!E:I,3,FALSE)</f>
        <v>(五冶建设龙泉驿一医院配套建设工程)成都市龙泉驿区董朗路69号龙泉驿一医院5号门</v>
      </c>
      <c r="J3821" s="41" t="str">
        <f>VLOOKUP(B3821,辅助信息!E:I,4,FALSE)</f>
        <v>孙敏</v>
      </c>
      <c r="K3821" s="41">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30" t="str">
        <f>VLOOKUP(B3821,辅助信息!E:M,9,FALSE)</f>
        <v>ZTWM-CDGS-XS-2025-0073-五冶天府-成都怡心湖片区及龙泉驿医院等项目</v>
      </c>
      <c r="R3821" s="30" t="str">
        <f>_xlfn._xlws.FILTER(辅助信息!D:D,辅助信息!E:E=B3821)</f>
        <v>五冶建设龙泉驿一医院配套建设工程</v>
      </c>
    </row>
    <row r="3822" hidden="1" spans="2:18">
      <c r="B3822" s="41" t="s">
        <v>215</v>
      </c>
      <c r="C3822" s="71">
        <v>45925</v>
      </c>
      <c r="D3822" s="41" t="str">
        <f>VLOOKUP(B3822,辅助信息!E:K,7,FALSE)</f>
        <v>JWDDCD2025102100486</v>
      </c>
      <c r="E3822" s="41" t="str">
        <f>VLOOKUP(F3822,辅助信息!A:B,2,FALSE)</f>
        <v>螺纹钢</v>
      </c>
      <c r="F3822" s="41" t="s">
        <v>21</v>
      </c>
      <c r="G3822" s="37">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1" t="str">
        <f>VLOOKUP(B3822,辅助信息!E:I,3,FALSE)</f>
        <v>(五冶建设龙泉驿一医院配套建设工程)成都市龙泉驿区董朗路69号龙泉驿一医院5号门</v>
      </c>
      <c r="J3822" s="41" t="str">
        <f>VLOOKUP(B3822,辅助信息!E:I,4,FALSE)</f>
        <v>孙敏</v>
      </c>
      <c r="K3822" s="41">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30" t="str">
        <f>VLOOKUP(B3822,辅助信息!E:M,9,FALSE)</f>
        <v>ZTWM-CDGS-XS-2025-0073-五冶天府-成都怡心湖片区及龙泉驿医院等项目</v>
      </c>
      <c r="R3822" s="30" t="str">
        <f>_xlfn._xlws.FILTER(辅助信息!D:D,辅助信息!E:E=B3822)</f>
        <v>五冶建设龙泉驿一医院配套建设工程</v>
      </c>
    </row>
    <row r="3823" hidden="1" spans="2:18">
      <c r="B3823" s="41" t="s">
        <v>215</v>
      </c>
      <c r="C3823" s="71">
        <v>45925</v>
      </c>
      <c r="D3823" s="41" t="str">
        <f>VLOOKUP(B3823,辅助信息!E:K,7,FALSE)</f>
        <v>JWDDCD2025102100486</v>
      </c>
      <c r="E3823" s="41" t="str">
        <f>VLOOKUP(F3823,辅助信息!A:B,2,FALSE)</f>
        <v>螺纹钢</v>
      </c>
      <c r="F3823" s="41" t="s">
        <v>58</v>
      </c>
      <c r="G3823" s="37">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1" t="str">
        <f>VLOOKUP(B3823,辅助信息!E:I,3,FALSE)</f>
        <v>(五冶建设龙泉驿一医院配套建设工程)成都市龙泉驿区董朗路69号龙泉驿一医院5号门</v>
      </c>
      <c r="J3823" s="41" t="str">
        <f>VLOOKUP(B3823,辅助信息!E:I,4,FALSE)</f>
        <v>孙敏</v>
      </c>
      <c r="K3823" s="41">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30" t="str">
        <f>VLOOKUP(B3823,辅助信息!E:M,9,FALSE)</f>
        <v>ZTWM-CDGS-XS-2025-0073-五冶天府-成都怡心湖片区及龙泉驿医院等项目</v>
      </c>
      <c r="R3823" s="30" t="str">
        <f>_xlfn._xlws.FILTER(辅助信息!D:D,辅助信息!E:E=B3823)</f>
        <v>五冶建设龙泉驿一医院配套建设工程</v>
      </c>
    </row>
    <row r="3824" hidden="1" spans="2:18">
      <c r="B3824" s="41" t="s">
        <v>215</v>
      </c>
      <c r="C3824" s="71">
        <v>45925</v>
      </c>
      <c r="D3824" s="41" t="str">
        <f>VLOOKUP(B3824,辅助信息!E:K,7,FALSE)</f>
        <v>JWDDCD2025102100486</v>
      </c>
      <c r="E3824" s="41" t="str">
        <f>VLOOKUP(F3824,辅助信息!A:B,2,FALSE)</f>
        <v>螺纹钢</v>
      </c>
      <c r="F3824" s="41" t="s">
        <v>46</v>
      </c>
      <c r="G3824" s="37">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1" t="str">
        <f>VLOOKUP(B3824,辅助信息!E:I,3,FALSE)</f>
        <v>(五冶建设龙泉驿一医院配套建设工程)成都市龙泉驿区董朗路69号龙泉驿一医院5号门</v>
      </c>
      <c r="J3824" s="41" t="str">
        <f>VLOOKUP(B3824,辅助信息!E:I,4,FALSE)</f>
        <v>孙敏</v>
      </c>
      <c r="K3824" s="41">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30" t="str">
        <f>VLOOKUP(B3824,辅助信息!E:M,9,FALSE)</f>
        <v>ZTWM-CDGS-XS-2025-0073-五冶天府-成都怡心湖片区及龙泉驿医院等项目</v>
      </c>
      <c r="R3824" s="30" t="str">
        <f>_xlfn._xlws.FILTER(辅助信息!D:D,辅助信息!E:E=B3824)</f>
        <v>五冶建设龙泉驿一医院配套建设工程</v>
      </c>
    </row>
    <row r="3825" hidden="1" spans="2:18">
      <c r="B3825" s="41" t="s">
        <v>215</v>
      </c>
      <c r="C3825" s="71">
        <v>45925</v>
      </c>
      <c r="D3825" s="41" t="str">
        <f>VLOOKUP(B3825,辅助信息!E:K,7,FALSE)</f>
        <v>JWDDCD2025102100486</v>
      </c>
      <c r="E3825" s="41" t="str">
        <f>VLOOKUP(F3825,辅助信息!A:B,2,FALSE)</f>
        <v>螺纹钢</v>
      </c>
      <c r="F3825" s="41" t="s">
        <v>22</v>
      </c>
      <c r="G3825" s="37">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1" t="str">
        <f>VLOOKUP(B3825,辅助信息!E:I,3,FALSE)</f>
        <v>(五冶建设龙泉驿一医院配套建设工程)成都市龙泉驿区董朗路69号龙泉驿一医院5号门</v>
      </c>
      <c r="J3825" s="41" t="str">
        <f>VLOOKUP(B3825,辅助信息!E:I,4,FALSE)</f>
        <v>孙敏</v>
      </c>
      <c r="K3825" s="41">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30" t="str">
        <f>VLOOKUP(B3825,辅助信息!E:M,9,FALSE)</f>
        <v>ZTWM-CDGS-XS-2025-0073-五冶天府-成都怡心湖片区及龙泉驿医院等项目</v>
      </c>
      <c r="R3825" s="30" t="str">
        <f>_xlfn._xlws.FILTER(辅助信息!D:D,辅助信息!E:E=B3825)</f>
        <v>五冶建设龙泉驿一医院配套建设工程</v>
      </c>
    </row>
    <row r="3826" hidden="1" spans="2:18">
      <c r="B3826" s="41" t="s">
        <v>208</v>
      </c>
      <c r="C3826" s="71">
        <v>45925</v>
      </c>
      <c r="D3826" s="41" t="str">
        <f>VLOOKUP(B3826,辅助信息!E:K,7,FALSE)</f>
        <v>JWDDCD2025102100480</v>
      </c>
      <c r="E3826" s="41" t="str">
        <f>VLOOKUP(F3826,辅助信息!A:B,2,FALSE)</f>
        <v>高线</v>
      </c>
      <c r="F3826" s="41" t="s">
        <v>53</v>
      </c>
      <c r="G3826" s="37">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1" t="str">
        <f>VLOOKUP(B3826,辅助信息!E:I,3,FALSE)</f>
        <v>(五冶建设锦江区林家坝片区20号地块商业项目)锦江区泰昌路锦江28亩项目部</v>
      </c>
      <c r="J3826" s="41" t="str">
        <f>VLOOKUP(B3826,辅助信息!E:I,4,FALSE)</f>
        <v>陶杰</v>
      </c>
      <c r="K3826" s="41">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30" t="str">
        <f>VLOOKUP(B3826,辅助信息!E:M,9,FALSE)</f>
        <v>ZTWM-CDGS-XS-2025-0073-五冶天府-成都怡心湖片区及龙泉驿医院等项目</v>
      </c>
      <c r="R3826" s="30" t="str">
        <f>_xlfn._xlws.FILTER(辅助信息!D:D,辅助信息!E:E=B3826)</f>
        <v>五冶建设锦江区林家坝片区20号地块商业项目</v>
      </c>
    </row>
    <row r="3827" hidden="1" spans="2:18">
      <c r="B3827" s="41" t="s">
        <v>208</v>
      </c>
      <c r="C3827" s="71">
        <v>45925</v>
      </c>
      <c r="D3827" s="41" t="str">
        <f>VLOOKUP(B3827,辅助信息!E:K,7,FALSE)</f>
        <v>JWDDCD2025102100480</v>
      </c>
      <c r="E3827" s="41" t="str">
        <f>VLOOKUP(F3827,辅助信息!A:B,2,FALSE)</f>
        <v>螺纹钢</v>
      </c>
      <c r="F3827" s="41" t="s">
        <v>32</v>
      </c>
      <c r="G3827" s="37">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1" t="str">
        <f>VLOOKUP(B3827,辅助信息!E:I,3,FALSE)</f>
        <v>(五冶建设锦江区林家坝片区20号地块商业项目)锦江区泰昌路锦江28亩项目部</v>
      </c>
      <c r="J3827" s="41" t="str">
        <f>VLOOKUP(B3827,辅助信息!E:I,4,FALSE)</f>
        <v>陶杰</v>
      </c>
      <c r="K3827" s="41">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30" t="str">
        <f>VLOOKUP(B3827,辅助信息!E:M,9,FALSE)</f>
        <v>ZTWM-CDGS-XS-2025-0073-五冶天府-成都怡心湖片区及龙泉驿医院等项目</v>
      </c>
      <c r="R3827" s="30" t="str">
        <f>_xlfn._xlws.FILTER(辅助信息!D:D,辅助信息!E:E=B3827)</f>
        <v>五冶建设锦江区林家坝片区20号地块商业项目</v>
      </c>
    </row>
    <row r="3828" hidden="1" spans="2:18">
      <c r="B3828" s="41" t="s">
        <v>208</v>
      </c>
      <c r="C3828" s="71">
        <v>45925</v>
      </c>
      <c r="D3828" s="41" t="str">
        <f>VLOOKUP(B3828,辅助信息!E:K,7,FALSE)</f>
        <v>JWDDCD2025102100480</v>
      </c>
      <c r="E3828" s="41" t="str">
        <f>VLOOKUP(F3828,辅助信息!A:B,2,FALSE)</f>
        <v>螺纹钢</v>
      </c>
      <c r="F3828" s="41" t="s">
        <v>30</v>
      </c>
      <c r="G3828" s="37">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1" t="str">
        <f>VLOOKUP(B3828,辅助信息!E:I,3,FALSE)</f>
        <v>(五冶建设锦江区林家坝片区20号地块商业项目)锦江区泰昌路锦江28亩项目部</v>
      </c>
      <c r="J3828" s="41" t="str">
        <f>VLOOKUP(B3828,辅助信息!E:I,4,FALSE)</f>
        <v>陶杰</v>
      </c>
      <c r="K3828" s="41">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30" t="str">
        <f>VLOOKUP(B3828,辅助信息!E:M,9,FALSE)</f>
        <v>ZTWM-CDGS-XS-2025-0073-五冶天府-成都怡心湖片区及龙泉驿医院等项目</v>
      </c>
      <c r="R3828" s="30" t="str">
        <f>_xlfn._xlws.FILTER(辅助信息!D:D,辅助信息!E:E=B3828)</f>
        <v>五冶建设锦江区林家坝片区20号地块商业项目</v>
      </c>
    </row>
    <row r="3829" hidden="1" spans="2:18">
      <c r="B3829" s="41" t="s">
        <v>208</v>
      </c>
      <c r="C3829" s="71">
        <v>45925</v>
      </c>
      <c r="D3829" s="41" t="str">
        <f>VLOOKUP(B3829,辅助信息!E:K,7,FALSE)</f>
        <v>JWDDCD2025102100480</v>
      </c>
      <c r="E3829" s="41" t="str">
        <f>VLOOKUP(F3829,辅助信息!A:B,2,FALSE)</f>
        <v>螺纹钢</v>
      </c>
      <c r="F3829" s="41" t="s">
        <v>18</v>
      </c>
      <c r="G3829" s="37">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1" t="str">
        <f>VLOOKUP(B3829,辅助信息!E:I,3,FALSE)</f>
        <v>(五冶建设锦江区林家坝片区20号地块商业项目)锦江区泰昌路锦江28亩项目部</v>
      </c>
      <c r="J3829" s="41" t="str">
        <f>VLOOKUP(B3829,辅助信息!E:I,4,FALSE)</f>
        <v>陶杰</v>
      </c>
      <c r="K3829" s="41">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30" t="str">
        <f>VLOOKUP(B3829,辅助信息!E:M,9,FALSE)</f>
        <v>ZTWM-CDGS-XS-2025-0073-五冶天府-成都怡心湖片区及龙泉驿医院等项目</v>
      </c>
      <c r="R3829" s="30" t="str">
        <f>_xlfn._xlws.FILTER(辅助信息!D:D,辅助信息!E:E=B3829)</f>
        <v>五冶建设锦江区林家坝片区20号地块商业项目</v>
      </c>
    </row>
    <row r="3830" hidden="1" spans="2:18">
      <c r="B3830" s="41" t="s">
        <v>187</v>
      </c>
      <c r="C3830" s="71">
        <v>45925</v>
      </c>
      <c r="D3830" s="41" t="str">
        <f>VLOOKUP(B3830,辅助信息!E:K,7,FALSE)</f>
        <v>JWDDCD2025072900121</v>
      </c>
      <c r="E3830" s="41" t="str">
        <f>VLOOKUP(F3830,辅助信息!A:B,2,FALSE)</f>
        <v>盘螺</v>
      </c>
      <c r="F3830" s="41" t="s">
        <v>49</v>
      </c>
      <c r="G3830" s="37">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1" t="str">
        <f>VLOOKUP(B3830,辅助信息!E:I,3,FALSE)</f>
        <v>(乐山市校地共建产教融合基地建设项目一标段)四川省乐山市市中区苏稽镇周山嘴</v>
      </c>
      <c r="J3830" s="41" t="str">
        <f>VLOOKUP(B3830,辅助信息!E:I,4,FALSE)</f>
        <v>范增云</v>
      </c>
      <c r="K3830" s="41">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30" t="str">
        <f>VLOOKUP(B3830,辅助信息!E:M,9,FALSE)</f>
        <v>ZTWM-CDGS-XS-2025-0125-四川机司-乐山市校地共建产教融合基地配套设施项目施工一标段钢筋采购合同</v>
      </c>
      <c r="R3830" s="30" t="str">
        <f>_xlfn._xlws.FILTER(辅助信息!D:D,辅助信息!E:E=B3830)</f>
        <v>乐山市校地共建产教融合基地建设项目</v>
      </c>
    </row>
    <row r="3831" hidden="1" spans="2:18">
      <c r="B3831" s="41" t="s">
        <v>187</v>
      </c>
      <c r="C3831" s="71">
        <v>45925</v>
      </c>
      <c r="D3831" s="41" t="str">
        <f>VLOOKUP(B3831,辅助信息!E:K,7,FALSE)</f>
        <v>JWDDCD2025072900121</v>
      </c>
      <c r="E3831" s="41" t="str">
        <f>VLOOKUP(F3831,辅助信息!A:B,2,FALSE)</f>
        <v>盘螺</v>
      </c>
      <c r="F3831" s="41" t="s">
        <v>40</v>
      </c>
      <c r="G3831" s="37">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1" t="str">
        <f>VLOOKUP(B3831,辅助信息!E:I,3,FALSE)</f>
        <v>(乐山市校地共建产教融合基地建设项目一标段)四川省乐山市市中区苏稽镇周山嘴</v>
      </c>
      <c r="J3831" s="41" t="str">
        <f>VLOOKUP(B3831,辅助信息!E:I,4,FALSE)</f>
        <v>范增云</v>
      </c>
      <c r="K3831" s="41">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30" t="str">
        <f>VLOOKUP(B3831,辅助信息!E:M,9,FALSE)</f>
        <v>ZTWM-CDGS-XS-2025-0125-四川机司-乐山市校地共建产教融合基地配套设施项目施工一标段钢筋采购合同</v>
      </c>
      <c r="R3831" s="30" t="str">
        <f>_xlfn._xlws.FILTER(辅助信息!D:D,辅助信息!E:E=B3831)</f>
        <v>乐山市校地共建产教融合基地建设项目</v>
      </c>
    </row>
    <row r="3832" hidden="1" spans="2:18">
      <c r="B3832" s="41" t="s">
        <v>187</v>
      </c>
      <c r="C3832" s="71">
        <v>45925</v>
      </c>
      <c r="D3832" s="41" t="str">
        <f>VLOOKUP(B3832,辅助信息!E:K,7,FALSE)</f>
        <v>JWDDCD2025072900121</v>
      </c>
      <c r="E3832" s="41" t="str">
        <f>VLOOKUP(F3832,辅助信息!A:B,2,FALSE)</f>
        <v>盘螺</v>
      </c>
      <c r="F3832" s="41" t="s">
        <v>41</v>
      </c>
      <c r="G3832" s="37">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1" t="str">
        <f>VLOOKUP(B3832,辅助信息!E:I,3,FALSE)</f>
        <v>(乐山市校地共建产教融合基地建设项目一标段)四川省乐山市市中区苏稽镇周山嘴</v>
      </c>
      <c r="J3832" s="41" t="str">
        <f>VLOOKUP(B3832,辅助信息!E:I,4,FALSE)</f>
        <v>范增云</v>
      </c>
      <c r="K3832" s="41">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30" t="str">
        <f>VLOOKUP(B3832,辅助信息!E:M,9,FALSE)</f>
        <v>ZTWM-CDGS-XS-2025-0125-四川机司-乐山市校地共建产教融合基地配套设施项目施工一标段钢筋采购合同</v>
      </c>
      <c r="R3832" s="30" t="str">
        <f>_xlfn._xlws.FILTER(辅助信息!D:D,辅助信息!E:E=B3832)</f>
        <v>乐山市校地共建产教融合基地建设项目</v>
      </c>
    </row>
    <row r="3833" hidden="1" spans="2:18">
      <c r="B3833" s="41" t="s">
        <v>187</v>
      </c>
      <c r="C3833" s="71">
        <v>45925</v>
      </c>
      <c r="D3833" s="41" t="str">
        <f>VLOOKUP(B3833,辅助信息!E:K,7,FALSE)</f>
        <v>JWDDCD2025072900121</v>
      </c>
      <c r="E3833" s="41" t="str">
        <f>VLOOKUP(F3833,辅助信息!A:B,2,FALSE)</f>
        <v>盘螺</v>
      </c>
      <c r="F3833" s="41" t="s">
        <v>26</v>
      </c>
      <c r="G3833" s="37">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1" t="str">
        <f>VLOOKUP(B3833,辅助信息!E:I,3,FALSE)</f>
        <v>(乐山市校地共建产教融合基地建设项目一标段)四川省乐山市市中区苏稽镇周山嘴</v>
      </c>
      <c r="J3833" s="41" t="str">
        <f>VLOOKUP(B3833,辅助信息!E:I,4,FALSE)</f>
        <v>范增云</v>
      </c>
      <c r="K3833" s="41">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30" t="str">
        <f>VLOOKUP(B3833,辅助信息!E:M,9,FALSE)</f>
        <v>ZTWM-CDGS-XS-2025-0125-四川机司-乐山市校地共建产教融合基地配套设施项目施工一标段钢筋采购合同</v>
      </c>
      <c r="R3833" s="30" t="str">
        <f>_xlfn._xlws.FILTER(辅助信息!D:D,辅助信息!E:E=B3833)</f>
        <v>乐山市校地共建产教融合基地建设项目</v>
      </c>
    </row>
    <row r="3834" hidden="1" spans="2:18">
      <c r="B3834" s="41" t="s">
        <v>187</v>
      </c>
      <c r="C3834" s="71">
        <v>45925</v>
      </c>
      <c r="D3834" s="41" t="str">
        <f>VLOOKUP(B3834,辅助信息!E:K,7,FALSE)</f>
        <v>JWDDCD2025072900121</v>
      </c>
      <c r="E3834" s="41" t="str">
        <f>VLOOKUP(F3834,辅助信息!A:B,2,FALSE)</f>
        <v>螺纹钢</v>
      </c>
      <c r="F3834" s="41" t="s">
        <v>22</v>
      </c>
      <c r="G3834" s="37">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1" t="str">
        <f>VLOOKUP(B3834,辅助信息!E:I,3,FALSE)</f>
        <v>(乐山市校地共建产教融合基地建设项目一标段)四川省乐山市市中区苏稽镇周山嘴</v>
      </c>
      <c r="J3834" s="41" t="str">
        <f>VLOOKUP(B3834,辅助信息!E:I,4,FALSE)</f>
        <v>范增云</v>
      </c>
      <c r="K3834" s="41">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30" t="str">
        <f>VLOOKUP(B3834,辅助信息!E:M,9,FALSE)</f>
        <v>ZTWM-CDGS-XS-2025-0125-四川机司-乐山市校地共建产教融合基地配套设施项目施工一标段钢筋采购合同</v>
      </c>
      <c r="R3834" s="30" t="str">
        <f>_xlfn._xlws.FILTER(辅助信息!D:D,辅助信息!E:E=B3834)</f>
        <v>乐山市校地共建产教融合基地建设项目</v>
      </c>
    </row>
    <row r="3835" hidden="1" spans="2:18">
      <c r="B3835" s="41" t="s">
        <v>187</v>
      </c>
      <c r="C3835" s="71">
        <v>45925</v>
      </c>
      <c r="D3835" s="41" t="str">
        <f>VLOOKUP(B3835,辅助信息!E:K,7,FALSE)</f>
        <v>JWDDCD2025072900121</v>
      </c>
      <c r="E3835" s="41" t="str">
        <f>VLOOKUP(F3835,辅助信息!A:B,2,FALSE)</f>
        <v>螺纹钢</v>
      </c>
      <c r="F3835" s="41" t="s">
        <v>181</v>
      </c>
      <c r="G3835" s="37">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1" t="str">
        <f>VLOOKUP(B3835,辅助信息!E:I,3,FALSE)</f>
        <v>(乐山市校地共建产教融合基地建设项目一标段)四川省乐山市市中区苏稽镇周山嘴</v>
      </c>
      <c r="J3835" s="41" t="str">
        <f>VLOOKUP(B3835,辅助信息!E:I,4,FALSE)</f>
        <v>范增云</v>
      </c>
      <c r="K3835" s="41">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30" t="str">
        <f>VLOOKUP(B3835,辅助信息!E:M,9,FALSE)</f>
        <v>ZTWM-CDGS-XS-2025-0125-四川机司-乐山市校地共建产教融合基地配套设施项目施工一标段钢筋采购合同</v>
      </c>
      <c r="R3835" s="30" t="str">
        <f>_xlfn._xlws.FILTER(辅助信息!D:D,辅助信息!E:E=B3835)</f>
        <v>乐山市校地共建产教融合基地建设项目</v>
      </c>
    </row>
    <row r="3836" hidden="1" spans="2:18">
      <c r="B3836" s="41" t="s">
        <v>187</v>
      </c>
      <c r="C3836" s="71">
        <v>45925</v>
      </c>
      <c r="D3836" s="41" t="str">
        <f>VLOOKUP(B3836,辅助信息!E:K,7,FALSE)</f>
        <v>JWDDCD2025072900121</v>
      </c>
      <c r="E3836" s="41" t="str">
        <f>VLOOKUP(F3836,辅助信息!A:B,2,FALSE)</f>
        <v>螺纹钢</v>
      </c>
      <c r="F3836" s="41" t="s">
        <v>182</v>
      </c>
      <c r="G3836" s="37">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1" t="str">
        <f>VLOOKUP(B3836,辅助信息!E:I,3,FALSE)</f>
        <v>(乐山市校地共建产教融合基地建设项目一标段)四川省乐山市市中区苏稽镇周山嘴</v>
      </c>
      <c r="J3836" s="41" t="str">
        <f>VLOOKUP(B3836,辅助信息!E:I,4,FALSE)</f>
        <v>范增云</v>
      </c>
      <c r="K3836" s="41">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30" t="str">
        <f>VLOOKUP(B3836,辅助信息!E:M,9,FALSE)</f>
        <v>ZTWM-CDGS-XS-2025-0125-四川机司-乐山市校地共建产教融合基地配套设施项目施工一标段钢筋采购合同</v>
      </c>
      <c r="R3836" s="30" t="str">
        <f>_xlfn._xlws.FILTER(辅助信息!D:D,辅助信息!E:E=B3836)</f>
        <v>乐山市校地共建产教融合基地建设项目</v>
      </c>
    </row>
    <row r="3837" hidden="1" spans="2:18">
      <c r="B3837" s="41" t="s">
        <v>187</v>
      </c>
      <c r="C3837" s="71">
        <v>45925</v>
      </c>
      <c r="D3837" s="41" t="str">
        <f>VLOOKUP(B3837,辅助信息!E:K,7,FALSE)</f>
        <v>JWDDCD2025072900121</v>
      </c>
      <c r="E3837" s="41" t="str">
        <f>VLOOKUP(F3837,辅助信息!A:B,2,FALSE)</f>
        <v>螺纹钢</v>
      </c>
      <c r="F3837" s="41" t="s">
        <v>142</v>
      </c>
      <c r="G3837" s="37">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1" t="str">
        <f>VLOOKUP(B3837,辅助信息!E:I,3,FALSE)</f>
        <v>(乐山市校地共建产教融合基地建设项目一标段)四川省乐山市市中区苏稽镇周山嘴</v>
      </c>
      <c r="J3837" s="41" t="str">
        <f>VLOOKUP(B3837,辅助信息!E:I,4,FALSE)</f>
        <v>范增云</v>
      </c>
      <c r="K3837" s="41">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30" t="str">
        <f>VLOOKUP(B3837,辅助信息!E:M,9,FALSE)</f>
        <v>ZTWM-CDGS-XS-2025-0125-四川机司-乐山市校地共建产教融合基地配套设施项目施工一标段钢筋采购合同</v>
      </c>
      <c r="R3837" s="30" t="str">
        <f>_xlfn._xlws.FILTER(辅助信息!D:D,辅助信息!E:E=B3837)</f>
        <v>乐山市校地共建产教融合基地建设项目</v>
      </c>
    </row>
    <row r="3838" hidden="1" spans="2:18">
      <c r="B3838" s="41" t="s">
        <v>187</v>
      </c>
      <c r="C3838" s="71">
        <v>45925</v>
      </c>
      <c r="D3838" s="41" t="str">
        <f>VLOOKUP(B3838,辅助信息!E:K,7,FALSE)</f>
        <v>JWDDCD2025072900121</v>
      </c>
      <c r="E3838" s="41" t="str">
        <f>VLOOKUP(F3838,辅助信息!A:B,2,FALSE)</f>
        <v>螺纹钢</v>
      </c>
      <c r="F3838" s="41" t="s">
        <v>200</v>
      </c>
      <c r="G3838" s="37">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1" t="str">
        <f>VLOOKUP(B3838,辅助信息!E:I,3,FALSE)</f>
        <v>(乐山市校地共建产教融合基地建设项目一标段)四川省乐山市市中区苏稽镇周山嘴</v>
      </c>
      <c r="J3838" s="41" t="str">
        <f>VLOOKUP(B3838,辅助信息!E:I,4,FALSE)</f>
        <v>范增云</v>
      </c>
      <c r="K3838" s="41">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30" t="str">
        <f>VLOOKUP(B3838,辅助信息!E:M,9,FALSE)</f>
        <v>ZTWM-CDGS-XS-2025-0125-四川机司-乐山市校地共建产教融合基地配套设施项目施工一标段钢筋采购合同</v>
      </c>
      <c r="R3838" s="30" t="str">
        <f>_xlfn._xlws.FILTER(辅助信息!D:D,辅助信息!E:E=B3838)</f>
        <v>乐山市校地共建产教融合基地建设项目</v>
      </c>
    </row>
    <row r="3839" hidden="1" spans="2:18">
      <c r="B3839" s="41" t="s">
        <v>194</v>
      </c>
      <c r="C3839" s="71">
        <v>45925</v>
      </c>
      <c r="D3839" s="41" t="str">
        <f>VLOOKUP(B3839,辅助信息!E:K,7,FALSE)</f>
        <v>JWDD2025071500089</v>
      </c>
      <c r="E3839" s="41" t="str">
        <f>VLOOKUP(F3839,辅助信息!A:B,2,FALSE)</f>
        <v>盘螺</v>
      </c>
      <c r="F3839" s="41" t="s">
        <v>49</v>
      </c>
      <c r="G3839" s="37">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1" t="str">
        <f>VLOOKUP(B3839,辅助信息!E:I,3,FALSE)</f>
        <v>(宜宾兴港三江新区长江工业园保障性租赁住房建设项目-土建)四川省宜宾市翠屏区永善路南段宜宾市三江新区长江工业园区</v>
      </c>
      <c r="J3839" s="41" t="str">
        <f>VLOOKUP(B3839,辅助信息!E:I,4,FALSE)</f>
        <v>赵元虎</v>
      </c>
      <c r="K3839" s="41">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30" t="str">
        <f>VLOOKUP(B3839,辅助信息!E:M,9,FALSE)</f>
        <v>ZTWM-CDYXGS-XS-2025-0014-宜宾兴港建材-三江新区长江工业园片区保障性租赁住房建设项目</v>
      </c>
      <c r="R3839" s="30" t="str">
        <f>_xlfn._xlws.FILTER(辅助信息!D:D,辅助信息!E:E=B3839)</f>
        <v>宜宾兴港三江新区长江工业园建设项目</v>
      </c>
    </row>
    <row r="3840" hidden="1" spans="2:18">
      <c r="B3840" s="41" t="s">
        <v>194</v>
      </c>
      <c r="C3840" s="71">
        <v>45925</v>
      </c>
      <c r="D3840" s="41" t="str">
        <f>VLOOKUP(B3840,辅助信息!E:K,7,FALSE)</f>
        <v>JWDD2025071500089</v>
      </c>
      <c r="E3840" s="41" t="str">
        <f>VLOOKUP(F3840,辅助信息!A:B,2,FALSE)</f>
        <v>盘螺</v>
      </c>
      <c r="F3840" s="41" t="s">
        <v>40</v>
      </c>
      <c r="G3840" s="37">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1" t="str">
        <f>VLOOKUP(B3840,辅助信息!E:I,3,FALSE)</f>
        <v>(宜宾兴港三江新区长江工业园保障性租赁住房建设项目-土建)四川省宜宾市翠屏区永善路南段宜宾市三江新区长江工业园区</v>
      </c>
      <c r="J3840" s="41" t="str">
        <f>VLOOKUP(B3840,辅助信息!E:I,4,FALSE)</f>
        <v>赵元虎</v>
      </c>
      <c r="K3840" s="41">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30" t="str">
        <f>VLOOKUP(B3840,辅助信息!E:M,9,FALSE)</f>
        <v>ZTWM-CDYXGS-XS-2025-0014-宜宾兴港建材-三江新区长江工业园片区保障性租赁住房建设项目</v>
      </c>
      <c r="R3840" s="30" t="str">
        <f>_xlfn._xlws.FILTER(辅助信息!D:D,辅助信息!E:E=B3840)</f>
        <v>宜宾兴港三江新区长江工业园建设项目</v>
      </c>
    </row>
    <row r="3841" hidden="1" spans="2:18">
      <c r="B3841" s="41" t="s">
        <v>194</v>
      </c>
      <c r="C3841" s="71">
        <v>45925</v>
      </c>
      <c r="D3841" s="41" t="str">
        <f>VLOOKUP(B3841,辅助信息!E:K,7,FALSE)</f>
        <v>JWDD2025071500089</v>
      </c>
      <c r="E3841" s="41" t="str">
        <f>VLOOKUP(F3841,辅助信息!A:B,2,FALSE)</f>
        <v>盘螺</v>
      </c>
      <c r="F3841" s="41" t="s">
        <v>41</v>
      </c>
      <c r="G3841" s="37">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1" t="str">
        <f>VLOOKUP(B3841,辅助信息!E:I,3,FALSE)</f>
        <v>(宜宾兴港三江新区长江工业园保障性租赁住房建设项目-土建)四川省宜宾市翠屏区永善路南段宜宾市三江新区长江工业园区</v>
      </c>
      <c r="J3841" s="41" t="str">
        <f>VLOOKUP(B3841,辅助信息!E:I,4,FALSE)</f>
        <v>赵元虎</v>
      </c>
      <c r="K3841" s="41">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30" t="str">
        <f>VLOOKUP(B3841,辅助信息!E:M,9,FALSE)</f>
        <v>ZTWM-CDYXGS-XS-2025-0014-宜宾兴港建材-三江新区长江工业园片区保障性租赁住房建设项目</v>
      </c>
      <c r="R3841" s="30" t="str">
        <f>_xlfn._xlws.FILTER(辅助信息!D:D,辅助信息!E:E=B3841)</f>
        <v>宜宾兴港三江新区长江工业园建设项目</v>
      </c>
    </row>
    <row r="3842" hidden="1" spans="2:18">
      <c r="B3842" s="41" t="s">
        <v>194</v>
      </c>
      <c r="C3842" s="71">
        <v>45925</v>
      </c>
      <c r="D3842" s="41" t="str">
        <f>VLOOKUP(B3842,辅助信息!E:K,7,FALSE)</f>
        <v>JWDD2025071500089</v>
      </c>
      <c r="E3842" s="41" t="str">
        <f>VLOOKUP(F3842,辅助信息!A:B,2,FALSE)</f>
        <v>螺纹钢</v>
      </c>
      <c r="F3842" s="41" t="s">
        <v>27</v>
      </c>
      <c r="G3842" s="37">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1" t="str">
        <f>VLOOKUP(B3842,辅助信息!E:I,3,FALSE)</f>
        <v>(宜宾兴港三江新区长江工业园保障性租赁住房建设项目-土建)四川省宜宾市翠屏区永善路南段宜宾市三江新区长江工业园区</v>
      </c>
      <c r="J3842" s="41" t="str">
        <f>VLOOKUP(B3842,辅助信息!E:I,4,FALSE)</f>
        <v>赵元虎</v>
      </c>
      <c r="K3842" s="41">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30" t="str">
        <f>VLOOKUP(B3842,辅助信息!E:M,9,FALSE)</f>
        <v>ZTWM-CDYXGS-XS-2025-0014-宜宾兴港建材-三江新区长江工业园片区保障性租赁住房建设项目</v>
      </c>
      <c r="R3842" s="30" t="str">
        <f>_xlfn._xlws.FILTER(辅助信息!D:D,辅助信息!E:E=B3842)</f>
        <v>宜宾兴港三江新区长江工业园建设项目</v>
      </c>
    </row>
    <row r="3843" hidden="1" spans="2:18">
      <c r="B3843" s="41" t="s">
        <v>194</v>
      </c>
      <c r="C3843" s="71">
        <v>45925</v>
      </c>
      <c r="D3843" s="41" t="str">
        <f>VLOOKUP(B3843,辅助信息!E:K,7,FALSE)</f>
        <v>JWDD2025071500089</v>
      </c>
      <c r="E3843" s="41" t="str">
        <f>VLOOKUP(F3843,辅助信息!A:B,2,FALSE)</f>
        <v>螺纹钢</v>
      </c>
      <c r="F3843" s="41" t="s">
        <v>19</v>
      </c>
      <c r="G3843" s="37">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1" t="str">
        <f>VLOOKUP(B3843,辅助信息!E:I,3,FALSE)</f>
        <v>(宜宾兴港三江新区长江工业园保障性租赁住房建设项目-土建)四川省宜宾市翠屏区永善路南段宜宾市三江新区长江工业园区</v>
      </c>
      <c r="J3843" s="41" t="str">
        <f>VLOOKUP(B3843,辅助信息!E:I,4,FALSE)</f>
        <v>赵元虎</v>
      </c>
      <c r="K3843" s="41">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30" t="str">
        <f>VLOOKUP(B3843,辅助信息!E:M,9,FALSE)</f>
        <v>ZTWM-CDYXGS-XS-2025-0014-宜宾兴港建材-三江新区长江工业园片区保障性租赁住房建设项目</v>
      </c>
      <c r="R3843" s="30" t="str">
        <f>_xlfn._xlws.FILTER(辅助信息!D:D,辅助信息!E:E=B3843)</f>
        <v>宜宾兴港三江新区长江工业园建设项目</v>
      </c>
    </row>
    <row r="3844" hidden="1" spans="2:18">
      <c r="B3844" s="41" t="s">
        <v>194</v>
      </c>
      <c r="C3844" s="71">
        <v>45925</v>
      </c>
      <c r="D3844" s="41" t="str">
        <f>VLOOKUP(B3844,辅助信息!E:K,7,FALSE)</f>
        <v>JWDD2025071500089</v>
      </c>
      <c r="E3844" s="41" t="str">
        <f>VLOOKUP(F3844,辅助信息!A:B,2,FALSE)</f>
        <v>螺纹钢</v>
      </c>
      <c r="F3844" s="41" t="s">
        <v>32</v>
      </c>
      <c r="G3844" s="37">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1" t="str">
        <f>VLOOKUP(B3844,辅助信息!E:I,3,FALSE)</f>
        <v>(宜宾兴港三江新区长江工业园保障性租赁住房建设项目-土建)四川省宜宾市翠屏区永善路南段宜宾市三江新区长江工业园区</v>
      </c>
      <c r="J3844" s="41" t="str">
        <f>VLOOKUP(B3844,辅助信息!E:I,4,FALSE)</f>
        <v>赵元虎</v>
      </c>
      <c r="K3844" s="41">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30" t="str">
        <f>VLOOKUP(B3844,辅助信息!E:M,9,FALSE)</f>
        <v>ZTWM-CDYXGS-XS-2025-0014-宜宾兴港建材-三江新区长江工业园片区保障性租赁住房建设项目</v>
      </c>
      <c r="R3844" s="30" t="str">
        <f>_xlfn._xlws.FILTER(辅助信息!D:D,辅助信息!E:E=B3844)</f>
        <v>宜宾兴港三江新区长江工业园建设项目</v>
      </c>
    </row>
    <row r="3845" hidden="1" spans="2:18">
      <c r="B3845" s="41" t="s">
        <v>194</v>
      </c>
      <c r="C3845" s="71">
        <v>45925</v>
      </c>
      <c r="D3845" s="41" t="str">
        <f>VLOOKUP(B3845,辅助信息!E:K,7,FALSE)</f>
        <v>JWDD2025071500089</v>
      </c>
      <c r="E3845" s="41" t="str">
        <f>VLOOKUP(F3845,辅助信息!A:B,2,FALSE)</f>
        <v>螺纹钢</v>
      </c>
      <c r="F3845" s="41" t="s">
        <v>30</v>
      </c>
      <c r="G3845" s="37">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1" t="str">
        <f>VLOOKUP(B3845,辅助信息!E:I,3,FALSE)</f>
        <v>(宜宾兴港三江新区长江工业园保障性租赁住房建设项目-土建)四川省宜宾市翠屏区永善路南段宜宾市三江新区长江工业园区</v>
      </c>
      <c r="J3845" s="41" t="str">
        <f>VLOOKUP(B3845,辅助信息!E:I,4,FALSE)</f>
        <v>赵元虎</v>
      </c>
      <c r="K3845" s="41">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30" t="str">
        <f>VLOOKUP(B3845,辅助信息!E:M,9,FALSE)</f>
        <v>ZTWM-CDYXGS-XS-2025-0014-宜宾兴港建材-三江新区长江工业园片区保障性租赁住房建设项目</v>
      </c>
      <c r="R3845" s="30" t="str">
        <f>_xlfn._xlws.FILTER(辅助信息!D:D,辅助信息!E:E=B3845)</f>
        <v>宜宾兴港三江新区长江工业园建设项目</v>
      </c>
    </row>
    <row r="3846" hidden="1" spans="2:18">
      <c r="B3846" s="41" t="s">
        <v>194</v>
      </c>
      <c r="C3846" s="71">
        <v>45925</v>
      </c>
      <c r="D3846" s="41" t="str">
        <f>VLOOKUP(B3846,辅助信息!E:K,7,FALSE)</f>
        <v>JWDD2025071500089</v>
      </c>
      <c r="E3846" s="41" t="str">
        <f>VLOOKUP(F3846,辅助信息!A:B,2,FALSE)</f>
        <v>螺纹钢</v>
      </c>
      <c r="F3846" s="41" t="s">
        <v>33</v>
      </c>
      <c r="G3846" s="37">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1" t="str">
        <f>VLOOKUP(B3846,辅助信息!E:I,3,FALSE)</f>
        <v>(宜宾兴港三江新区长江工业园保障性租赁住房建设项目-土建)四川省宜宾市翠屏区永善路南段宜宾市三江新区长江工业园区</v>
      </c>
      <c r="J3846" s="41" t="str">
        <f>VLOOKUP(B3846,辅助信息!E:I,4,FALSE)</f>
        <v>赵元虎</v>
      </c>
      <c r="K3846" s="41">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30" t="str">
        <f>VLOOKUP(B3846,辅助信息!E:M,9,FALSE)</f>
        <v>ZTWM-CDYXGS-XS-2025-0014-宜宾兴港建材-三江新区长江工业园片区保障性租赁住房建设项目</v>
      </c>
      <c r="R3846" s="30" t="str">
        <f>_xlfn._xlws.FILTER(辅助信息!D:D,辅助信息!E:E=B3846)</f>
        <v>宜宾兴港三江新区长江工业园建设项目</v>
      </c>
    </row>
    <row r="3847" hidden="1" spans="2:18">
      <c r="B3847" s="41" t="s">
        <v>194</v>
      </c>
      <c r="C3847" s="71">
        <v>45925</v>
      </c>
      <c r="D3847" s="41" t="str">
        <f>VLOOKUP(B3847,辅助信息!E:K,7,FALSE)</f>
        <v>JWDD2025071500089</v>
      </c>
      <c r="E3847" s="41" t="str">
        <f>VLOOKUP(F3847,辅助信息!A:B,2,FALSE)</f>
        <v>螺纹钢</v>
      </c>
      <c r="F3847" s="41" t="s">
        <v>28</v>
      </c>
      <c r="G3847" s="37">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1" t="str">
        <f>VLOOKUP(B3847,辅助信息!E:I,3,FALSE)</f>
        <v>(宜宾兴港三江新区长江工业园保障性租赁住房建设项目-土建)四川省宜宾市翠屏区永善路南段宜宾市三江新区长江工业园区</v>
      </c>
      <c r="J3847" s="41" t="str">
        <f>VLOOKUP(B3847,辅助信息!E:I,4,FALSE)</f>
        <v>赵元虎</v>
      </c>
      <c r="K3847" s="41">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30" t="str">
        <f>VLOOKUP(B3847,辅助信息!E:M,9,FALSE)</f>
        <v>ZTWM-CDYXGS-XS-2025-0014-宜宾兴港建材-三江新区长江工业园片区保障性租赁住房建设项目</v>
      </c>
      <c r="R3847" s="30" t="str">
        <f>_xlfn._xlws.FILTER(辅助信息!D:D,辅助信息!E:E=B3847)</f>
        <v>宜宾兴港三江新区长江工业园建设项目</v>
      </c>
    </row>
    <row r="3848" hidden="1" spans="2:18">
      <c r="B3848" s="41" t="s">
        <v>194</v>
      </c>
      <c r="C3848" s="71">
        <v>45925</v>
      </c>
      <c r="D3848" s="41" t="str">
        <f>VLOOKUP(B3848,辅助信息!E:K,7,FALSE)</f>
        <v>JWDD2025071500089</v>
      </c>
      <c r="E3848" s="41" t="str">
        <f>VLOOKUP(F3848,辅助信息!A:B,2,FALSE)</f>
        <v>螺纹钢</v>
      </c>
      <c r="F3848" s="41" t="s">
        <v>18</v>
      </c>
      <c r="G3848" s="37">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1" t="str">
        <f>VLOOKUP(B3848,辅助信息!E:I,3,FALSE)</f>
        <v>(宜宾兴港三江新区长江工业园保障性租赁住房建设项目-土建)四川省宜宾市翠屏区永善路南段宜宾市三江新区长江工业园区</v>
      </c>
      <c r="J3848" s="41" t="str">
        <f>VLOOKUP(B3848,辅助信息!E:I,4,FALSE)</f>
        <v>赵元虎</v>
      </c>
      <c r="K3848" s="41">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30" t="str">
        <f>VLOOKUP(B3848,辅助信息!E:M,9,FALSE)</f>
        <v>ZTWM-CDYXGS-XS-2025-0014-宜宾兴港建材-三江新区长江工业园片区保障性租赁住房建设项目</v>
      </c>
      <c r="R3848" s="30"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34</v>
      </c>
      <c r="Q3849" s="30" t="str">
        <f>VLOOKUP(B3849,辅助信息!E:M,9,FALSE)</f>
        <v>ZTWM-CDGS-XS-2024-0134-商投建工达州中医药科技成果示范园项目</v>
      </c>
      <c r="R3849" s="30"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34</v>
      </c>
      <c r="Q3850" s="30" t="str">
        <f>VLOOKUP(B3850,辅助信息!E:M,9,FALSE)</f>
        <v>ZTWM-CDGS-XS-2024-0134-商投建工达州中医药科技成果示范园项目</v>
      </c>
      <c r="R3850" s="30"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34</v>
      </c>
      <c r="Q3851" s="30" t="str">
        <f>VLOOKUP(B3851,辅助信息!E:M,9,FALSE)</f>
        <v>ZTWM-CDGS-XS-2024-0134-商投建工达州中医药科技成果示范园项目</v>
      </c>
      <c r="R3851" s="30"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34</v>
      </c>
      <c r="Q3852" s="30" t="str">
        <f>VLOOKUP(B3852,辅助信息!E:M,9,FALSE)</f>
        <v>ZTWM-CDGS-XS-2024-0134-商投建工达州中医药科技成果示范园项目</v>
      </c>
      <c r="R3852" s="30"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30" t="str">
        <f>VLOOKUP(B3853,辅助信息!E:M,9,FALSE)</f>
        <v>ZTWM-CDGS-XS-2024-0134-商投建工达州中医药科技成果示范园项目</v>
      </c>
      <c r="R3853" s="30"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34</v>
      </c>
      <c r="Q3854" s="30" t="str">
        <f>VLOOKUP(B3854,辅助信息!E:M,9,FALSE)</f>
        <v>ZTWM-CDGS-XS-2024-0134-商投建工达州中医药科技成果示范园项目</v>
      </c>
      <c r="R3854" s="30"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34</v>
      </c>
      <c r="Q3855" s="30" t="str">
        <f>VLOOKUP(B3855,辅助信息!E:M,9,FALSE)</f>
        <v>ZTWM-CDGS-XS-2024-0134-商投建工达州中医药科技成果示范园项目</v>
      </c>
      <c r="R3855" s="30"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34</v>
      </c>
      <c r="Q3856" s="30" t="str">
        <f>VLOOKUP(B3856,辅助信息!E:M,9,FALSE)</f>
        <v>ZTWM-CDGS-XS-2024-0134-商投建工达州中医药科技成果示范园项目</v>
      </c>
      <c r="R3856" s="30"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34</v>
      </c>
      <c r="Q3857" s="30" t="str">
        <f>VLOOKUP(B3857,辅助信息!E:M,9,FALSE)</f>
        <v>ZTWM-CDGS-XS-2024-0134-商投建工达州中医药科技成果示范园项目</v>
      </c>
      <c r="R3857" s="30"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34</v>
      </c>
      <c r="Q3858" s="30" t="str">
        <f>VLOOKUP(B3858,辅助信息!E:M,9,FALSE)</f>
        <v>ZTWM-CDGS-XS-2024-0134-商投建工达州中医药科技成果示范园项目</v>
      </c>
      <c r="R3858" s="30"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30" t="str">
        <f>VLOOKUP(B3859,辅助信息!E:M,9,FALSE)</f>
        <v>ZTWM-CDGS-XS-2024-0030-华西集采-简州大道</v>
      </c>
      <c r="R3859" s="30"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30" t="str">
        <f>VLOOKUP(B3860,辅助信息!E:M,9,FALSE)</f>
        <v>ZTWM-CDGS-XS-2024-0030-华西集采-简州大道</v>
      </c>
      <c r="R3860" s="30"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30</v>
      </c>
      <c r="Q3861" s="30" t="str">
        <f>VLOOKUP(B3861,辅助信息!E:M,9,FALSE)</f>
        <v>ZTWM-CDGS-XS-2024-0030-华西集采-简州大道</v>
      </c>
      <c r="R3861" s="30"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30</v>
      </c>
      <c r="Q3862" s="30" t="str">
        <f>VLOOKUP(B3862,辅助信息!E:M,9,FALSE)</f>
        <v>ZTWM-CDGS-XS-2024-0030-华西集采-简州大道</v>
      </c>
      <c r="R3862" s="30"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30</v>
      </c>
      <c r="Q3863" s="30" t="str">
        <f>VLOOKUP(B3863,辅助信息!E:M,9,FALSE)</f>
        <v>ZTWM-CDGS-XS-2024-0030-华西集采-简州大道</v>
      </c>
      <c r="R3863" s="30"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30</v>
      </c>
      <c r="Q3864" s="30" t="str">
        <f>VLOOKUP(B3864,辅助信息!E:M,9,FALSE)</f>
        <v>ZTWM-CDGS-XS-2024-0030-华西集采-简州大道</v>
      </c>
      <c r="R3864" s="30"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30" t="str">
        <f>VLOOKUP(B3865,辅助信息!E:M,9,FALSE)</f>
        <v>ZTWM-CDGS-XS-2024-0030-华西集采-简州大道</v>
      </c>
      <c r="R3865" s="30"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30" t="str">
        <f>VLOOKUP(B3866,辅助信息!E:M,9,FALSE)</f>
        <v>ZTWM-CDGS-XS-2024-0030-华西集采-简州大道</v>
      </c>
      <c r="R3866" s="30"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30" t="str">
        <f>VLOOKUP(B3867,辅助信息!E:M,9,FALSE)</f>
        <v>ZTWM-CDGS-XS-2024-0030-华西集采-简州大道</v>
      </c>
      <c r="R3867" s="30"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30" t="str">
        <f>VLOOKUP(B3868,辅助信息!E:M,9,FALSE)</f>
        <v>ZTWM-CDGS-XS-2024-0030-华西集采-简州大道</v>
      </c>
      <c r="R3868" s="30"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30" t="str">
        <f>VLOOKUP(B3869,辅助信息!E:M,9,FALSE)</f>
        <v>ZTWM-CDGS-XS-2024-0030-华西集采-简州大道</v>
      </c>
      <c r="R3869" s="30"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30" t="str">
        <f>VLOOKUP(B3870,辅助信息!E:M,9,FALSE)</f>
        <v>ZTWM-CDGS-XS-2024-0030-华西集采-简州大道</v>
      </c>
      <c r="R3870" s="30"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30" t="str">
        <f>VLOOKUP(B3871,辅助信息!E:M,9,FALSE)</f>
        <v>ZTWM-CDGS-XS-2025-0126-四川机司-乐山市校地共建产教融合基地配套设施项目施工二标段钢筋采购合同</v>
      </c>
      <c r="R3871" s="30"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30" t="str">
        <f>VLOOKUP(B3872,辅助信息!E:M,9,FALSE)</f>
        <v>ZTWM-CDGS-XS-2025-0126-四川机司-乐山市校地共建产教融合基地配套设施项目施工二标段钢筋采购合同</v>
      </c>
      <c r="R3872" s="30"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30" t="str">
        <f>VLOOKUP(B3873,辅助信息!E:M,9,FALSE)</f>
        <v>ZTWM-CDGS-XS-2025-0126-四川机司-乐山市校地共建产教融合基地配套设施项目施工二标段钢筋采购合同</v>
      </c>
      <c r="R3873" s="30"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30" t="str">
        <f>VLOOKUP(B3874,辅助信息!E:M,9,FALSE)</f>
        <v>ZTWM-CDGS-XS-2025-0126-四川机司-乐山市校地共建产教融合基地配套设施项目施工二标段钢筋采购合同</v>
      </c>
      <c r="R3874" s="30"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30" t="str">
        <f>VLOOKUP(B3875,辅助信息!E:M,9,FALSE)</f>
        <v>ZTWM-CDGS-XS-2025-0126-四川机司-乐山市校地共建产教融合基地配套设施项目施工二标段钢筋采购合同</v>
      </c>
      <c r="R3875" s="30"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30" t="str">
        <f>VLOOKUP(B3876,辅助信息!E:M,9,FALSE)</f>
        <v>ZTWM-CDGS-XS-2025-0126-四川机司-乐山市校地共建产教融合基地配套设施项目施工二标段钢筋采购合同</v>
      </c>
      <c r="R3876" s="30"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30" t="str">
        <f>VLOOKUP(B3877,辅助信息!E:M,9,FALSE)</f>
        <v>ZTWM-CDGS-XS-2025-0126-四川机司-乐山市校地共建产教融合基地配套设施项目施工二标段钢筋采购合同</v>
      </c>
      <c r="R3877" s="30"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30</v>
      </c>
      <c r="Q3878" s="30" t="str">
        <f>VLOOKUP(B3878,辅助信息!E:M,9,FALSE)</f>
        <v>ZTWM-CDGS-XS-2025-0126-四川机司-乐山市校地共建产教融合基地配套设施项目施工二标段钢筋采购合同</v>
      </c>
      <c r="R3878" s="30"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30</v>
      </c>
      <c r="Q3879" s="30" t="str">
        <f>VLOOKUP(B3879,辅助信息!E:M,9,FALSE)</f>
        <v>ZTWM-CDGS-XS-2025-0126-四川机司-乐山市校地共建产教融合基地配套设施项目施工二标段钢筋采购合同</v>
      </c>
      <c r="R3879" s="30"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30</v>
      </c>
      <c r="Q3880" s="30" t="str">
        <f>VLOOKUP(B3880,辅助信息!E:M,9,FALSE)</f>
        <v>ZTWM-CDGS-XS-2025-0126-四川机司-乐山市校地共建产教融合基地配套设施项目施工二标段钢筋采购合同</v>
      </c>
      <c r="R3880" s="30"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30</v>
      </c>
      <c r="Q3881" s="30" t="str">
        <f>VLOOKUP(B3881,辅助信息!E:M,9,FALSE)</f>
        <v>ZTWM-CDGS-XS-2024-0030-华西集采-简州大道</v>
      </c>
      <c r="R3881" s="30"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30</v>
      </c>
      <c r="Q3882" s="30" t="str">
        <f>VLOOKUP(B3882,辅助信息!E:M,9,FALSE)</f>
        <v>ZTWM-CDGS-XS-2024-0030-华西集采-简州大道</v>
      </c>
      <c r="R3882" s="30"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30</v>
      </c>
      <c r="Q3883" s="30" t="str">
        <f>VLOOKUP(B3883,辅助信息!E:M,9,FALSE)</f>
        <v>ZTWM-CDGS-XS-2024-0030-华西集采-简州大道</v>
      </c>
      <c r="R3883" s="30"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30</v>
      </c>
      <c r="Q3884" s="30" t="str">
        <f>VLOOKUP(B3884,辅助信息!E:M,9,FALSE)</f>
        <v>ZTWM-CDGS-XS-2024-0030-华西集采-简州大道</v>
      </c>
      <c r="R3884" s="30"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30</v>
      </c>
      <c r="Q3885" s="30" t="str">
        <f>VLOOKUP(B3885,辅助信息!E:M,9,FALSE)</f>
        <v>ZTWM-CDGS-XS-2024-0030-华西集采-简州大道</v>
      </c>
      <c r="R3885" s="30"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30" t="str">
        <f>VLOOKUP(B3886,辅助信息!E:M,9,FALSE)</f>
        <v>ZTWM-CDGS-XS-2024-0030-华西集采-简州大道</v>
      </c>
      <c r="R3886" s="30"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30" t="str">
        <f>VLOOKUP(B3887,辅助信息!E:M,9,FALSE)</f>
        <v>ZTWM-CDGS-XS-2024-0030-华西集采-简州大道</v>
      </c>
      <c r="R3887" s="30"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30" t="str">
        <f>VLOOKUP(B3888,辅助信息!E:M,9,FALSE)</f>
        <v>ZTWM-CDGS-XS-2024-0030-华西集采-简州大道</v>
      </c>
      <c r="R3888" s="30" t="str">
        <f>_xlfn._xlws.FILTER(辅助信息!D:D,辅助信息!E:E=B3888)</f>
        <v>华西简阳西城嘉苑</v>
      </c>
    </row>
    <row r="3889" hidden="1" spans="2:18">
      <c r="B3889" s="41" t="s">
        <v>81</v>
      </c>
      <c r="C3889" s="71">
        <v>45928</v>
      </c>
      <c r="D3889" s="41" t="str">
        <f>VLOOKUP(B3889,辅助信息!E:K,7,FALSE)</f>
        <v>JWDDCD2025060900080</v>
      </c>
      <c r="E3889" s="41" t="str">
        <f>VLOOKUP(F3889,辅助信息!A:B,2,FALSE)</f>
        <v>盘螺</v>
      </c>
      <c r="F3889" s="41" t="s">
        <v>41</v>
      </c>
      <c r="G3889" s="37">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1" t="str">
        <f>VLOOKUP(B3889,辅助信息!E:I,3,FALSE)</f>
        <v>（华西简阳西城嘉苑）四川省成都市简阳市简城街道高屋村</v>
      </c>
      <c r="J3889" s="41" t="str">
        <f>VLOOKUP(B3889,辅助信息!E:I,4,FALSE)</f>
        <v>张瀚镭</v>
      </c>
      <c r="K3889" s="41">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30" t="str">
        <f>VLOOKUP(B3889,辅助信息!E:M,9,FALSE)</f>
        <v>ZTWM-CDGS-XS-2024-0030-华西集采-简州大道</v>
      </c>
      <c r="R3889" s="30" t="str">
        <f>_xlfn._xlws.FILTER(辅助信息!D:D,辅助信息!E:E=B3889)</f>
        <v>华西简阳西城嘉苑</v>
      </c>
    </row>
    <row r="3890" hidden="1" spans="2:18">
      <c r="B3890" s="41" t="s">
        <v>81</v>
      </c>
      <c r="C3890" s="71">
        <v>45928</v>
      </c>
      <c r="D3890" s="41" t="str">
        <f>VLOOKUP(B3890,辅助信息!E:K,7,FALSE)</f>
        <v>JWDDCD2025060900080</v>
      </c>
      <c r="E3890" s="41" t="str">
        <f>VLOOKUP(F3890,辅助信息!A:B,2,FALSE)</f>
        <v>盘螺</v>
      </c>
      <c r="F3890" s="41" t="s">
        <v>26</v>
      </c>
      <c r="G3890" s="37">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1" t="str">
        <f>VLOOKUP(B3890,辅助信息!E:I,3,FALSE)</f>
        <v>（华西简阳西城嘉苑）四川省成都市简阳市简城街道高屋村</v>
      </c>
      <c r="J3890" s="41" t="str">
        <f>VLOOKUP(B3890,辅助信息!E:I,4,FALSE)</f>
        <v>张瀚镭</v>
      </c>
      <c r="K3890" s="41">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30" t="str">
        <f>VLOOKUP(B3890,辅助信息!E:M,9,FALSE)</f>
        <v>ZTWM-CDGS-XS-2024-0030-华西集采-简州大道</v>
      </c>
      <c r="R3890" s="30" t="str">
        <f>_xlfn._xlws.FILTER(辅助信息!D:D,辅助信息!E:E=B3890)</f>
        <v>华西简阳西城嘉苑</v>
      </c>
    </row>
    <row r="3891" hidden="1" spans="2:18">
      <c r="B3891" s="41" t="s">
        <v>81</v>
      </c>
      <c r="C3891" s="71">
        <v>45928</v>
      </c>
      <c r="D3891" s="41" t="str">
        <f>VLOOKUP(B3891,辅助信息!E:K,7,FALSE)</f>
        <v>JWDDCD2025060900080</v>
      </c>
      <c r="E3891" s="41" t="str">
        <f>VLOOKUP(F3891,辅助信息!A:B,2,FALSE)</f>
        <v>盘螺</v>
      </c>
      <c r="F3891" s="41" t="s">
        <v>49</v>
      </c>
      <c r="G3891" s="37">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1" t="str">
        <f>VLOOKUP(B3891,辅助信息!E:I,3,FALSE)</f>
        <v>（华西简阳西城嘉苑）四川省成都市简阳市简城街道高屋村</v>
      </c>
      <c r="J3891" s="41" t="str">
        <f>VLOOKUP(B3891,辅助信息!E:I,4,FALSE)</f>
        <v>张瀚镭</v>
      </c>
      <c r="K3891" s="41">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30" t="str">
        <f>VLOOKUP(B3891,辅助信息!E:M,9,FALSE)</f>
        <v>ZTWM-CDGS-XS-2024-0030-华西集采-简州大道</v>
      </c>
      <c r="R3891" s="30" t="str">
        <f>_xlfn._xlws.FILTER(辅助信息!D:D,辅助信息!E:E=B3891)</f>
        <v>华西简阳西城嘉苑</v>
      </c>
    </row>
    <row r="3892" hidden="1" spans="2:18">
      <c r="B3892" s="136" t="s">
        <v>81</v>
      </c>
      <c r="C3892" s="71">
        <v>45928</v>
      </c>
      <c r="D3892" s="41" t="str">
        <f>VLOOKUP(B3892,辅助信息!E:K,7,FALSE)</f>
        <v>JWDDCD2025060900080</v>
      </c>
      <c r="E3892" s="41" t="str">
        <f>VLOOKUP(F3892,辅助信息!A:B,2,FALSE)</f>
        <v>盘螺</v>
      </c>
      <c r="F3892" s="41" t="s">
        <v>40</v>
      </c>
      <c r="G3892" s="37">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1" t="str">
        <f>VLOOKUP(B3892,辅助信息!E:I,3,FALSE)</f>
        <v>（华西简阳西城嘉苑）四川省成都市简阳市简城街道高屋村</v>
      </c>
      <c r="J3892" s="41" t="str">
        <f>VLOOKUP(B3892,辅助信息!E:I,4,FALSE)</f>
        <v>张瀚镭</v>
      </c>
      <c r="K3892" s="41">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30</v>
      </c>
      <c r="Q3892" s="30" t="str">
        <f>VLOOKUP(B3892,辅助信息!E:M,9,FALSE)</f>
        <v>ZTWM-CDGS-XS-2024-0030-华西集采-简州大道</v>
      </c>
      <c r="R3892" s="30" t="str">
        <f>_xlfn._xlws.FILTER(辅助信息!D:D,辅助信息!E:E=B3892)</f>
        <v>华西简阳西城嘉苑</v>
      </c>
    </row>
    <row r="3893" hidden="1" spans="2:18">
      <c r="B3893" s="136" t="s">
        <v>186</v>
      </c>
      <c r="C3893" s="71">
        <v>45928</v>
      </c>
      <c r="D3893" s="41" t="str">
        <f>VLOOKUP(B3893,辅助信息!E:K,7,FALSE)</f>
        <v>JWDDCD2025072900123</v>
      </c>
      <c r="E3893" s="41" t="str">
        <f>VLOOKUP(F3893,辅助信息!A:B,2,FALSE)</f>
        <v>螺纹钢</v>
      </c>
      <c r="F3893" s="41" t="s">
        <v>111</v>
      </c>
      <c r="G3893" s="37">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1" t="str">
        <f>VLOOKUP(B3893,辅助信息!E:I,3,FALSE)</f>
        <v>(乐山市校地共建产教融合基地建设项目二标段)四川省乐山市市中区苏稽镇</v>
      </c>
      <c r="J3893" s="41" t="str">
        <f>VLOOKUP(B3893,辅助信息!E:I,4,FALSE)</f>
        <v>彭江涛</v>
      </c>
      <c r="K3893" s="41">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30</v>
      </c>
      <c r="Q3893" s="30" t="str">
        <f>VLOOKUP(B3893,辅助信息!E:M,9,FALSE)</f>
        <v>ZTWM-CDGS-XS-2025-0126-四川机司-乐山市校地共建产教融合基地配套设施项目施工二标段钢筋采购合同</v>
      </c>
      <c r="R3893" s="30" t="str">
        <f>_xlfn._xlws.FILTER(辅助信息!D:D,辅助信息!E:E=B3893)</f>
        <v>乐山市校地共建产教融合基地建设项目</v>
      </c>
    </row>
    <row r="3894" hidden="1" spans="2:18">
      <c r="B3894" s="136" t="s">
        <v>186</v>
      </c>
      <c r="C3894" s="71">
        <v>45928</v>
      </c>
      <c r="D3894" s="41" t="str">
        <f>VLOOKUP(B3894,辅助信息!E:K,7,FALSE)</f>
        <v>JWDDCD2025072900123</v>
      </c>
      <c r="E3894" s="41" t="str">
        <f>VLOOKUP(F3894,辅助信息!A:B,2,FALSE)</f>
        <v>螺纹钢</v>
      </c>
      <c r="F3894" s="41" t="s">
        <v>76</v>
      </c>
      <c r="G3894" s="37">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1" t="str">
        <f>VLOOKUP(B3894,辅助信息!E:I,3,FALSE)</f>
        <v>(乐山市校地共建产教融合基地建设项目二标段)四川省乐山市市中区苏稽镇</v>
      </c>
      <c r="J3894" s="41" t="str">
        <f>VLOOKUP(B3894,辅助信息!E:I,4,FALSE)</f>
        <v>彭江涛</v>
      </c>
      <c r="K3894" s="41">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30</v>
      </c>
      <c r="Q3894" s="30" t="str">
        <f>VLOOKUP(B3894,辅助信息!E:M,9,FALSE)</f>
        <v>ZTWM-CDGS-XS-2025-0126-四川机司-乐山市校地共建产教融合基地配套设施项目施工二标段钢筋采购合同</v>
      </c>
      <c r="R3894" s="30" t="str">
        <f>_xlfn._xlws.FILTER(辅助信息!D:D,辅助信息!E:E=B3894)</f>
        <v>乐山市校地共建产教融合基地建设项目</v>
      </c>
    </row>
    <row r="3895" hidden="1" spans="2:18">
      <c r="B3895" s="136" t="s">
        <v>186</v>
      </c>
      <c r="C3895" s="71">
        <v>45928</v>
      </c>
      <c r="D3895" s="41" t="str">
        <f>VLOOKUP(B3895,辅助信息!E:K,7,FALSE)</f>
        <v>JWDDCD2025072900123</v>
      </c>
      <c r="E3895" s="41" t="str">
        <f>VLOOKUP(F3895,辅助信息!A:B,2,FALSE)</f>
        <v>螺纹钢</v>
      </c>
      <c r="F3895" s="41" t="s">
        <v>197</v>
      </c>
      <c r="G3895" s="37">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1" t="str">
        <f>VLOOKUP(B3895,辅助信息!E:I,3,FALSE)</f>
        <v>(乐山市校地共建产教融合基地建设项目二标段)四川省乐山市市中区苏稽镇</v>
      </c>
      <c r="J3895" s="41" t="str">
        <f>VLOOKUP(B3895,辅助信息!E:I,4,FALSE)</f>
        <v>彭江涛</v>
      </c>
      <c r="K3895" s="41">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30</v>
      </c>
      <c r="Q3895" s="30" t="str">
        <f>VLOOKUP(B3895,辅助信息!E:M,9,FALSE)</f>
        <v>ZTWM-CDGS-XS-2025-0126-四川机司-乐山市校地共建产教融合基地配套设施项目施工二标段钢筋采购合同</v>
      </c>
      <c r="R3895" s="30" t="str">
        <f>_xlfn._xlws.FILTER(辅助信息!D:D,辅助信息!E:E=B3895)</f>
        <v>乐山市校地共建产教融合基地建设项目</v>
      </c>
    </row>
    <row r="3896" hidden="1" spans="2:18">
      <c r="B3896" s="136" t="s">
        <v>186</v>
      </c>
      <c r="C3896" s="71">
        <v>45928</v>
      </c>
      <c r="D3896" s="41" t="str">
        <f>VLOOKUP(B3896,辅助信息!E:K,7,FALSE)</f>
        <v>JWDDCD2025072900123</v>
      </c>
      <c r="E3896" s="41" t="str">
        <f>VLOOKUP(F3896,辅助信息!A:B,2,FALSE)</f>
        <v>螺纹钢</v>
      </c>
      <c r="F3896" s="41" t="s">
        <v>198</v>
      </c>
      <c r="G3896" s="37">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1" t="str">
        <f>VLOOKUP(B3896,辅助信息!E:I,3,FALSE)</f>
        <v>(乐山市校地共建产教融合基地建设项目二标段)四川省乐山市市中区苏稽镇</v>
      </c>
      <c r="J3896" s="41" t="str">
        <f>VLOOKUP(B3896,辅助信息!E:I,4,FALSE)</f>
        <v>彭江涛</v>
      </c>
      <c r="K3896" s="41">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30" t="str">
        <f>VLOOKUP(B3896,辅助信息!E:M,9,FALSE)</f>
        <v>ZTWM-CDGS-XS-2025-0126-四川机司-乐山市校地共建产教融合基地配套设施项目施工二标段钢筋采购合同</v>
      </c>
      <c r="R3896" s="30" t="str">
        <f>_xlfn._xlws.FILTER(辅助信息!D:D,辅助信息!E:E=B3896)</f>
        <v>乐山市校地共建产教融合基地建设项目</v>
      </c>
    </row>
    <row r="3897" hidden="1" spans="2:18">
      <c r="B3897" s="136" t="s">
        <v>186</v>
      </c>
      <c r="C3897" s="71">
        <v>45928</v>
      </c>
      <c r="D3897" s="41" t="str">
        <f>VLOOKUP(B3897,辅助信息!E:K,7,FALSE)</f>
        <v>JWDDCD2025072900123</v>
      </c>
      <c r="E3897" s="41" t="str">
        <f>VLOOKUP(F3897,辅助信息!A:B,2,FALSE)</f>
        <v>螺纹钢</v>
      </c>
      <c r="F3897" s="41" t="s">
        <v>199</v>
      </c>
      <c r="G3897" s="37">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1" t="str">
        <f>VLOOKUP(B3897,辅助信息!E:I,3,FALSE)</f>
        <v>(乐山市校地共建产教融合基地建设项目二标段)四川省乐山市市中区苏稽镇</v>
      </c>
      <c r="J3897" s="41" t="str">
        <f>VLOOKUP(B3897,辅助信息!E:I,4,FALSE)</f>
        <v>彭江涛</v>
      </c>
      <c r="K3897" s="41">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30</v>
      </c>
      <c r="Q3897" s="30" t="str">
        <f>VLOOKUP(B3897,辅助信息!E:M,9,FALSE)</f>
        <v>ZTWM-CDGS-XS-2025-0126-四川机司-乐山市校地共建产教融合基地配套设施项目施工二标段钢筋采购合同</v>
      </c>
      <c r="R3897" s="30" t="str">
        <f>_xlfn._xlws.FILTER(辅助信息!D:D,辅助信息!E:E=B3897)</f>
        <v>乐山市校地共建产教融合基地建设项目</v>
      </c>
    </row>
    <row r="3898" hidden="1" spans="2:18">
      <c r="B3898" s="136" t="s">
        <v>186</v>
      </c>
      <c r="C3898" s="71">
        <v>45928</v>
      </c>
      <c r="D3898" s="41" t="str">
        <f>VLOOKUP(B3898,辅助信息!E:K,7,FALSE)</f>
        <v>JWDDCD2025072900123</v>
      </c>
      <c r="E3898" s="41" t="str">
        <f>VLOOKUP(F3898,辅助信息!A:B,2,FALSE)</f>
        <v>螺纹钢</v>
      </c>
      <c r="F3898" s="41" t="s">
        <v>141</v>
      </c>
      <c r="G3898" s="37">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1" t="str">
        <f>VLOOKUP(B3898,辅助信息!E:I,3,FALSE)</f>
        <v>(乐山市校地共建产教融合基地建设项目二标段)四川省乐山市市中区苏稽镇</v>
      </c>
      <c r="J3898" s="41" t="str">
        <f>VLOOKUP(B3898,辅助信息!E:I,4,FALSE)</f>
        <v>彭江涛</v>
      </c>
      <c r="K3898" s="41">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30</v>
      </c>
      <c r="Q3898" s="30" t="str">
        <f>VLOOKUP(B3898,辅助信息!E:M,9,FALSE)</f>
        <v>ZTWM-CDGS-XS-2025-0126-四川机司-乐山市校地共建产教融合基地配套设施项目施工二标段钢筋采购合同</v>
      </c>
      <c r="R3898" s="30" t="str">
        <f>_xlfn._xlws.FILTER(辅助信息!D:D,辅助信息!E:E=B3898)</f>
        <v>乐山市校地共建产教融合基地建设项目</v>
      </c>
    </row>
    <row r="3899" hidden="1" spans="2:18">
      <c r="B3899" s="136" t="s">
        <v>186</v>
      </c>
      <c r="C3899" s="71">
        <v>45928</v>
      </c>
      <c r="D3899" s="41" t="str">
        <f>VLOOKUP(B3899,辅助信息!E:K,7,FALSE)</f>
        <v>JWDDCD2025072900123</v>
      </c>
      <c r="E3899" s="41" t="str">
        <f>VLOOKUP(F3899,辅助信息!A:B,2,FALSE)</f>
        <v>螺纹钢</v>
      </c>
      <c r="F3899" s="41" t="s">
        <v>22</v>
      </c>
      <c r="G3899" s="37">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1" t="str">
        <f>VLOOKUP(B3899,辅助信息!E:I,3,FALSE)</f>
        <v>(乐山市校地共建产教融合基地建设项目二标段)四川省乐山市市中区苏稽镇</v>
      </c>
      <c r="J3899" s="41" t="str">
        <f>VLOOKUP(B3899,辅助信息!E:I,4,FALSE)</f>
        <v>彭江涛</v>
      </c>
      <c r="K3899" s="41">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30</v>
      </c>
      <c r="Q3899" s="30" t="str">
        <f>VLOOKUP(B3899,辅助信息!E:M,9,FALSE)</f>
        <v>ZTWM-CDGS-XS-2025-0126-四川机司-乐山市校地共建产教融合基地配套设施项目施工二标段钢筋采购合同</v>
      </c>
      <c r="R3899" s="30" t="str">
        <f>_xlfn._xlws.FILTER(辅助信息!D:D,辅助信息!E:E=B3899)</f>
        <v>乐山市校地共建产教融合基地建设项目</v>
      </c>
    </row>
    <row r="3900" hidden="1" spans="2:18">
      <c r="B3900" s="136" t="s">
        <v>186</v>
      </c>
      <c r="C3900" s="71">
        <v>45928</v>
      </c>
      <c r="D3900" s="41" t="str">
        <f>VLOOKUP(B3900,辅助信息!E:K,7,FALSE)</f>
        <v>JWDDCD2025072900123</v>
      </c>
      <c r="E3900" s="41" t="str">
        <f>VLOOKUP(F3900,辅助信息!A:B,2,FALSE)</f>
        <v>螺纹钢</v>
      </c>
      <c r="F3900" s="41" t="s">
        <v>142</v>
      </c>
      <c r="G3900" s="37">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1" t="str">
        <f>VLOOKUP(B3900,辅助信息!E:I,3,FALSE)</f>
        <v>(乐山市校地共建产教融合基地建设项目二标段)四川省乐山市市中区苏稽镇</v>
      </c>
      <c r="J3900" s="41" t="str">
        <f>VLOOKUP(B3900,辅助信息!E:I,4,FALSE)</f>
        <v>彭江涛</v>
      </c>
      <c r="K3900" s="41">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30</v>
      </c>
      <c r="Q3900" s="30" t="str">
        <f>VLOOKUP(B3900,辅助信息!E:M,9,FALSE)</f>
        <v>ZTWM-CDGS-XS-2025-0126-四川机司-乐山市校地共建产教融合基地配套设施项目施工二标段钢筋采购合同</v>
      </c>
      <c r="R3900" s="30" t="str">
        <f>_xlfn._xlws.FILTER(辅助信息!D:D,辅助信息!E:E=B3900)</f>
        <v>乐山市校地共建产教融合基地建设项目</v>
      </c>
    </row>
    <row r="3901" hidden="1" spans="2:18">
      <c r="B3901" s="136" t="s">
        <v>186</v>
      </c>
      <c r="C3901" s="71">
        <v>45928</v>
      </c>
      <c r="D3901" s="41" t="str">
        <f>VLOOKUP(B3901,辅助信息!E:K,7,FALSE)</f>
        <v>JWDDCD2025072900123</v>
      </c>
      <c r="E3901" s="41" t="str">
        <f>VLOOKUP(F3901,辅助信息!A:B,2,FALSE)</f>
        <v>螺纹钢</v>
      </c>
      <c r="F3901" s="41" t="s">
        <v>181</v>
      </c>
      <c r="G3901" s="37">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1" t="str">
        <f>VLOOKUP(B3901,辅助信息!E:I,3,FALSE)</f>
        <v>(乐山市校地共建产教融合基地建设项目二标段)四川省乐山市市中区苏稽镇</v>
      </c>
      <c r="J3901" s="41" t="str">
        <f>VLOOKUP(B3901,辅助信息!E:I,4,FALSE)</f>
        <v>彭江涛</v>
      </c>
      <c r="K3901" s="41">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30</v>
      </c>
      <c r="Q3901" s="30" t="str">
        <f>VLOOKUP(B3901,辅助信息!E:M,9,FALSE)</f>
        <v>ZTWM-CDGS-XS-2025-0126-四川机司-乐山市校地共建产教融合基地配套设施项目施工二标段钢筋采购合同</v>
      </c>
      <c r="R3901" s="30" t="str">
        <f>_xlfn._xlws.FILTER(辅助信息!D:D,辅助信息!E:E=B3901)</f>
        <v>乐山市校地共建产教融合基地建设项目</v>
      </c>
    </row>
    <row r="3902" hidden="1" spans="2:18">
      <c r="B3902" s="136" t="s">
        <v>186</v>
      </c>
      <c r="C3902" s="71">
        <v>45928</v>
      </c>
      <c r="D3902" s="41" t="str">
        <f>VLOOKUP(B3902,辅助信息!E:K,7,FALSE)</f>
        <v>JWDDCD2025072900123</v>
      </c>
      <c r="E3902" s="41" t="str">
        <f>VLOOKUP(F3902,辅助信息!A:B,2,FALSE)</f>
        <v>螺纹钢</v>
      </c>
      <c r="F3902" s="41" t="s">
        <v>200</v>
      </c>
      <c r="G3902" s="37">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1" t="str">
        <f>VLOOKUP(B3902,辅助信息!E:I,3,FALSE)</f>
        <v>(乐山市校地共建产教融合基地建设项目二标段)四川省乐山市市中区苏稽镇</v>
      </c>
      <c r="J3902" s="41" t="str">
        <f>VLOOKUP(B3902,辅助信息!E:I,4,FALSE)</f>
        <v>彭江涛</v>
      </c>
      <c r="K3902" s="41">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30</v>
      </c>
      <c r="Q3902" s="30" t="str">
        <f>VLOOKUP(B3902,辅助信息!E:M,9,FALSE)</f>
        <v>ZTWM-CDGS-XS-2025-0126-四川机司-乐山市校地共建产教融合基地配套设施项目施工二标段钢筋采购合同</v>
      </c>
      <c r="R3902" s="30" t="str">
        <f>_xlfn._xlws.FILTER(辅助信息!D:D,辅助信息!E:E=B3902)</f>
        <v>乐山市校地共建产教融合基地建设项目</v>
      </c>
    </row>
    <row r="3903" hidden="1" spans="2:18">
      <c r="B3903" s="136" t="s">
        <v>186</v>
      </c>
      <c r="C3903" s="71">
        <v>45928</v>
      </c>
      <c r="D3903" s="41" t="str">
        <f>VLOOKUP(B3903,辅助信息!E:K,7,FALSE)</f>
        <v>JWDDCD2025072900123</v>
      </c>
      <c r="E3903" s="41" t="str">
        <f>VLOOKUP(F3903,辅助信息!A:B,2,FALSE)</f>
        <v>盘螺</v>
      </c>
      <c r="F3903" s="41" t="s">
        <v>41</v>
      </c>
      <c r="G3903" s="37">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1" t="str">
        <f>VLOOKUP(B3903,辅助信息!E:I,3,FALSE)</f>
        <v>(乐山市校地共建产教融合基地建设项目二标段)四川省乐山市市中区苏稽镇</v>
      </c>
      <c r="J3903" s="41" t="str">
        <f>VLOOKUP(B3903,辅助信息!E:I,4,FALSE)</f>
        <v>彭江涛</v>
      </c>
      <c r="K3903" s="41">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30</v>
      </c>
      <c r="Q3903" s="30" t="str">
        <f>VLOOKUP(B3903,辅助信息!E:M,9,FALSE)</f>
        <v>ZTWM-CDGS-XS-2025-0126-四川机司-乐山市校地共建产教融合基地配套设施项目施工二标段钢筋采购合同</v>
      </c>
      <c r="R3903" s="30" t="str">
        <f>_xlfn._xlws.FILTER(辅助信息!D:D,辅助信息!E:E=B3903)</f>
        <v>乐山市校地共建产教融合基地建设项目</v>
      </c>
    </row>
    <row r="3904" hidden="1" spans="2:18">
      <c r="B3904" s="136" t="s">
        <v>186</v>
      </c>
      <c r="C3904" s="71">
        <v>45928</v>
      </c>
      <c r="D3904" s="41" t="str">
        <f>VLOOKUP(B3904,辅助信息!E:K,7,FALSE)</f>
        <v>JWDDCD2025072900123</v>
      </c>
      <c r="E3904" s="41" t="str">
        <f>VLOOKUP(F3904,辅助信息!A:B,2,FALSE)</f>
        <v>盘螺</v>
      </c>
      <c r="F3904" s="41" t="s">
        <v>26</v>
      </c>
      <c r="G3904" s="37">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1" t="str">
        <f>VLOOKUP(B3904,辅助信息!E:I,3,FALSE)</f>
        <v>(乐山市校地共建产教融合基地建设项目二标段)四川省乐山市市中区苏稽镇</v>
      </c>
      <c r="J3904" s="41" t="str">
        <f>VLOOKUP(B3904,辅助信息!E:I,4,FALSE)</f>
        <v>彭江涛</v>
      </c>
      <c r="K3904" s="41">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30</v>
      </c>
      <c r="Q3904" s="30" t="str">
        <f>VLOOKUP(B3904,辅助信息!E:M,9,FALSE)</f>
        <v>ZTWM-CDGS-XS-2025-0126-四川机司-乐山市校地共建产教融合基地配套设施项目施工二标段钢筋采购合同</v>
      </c>
      <c r="R3904" s="30" t="str">
        <f>_xlfn._xlws.FILTER(辅助信息!D:D,辅助信息!E:E=B3904)</f>
        <v>乐山市校地共建产教融合基地建设项目</v>
      </c>
    </row>
    <row r="3905" hidden="1" spans="2:18">
      <c r="B3905" s="136" t="s">
        <v>186</v>
      </c>
      <c r="C3905" s="71">
        <v>45928</v>
      </c>
      <c r="D3905" s="41" t="str">
        <f>VLOOKUP(B3905,辅助信息!E:K,7,FALSE)</f>
        <v>JWDDCD2025072900123</v>
      </c>
      <c r="E3905" s="41" t="str">
        <f>VLOOKUP(F3905,辅助信息!A:B,2,FALSE)</f>
        <v>盘螺</v>
      </c>
      <c r="F3905" s="41" t="s">
        <v>40</v>
      </c>
      <c r="G3905" s="37">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1" t="str">
        <f>VLOOKUP(B3905,辅助信息!E:I,3,FALSE)</f>
        <v>(乐山市校地共建产教融合基地建设项目二标段)四川省乐山市市中区苏稽镇</v>
      </c>
      <c r="J3905" s="41" t="str">
        <f>VLOOKUP(B3905,辅助信息!E:I,4,FALSE)</f>
        <v>彭江涛</v>
      </c>
      <c r="K3905" s="41">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30</v>
      </c>
      <c r="Q3905" s="30" t="str">
        <f>VLOOKUP(B3905,辅助信息!E:M,9,FALSE)</f>
        <v>ZTWM-CDGS-XS-2025-0126-四川机司-乐山市校地共建产教融合基地配套设施项目施工二标段钢筋采购合同</v>
      </c>
      <c r="R3905" s="30" t="str">
        <f>_xlfn._xlws.FILTER(辅助信息!D:D,辅助信息!E:E=B3905)</f>
        <v>乐山市校地共建产教融合基地建设项目</v>
      </c>
    </row>
    <row r="3906" hidden="1" spans="2:18">
      <c r="B3906" s="136" t="s">
        <v>187</v>
      </c>
      <c r="C3906" s="71">
        <v>45928</v>
      </c>
      <c r="D3906" s="41" t="str">
        <f>VLOOKUP(B3906,辅助信息!E:K,7,FALSE)</f>
        <v>JWDDCD2025072900121</v>
      </c>
      <c r="E3906" s="41" t="str">
        <f>VLOOKUP(F3906,辅助信息!A:B,2,FALSE)</f>
        <v>螺纹钢</v>
      </c>
      <c r="F3906" s="41" t="s">
        <v>22</v>
      </c>
      <c r="G3906" s="37">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1" t="str">
        <f>VLOOKUP(B3906,辅助信息!E:I,3,FALSE)</f>
        <v>(乐山市校地共建产教融合基地建设项目一标段)四川省乐山市市中区苏稽镇周山嘴</v>
      </c>
      <c r="J3906" s="41" t="str">
        <f>VLOOKUP(B3906,辅助信息!E:I,4,FALSE)</f>
        <v>范增云</v>
      </c>
      <c r="K3906" s="41">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30</v>
      </c>
      <c r="Q3906" s="30" t="str">
        <f>VLOOKUP(B3906,辅助信息!E:M,9,FALSE)</f>
        <v>ZTWM-CDGS-XS-2025-0125-四川机司-乐山市校地共建产教融合基地配套设施项目施工一标段钢筋采购合同</v>
      </c>
      <c r="R3906" s="30" t="str">
        <f>_xlfn._xlws.FILTER(辅助信息!D:D,辅助信息!E:E=B3906)</f>
        <v>乐山市校地共建产教融合基地建设项目</v>
      </c>
    </row>
    <row r="3907" hidden="1" spans="2:18">
      <c r="B3907" s="136" t="s">
        <v>187</v>
      </c>
      <c r="C3907" s="71">
        <v>45928</v>
      </c>
      <c r="D3907" s="41" t="str">
        <f>VLOOKUP(B3907,辅助信息!E:K,7,FALSE)</f>
        <v>JWDDCD2025072900121</v>
      </c>
      <c r="E3907" s="41" t="str">
        <f>VLOOKUP(F3907,辅助信息!A:B,2,FALSE)</f>
        <v>盘螺</v>
      </c>
      <c r="F3907" s="41" t="s">
        <v>41</v>
      </c>
      <c r="G3907" s="37">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1" t="str">
        <f>VLOOKUP(B3907,辅助信息!E:I,3,FALSE)</f>
        <v>(乐山市校地共建产教融合基地建设项目一标段)四川省乐山市市中区苏稽镇周山嘴</v>
      </c>
      <c r="J3907" s="41" t="str">
        <f>VLOOKUP(B3907,辅助信息!E:I,4,FALSE)</f>
        <v>范增云</v>
      </c>
      <c r="K3907" s="41">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30</v>
      </c>
      <c r="Q3907" s="30" t="str">
        <f>VLOOKUP(B3907,辅助信息!E:M,9,FALSE)</f>
        <v>ZTWM-CDGS-XS-2025-0125-四川机司-乐山市校地共建产教融合基地配套设施项目施工一标段钢筋采购合同</v>
      </c>
      <c r="R3907" s="30" t="str">
        <f>_xlfn._xlws.FILTER(辅助信息!D:D,辅助信息!E:E=B3907)</f>
        <v>乐山市校地共建产教融合基地建设项目</v>
      </c>
    </row>
    <row r="3908" hidden="1" spans="2:18">
      <c r="B3908" s="136" t="s">
        <v>187</v>
      </c>
      <c r="C3908" s="71">
        <v>45928</v>
      </c>
      <c r="D3908" s="41" t="str">
        <f>VLOOKUP(B3908,辅助信息!E:K,7,FALSE)</f>
        <v>JWDDCD2025072900121</v>
      </c>
      <c r="E3908" s="41" t="str">
        <f>VLOOKUP(F3908,辅助信息!A:B,2,FALSE)</f>
        <v>盘螺</v>
      </c>
      <c r="F3908" s="41" t="s">
        <v>26</v>
      </c>
      <c r="G3908" s="37">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1" t="str">
        <f>VLOOKUP(B3908,辅助信息!E:I,3,FALSE)</f>
        <v>(乐山市校地共建产教融合基地建设项目一标段)四川省乐山市市中区苏稽镇周山嘴</v>
      </c>
      <c r="J3908" s="41" t="str">
        <f>VLOOKUP(B3908,辅助信息!E:I,4,FALSE)</f>
        <v>范增云</v>
      </c>
      <c r="K3908" s="41">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30</v>
      </c>
      <c r="Q3908" s="30" t="str">
        <f>VLOOKUP(B3908,辅助信息!E:M,9,FALSE)</f>
        <v>ZTWM-CDGS-XS-2025-0125-四川机司-乐山市校地共建产教融合基地配套设施项目施工一标段钢筋采购合同</v>
      </c>
      <c r="R3908" s="30" t="str">
        <f>_xlfn._xlws.FILTER(辅助信息!D:D,辅助信息!E:E=B3908)</f>
        <v>乐山市校地共建产教融合基地建设项目</v>
      </c>
    </row>
    <row r="3909" hidden="1" spans="2:18">
      <c r="B3909" s="136" t="s">
        <v>187</v>
      </c>
      <c r="C3909" s="71">
        <v>45928</v>
      </c>
      <c r="D3909" s="41" t="str">
        <f>VLOOKUP(B3909,辅助信息!E:K,7,FALSE)</f>
        <v>JWDDCD2025072900121</v>
      </c>
      <c r="E3909" s="41" t="str">
        <f>VLOOKUP(F3909,辅助信息!A:B,2,FALSE)</f>
        <v>盘螺</v>
      </c>
      <c r="F3909" s="41" t="s">
        <v>49</v>
      </c>
      <c r="G3909" s="37">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1" t="str">
        <f>VLOOKUP(B3909,辅助信息!E:I,3,FALSE)</f>
        <v>(乐山市校地共建产教融合基地建设项目一标段)四川省乐山市市中区苏稽镇周山嘴</v>
      </c>
      <c r="J3909" s="41" t="str">
        <f>VLOOKUP(B3909,辅助信息!E:I,4,FALSE)</f>
        <v>范增云</v>
      </c>
      <c r="K3909" s="41">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30</v>
      </c>
      <c r="Q3909" s="30" t="str">
        <f>VLOOKUP(B3909,辅助信息!E:M,9,FALSE)</f>
        <v>ZTWM-CDGS-XS-2025-0125-四川机司-乐山市校地共建产教融合基地配套设施项目施工一标段钢筋采购合同</v>
      </c>
      <c r="R3909" s="30" t="str">
        <f>_xlfn._xlws.FILTER(辅助信息!D:D,辅助信息!E:E=B3909)</f>
        <v>乐山市校地共建产教融合基地建设项目</v>
      </c>
    </row>
    <row r="3910" hidden="1" spans="2:18">
      <c r="B3910" s="136" t="s">
        <v>187</v>
      </c>
      <c r="C3910" s="71">
        <v>45928</v>
      </c>
      <c r="D3910" s="41" t="str">
        <f>VLOOKUP(B3910,辅助信息!E:K,7,FALSE)</f>
        <v>JWDDCD2025072900121</v>
      </c>
      <c r="E3910" s="41" t="str">
        <f>VLOOKUP(F3910,辅助信息!A:B,2,FALSE)</f>
        <v>盘螺</v>
      </c>
      <c r="F3910" s="41" t="s">
        <v>40</v>
      </c>
      <c r="G3910" s="37">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1" t="str">
        <f>VLOOKUP(B3910,辅助信息!E:I,3,FALSE)</f>
        <v>(乐山市校地共建产教融合基地建设项目一标段)四川省乐山市市中区苏稽镇周山嘴</v>
      </c>
      <c r="J3910" s="41" t="str">
        <f>VLOOKUP(B3910,辅助信息!E:I,4,FALSE)</f>
        <v>范增云</v>
      </c>
      <c r="K3910" s="41">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30</v>
      </c>
      <c r="Q3910" s="30" t="str">
        <f>VLOOKUP(B3910,辅助信息!E:M,9,FALSE)</f>
        <v>ZTWM-CDGS-XS-2025-0125-四川机司-乐山市校地共建产教融合基地配套设施项目施工一标段钢筋采购合同</v>
      </c>
      <c r="R3910" s="30" t="str">
        <f>_xlfn._xlws.FILTER(辅助信息!D:D,辅助信息!E:E=B3910)</f>
        <v>乐山市校地共建产教融合基地建设项目</v>
      </c>
    </row>
    <row r="3911" hidden="1" spans="2:18">
      <c r="B3911" s="136" t="s">
        <v>179</v>
      </c>
      <c r="C3911" s="71">
        <v>45928</v>
      </c>
      <c r="D3911" s="41" t="str">
        <f>VLOOKUP(B3911,辅助信息!E:K,7,FALSE)</f>
        <v>JWDDCD2025052800131</v>
      </c>
      <c r="E3911" s="41" t="str">
        <f>VLOOKUP(F3911,辅助信息!A:B,2,FALSE)</f>
        <v>螺纹钢</v>
      </c>
      <c r="F3911" s="41" t="s">
        <v>66</v>
      </c>
      <c r="G3911" s="37">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1" t="str">
        <f>VLOOKUP(B3911,辅助信息!E:I,3,FALSE)</f>
        <v>（商投建工达州中医药科技园-4工区-3号楼）达州市通川区达州中医药职业学院犀牛大道北段</v>
      </c>
      <c r="J3911" s="41" t="str">
        <f>VLOOKUP(B3911,辅助信息!E:I,4,FALSE)</f>
        <v>张扬</v>
      </c>
      <c r="K3911" s="41">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30</v>
      </c>
      <c r="Q3911" s="30" t="str">
        <f>VLOOKUP(B3911,辅助信息!E:M,9,FALSE)</f>
        <v>ZTWM-CDGS-XS-2024-0134-商投建工达州中医药科技成果示范园项目</v>
      </c>
      <c r="R3911" s="30" t="str">
        <f>_xlfn._xlws.FILTER(辅助信息!D:D,辅助信息!E:E=B3911)</f>
        <v>商投建工达州中医药科技园</v>
      </c>
    </row>
    <row r="3912" hidden="1" spans="2:18">
      <c r="B3912" s="136" t="s">
        <v>179</v>
      </c>
      <c r="C3912" s="71">
        <v>45928</v>
      </c>
      <c r="D3912" s="41" t="str">
        <f>VLOOKUP(B3912,辅助信息!E:K,7,FALSE)</f>
        <v>JWDDCD2025052800131</v>
      </c>
      <c r="E3912" s="41" t="str">
        <f>VLOOKUP(F3912,辅助信息!A:B,2,FALSE)</f>
        <v>螺纹钢</v>
      </c>
      <c r="F3912" s="41" t="s">
        <v>21</v>
      </c>
      <c r="G3912" s="37">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1" t="str">
        <f>VLOOKUP(B3912,辅助信息!E:I,3,FALSE)</f>
        <v>（商投建工达州中医药科技园-4工区-3号楼）达州市通川区达州中医药职业学院犀牛大道北段</v>
      </c>
      <c r="J3912" s="41" t="str">
        <f>VLOOKUP(B3912,辅助信息!E:I,4,FALSE)</f>
        <v>张扬</v>
      </c>
      <c r="K3912" s="41">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30</v>
      </c>
      <c r="Q3912" s="30" t="str">
        <f>VLOOKUP(B3912,辅助信息!E:M,9,FALSE)</f>
        <v>ZTWM-CDGS-XS-2024-0134-商投建工达州中医药科技成果示范园项目</v>
      </c>
      <c r="R3912" s="30" t="str">
        <f>_xlfn._xlws.FILTER(辅助信息!D:D,辅助信息!E:E=B3912)</f>
        <v>商投建工达州中医药科技园</v>
      </c>
    </row>
    <row r="3913" hidden="1" spans="2:18">
      <c r="B3913" s="136" t="s">
        <v>179</v>
      </c>
      <c r="C3913" s="71">
        <v>45928</v>
      </c>
      <c r="D3913" s="41" t="str">
        <f>VLOOKUP(B3913,辅助信息!E:K,7,FALSE)</f>
        <v>JWDDCD2025052800131</v>
      </c>
      <c r="E3913" s="41" t="str">
        <f>VLOOKUP(F3913,辅助信息!A:B,2,FALSE)</f>
        <v>螺纹钢</v>
      </c>
      <c r="F3913" s="41" t="s">
        <v>58</v>
      </c>
      <c r="G3913" s="37">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1" t="str">
        <f>VLOOKUP(B3913,辅助信息!E:I,3,FALSE)</f>
        <v>（商投建工达州中医药科技园-4工区-3号楼）达州市通川区达州中医药职业学院犀牛大道北段</v>
      </c>
      <c r="J3913" s="41" t="str">
        <f>VLOOKUP(B3913,辅助信息!E:I,4,FALSE)</f>
        <v>张扬</v>
      </c>
      <c r="K3913" s="41">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30</v>
      </c>
      <c r="Q3913" s="30" t="str">
        <f>VLOOKUP(B3913,辅助信息!E:M,9,FALSE)</f>
        <v>ZTWM-CDGS-XS-2024-0134-商投建工达州中医药科技成果示范园项目</v>
      </c>
      <c r="R3913" s="30"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31</v>
      </c>
      <c r="Q3914" s="30" t="str">
        <f>VLOOKUP(B3914,辅助信息!E:M,9,FALSE)</f>
        <v>ZTWM-CDGS-XS-2024-0134-商投建工达州中医药科技成果示范园项目</v>
      </c>
      <c r="R3914" s="30"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31</v>
      </c>
      <c r="Q3915" s="30" t="str">
        <f>VLOOKUP(B3915,辅助信息!E:M,9,FALSE)</f>
        <v>ZTWM-CDGS-XS-2024-0134-商投建工达州中医药科技成果示范园项目</v>
      </c>
      <c r="R3915" s="30" t="str">
        <f>_xlfn._xlws.FILTER(辅助信息!D:D,辅助信息!E:E=B3915)</f>
        <v>商投建工达州中医药科技园</v>
      </c>
    </row>
    <row r="3916" hidden="1" spans="2:18">
      <c r="B3916" s="136" t="s">
        <v>179</v>
      </c>
      <c r="C3916" s="71">
        <v>45928</v>
      </c>
      <c r="D3916" s="41" t="str">
        <f>VLOOKUP(B3916,辅助信息!E:K,7,FALSE)</f>
        <v>JWDDCD2025052800131</v>
      </c>
      <c r="E3916" s="41" t="str">
        <f>VLOOKUP(F3916,辅助信息!A:B,2,FALSE)</f>
        <v>盘螺</v>
      </c>
      <c r="F3916" s="41" t="s">
        <v>49</v>
      </c>
      <c r="G3916" s="37">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1" t="str">
        <f>VLOOKUP(B3916,辅助信息!E:I,3,FALSE)</f>
        <v>（商投建工达州中医药科技园-4工区-3号楼）达州市通川区达州中医药职业学院犀牛大道北段</v>
      </c>
      <c r="J3916" s="41" t="str">
        <f>VLOOKUP(B3916,辅助信息!E:I,4,FALSE)</f>
        <v>张扬</v>
      </c>
      <c r="K3916" s="41">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30</v>
      </c>
      <c r="Q3916" s="30" t="str">
        <f>VLOOKUP(B3916,辅助信息!E:M,9,FALSE)</f>
        <v>ZTWM-CDGS-XS-2024-0134-商投建工达州中医药科技成果示范园项目</v>
      </c>
      <c r="R3916" s="30" t="str">
        <f>_xlfn._xlws.FILTER(辅助信息!D:D,辅助信息!E:E=B3916)</f>
        <v>商投建工达州中医药科技园</v>
      </c>
    </row>
    <row r="3917" hidden="1" spans="2:18">
      <c r="B3917" s="136" t="s">
        <v>179</v>
      </c>
      <c r="C3917" s="71">
        <v>45928</v>
      </c>
      <c r="D3917" s="41" t="str">
        <f>VLOOKUP(B3917,辅助信息!E:K,7,FALSE)</f>
        <v>JWDDCD2025052800131</v>
      </c>
      <c r="E3917" s="41" t="str">
        <f>VLOOKUP(F3917,辅助信息!A:B,2,FALSE)</f>
        <v>盘螺</v>
      </c>
      <c r="F3917" s="41" t="s">
        <v>40</v>
      </c>
      <c r="G3917" s="37">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1" t="str">
        <f>VLOOKUP(B3917,辅助信息!E:I,3,FALSE)</f>
        <v>（商投建工达州中医药科技园-4工区-3号楼）达州市通川区达州中医药职业学院犀牛大道北段</v>
      </c>
      <c r="J3917" s="41" t="str">
        <f>VLOOKUP(B3917,辅助信息!E:I,4,FALSE)</f>
        <v>张扬</v>
      </c>
      <c r="K3917" s="41">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30</v>
      </c>
      <c r="Q3917" s="30" t="str">
        <f>VLOOKUP(B3917,辅助信息!E:M,9,FALSE)</f>
        <v>ZTWM-CDGS-XS-2024-0134-商投建工达州中医药科技成果示范园项目</v>
      </c>
      <c r="R3917" s="30" t="str">
        <f>_xlfn._xlws.FILTER(辅助信息!D:D,辅助信息!E:E=B3917)</f>
        <v>商投建工达州中医药科技园</v>
      </c>
    </row>
    <row r="3918" hidden="1" spans="2:18">
      <c r="B3918" s="136" t="s">
        <v>228</v>
      </c>
      <c r="C3918" s="71">
        <v>45928</v>
      </c>
      <c r="D3918" s="41" t="str">
        <f>VLOOKUP(B3918,辅助信息!E:K,7,FALSE)</f>
        <v>JWDDCD2025092400190</v>
      </c>
      <c r="E3918" s="41" t="str">
        <f>VLOOKUP(F3918,辅助信息!A:B,2,FALSE)</f>
        <v>螺纹钢</v>
      </c>
      <c r="F3918" s="41" t="s">
        <v>27</v>
      </c>
      <c r="G3918" s="37">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1" t="str">
        <f>VLOOKUP(B3918,辅助信息!E:I,3,FALSE)</f>
        <v>(五冶钢构龙泉东洪片区70亩住宅、商业及配套工程项目二标段)成都市龙泉驿外东洪路地铁2号线惠王陵地铁C口</v>
      </c>
      <c r="J3918" s="41" t="str">
        <f>VLOOKUP(B3918,辅助信息!E:I,4,FALSE)</f>
        <v>蒋嗣伟</v>
      </c>
      <c r="K3918" s="41">
        <f>VLOOKUP(J3918,辅助信息!H:I,2,FALSE)</f>
        <v>15014331252</v>
      </c>
      <c r="L3918" s="110">
        <f>VLOOKUP(B3918,辅助信息!E:J,6,FALSE)</f>
        <v>0</v>
      </c>
      <c r="M3918" s="149">
        <v>45929</v>
      </c>
      <c r="O3918" s="63">
        <f ca="1" t="shared" si="204"/>
        <v>0</v>
      </c>
      <c r="P3918" s="63">
        <f ca="1" t="shared" si="205"/>
        <v>30</v>
      </c>
      <c r="Q3918" s="30" t="str">
        <f>VLOOKUP(B3918,辅助信息!E:M,9,FALSE)</f>
        <v>ZTWM-CDGS-XS-2025-0156-五冶钢构-2025年九月第一批次钢筋采购合同(三圣乡项目)-中铁物贸成都公司</v>
      </c>
      <c r="R3918" s="30" t="str">
        <f>_xlfn._xlws.FILTER(辅助信息!D:D,辅助信息!E:E=B3918)</f>
        <v>五冶钢构龙泉东洪片区(70亩、85亩)住宅、商业及配套工程项目</v>
      </c>
    </row>
    <row r="3919" hidden="1" spans="2:18">
      <c r="B3919" s="136" t="s">
        <v>228</v>
      </c>
      <c r="C3919" s="71">
        <v>45928</v>
      </c>
      <c r="D3919" s="41" t="str">
        <f>VLOOKUP(B3919,辅助信息!E:K,7,FALSE)</f>
        <v>JWDDCD2025092400190</v>
      </c>
      <c r="E3919" s="41" t="str">
        <f>VLOOKUP(F3919,辅助信息!A:B,2,FALSE)</f>
        <v>螺纹钢</v>
      </c>
      <c r="F3919" s="41" t="s">
        <v>30</v>
      </c>
      <c r="G3919" s="37">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1" t="str">
        <f>VLOOKUP(B3919,辅助信息!E:I,3,FALSE)</f>
        <v>(五冶钢构龙泉东洪片区70亩住宅、商业及配套工程项目二标段)成都市龙泉驿外东洪路地铁2号线惠王陵地铁C口</v>
      </c>
      <c r="J3919" s="41" t="str">
        <f>VLOOKUP(B3919,辅助信息!E:I,4,FALSE)</f>
        <v>蒋嗣伟</v>
      </c>
      <c r="K3919" s="41">
        <f>VLOOKUP(J3919,辅助信息!H:I,2,FALSE)</f>
        <v>15014331252</v>
      </c>
      <c r="L3919" s="110">
        <f>VLOOKUP(B3919,辅助信息!E:J,6,FALSE)</f>
        <v>0</v>
      </c>
      <c r="M3919" s="149">
        <v>45929</v>
      </c>
      <c r="O3919" s="63">
        <f ca="1" t="shared" si="204"/>
        <v>0</v>
      </c>
      <c r="P3919" s="63">
        <f ca="1" t="shared" si="205"/>
        <v>30</v>
      </c>
      <c r="Q3919" s="30" t="str">
        <f>VLOOKUP(B3919,辅助信息!E:M,9,FALSE)</f>
        <v>ZTWM-CDGS-XS-2025-0156-五冶钢构-2025年九月第一批次钢筋采购合同(三圣乡项目)-中铁物贸成都公司</v>
      </c>
      <c r="R3919" s="30" t="str">
        <f>_xlfn._xlws.FILTER(辅助信息!D:D,辅助信息!E:E=B3919)</f>
        <v>五冶钢构龙泉东洪片区(70亩、85亩)住宅、商业及配套工程项目</v>
      </c>
    </row>
    <row r="3920" hidden="1" spans="2:18">
      <c r="B3920" s="136" t="s">
        <v>228</v>
      </c>
      <c r="C3920" s="71">
        <v>45928</v>
      </c>
      <c r="D3920" s="41" t="str">
        <f>VLOOKUP(B3920,辅助信息!E:K,7,FALSE)</f>
        <v>JWDDCD2025092400190</v>
      </c>
      <c r="E3920" s="41" t="str">
        <f>VLOOKUP(F3920,辅助信息!A:B,2,FALSE)</f>
        <v>螺纹钢</v>
      </c>
      <c r="F3920" s="41" t="s">
        <v>33</v>
      </c>
      <c r="G3920" s="37">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1" t="str">
        <f>VLOOKUP(B3920,辅助信息!E:I,3,FALSE)</f>
        <v>(五冶钢构龙泉东洪片区70亩住宅、商业及配套工程项目二标段)成都市龙泉驿外东洪路地铁2号线惠王陵地铁C口</v>
      </c>
      <c r="J3920" s="41" t="str">
        <f>VLOOKUP(B3920,辅助信息!E:I,4,FALSE)</f>
        <v>蒋嗣伟</v>
      </c>
      <c r="K3920" s="41">
        <f>VLOOKUP(J3920,辅助信息!H:I,2,FALSE)</f>
        <v>15014331252</v>
      </c>
      <c r="L3920" s="110">
        <f>VLOOKUP(B3920,辅助信息!E:J,6,FALSE)</f>
        <v>0</v>
      </c>
      <c r="M3920" s="149">
        <v>45929</v>
      </c>
      <c r="O3920" s="63">
        <f ca="1" t="shared" si="204"/>
        <v>0</v>
      </c>
      <c r="P3920" s="63">
        <f ca="1" t="shared" si="205"/>
        <v>30</v>
      </c>
      <c r="Q3920" s="30" t="str">
        <f>VLOOKUP(B3920,辅助信息!E:M,9,FALSE)</f>
        <v>ZTWM-CDGS-XS-2025-0156-五冶钢构-2025年九月第一批次钢筋采购合同(三圣乡项目)-中铁物贸成都公司</v>
      </c>
      <c r="R3920" s="30" t="str">
        <f>_xlfn._xlws.FILTER(辅助信息!D:D,辅助信息!E:E=B3920)</f>
        <v>五冶钢构龙泉东洪片区(70亩、85亩)住宅、商业及配套工程项目</v>
      </c>
    </row>
    <row r="3921" hidden="1" spans="2:18">
      <c r="B3921" s="136" t="s">
        <v>228</v>
      </c>
      <c r="C3921" s="71">
        <v>45928</v>
      </c>
      <c r="D3921" s="41" t="str">
        <f>VLOOKUP(B3921,辅助信息!E:K,7,FALSE)</f>
        <v>JWDDCD2025092400190</v>
      </c>
      <c r="E3921" s="41" t="str">
        <f>VLOOKUP(F3921,辅助信息!A:B,2,FALSE)</f>
        <v>螺纹钢</v>
      </c>
      <c r="F3921" s="41" t="s">
        <v>28</v>
      </c>
      <c r="G3921" s="37">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1" t="str">
        <f>VLOOKUP(B3921,辅助信息!E:I,3,FALSE)</f>
        <v>(五冶钢构龙泉东洪片区70亩住宅、商业及配套工程项目二标段)成都市龙泉驿外东洪路地铁2号线惠王陵地铁C口</v>
      </c>
      <c r="J3921" s="41" t="str">
        <f>VLOOKUP(B3921,辅助信息!E:I,4,FALSE)</f>
        <v>蒋嗣伟</v>
      </c>
      <c r="K3921" s="41">
        <f>VLOOKUP(J3921,辅助信息!H:I,2,FALSE)</f>
        <v>15014331252</v>
      </c>
      <c r="L3921" s="110">
        <f>VLOOKUP(B3921,辅助信息!E:J,6,FALSE)</f>
        <v>0</v>
      </c>
      <c r="M3921" s="149">
        <v>45929</v>
      </c>
      <c r="O3921" s="63">
        <f ca="1" t="shared" si="204"/>
        <v>0</v>
      </c>
      <c r="P3921" s="63">
        <f ca="1" t="shared" si="205"/>
        <v>30</v>
      </c>
      <c r="Q3921" s="30" t="str">
        <f>VLOOKUP(B3921,辅助信息!E:M,9,FALSE)</f>
        <v>ZTWM-CDGS-XS-2025-0156-五冶钢构-2025年九月第一批次钢筋采购合同(三圣乡项目)-中铁物贸成都公司</v>
      </c>
      <c r="R3921" s="30" t="str">
        <f>_xlfn._xlws.FILTER(辅助信息!D:D,辅助信息!E:E=B3921)</f>
        <v>五冶钢构龙泉东洪片区(70亩、85亩)住宅、商业及配套工程项目</v>
      </c>
    </row>
    <row r="3922" hidden="1" spans="2:18">
      <c r="B3922" s="136" t="s">
        <v>228</v>
      </c>
      <c r="C3922" s="71">
        <v>45928</v>
      </c>
      <c r="D3922" s="41" t="str">
        <f>VLOOKUP(B3922,辅助信息!E:K,7,FALSE)</f>
        <v>JWDDCD2025092400190</v>
      </c>
      <c r="E3922" s="41" t="str">
        <f>VLOOKUP(F3922,辅助信息!A:B,2,FALSE)</f>
        <v>螺纹钢</v>
      </c>
      <c r="F3922" s="41" t="s">
        <v>18</v>
      </c>
      <c r="G3922" s="37">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1" t="str">
        <f>VLOOKUP(B3922,辅助信息!E:I,3,FALSE)</f>
        <v>(五冶钢构龙泉东洪片区70亩住宅、商业及配套工程项目二标段)成都市龙泉驿外东洪路地铁2号线惠王陵地铁C口</v>
      </c>
      <c r="J3922" s="41" t="str">
        <f>VLOOKUP(B3922,辅助信息!E:I,4,FALSE)</f>
        <v>蒋嗣伟</v>
      </c>
      <c r="K3922" s="41">
        <f>VLOOKUP(J3922,辅助信息!H:I,2,FALSE)</f>
        <v>15014331252</v>
      </c>
      <c r="L3922" s="110">
        <f>VLOOKUP(B3922,辅助信息!E:J,6,FALSE)</f>
        <v>0</v>
      </c>
      <c r="M3922" s="149">
        <v>45929</v>
      </c>
      <c r="O3922" s="63">
        <f ca="1" t="shared" si="204"/>
        <v>0</v>
      </c>
      <c r="P3922" s="63">
        <f ca="1" t="shared" si="205"/>
        <v>30</v>
      </c>
      <c r="Q3922" s="30" t="str">
        <f>VLOOKUP(B3922,辅助信息!E:M,9,FALSE)</f>
        <v>ZTWM-CDGS-XS-2025-0156-五冶钢构-2025年九月第一批次钢筋采购合同(三圣乡项目)-中铁物贸成都公司</v>
      </c>
      <c r="R3922" s="30" t="str">
        <f>_xlfn._xlws.FILTER(辅助信息!D:D,辅助信息!E:E=B3922)</f>
        <v>五冶钢构龙泉东洪片区(70亩、85亩)住宅、商业及配套工程项目</v>
      </c>
    </row>
    <row r="3923" hidden="1" spans="2:18">
      <c r="B3923" s="136" t="s">
        <v>228</v>
      </c>
      <c r="C3923" s="71">
        <v>45928</v>
      </c>
      <c r="D3923" s="41" t="str">
        <f>VLOOKUP(B3923,辅助信息!E:K,7,FALSE)</f>
        <v>JWDDCD2025092400190</v>
      </c>
      <c r="E3923" s="41" t="str">
        <f>VLOOKUP(F3923,辅助信息!A:B,2,FALSE)</f>
        <v>盘螺</v>
      </c>
      <c r="F3923" s="41" t="s">
        <v>41</v>
      </c>
      <c r="G3923" s="37">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1" t="str">
        <f>VLOOKUP(B3923,辅助信息!E:I,3,FALSE)</f>
        <v>(五冶钢构龙泉东洪片区70亩住宅、商业及配套工程项目二标段)成都市龙泉驿外东洪路地铁2号线惠王陵地铁C口</v>
      </c>
      <c r="J3923" s="41" t="str">
        <f>VLOOKUP(B3923,辅助信息!E:I,4,FALSE)</f>
        <v>蒋嗣伟</v>
      </c>
      <c r="K3923" s="41">
        <f>VLOOKUP(J3923,辅助信息!H:I,2,FALSE)</f>
        <v>15014331252</v>
      </c>
      <c r="L3923" s="110">
        <f>VLOOKUP(B3923,辅助信息!E:J,6,FALSE)</f>
        <v>0</v>
      </c>
      <c r="M3923" s="149">
        <v>45929</v>
      </c>
      <c r="O3923" s="63">
        <f ca="1" t="shared" si="204"/>
        <v>0</v>
      </c>
      <c r="P3923" s="63">
        <f ca="1" t="shared" si="205"/>
        <v>30</v>
      </c>
      <c r="Q3923" s="30" t="str">
        <f>VLOOKUP(B3923,辅助信息!E:M,9,FALSE)</f>
        <v>ZTWM-CDGS-XS-2025-0156-五冶钢构-2025年九月第一批次钢筋采购合同(三圣乡项目)-中铁物贸成都公司</v>
      </c>
      <c r="R3923" s="30" t="str">
        <f>_xlfn._xlws.FILTER(辅助信息!D:D,辅助信息!E:E=B3923)</f>
        <v>五冶钢构龙泉东洪片区(70亩、85亩)住宅、商业及配套工程项目</v>
      </c>
    </row>
    <row r="3924" hidden="1" spans="2:18">
      <c r="B3924" s="136" t="s">
        <v>228</v>
      </c>
      <c r="C3924" s="71">
        <v>45928</v>
      </c>
      <c r="D3924" s="41" t="str">
        <f>VLOOKUP(B3924,辅助信息!E:K,7,FALSE)</f>
        <v>JWDDCD2025092400190</v>
      </c>
      <c r="E3924" s="41" t="str">
        <f>VLOOKUP(F3924,辅助信息!A:B,2,FALSE)</f>
        <v>盘螺</v>
      </c>
      <c r="F3924" s="41" t="s">
        <v>40</v>
      </c>
      <c r="G3924" s="37">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1" t="str">
        <f>VLOOKUP(B3924,辅助信息!E:I,3,FALSE)</f>
        <v>(五冶钢构龙泉东洪片区70亩住宅、商业及配套工程项目二标段)成都市龙泉驿外东洪路地铁2号线惠王陵地铁C口</v>
      </c>
      <c r="J3924" s="41" t="str">
        <f>VLOOKUP(B3924,辅助信息!E:I,4,FALSE)</f>
        <v>蒋嗣伟</v>
      </c>
      <c r="K3924" s="41">
        <f>VLOOKUP(J3924,辅助信息!H:I,2,FALSE)</f>
        <v>15014331252</v>
      </c>
      <c r="L3924" s="110">
        <f>VLOOKUP(B3924,辅助信息!E:J,6,FALSE)</f>
        <v>0</v>
      </c>
      <c r="M3924" s="149">
        <v>45929</v>
      </c>
      <c r="O3924" s="63">
        <f ca="1" t="shared" si="204"/>
        <v>0</v>
      </c>
      <c r="P3924" s="63">
        <f ca="1" t="shared" si="205"/>
        <v>30</v>
      </c>
      <c r="Q3924" s="30" t="str">
        <f>VLOOKUP(B3924,辅助信息!E:M,9,FALSE)</f>
        <v>ZTWM-CDGS-XS-2025-0156-五冶钢构-2025年九月第一批次钢筋采购合同(三圣乡项目)-中铁物贸成都公司</v>
      </c>
      <c r="R3924" s="30" t="str">
        <f>_xlfn._xlws.FILTER(辅助信息!D:D,辅助信息!E:E=B3924)</f>
        <v>五冶钢构龙泉东洪片区(70亩、85亩)住宅、商业及配套工程项目</v>
      </c>
    </row>
    <row r="3925" hidden="1" spans="2:18">
      <c r="B3925" s="136" t="s">
        <v>224</v>
      </c>
      <c r="C3925" s="71">
        <v>45928</v>
      </c>
      <c r="D3925" s="41" t="str">
        <f>VLOOKUP(B3925,辅助信息!E:K,7,FALSE)</f>
        <v>JWDDCD2025092400188</v>
      </c>
      <c r="E3925" s="41" t="str">
        <f>VLOOKUP(F3925,辅助信息!A:B,2,FALSE)</f>
        <v>螺纹钢</v>
      </c>
      <c r="F3925" s="41" t="s">
        <v>27</v>
      </c>
      <c r="G3925" s="37">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1" t="str">
        <f>VLOOKUP(B3925,辅助信息!E:I,3,FALSE)</f>
        <v>(五冶钢构龙泉东洪片区70亩住宅、商业及配套工程项目一标段)成都市龙泉驿外东洪路地铁2号线惠王陵地铁C口</v>
      </c>
      <c r="J3925" s="41" t="str">
        <f>VLOOKUP(B3925,辅助信息!E:I,4,FALSE)</f>
        <v>邹爱国</v>
      </c>
      <c r="K3925" s="41">
        <f>VLOOKUP(J3925,辅助信息!H:I,2,FALSE)</f>
        <v>13540231225</v>
      </c>
      <c r="L3925" s="110">
        <f>VLOOKUP(B3925,辅助信息!E:J,6,FALSE)</f>
        <v>0</v>
      </c>
      <c r="M3925" s="149">
        <v>45929</v>
      </c>
      <c r="O3925" s="63">
        <f ca="1" t="shared" si="204"/>
        <v>0</v>
      </c>
      <c r="P3925" s="63">
        <f ca="1" t="shared" si="205"/>
        <v>30</v>
      </c>
      <c r="Q3925" s="30" t="str">
        <f>VLOOKUP(B3925,辅助信息!E:M,9,FALSE)</f>
        <v>ZTWM-CDGS-XS-2025-0156-五冶钢构-2025年九月第一批次钢筋采购合同(三圣乡项目)-中铁物贸成都公司</v>
      </c>
      <c r="R3925" s="30" t="str">
        <f>_xlfn._xlws.FILTER(辅助信息!D:D,辅助信息!E:E=B3925)</f>
        <v>五冶钢构龙泉东洪片区(70亩、85亩)住宅、商业及配套工程项目</v>
      </c>
    </row>
    <row r="3926" hidden="1" spans="2:18">
      <c r="B3926" s="136" t="s">
        <v>224</v>
      </c>
      <c r="C3926" s="71">
        <v>45928</v>
      </c>
      <c r="D3926" s="41" t="str">
        <f>VLOOKUP(B3926,辅助信息!E:K,7,FALSE)</f>
        <v>JWDDCD2025092400188</v>
      </c>
      <c r="E3926" s="41" t="str">
        <f>VLOOKUP(F3926,辅助信息!A:B,2,FALSE)</f>
        <v>螺纹钢</v>
      </c>
      <c r="F3926" s="41" t="s">
        <v>19</v>
      </c>
      <c r="G3926" s="37">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1" t="str">
        <f>VLOOKUP(B3926,辅助信息!E:I,3,FALSE)</f>
        <v>(五冶钢构龙泉东洪片区70亩住宅、商业及配套工程项目一标段)成都市龙泉驿外东洪路地铁2号线惠王陵地铁C口</v>
      </c>
      <c r="J3926" s="41" t="str">
        <f>VLOOKUP(B3926,辅助信息!E:I,4,FALSE)</f>
        <v>邹爱国</v>
      </c>
      <c r="K3926" s="41">
        <f>VLOOKUP(J3926,辅助信息!H:I,2,FALSE)</f>
        <v>13540231225</v>
      </c>
      <c r="L3926" s="110">
        <f>VLOOKUP(B3926,辅助信息!E:J,6,FALSE)</f>
        <v>0</v>
      </c>
      <c r="M3926" s="149">
        <v>45929</v>
      </c>
      <c r="O3926" s="63">
        <f ca="1" t="shared" si="204"/>
        <v>0</v>
      </c>
      <c r="P3926" s="63">
        <f ca="1" t="shared" si="205"/>
        <v>30</v>
      </c>
      <c r="Q3926" s="30" t="str">
        <f>VLOOKUP(B3926,辅助信息!E:M,9,FALSE)</f>
        <v>ZTWM-CDGS-XS-2025-0156-五冶钢构-2025年九月第一批次钢筋采购合同(三圣乡项目)-中铁物贸成都公司</v>
      </c>
      <c r="R3926" s="30" t="str">
        <f>_xlfn._xlws.FILTER(辅助信息!D:D,辅助信息!E:E=B3926)</f>
        <v>五冶钢构龙泉东洪片区(70亩、85亩)住宅、商业及配套工程项目</v>
      </c>
    </row>
    <row r="3927" hidden="1" spans="2:18">
      <c r="B3927" s="136" t="s">
        <v>224</v>
      </c>
      <c r="C3927" s="71">
        <v>45928</v>
      </c>
      <c r="D3927" s="41" t="str">
        <f>VLOOKUP(B3927,辅助信息!E:K,7,FALSE)</f>
        <v>JWDDCD2025092400188</v>
      </c>
      <c r="E3927" s="41" t="str">
        <f>VLOOKUP(F3927,辅助信息!A:B,2,FALSE)</f>
        <v>螺纹钢</v>
      </c>
      <c r="F3927" s="41" t="s">
        <v>32</v>
      </c>
      <c r="G3927" s="37">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1" t="str">
        <f>VLOOKUP(B3927,辅助信息!E:I,3,FALSE)</f>
        <v>(五冶钢构龙泉东洪片区70亩住宅、商业及配套工程项目一标段)成都市龙泉驿外东洪路地铁2号线惠王陵地铁C口</v>
      </c>
      <c r="J3927" s="41" t="str">
        <f>VLOOKUP(B3927,辅助信息!E:I,4,FALSE)</f>
        <v>邹爱国</v>
      </c>
      <c r="K3927" s="41">
        <f>VLOOKUP(J3927,辅助信息!H:I,2,FALSE)</f>
        <v>13540231225</v>
      </c>
      <c r="L3927" s="110">
        <f>VLOOKUP(B3927,辅助信息!E:J,6,FALSE)</f>
        <v>0</v>
      </c>
      <c r="M3927" s="149">
        <v>45929</v>
      </c>
      <c r="O3927" s="63">
        <f ca="1" t="shared" si="204"/>
        <v>0</v>
      </c>
      <c r="P3927" s="63">
        <f ca="1" t="shared" si="205"/>
        <v>30</v>
      </c>
      <c r="Q3927" s="30" t="str">
        <f>VLOOKUP(B3927,辅助信息!E:M,9,FALSE)</f>
        <v>ZTWM-CDGS-XS-2025-0156-五冶钢构-2025年九月第一批次钢筋采购合同(三圣乡项目)-中铁物贸成都公司</v>
      </c>
      <c r="R3927" s="30" t="str">
        <f>_xlfn._xlws.FILTER(辅助信息!D:D,辅助信息!E:E=B3927)</f>
        <v>五冶钢构龙泉东洪片区(70亩、85亩)住宅、商业及配套工程项目</v>
      </c>
    </row>
    <row r="3928" hidden="1" spans="2:18">
      <c r="B3928" s="136" t="s">
        <v>224</v>
      </c>
      <c r="C3928" s="71">
        <v>45928</v>
      </c>
      <c r="D3928" s="41" t="str">
        <f>VLOOKUP(B3928,辅助信息!E:K,7,FALSE)</f>
        <v>JWDDCD2025092400188</v>
      </c>
      <c r="E3928" s="41" t="str">
        <f>VLOOKUP(F3928,辅助信息!A:B,2,FALSE)</f>
        <v>螺纹钢</v>
      </c>
      <c r="F3928" s="41" t="s">
        <v>30</v>
      </c>
      <c r="G3928" s="37">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1" t="str">
        <f>VLOOKUP(B3928,辅助信息!E:I,3,FALSE)</f>
        <v>(五冶钢构龙泉东洪片区70亩住宅、商业及配套工程项目一标段)成都市龙泉驿外东洪路地铁2号线惠王陵地铁C口</v>
      </c>
      <c r="J3928" s="41" t="str">
        <f>VLOOKUP(B3928,辅助信息!E:I,4,FALSE)</f>
        <v>邹爱国</v>
      </c>
      <c r="K3928" s="41">
        <f>VLOOKUP(J3928,辅助信息!H:I,2,FALSE)</f>
        <v>13540231225</v>
      </c>
      <c r="L3928" s="110">
        <f>VLOOKUP(B3928,辅助信息!E:J,6,FALSE)</f>
        <v>0</v>
      </c>
      <c r="M3928" s="149">
        <v>45929</v>
      </c>
      <c r="O3928" s="63">
        <f ca="1" t="shared" si="204"/>
        <v>0</v>
      </c>
      <c r="P3928" s="63">
        <f ca="1" t="shared" si="205"/>
        <v>30</v>
      </c>
      <c r="Q3928" s="30" t="str">
        <f>VLOOKUP(B3928,辅助信息!E:M,9,FALSE)</f>
        <v>ZTWM-CDGS-XS-2025-0156-五冶钢构-2025年九月第一批次钢筋采购合同(三圣乡项目)-中铁物贸成都公司</v>
      </c>
      <c r="R3928" s="30" t="str">
        <f>_xlfn._xlws.FILTER(辅助信息!D:D,辅助信息!E:E=B3928)</f>
        <v>五冶钢构龙泉东洪片区(70亩、85亩)住宅、商业及配套工程项目</v>
      </c>
    </row>
    <row r="3929" hidden="1" spans="2:18">
      <c r="B3929" s="136" t="s">
        <v>224</v>
      </c>
      <c r="C3929" s="71">
        <v>45928</v>
      </c>
      <c r="D3929" s="41" t="str">
        <f>VLOOKUP(B3929,辅助信息!E:K,7,FALSE)</f>
        <v>JWDDCD2025092400188</v>
      </c>
      <c r="E3929" s="41" t="str">
        <f>VLOOKUP(F3929,辅助信息!A:B,2,FALSE)</f>
        <v>螺纹钢</v>
      </c>
      <c r="F3929" s="41" t="s">
        <v>33</v>
      </c>
      <c r="G3929" s="37">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1" t="str">
        <f>VLOOKUP(B3929,辅助信息!E:I,3,FALSE)</f>
        <v>(五冶钢构龙泉东洪片区70亩住宅、商业及配套工程项目一标段)成都市龙泉驿外东洪路地铁2号线惠王陵地铁C口</v>
      </c>
      <c r="J3929" s="41" t="str">
        <f>VLOOKUP(B3929,辅助信息!E:I,4,FALSE)</f>
        <v>邹爱国</v>
      </c>
      <c r="K3929" s="41">
        <f>VLOOKUP(J3929,辅助信息!H:I,2,FALSE)</f>
        <v>13540231225</v>
      </c>
      <c r="L3929" s="110">
        <f>VLOOKUP(B3929,辅助信息!E:J,6,FALSE)</f>
        <v>0</v>
      </c>
      <c r="M3929" s="149">
        <v>45929</v>
      </c>
      <c r="O3929" s="63">
        <f ca="1" t="shared" si="204"/>
        <v>0</v>
      </c>
      <c r="P3929" s="63">
        <f ca="1" t="shared" si="205"/>
        <v>30</v>
      </c>
      <c r="Q3929" s="30" t="str">
        <f>VLOOKUP(B3929,辅助信息!E:M,9,FALSE)</f>
        <v>ZTWM-CDGS-XS-2025-0156-五冶钢构-2025年九月第一批次钢筋采购合同(三圣乡项目)-中铁物贸成都公司</v>
      </c>
      <c r="R3929" s="30" t="str">
        <f>_xlfn._xlws.FILTER(辅助信息!D:D,辅助信息!E:E=B3929)</f>
        <v>五冶钢构龙泉东洪片区(70亩、85亩)住宅、商业及配套工程项目</v>
      </c>
    </row>
    <row r="3930" hidden="1" spans="2:18">
      <c r="B3930" s="136" t="s">
        <v>224</v>
      </c>
      <c r="C3930" s="71">
        <v>45928</v>
      </c>
      <c r="D3930" s="41" t="str">
        <f>VLOOKUP(B3930,辅助信息!E:K,7,FALSE)</f>
        <v>JWDDCD2025092400188</v>
      </c>
      <c r="E3930" s="41" t="str">
        <f>VLOOKUP(F3930,辅助信息!A:B,2,FALSE)</f>
        <v>螺纹钢</v>
      </c>
      <c r="F3930" s="41" t="s">
        <v>28</v>
      </c>
      <c r="G3930" s="37">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1" t="str">
        <f>VLOOKUP(B3930,辅助信息!E:I,3,FALSE)</f>
        <v>(五冶钢构龙泉东洪片区70亩住宅、商业及配套工程项目一标段)成都市龙泉驿外东洪路地铁2号线惠王陵地铁C口</v>
      </c>
      <c r="J3930" s="41" t="str">
        <f>VLOOKUP(B3930,辅助信息!E:I,4,FALSE)</f>
        <v>邹爱国</v>
      </c>
      <c r="K3930" s="41">
        <f>VLOOKUP(J3930,辅助信息!H:I,2,FALSE)</f>
        <v>13540231225</v>
      </c>
      <c r="L3930" s="110">
        <f>VLOOKUP(B3930,辅助信息!E:J,6,FALSE)</f>
        <v>0</v>
      </c>
      <c r="M3930" s="149">
        <v>45929</v>
      </c>
      <c r="O3930" s="63">
        <f ca="1" t="shared" si="204"/>
        <v>0</v>
      </c>
      <c r="P3930" s="63">
        <f ca="1" t="shared" si="205"/>
        <v>30</v>
      </c>
      <c r="Q3930" s="30" t="str">
        <f>VLOOKUP(B3930,辅助信息!E:M,9,FALSE)</f>
        <v>ZTWM-CDGS-XS-2025-0156-五冶钢构-2025年九月第一批次钢筋采购合同(三圣乡项目)-中铁物贸成都公司</v>
      </c>
      <c r="R3930" s="30" t="str">
        <f>_xlfn._xlws.FILTER(辅助信息!D:D,辅助信息!E:E=B3930)</f>
        <v>五冶钢构龙泉东洪片区(70亩、85亩)住宅、商业及配套工程项目</v>
      </c>
    </row>
    <row r="3931" hidden="1" spans="2:18">
      <c r="B3931" s="136" t="s">
        <v>226</v>
      </c>
      <c r="C3931" s="71">
        <v>45928</v>
      </c>
      <c r="D3931" s="41" t="str">
        <f>VLOOKUP(B3931,辅助信息!E:K,7,FALSE)</f>
        <v>JWDDCD2025092400211</v>
      </c>
      <c r="E3931" s="41" t="str">
        <f>VLOOKUP(F3931,辅助信息!A:B,2,FALSE)</f>
        <v>螺纹钢</v>
      </c>
      <c r="F3931" s="41" t="s">
        <v>32</v>
      </c>
      <c r="G3931" s="37">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1" t="str">
        <f>VLOOKUP(B3931,辅助信息!E:I,3,FALSE)</f>
        <v>(五冶钢构龙泉东洪片区85亩住宅、商业及配套工程项目二标段)成都市龙泉驿外东洪路地铁2号线惠王陵地铁C口</v>
      </c>
      <c r="J3931" s="41" t="str">
        <f>VLOOKUP(B3931,辅助信息!E:I,4,FALSE)</f>
        <v>李渊</v>
      </c>
      <c r="K3931" s="41">
        <f>VLOOKUP(J3931,辅助信息!H:I,2,FALSE)</f>
        <v>18381013849</v>
      </c>
      <c r="L3931" s="110">
        <f>VLOOKUP(B3931,辅助信息!E:J,6,FALSE)</f>
        <v>0</v>
      </c>
      <c r="M3931" s="149">
        <v>45929</v>
      </c>
      <c r="O3931" s="63">
        <f ca="1" t="shared" si="204"/>
        <v>0</v>
      </c>
      <c r="P3931" s="63">
        <f ca="1" t="shared" si="205"/>
        <v>30</v>
      </c>
      <c r="Q3931" s="30" t="str">
        <f>VLOOKUP(B3931,辅助信息!E:M,9,FALSE)</f>
        <v>ZTWM-CDGS-XS-2025-0156-五冶钢构-2025年九月第一批次钢筋采购合同(三圣乡项目)-中铁物贸成都公司</v>
      </c>
      <c r="R3931" s="30" t="str">
        <f>_xlfn._xlws.FILTER(辅助信息!D:D,辅助信息!E:E=B3931)</f>
        <v>五冶钢构龙泉东洪片区(70亩、85亩)住宅、商业及配套工程项目</v>
      </c>
    </row>
    <row r="3932" hidden="1" spans="2:18">
      <c r="B3932" s="136" t="s">
        <v>226</v>
      </c>
      <c r="C3932" s="71">
        <v>45928</v>
      </c>
      <c r="D3932" s="41" t="str">
        <f>VLOOKUP(B3932,辅助信息!E:K,7,FALSE)</f>
        <v>JWDDCD2025092400211</v>
      </c>
      <c r="E3932" s="41" t="str">
        <f>VLOOKUP(F3932,辅助信息!A:B,2,FALSE)</f>
        <v>螺纹钢</v>
      </c>
      <c r="F3932" s="41" t="s">
        <v>33</v>
      </c>
      <c r="G3932" s="37">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1" t="str">
        <f>VLOOKUP(B3932,辅助信息!E:I,3,FALSE)</f>
        <v>(五冶钢构龙泉东洪片区85亩住宅、商业及配套工程项目二标段)成都市龙泉驿外东洪路地铁2号线惠王陵地铁C口</v>
      </c>
      <c r="J3932" s="41" t="str">
        <f>VLOOKUP(B3932,辅助信息!E:I,4,FALSE)</f>
        <v>李渊</v>
      </c>
      <c r="K3932" s="41">
        <f>VLOOKUP(J3932,辅助信息!H:I,2,FALSE)</f>
        <v>18381013849</v>
      </c>
      <c r="L3932" s="110">
        <f>VLOOKUP(B3932,辅助信息!E:J,6,FALSE)</f>
        <v>0</v>
      </c>
      <c r="M3932" s="149">
        <v>45929</v>
      </c>
      <c r="O3932" s="63">
        <f ca="1" t="shared" si="204"/>
        <v>0</v>
      </c>
      <c r="P3932" s="63">
        <f ca="1" t="shared" si="205"/>
        <v>30</v>
      </c>
      <c r="Q3932" s="30" t="str">
        <f>VLOOKUP(B3932,辅助信息!E:M,9,FALSE)</f>
        <v>ZTWM-CDGS-XS-2025-0156-五冶钢构-2025年九月第一批次钢筋采购合同(三圣乡项目)-中铁物贸成都公司</v>
      </c>
      <c r="R3932" s="30" t="str">
        <f>_xlfn._xlws.FILTER(辅助信息!D:D,辅助信息!E:E=B3932)</f>
        <v>五冶钢构龙泉东洪片区(70亩、85亩)住宅、商业及配套工程项目</v>
      </c>
    </row>
    <row r="3933" hidden="1" spans="2:18">
      <c r="B3933" s="136" t="s">
        <v>226</v>
      </c>
      <c r="C3933" s="71">
        <v>45928</v>
      </c>
      <c r="D3933" s="41" t="str">
        <f>VLOOKUP(B3933,辅助信息!E:K,7,FALSE)</f>
        <v>JWDDCD2025092400211</v>
      </c>
      <c r="E3933" s="41" t="str">
        <f>VLOOKUP(F3933,辅助信息!A:B,2,FALSE)</f>
        <v>螺纹钢</v>
      </c>
      <c r="F3933" s="41" t="s">
        <v>46</v>
      </c>
      <c r="G3933" s="37">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1" t="str">
        <f>VLOOKUP(B3933,辅助信息!E:I,3,FALSE)</f>
        <v>(五冶钢构龙泉东洪片区85亩住宅、商业及配套工程项目二标段)成都市龙泉驿外东洪路地铁2号线惠王陵地铁C口</v>
      </c>
      <c r="J3933" s="41" t="str">
        <f>VLOOKUP(B3933,辅助信息!E:I,4,FALSE)</f>
        <v>李渊</v>
      </c>
      <c r="K3933" s="41">
        <f>VLOOKUP(J3933,辅助信息!H:I,2,FALSE)</f>
        <v>18381013849</v>
      </c>
      <c r="L3933" s="110">
        <f>VLOOKUP(B3933,辅助信息!E:J,6,FALSE)</f>
        <v>0</v>
      </c>
      <c r="M3933" s="149">
        <v>45929</v>
      </c>
      <c r="O3933" s="63">
        <f ca="1" t="shared" si="204"/>
        <v>0</v>
      </c>
      <c r="P3933" s="63">
        <f ca="1" t="shared" si="205"/>
        <v>30</v>
      </c>
      <c r="Q3933" s="30" t="str">
        <f>VLOOKUP(B3933,辅助信息!E:M,9,FALSE)</f>
        <v>ZTWM-CDGS-XS-2025-0156-五冶钢构-2025年九月第一批次钢筋采购合同(三圣乡项目)-中铁物贸成都公司</v>
      </c>
      <c r="R3933" s="30" t="str">
        <f>_xlfn._xlws.FILTER(辅助信息!D:D,辅助信息!E:E=B3933)</f>
        <v>五冶钢构龙泉东洪片区(70亩、85亩)住宅、商业及配套工程项目</v>
      </c>
    </row>
    <row r="3934" hidden="1" spans="2:18">
      <c r="B3934" s="136" t="s">
        <v>226</v>
      </c>
      <c r="C3934" s="71">
        <v>45928</v>
      </c>
      <c r="D3934" s="41" t="str">
        <f>VLOOKUP(B3934,辅助信息!E:K,7,FALSE)</f>
        <v>JWDDCD2025092400211</v>
      </c>
      <c r="E3934" s="41" t="str">
        <f>VLOOKUP(F3934,辅助信息!A:B,2,FALSE)</f>
        <v>盘螺</v>
      </c>
      <c r="F3934" s="41" t="s">
        <v>41</v>
      </c>
      <c r="G3934" s="37">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1" t="str">
        <f>VLOOKUP(B3934,辅助信息!E:I,3,FALSE)</f>
        <v>(五冶钢构龙泉东洪片区85亩住宅、商业及配套工程项目二标段)成都市龙泉驿外东洪路地铁2号线惠王陵地铁C口</v>
      </c>
      <c r="J3934" s="41" t="str">
        <f>VLOOKUP(B3934,辅助信息!E:I,4,FALSE)</f>
        <v>李渊</v>
      </c>
      <c r="K3934" s="41">
        <f>VLOOKUP(J3934,辅助信息!H:I,2,FALSE)</f>
        <v>18381013849</v>
      </c>
      <c r="L3934" s="110">
        <f>VLOOKUP(B3934,辅助信息!E:J,6,FALSE)</f>
        <v>0</v>
      </c>
      <c r="M3934" s="149">
        <v>45929</v>
      </c>
      <c r="O3934" s="63">
        <f ca="1" t="shared" si="204"/>
        <v>0</v>
      </c>
      <c r="P3934" s="63">
        <f ca="1" t="shared" si="205"/>
        <v>30</v>
      </c>
      <c r="Q3934" s="30" t="str">
        <f>VLOOKUP(B3934,辅助信息!E:M,9,FALSE)</f>
        <v>ZTWM-CDGS-XS-2025-0156-五冶钢构-2025年九月第一批次钢筋采购合同(三圣乡项目)-中铁物贸成都公司</v>
      </c>
      <c r="R3934" s="30" t="str">
        <f>_xlfn._xlws.FILTER(辅助信息!D:D,辅助信息!E:E=B3934)</f>
        <v>五冶钢构龙泉东洪片区(70亩、85亩)住宅、商业及配套工程项目</v>
      </c>
    </row>
    <row r="3935" hidden="1" spans="2:18">
      <c r="B3935" s="136" t="s">
        <v>226</v>
      </c>
      <c r="C3935" s="71">
        <v>45928</v>
      </c>
      <c r="D3935" s="41" t="str">
        <f>VLOOKUP(B3935,辅助信息!E:K,7,FALSE)</f>
        <v>JWDDCD2025092400211</v>
      </c>
      <c r="E3935" s="41" t="str">
        <f>VLOOKUP(F3935,辅助信息!A:B,2,FALSE)</f>
        <v>盘螺</v>
      </c>
      <c r="F3935" s="41" t="s">
        <v>49</v>
      </c>
      <c r="G3935" s="37">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1" t="str">
        <f>VLOOKUP(B3935,辅助信息!E:I,3,FALSE)</f>
        <v>(五冶钢构龙泉东洪片区85亩住宅、商业及配套工程项目二标段)成都市龙泉驿外东洪路地铁2号线惠王陵地铁C口</v>
      </c>
      <c r="J3935" s="41" t="str">
        <f>VLOOKUP(B3935,辅助信息!E:I,4,FALSE)</f>
        <v>李渊</v>
      </c>
      <c r="K3935" s="41">
        <f>VLOOKUP(J3935,辅助信息!H:I,2,FALSE)</f>
        <v>18381013849</v>
      </c>
      <c r="L3935" s="110">
        <f>VLOOKUP(B3935,辅助信息!E:J,6,FALSE)</f>
        <v>0</v>
      </c>
      <c r="M3935" s="149">
        <v>45929</v>
      </c>
      <c r="O3935" s="63">
        <f ca="1" t="shared" si="204"/>
        <v>0</v>
      </c>
      <c r="P3935" s="63">
        <f ca="1" t="shared" si="205"/>
        <v>30</v>
      </c>
      <c r="Q3935" s="30" t="str">
        <f>VLOOKUP(B3935,辅助信息!E:M,9,FALSE)</f>
        <v>ZTWM-CDGS-XS-2025-0156-五冶钢构-2025年九月第一批次钢筋采购合同(三圣乡项目)-中铁物贸成都公司</v>
      </c>
      <c r="R3935" s="30" t="str">
        <f>_xlfn._xlws.FILTER(辅助信息!D:D,辅助信息!E:E=B3935)</f>
        <v>五冶钢构龙泉东洪片区(70亩、85亩)住宅、商业及配套工程项目</v>
      </c>
    </row>
    <row r="3936" hidden="1" spans="2:18">
      <c r="B3936" s="136" t="s">
        <v>226</v>
      </c>
      <c r="C3936" s="71">
        <v>45928</v>
      </c>
      <c r="D3936" s="41" t="str">
        <f>VLOOKUP(B3936,辅助信息!E:K,7,FALSE)</f>
        <v>JWDDCD2025092400211</v>
      </c>
      <c r="E3936" s="41" t="str">
        <f>VLOOKUP(F3936,辅助信息!A:B,2,FALSE)</f>
        <v>盘螺</v>
      </c>
      <c r="F3936" s="41" t="s">
        <v>40</v>
      </c>
      <c r="G3936" s="37">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1" t="str">
        <f>VLOOKUP(B3936,辅助信息!E:I,3,FALSE)</f>
        <v>(五冶钢构龙泉东洪片区85亩住宅、商业及配套工程项目二标段)成都市龙泉驿外东洪路地铁2号线惠王陵地铁C口</v>
      </c>
      <c r="J3936" s="41" t="str">
        <f>VLOOKUP(B3936,辅助信息!E:I,4,FALSE)</f>
        <v>李渊</v>
      </c>
      <c r="K3936" s="41">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30</v>
      </c>
      <c r="Q3936" s="30" t="str">
        <f>VLOOKUP(B3936,辅助信息!E:M,9,FALSE)</f>
        <v>ZTWM-CDGS-XS-2025-0156-五冶钢构-2025年九月第一批次钢筋采购合同(三圣乡项目)-中铁物贸成都公司</v>
      </c>
      <c r="R3936" s="30" t="str">
        <f>_xlfn._xlws.FILTER(辅助信息!D:D,辅助信息!E:E=B3936)</f>
        <v>五冶钢构龙泉东洪片区(70亩、85亩)住宅、商业及配套工程项目</v>
      </c>
    </row>
    <row r="3937" hidden="1" spans="2:18">
      <c r="B3937" s="136" t="s">
        <v>229</v>
      </c>
      <c r="C3937" s="71">
        <v>45928</v>
      </c>
      <c r="D3937" s="41" t="str">
        <f>VLOOKUP(B3937,辅助信息!E:K,7,FALSE)</f>
        <v>JWDDCD2025092400212</v>
      </c>
      <c r="E3937" s="41" t="str">
        <f>VLOOKUP(F3937,辅助信息!A:B,2,FALSE)</f>
        <v>高线</v>
      </c>
      <c r="F3937" s="41" t="s">
        <v>57</v>
      </c>
      <c r="G3937" s="37">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1" t="str">
        <f>VLOOKUP(B3937,辅助信息!E:I,3,FALSE)</f>
        <v>(五冶钢构龙泉东洪片区85亩住宅、商业及配套工程项目三标段)成都市龙泉驿外东洪路地铁2号线惠王陵地铁C口</v>
      </c>
      <c r="J3937" s="41" t="str">
        <f>VLOOKUP(B3937,辅助信息!E:I,4,FALSE)</f>
        <v>王军宝</v>
      </c>
      <c r="K3937" s="41">
        <f>VLOOKUP(J3937,辅助信息!H:I,2,FALSE)</f>
        <v>13889142392</v>
      </c>
      <c r="L3937" s="110">
        <f>VLOOKUP(B3937,辅助信息!E:J,6,FALSE)</f>
        <v>0</v>
      </c>
      <c r="M3937" s="149">
        <v>45929</v>
      </c>
      <c r="O3937" s="63">
        <f ca="1" t="shared" si="206"/>
        <v>0</v>
      </c>
      <c r="P3937" s="63">
        <f ca="1" t="shared" si="207"/>
        <v>30</v>
      </c>
      <c r="Q3937" s="30" t="str">
        <f>VLOOKUP(B3937,辅助信息!E:M,9,FALSE)</f>
        <v>ZTWM-CDGS-XS-2025-0156-五冶钢构-2025年九月第一批次钢筋采购合同(三圣乡项目)-中铁物贸成都公司</v>
      </c>
      <c r="R3937" s="30" t="str">
        <f>_xlfn._xlws.FILTER(辅助信息!D:D,辅助信息!E:E=B3937)</f>
        <v>五冶钢构龙泉东洪片区(70亩、85亩)住宅、商业及配套工程项目</v>
      </c>
    </row>
    <row r="3938" hidden="1" spans="2:18">
      <c r="B3938" s="136" t="s">
        <v>229</v>
      </c>
      <c r="C3938" s="71">
        <v>45928</v>
      </c>
      <c r="D3938" s="41" t="str">
        <f>VLOOKUP(B3938,辅助信息!E:K,7,FALSE)</f>
        <v>JWDDCD2025092400212</v>
      </c>
      <c r="E3938" s="41" t="str">
        <f>VLOOKUP(F3938,辅助信息!A:B,2,FALSE)</f>
        <v>高线</v>
      </c>
      <c r="F3938" s="41" t="s">
        <v>53</v>
      </c>
      <c r="G3938" s="37">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1" t="str">
        <f>VLOOKUP(B3938,辅助信息!E:I,3,FALSE)</f>
        <v>(五冶钢构龙泉东洪片区85亩住宅、商业及配套工程项目三标段)成都市龙泉驿外东洪路地铁2号线惠王陵地铁C口</v>
      </c>
      <c r="J3938" s="41" t="str">
        <f>VLOOKUP(B3938,辅助信息!E:I,4,FALSE)</f>
        <v>王军宝</v>
      </c>
      <c r="K3938" s="41">
        <f>VLOOKUP(J3938,辅助信息!H:I,2,FALSE)</f>
        <v>13889142392</v>
      </c>
      <c r="L3938" s="110">
        <f>VLOOKUP(B3938,辅助信息!E:J,6,FALSE)</f>
        <v>0</v>
      </c>
      <c r="M3938" s="149">
        <v>45929</v>
      </c>
      <c r="O3938" s="63">
        <f ca="1" t="shared" si="206"/>
        <v>0</v>
      </c>
      <c r="P3938" s="63">
        <f ca="1" t="shared" si="207"/>
        <v>30</v>
      </c>
      <c r="Q3938" s="30" t="str">
        <f>VLOOKUP(B3938,辅助信息!E:M,9,FALSE)</f>
        <v>ZTWM-CDGS-XS-2025-0156-五冶钢构-2025年九月第一批次钢筋采购合同(三圣乡项目)-中铁物贸成都公司</v>
      </c>
      <c r="R3938" s="30" t="str">
        <f>_xlfn._xlws.FILTER(辅助信息!D:D,辅助信息!E:E=B3938)</f>
        <v>五冶钢构龙泉东洪片区(70亩、85亩)住宅、商业及配套工程项目</v>
      </c>
    </row>
    <row r="3939" hidden="1" spans="2:18">
      <c r="B3939" s="136" t="s">
        <v>229</v>
      </c>
      <c r="C3939" s="71">
        <v>45928</v>
      </c>
      <c r="D3939" s="41" t="str">
        <f>VLOOKUP(B3939,辅助信息!E:K,7,FALSE)</f>
        <v>JWDDCD2025092400212</v>
      </c>
      <c r="E3939" s="41" t="str">
        <f>VLOOKUP(F3939,辅助信息!A:B,2,FALSE)</f>
        <v>螺纹钢</v>
      </c>
      <c r="F3939" s="41" t="s">
        <v>27</v>
      </c>
      <c r="G3939" s="37">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1" t="str">
        <f>VLOOKUP(B3939,辅助信息!E:I,3,FALSE)</f>
        <v>(五冶钢构龙泉东洪片区85亩住宅、商业及配套工程项目三标段)成都市龙泉驿外东洪路地铁2号线惠王陵地铁C口</v>
      </c>
      <c r="J3939" s="41" t="str">
        <f>VLOOKUP(B3939,辅助信息!E:I,4,FALSE)</f>
        <v>王军宝</v>
      </c>
      <c r="K3939" s="41">
        <f>VLOOKUP(J3939,辅助信息!H:I,2,FALSE)</f>
        <v>13889142392</v>
      </c>
      <c r="L3939" s="110">
        <f>VLOOKUP(B3939,辅助信息!E:J,6,FALSE)</f>
        <v>0</v>
      </c>
      <c r="M3939" s="149">
        <v>45929</v>
      </c>
      <c r="O3939" s="63">
        <f ca="1" t="shared" si="206"/>
        <v>0</v>
      </c>
      <c r="P3939" s="63">
        <f ca="1" t="shared" si="207"/>
        <v>30</v>
      </c>
      <c r="Q3939" s="30" t="str">
        <f>VLOOKUP(B3939,辅助信息!E:M,9,FALSE)</f>
        <v>ZTWM-CDGS-XS-2025-0156-五冶钢构-2025年九月第一批次钢筋采购合同(三圣乡项目)-中铁物贸成都公司</v>
      </c>
      <c r="R3939" s="30" t="str">
        <f>_xlfn._xlws.FILTER(辅助信息!D:D,辅助信息!E:E=B3939)</f>
        <v>五冶钢构龙泉东洪片区(70亩、85亩)住宅、商业及配套工程项目</v>
      </c>
    </row>
    <row r="3940" hidden="1" spans="2:18">
      <c r="B3940" s="136" t="s">
        <v>229</v>
      </c>
      <c r="C3940" s="71">
        <v>45928</v>
      </c>
      <c r="D3940" s="41" t="str">
        <f>VLOOKUP(B3940,辅助信息!E:K,7,FALSE)</f>
        <v>JWDDCD2025092400212</v>
      </c>
      <c r="E3940" s="41" t="str">
        <f>VLOOKUP(F3940,辅助信息!A:B,2,FALSE)</f>
        <v>螺纹钢</v>
      </c>
      <c r="F3940" s="41" t="s">
        <v>19</v>
      </c>
      <c r="G3940" s="37">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1" t="str">
        <f>VLOOKUP(B3940,辅助信息!E:I,3,FALSE)</f>
        <v>(五冶钢构龙泉东洪片区85亩住宅、商业及配套工程项目三标段)成都市龙泉驿外东洪路地铁2号线惠王陵地铁C口</v>
      </c>
      <c r="J3940" s="41" t="str">
        <f>VLOOKUP(B3940,辅助信息!E:I,4,FALSE)</f>
        <v>王军宝</v>
      </c>
      <c r="K3940" s="41">
        <f>VLOOKUP(J3940,辅助信息!H:I,2,FALSE)</f>
        <v>13889142392</v>
      </c>
      <c r="L3940" s="110">
        <f>VLOOKUP(B3940,辅助信息!E:J,6,FALSE)</f>
        <v>0</v>
      </c>
      <c r="M3940" s="149">
        <v>45929</v>
      </c>
      <c r="O3940" s="63">
        <f ca="1" t="shared" si="206"/>
        <v>0</v>
      </c>
      <c r="P3940" s="63">
        <f ca="1" t="shared" si="207"/>
        <v>30</v>
      </c>
      <c r="Q3940" s="30" t="str">
        <f>VLOOKUP(B3940,辅助信息!E:M,9,FALSE)</f>
        <v>ZTWM-CDGS-XS-2025-0156-五冶钢构-2025年九月第一批次钢筋采购合同(三圣乡项目)-中铁物贸成都公司</v>
      </c>
      <c r="R3940" s="30" t="str">
        <f>_xlfn._xlws.FILTER(辅助信息!D:D,辅助信息!E:E=B3940)</f>
        <v>五冶钢构龙泉东洪片区(70亩、85亩)住宅、商业及配套工程项目</v>
      </c>
    </row>
    <row r="3941" hidden="1" spans="2:18">
      <c r="B3941" s="136" t="s">
        <v>229</v>
      </c>
      <c r="C3941" s="71">
        <v>45928</v>
      </c>
      <c r="D3941" s="41" t="str">
        <f>VLOOKUP(B3941,辅助信息!E:K,7,FALSE)</f>
        <v>JWDDCD2025092400212</v>
      </c>
      <c r="E3941" s="41" t="str">
        <f>VLOOKUP(F3941,辅助信息!A:B,2,FALSE)</f>
        <v>螺纹钢</v>
      </c>
      <c r="F3941" s="41" t="s">
        <v>32</v>
      </c>
      <c r="G3941" s="37">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1" t="str">
        <f>VLOOKUP(B3941,辅助信息!E:I,3,FALSE)</f>
        <v>(五冶钢构龙泉东洪片区85亩住宅、商业及配套工程项目三标段)成都市龙泉驿外东洪路地铁2号线惠王陵地铁C口</v>
      </c>
      <c r="J3941" s="41" t="str">
        <f>VLOOKUP(B3941,辅助信息!E:I,4,FALSE)</f>
        <v>王军宝</v>
      </c>
      <c r="K3941" s="41">
        <f>VLOOKUP(J3941,辅助信息!H:I,2,FALSE)</f>
        <v>13889142392</v>
      </c>
      <c r="L3941" s="110">
        <f>VLOOKUP(B3941,辅助信息!E:J,6,FALSE)</f>
        <v>0</v>
      </c>
      <c r="M3941" s="149">
        <v>45929</v>
      </c>
      <c r="O3941" s="63">
        <f ca="1" t="shared" si="206"/>
        <v>0</v>
      </c>
      <c r="P3941" s="63">
        <f ca="1" t="shared" si="207"/>
        <v>30</v>
      </c>
      <c r="Q3941" s="30" t="str">
        <f>VLOOKUP(B3941,辅助信息!E:M,9,FALSE)</f>
        <v>ZTWM-CDGS-XS-2025-0156-五冶钢构-2025年九月第一批次钢筋采购合同(三圣乡项目)-中铁物贸成都公司</v>
      </c>
      <c r="R3941" s="30" t="str">
        <f>_xlfn._xlws.FILTER(辅助信息!D:D,辅助信息!E:E=B3941)</f>
        <v>五冶钢构龙泉东洪片区(70亩、85亩)住宅、商业及配套工程项目</v>
      </c>
    </row>
    <row r="3942" hidden="1" spans="2:18">
      <c r="B3942" s="136" t="s">
        <v>229</v>
      </c>
      <c r="C3942" s="71">
        <v>45928</v>
      </c>
      <c r="D3942" s="41" t="str">
        <f>VLOOKUP(B3942,辅助信息!E:K,7,FALSE)</f>
        <v>JWDDCD2025092400212</v>
      </c>
      <c r="E3942" s="41" t="str">
        <f>VLOOKUP(F3942,辅助信息!A:B,2,FALSE)</f>
        <v>螺纹钢</v>
      </c>
      <c r="F3942" s="41" t="s">
        <v>30</v>
      </c>
      <c r="G3942" s="37">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1" t="str">
        <f>VLOOKUP(B3942,辅助信息!E:I,3,FALSE)</f>
        <v>(五冶钢构龙泉东洪片区85亩住宅、商业及配套工程项目三标段)成都市龙泉驿外东洪路地铁2号线惠王陵地铁C口</v>
      </c>
      <c r="J3942" s="41" t="str">
        <f>VLOOKUP(B3942,辅助信息!E:I,4,FALSE)</f>
        <v>王军宝</v>
      </c>
      <c r="K3942" s="41">
        <f>VLOOKUP(J3942,辅助信息!H:I,2,FALSE)</f>
        <v>13889142392</v>
      </c>
      <c r="L3942" s="110">
        <f>VLOOKUP(B3942,辅助信息!E:J,6,FALSE)</f>
        <v>0</v>
      </c>
      <c r="M3942" s="149">
        <v>45929</v>
      </c>
      <c r="O3942" s="63">
        <f ca="1" t="shared" si="206"/>
        <v>0</v>
      </c>
      <c r="P3942" s="63">
        <f ca="1" t="shared" si="207"/>
        <v>30</v>
      </c>
      <c r="Q3942" s="30" t="str">
        <f>VLOOKUP(B3942,辅助信息!E:M,9,FALSE)</f>
        <v>ZTWM-CDGS-XS-2025-0156-五冶钢构-2025年九月第一批次钢筋采购合同(三圣乡项目)-中铁物贸成都公司</v>
      </c>
      <c r="R3942" s="30" t="str">
        <f>_xlfn._xlws.FILTER(辅助信息!D:D,辅助信息!E:E=B3942)</f>
        <v>五冶钢构龙泉东洪片区(70亩、85亩)住宅、商业及配套工程项目</v>
      </c>
    </row>
    <row r="3943" hidden="1" spans="2:18">
      <c r="B3943" s="136" t="s">
        <v>229</v>
      </c>
      <c r="C3943" s="71">
        <v>45928</v>
      </c>
      <c r="D3943" s="41" t="str">
        <f>VLOOKUP(B3943,辅助信息!E:K,7,FALSE)</f>
        <v>JWDDCD2025092400212</v>
      </c>
      <c r="E3943" s="41" t="str">
        <f>VLOOKUP(F3943,辅助信息!A:B,2,FALSE)</f>
        <v>螺纹钢</v>
      </c>
      <c r="F3943" s="41" t="s">
        <v>33</v>
      </c>
      <c r="G3943" s="37">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1" t="str">
        <f>VLOOKUP(B3943,辅助信息!E:I,3,FALSE)</f>
        <v>(五冶钢构龙泉东洪片区85亩住宅、商业及配套工程项目三标段)成都市龙泉驿外东洪路地铁2号线惠王陵地铁C口</v>
      </c>
      <c r="J3943" s="41" t="str">
        <f>VLOOKUP(B3943,辅助信息!E:I,4,FALSE)</f>
        <v>王军宝</v>
      </c>
      <c r="K3943" s="41">
        <f>VLOOKUP(J3943,辅助信息!H:I,2,FALSE)</f>
        <v>13889142392</v>
      </c>
      <c r="L3943" s="110">
        <f>VLOOKUP(B3943,辅助信息!E:J,6,FALSE)</f>
        <v>0</v>
      </c>
      <c r="M3943" s="149">
        <v>45929</v>
      </c>
      <c r="O3943" s="63">
        <f ca="1" t="shared" si="206"/>
        <v>0</v>
      </c>
      <c r="P3943" s="63">
        <f ca="1" t="shared" si="207"/>
        <v>30</v>
      </c>
      <c r="Q3943" s="30" t="str">
        <f>VLOOKUP(B3943,辅助信息!E:M,9,FALSE)</f>
        <v>ZTWM-CDGS-XS-2025-0156-五冶钢构-2025年九月第一批次钢筋采购合同(三圣乡项目)-中铁物贸成都公司</v>
      </c>
      <c r="R3943" s="30" t="str">
        <f>_xlfn._xlws.FILTER(辅助信息!D:D,辅助信息!E:E=B3943)</f>
        <v>五冶钢构龙泉东洪片区(70亩、85亩)住宅、商业及配套工程项目</v>
      </c>
    </row>
    <row r="3944" hidden="1" spans="2:18">
      <c r="B3944" s="136" t="s">
        <v>229</v>
      </c>
      <c r="C3944" s="71">
        <v>45928</v>
      </c>
      <c r="D3944" s="41" t="str">
        <f>VLOOKUP(B3944,辅助信息!E:K,7,FALSE)</f>
        <v>JWDDCD2025092400212</v>
      </c>
      <c r="E3944" s="41" t="str">
        <f>VLOOKUP(F3944,辅助信息!A:B,2,FALSE)</f>
        <v>螺纹钢</v>
      </c>
      <c r="F3944" s="41" t="s">
        <v>28</v>
      </c>
      <c r="G3944" s="37">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1" t="str">
        <f>VLOOKUP(B3944,辅助信息!E:I,3,FALSE)</f>
        <v>(五冶钢构龙泉东洪片区85亩住宅、商业及配套工程项目三标段)成都市龙泉驿外东洪路地铁2号线惠王陵地铁C口</v>
      </c>
      <c r="J3944" s="41" t="str">
        <f>VLOOKUP(B3944,辅助信息!E:I,4,FALSE)</f>
        <v>王军宝</v>
      </c>
      <c r="K3944" s="41">
        <f>VLOOKUP(J3944,辅助信息!H:I,2,FALSE)</f>
        <v>13889142392</v>
      </c>
      <c r="L3944" s="110">
        <f>VLOOKUP(B3944,辅助信息!E:J,6,FALSE)</f>
        <v>0</v>
      </c>
      <c r="M3944" s="149">
        <v>45929</v>
      </c>
      <c r="O3944" s="63">
        <f ca="1" t="shared" si="206"/>
        <v>0</v>
      </c>
      <c r="P3944" s="63">
        <f ca="1" t="shared" si="207"/>
        <v>30</v>
      </c>
      <c r="Q3944" s="30" t="str">
        <f>VLOOKUP(B3944,辅助信息!E:M,9,FALSE)</f>
        <v>ZTWM-CDGS-XS-2025-0156-五冶钢构-2025年九月第一批次钢筋采购合同(三圣乡项目)-中铁物贸成都公司</v>
      </c>
      <c r="R3944" s="30" t="str">
        <f>_xlfn._xlws.FILTER(辅助信息!D:D,辅助信息!E:E=B3944)</f>
        <v>五冶钢构龙泉东洪片区(70亩、85亩)住宅、商业及配套工程项目</v>
      </c>
    </row>
    <row r="3945" hidden="1" spans="2:18">
      <c r="B3945" s="136" t="s">
        <v>229</v>
      </c>
      <c r="C3945" s="71">
        <v>45928</v>
      </c>
      <c r="D3945" s="41" t="str">
        <f>VLOOKUP(B3945,辅助信息!E:K,7,FALSE)</f>
        <v>JWDDCD2025092400212</v>
      </c>
      <c r="E3945" s="41" t="str">
        <f>VLOOKUP(F3945,辅助信息!A:B,2,FALSE)</f>
        <v>螺纹钢</v>
      </c>
      <c r="F3945" s="41" t="s">
        <v>18</v>
      </c>
      <c r="G3945" s="37">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1" t="str">
        <f>VLOOKUP(B3945,辅助信息!E:I,3,FALSE)</f>
        <v>(五冶钢构龙泉东洪片区85亩住宅、商业及配套工程项目三标段)成都市龙泉驿外东洪路地铁2号线惠王陵地铁C口</v>
      </c>
      <c r="J3945" s="41" t="str">
        <f>VLOOKUP(B3945,辅助信息!E:I,4,FALSE)</f>
        <v>王军宝</v>
      </c>
      <c r="K3945" s="41">
        <f>VLOOKUP(J3945,辅助信息!H:I,2,FALSE)</f>
        <v>13889142392</v>
      </c>
      <c r="L3945" s="110">
        <f>VLOOKUP(B3945,辅助信息!E:J,6,FALSE)</f>
        <v>0</v>
      </c>
      <c r="M3945" s="149">
        <v>45929</v>
      </c>
      <c r="O3945" s="63">
        <f ca="1" t="shared" si="206"/>
        <v>0</v>
      </c>
      <c r="P3945" s="63">
        <f ca="1" t="shared" si="207"/>
        <v>30</v>
      </c>
      <c r="Q3945" s="30" t="str">
        <f>VLOOKUP(B3945,辅助信息!E:M,9,FALSE)</f>
        <v>ZTWM-CDGS-XS-2025-0156-五冶钢构-2025年九月第一批次钢筋采购合同(三圣乡项目)-中铁物贸成都公司</v>
      </c>
      <c r="R3945" s="30" t="str">
        <f>_xlfn._xlws.FILTER(辅助信息!D:D,辅助信息!E:E=B3945)</f>
        <v>五冶钢构龙泉东洪片区(70亩、85亩)住宅、商业及配套工程项目</v>
      </c>
    </row>
    <row r="3946" hidden="1" spans="2:18">
      <c r="B3946" s="136" t="s">
        <v>229</v>
      </c>
      <c r="C3946" s="71">
        <v>45928</v>
      </c>
      <c r="D3946" s="41" t="str">
        <f>VLOOKUP(B3946,辅助信息!E:K,7,FALSE)</f>
        <v>JWDDCD2025092400212</v>
      </c>
      <c r="E3946" s="41" t="str">
        <f>VLOOKUP(F3946,辅助信息!A:B,2,FALSE)</f>
        <v>螺纹钢</v>
      </c>
      <c r="F3946" s="41" t="s">
        <v>58</v>
      </c>
      <c r="G3946" s="37">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1" t="str">
        <f>VLOOKUP(B3946,辅助信息!E:I,3,FALSE)</f>
        <v>(五冶钢构龙泉东洪片区85亩住宅、商业及配套工程项目三标段)成都市龙泉驿外东洪路地铁2号线惠王陵地铁C口</v>
      </c>
      <c r="J3946" s="41" t="str">
        <f>VLOOKUP(B3946,辅助信息!E:I,4,FALSE)</f>
        <v>王军宝</v>
      </c>
      <c r="K3946" s="41">
        <f>VLOOKUP(J3946,辅助信息!H:I,2,FALSE)</f>
        <v>13889142392</v>
      </c>
      <c r="L3946" s="110">
        <f>VLOOKUP(B3946,辅助信息!E:J,6,FALSE)</f>
        <v>0</v>
      </c>
      <c r="M3946" s="149">
        <v>45929</v>
      </c>
      <c r="O3946" s="63">
        <f ca="1" t="shared" si="206"/>
        <v>0</v>
      </c>
      <c r="P3946" s="63">
        <f ca="1" t="shared" si="207"/>
        <v>30</v>
      </c>
      <c r="Q3946" s="30" t="str">
        <f>VLOOKUP(B3946,辅助信息!E:M,9,FALSE)</f>
        <v>ZTWM-CDGS-XS-2025-0156-五冶钢构-2025年九月第一批次钢筋采购合同(三圣乡项目)-中铁物贸成都公司</v>
      </c>
      <c r="R3946" s="30" t="str">
        <f>_xlfn._xlws.FILTER(辅助信息!D:D,辅助信息!E:E=B3946)</f>
        <v>五冶钢构龙泉东洪片区(70亩、85亩)住宅、商业及配套工程项目</v>
      </c>
    </row>
    <row r="3947" hidden="1" spans="2:18">
      <c r="B3947" s="136" t="s">
        <v>229</v>
      </c>
      <c r="C3947" s="71">
        <v>45928</v>
      </c>
      <c r="D3947" s="41" t="str">
        <f>VLOOKUP(B3947,辅助信息!E:K,7,FALSE)</f>
        <v>JWDDCD2025092400212</v>
      </c>
      <c r="E3947" s="41" t="str">
        <f>VLOOKUP(F3947,辅助信息!A:B,2,FALSE)</f>
        <v>螺纹钢</v>
      </c>
      <c r="F3947" s="41" t="s">
        <v>46</v>
      </c>
      <c r="G3947" s="37">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1" t="str">
        <f>VLOOKUP(B3947,辅助信息!E:I,3,FALSE)</f>
        <v>(五冶钢构龙泉东洪片区85亩住宅、商业及配套工程项目三标段)成都市龙泉驿外东洪路地铁2号线惠王陵地铁C口</v>
      </c>
      <c r="J3947" s="41" t="str">
        <f>VLOOKUP(B3947,辅助信息!E:I,4,FALSE)</f>
        <v>王军宝</v>
      </c>
      <c r="K3947" s="41">
        <f>VLOOKUP(J3947,辅助信息!H:I,2,FALSE)</f>
        <v>13889142392</v>
      </c>
      <c r="L3947" s="110">
        <f>VLOOKUP(B3947,辅助信息!E:J,6,FALSE)</f>
        <v>0</v>
      </c>
      <c r="M3947" s="149">
        <v>45929</v>
      </c>
      <c r="O3947" s="63">
        <f ca="1" t="shared" si="206"/>
        <v>0</v>
      </c>
      <c r="P3947" s="63">
        <f ca="1" t="shared" si="207"/>
        <v>30</v>
      </c>
      <c r="Q3947" s="30" t="str">
        <f>VLOOKUP(B3947,辅助信息!E:M,9,FALSE)</f>
        <v>ZTWM-CDGS-XS-2025-0156-五冶钢构-2025年九月第一批次钢筋采购合同(三圣乡项目)-中铁物贸成都公司</v>
      </c>
      <c r="R3947" s="30" t="str">
        <f>_xlfn._xlws.FILTER(辅助信息!D:D,辅助信息!E:E=B3947)</f>
        <v>五冶钢构龙泉东洪片区(70亩、85亩)住宅、商业及配套工程项目</v>
      </c>
    </row>
    <row r="3948" hidden="1" spans="2:18">
      <c r="B3948" s="136" t="s">
        <v>229</v>
      </c>
      <c r="C3948" s="71">
        <v>45928</v>
      </c>
      <c r="D3948" s="41" t="str">
        <f>VLOOKUP(B3948,辅助信息!E:K,7,FALSE)</f>
        <v>JWDDCD2025092400212</v>
      </c>
      <c r="E3948" s="41" t="str">
        <f>VLOOKUP(F3948,辅助信息!A:B,2,FALSE)</f>
        <v>螺纹钢</v>
      </c>
      <c r="F3948" s="41" t="s">
        <v>22</v>
      </c>
      <c r="G3948" s="37">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1" t="str">
        <f>VLOOKUP(B3948,辅助信息!E:I,3,FALSE)</f>
        <v>(五冶钢构龙泉东洪片区85亩住宅、商业及配套工程项目三标段)成都市龙泉驿外东洪路地铁2号线惠王陵地铁C口</v>
      </c>
      <c r="J3948" s="41" t="str">
        <f>VLOOKUP(B3948,辅助信息!E:I,4,FALSE)</f>
        <v>王军宝</v>
      </c>
      <c r="K3948" s="41">
        <f>VLOOKUP(J3948,辅助信息!H:I,2,FALSE)</f>
        <v>13889142392</v>
      </c>
      <c r="L3948" s="110">
        <f>VLOOKUP(B3948,辅助信息!E:J,6,FALSE)</f>
        <v>0</v>
      </c>
      <c r="M3948" s="149">
        <v>45929</v>
      </c>
      <c r="O3948" s="63">
        <f ca="1" t="shared" si="206"/>
        <v>0</v>
      </c>
      <c r="P3948" s="63">
        <f ca="1" t="shared" si="207"/>
        <v>30</v>
      </c>
      <c r="Q3948" s="30" t="str">
        <f>VLOOKUP(B3948,辅助信息!E:M,9,FALSE)</f>
        <v>ZTWM-CDGS-XS-2025-0156-五冶钢构-2025年九月第一批次钢筋采购合同(三圣乡项目)-中铁物贸成都公司</v>
      </c>
      <c r="R3948" s="30" t="str">
        <f>_xlfn._xlws.FILTER(辅助信息!D:D,辅助信息!E:E=B3948)</f>
        <v>五冶钢构龙泉东洪片区(70亩、85亩)住宅、商业及配套工程项目</v>
      </c>
    </row>
    <row r="3949" hidden="1" spans="2:18">
      <c r="B3949" s="136" t="s">
        <v>229</v>
      </c>
      <c r="C3949" s="71">
        <v>45928</v>
      </c>
      <c r="D3949" s="41" t="str">
        <f>VLOOKUP(B3949,辅助信息!E:K,7,FALSE)</f>
        <v>JWDDCD2025092400212</v>
      </c>
      <c r="E3949" s="41" t="str">
        <f>VLOOKUP(F3949,辅助信息!A:B,2,FALSE)</f>
        <v>盘螺</v>
      </c>
      <c r="F3949" s="41" t="s">
        <v>41</v>
      </c>
      <c r="G3949" s="37">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1" t="str">
        <f>VLOOKUP(B3949,辅助信息!E:I,3,FALSE)</f>
        <v>(五冶钢构龙泉东洪片区85亩住宅、商业及配套工程项目三标段)成都市龙泉驿外东洪路地铁2号线惠王陵地铁C口</v>
      </c>
      <c r="J3949" s="41" t="str">
        <f>VLOOKUP(B3949,辅助信息!E:I,4,FALSE)</f>
        <v>王军宝</v>
      </c>
      <c r="K3949" s="41">
        <f>VLOOKUP(J3949,辅助信息!H:I,2,FALSE)</f>
        <v>13889142392</v>
      </c>
      <c r="L3949" s="110">
        <f>VLOOKUP(B3949,辅助信息!E:J,6,FALSE)</f>
        <v>0</v>
      </c>
      <c r="M3949" s="149">
        <v>45929</v>
      </c>
      <c r="O3949" s="63">
        <f ca="1" t="shared" si="206"/>
        <v>0</v>
      </c>
      <c r="P3949" s="63">
        <f ca="1" t="shared" si="207"/>
        <v>30</v>
      </c>
      <c r="Q3949" s="30" t="str">
        <f>VLOOKUP(B3949,辅助信息!E:M,9,FALSE)</f>
        <v>ZTWM-CDGS-XS-2025-0156-五冶钢构-2025年九月第一批次钢筋采购合同(三圣乡项目)-中铁物贸成都公司</v>
      </c>
      <c r="R3949" s="30" t="str">
        <f>_xlfn._xlws.FILTER(辅助信息!D:D,辅助信息!E:E=B3949)</f>
        <v>五冶钢构龙泉东洪片区(70亩、85亩)住宅、商业及配套工程项目</v>
      </c>
    </row>
    <row r="3950" hidden="1" spans="2:18">
      <c r="B3950" s="136" t="s">
        <v>229</v>
      </c>
      <c r="C3950" s="71">
        <v>45928</v>
      </c>
      <c r="D3950" s="41" t="str">
        <f>VLOOKUP(B3950,辅助信息!E:K,7,FALSE)</f>
        <v>JWDDCD2025092400212</v>
      </c>
      <c r="E3950" s="41" t="str">
        <f>VLOOKUP(F3950,辅助信息!A:B,2,FALSE)</f>
        <v>盘螺</v>
      </c>
      <c r="F3950" s="41" t="s">
        <v>49</v>
      </c>
      <c r="G3950" s="37">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1" t="str">
        <f>VLOOKUP(B3950,辅助信息!E:I,3,FALSE)</f>
        <v>(五冶钢构龙泉东洪片区85亩住宅、商业及配套工程项目三标段)成都市龙泉驿外东洪路地铁2号线惠王陵地铁C口</v>
      </c>
      <c r="J3950" s="41" t="str">
        <f>VLOOKUP(B3950,辅助信息!E:I,4,FALSE)</f>
        <v>王军宝</v>
      </c>
      <c r="K3950" s="41">
        <f>VLOOKUP(J3950,辅助信息!H:I,2,FALSE)</f>
        <v>13889142392</v>
      </c>
      <c r="L3950" s="110">
        <f>VLOOKUP(B3950,辅助信息!E:J,6,FALSE)</f>
        <v>0</v>
      </c>
      <c r="M3950" s="149">
        <v>45929</v>
      </c>
      <c r="O3950" s="63">
        <f ca="1" t="shared" si="206"/>
        <v>0</v>
      </c>
      <c r="P3950" s="63">
        <f ca="1" t="shared" si="207"/>
        <v>30</v>
      </c>
      <c r="Q3950" s="30" t="str">
        <f>VLOOKUP(B3950,辅助信息!E:M,9,FALSE)</f>
        <v>ZTWM-CDGS-XS-2025-0156-五冶钢构-2025年九月第一批次钢筋采购合同(三圣乡项目)-中铁物贸成都公司</v>
      </c>
      <c r="R3950" s="30" t="str">
        <f>_xlfn._xlws.FILTER(辅助信息!D:D,辅助信息!E:E=B3950)</f>
        <v>五冶钢构龙泉东洪片区(70亩、85亩)住宅、商业及配套工程项目</v>
      </c>
    </row>
    <row r="3951" hidden="1" spans="2:18">
      <c r="B3951" s="136" t="s">
        <v>229</v>
      </c>
      <c r="C3951" s="71">
        <v>45928</v>
      </c>
      <c r="D3951" s="41" t="str">
        <f>VLOOKUP(B3951,辅助信息!E:K,7,FALSE)</f>
        <v>JWDDCD2025092400212</v>
      </c>
      <c r="E3951" s="41" t="str">
        <f>VLOOKUP(F3951,辅助信息!A:B,2,FALSE)</f>
        <v>盘螺</v>
      </c>
      <c r="F3951" s="41" t="s">
        <v>40</v>
      </c>
      <c r="G3951" s="37">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1" t="str">
        <f>VLOOKUP(B3951,辅助信息!E:I,3,FALSE)</f>
        <v>(五冶钢构龙泉东洪片区85亩住宅、商业及配套工程项目三标段)成都市龙泉驿外东洪路地铁2号线惠王陵地铁C口</v>
      </c>
      <c r="J3951" s="41" t="str">
        <f>VLOOKUP(B3951,辅助信息!E:I,4,FALSE)</f>
        <v>王军宝</v>
      </c>
      <c r="K3951" s="41">
        <f>VLOOKUP(J3951,辅助信息!H:I,2,FALSE)</f>
        <v>13889142392</v>
      </c>
      <c r="L3951" s="110">
        <f>VLOOKUP(B3951,辅助信息!E:J,6,FALSE)</f>
        <v>0</v>
      </c>
      <c r="M3951" s="149">
        <v>45929</v>
      </c>
      <c r="O3951" s="63">
        <f ca="1" t="shared" si="206"/>
        <v>0</v>
      </c>
      <c r="P3951" s="63">
        <f ca="1" t="shared" si="207"/>
        <v>30</v>
      </c>
      <c r="Q3951" s="30" t="str">
        <f>VLOOKUP(B3951,辅助信息!E:M,9,FALSE)</f>
        <v>ZTWM-CDGS-XS-2025-0156-五冶钢构-2025年九月第一批次钢筋采购合同(三圣乡项目)-中铁物贸成都公司</v>
      </c>
      <c r="R3951" s="30" t="str">
        <f>_xlfn._xlws.FILTER(辅助信息!D:D,辅助信息!E:E=B3951)</f>
        <v>五冶钢构龙泉东洪片区(70亩、85亩)住宅、商业及配套工程项目</v>
      </c>
    </row>
    <row r="3952" hidden="1" spans="2:18">
      <c r="B3952" s="136" t="s">
        <v>225</v>
      </c>
      <c r="C3952" s="71">
        <v>45928</v>
      </c>
      <c r="D3952" s="41" t="str">
        <f>VLOOKUP(B3952,辅助信息!E:K,7,FALSE)</f>
        <v>JWDDCD2025092400210</v>
      </c>
      <c r="E3952" s="41" t="str">
        <f>VLOOKUP(F3952,辅助信息!A:B,2,FALSE)</f>
        <v>高线</v>
      </c>
      <c r="F3952" s="41" t="s">
        <v>53</v>
      </c>
      <c r="G3952" s="37">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1" t="str">
        <f>VLOOKUP(B3952,辅助信息!E:I,3,FALSE)</f>
        <v>(五冶钢构龙泉东洪片区85亩住宅、商业及配套工程项目一标段)成都市龙泉驿外东洪路地铁2号线惠王陵地铁C口</v>
      </c>
      <c r="J3952" s="41" t="str">
        <f>VLOOKUP(B3952,辅助信息!E:I,4,FALSE)</f>
        <v>岳工</v>
      </c>
      <c r="K3952" s="41">
        <f>VLOOKUP(J3952,辅助信息!H:I,2,FALSE)</f>
        <v>18599951655</v>
      </c>
      <c r="L3952" s="110">
        <f>VLOOKUP(B3952,辅助信息!E:J,6,FALSE)</f>
        <v>0</v>
      </c>
      <c r="M3952" s="149">
        <v>45929</v>
      </c>
      <c r="O3952" s="63">
        <f ca="1" t="shared" si="206"/>
        <v>0</v>
      </c>
      <c r="P3952" s="63">
        <f ca="1" t="shared" si="207"/>
        <v>30</v>
      </c>
      <c r="Q3952" s="30" t="str">
        <f>VLOOKUP(B3952,辅助信息!E:M,9,FALSE)</f>
        <v>ZTWM-CDGS-XS-2025-0156-五冶钢构-2025年九月第一批次钢筋采购合同(三圣乡项目)-中铁物贸成都公司</v>
      </c>
      <c r="R3952" s="30" t="str">
        <f>_xlfn._xlws.FILTER(辅助信息!D:D,辅助信息!E:E=B3952)</f>
        <v>五冶钢构龙泉东洪片区(70亩、85亩)住宅、商业及配套工程项目</v>
      </c>
    </row>
    <row r="3953" hidden="1" spans="2:18">
      <c r="B3953" s="136" t="s">
        <v>225</v>
      </c>
      <c r="C3953" s="71">
        <v>45928</v>
      </c>
      <c r="D3953" s="41" t="str">
        <f>VLOOKUP(B3953,辅助信息!E:K,7,FALSE)</f>
        <v>JWDDCD2025092400210</v>
      </c>
      <c r="E3953" s="41" t="str">
        <f>VLOOKUP(F3953,辅助信息!A:B,2,FALSE)</f>
        <v>螺纹钢</v>
      </c>
      <c r="F3953" s="41" t="s">
        <v>28</v>
      </c>
      <c r="G3953" s="37">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1" t="str">
        <f>VLOOKUP(B3953,辅助信息!E:I,3,FALSE)</f>
        <v>(五冶钢构龙泉东洪片区85亩住宅、商业及配套工程项目一标段)成都市龙泉驿外东洪路地铁2号线惠王陵地铁C口</v>
      </c>
      <c r="J3953" s="41" t="str">
        <f>VLOOKUP(B3953,辅助信息!E:I,4,FALSE)</f>
        <v>岳工</v>
      </c>
      <c r="K3953" s="41">
        <f>VLOOKUP(J3953,辅助信息!H:I,2,FALSE)</f>
        <v>18599951655</v>
      </c>
      <c r="L3953" s="110">
        <f>VLOOKUP(B3953,辅助信息!E:J,6,FALSE)</f>
        <v>0</v>
      </c>
      <c r="M3953" s="149">
        <v>45929</v>
      </c>
      <c r="O3953" s="63">
        <f ca="1" t="shared" si="206"/>
        <v>0</v>
      </c>
      <c r="P3953" s="63">
        <f ca="1" t="shared" si="207"/>
        <v>30</v>
      </c>
      <c r="Q3953" s="30" t="str">
        <f>VLOOKUP(B3953,辅助信息!E:M,9,FALSE)</f>
        <v>ZTWM-CDGS-XS-2025-0156-五冶钢构-2025年九月第一批次钢筋采购合同(三圣乡项目)-中铁物贸成都公司</v>
      </c>
      <c r="R3953" s="30" t="str">
        <f>_xlfn._xlws.FILTER(辅助信息!D:D,辅助信息!E:E=B3953)</f>
        <v>五冶钢构龙泉东洪片区(70亩、85亩)住宅、商业及配套工程项目</v>
      </c>
    </row>
    <row r="3954" hidden="1" spans="2:18">
      <c r="B3954" s="136" t="s">
        <v>230</v>
      </c>
      <c r="C3954" s="71">
        <v>45928</v>
      </c>
      <c r="D3954" s="41" t="str">
        <f>VLOOKUP(B3954,辅助信息!E:K,7,FALSE)</f>
        <v>JWDDCD2025102100481</v>
      </c>
      <c r="E3954" s="41" t="str">
        <f>VLOOKUP(F3954,辅助信息!A:B,2,FALSE)</f>
        <v>螺纹钢</v>
      </c>
      <c r="F3954" s="41" t="s">
        <v>18</v>
      </c>
      <c r="G3954" s="37">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1" t="str">
        <f>VLOOKUP(B3954,辅助信息!E:I,3,FALSE)</f>
        <v>(五冶建设成都盐道街中学初中部改扩建工程-二标)四川省成都市锦江区春熙路街道盐道街4号（盐道街中学初中部）</v>
      </c>
      <c r="J3954" s="41" t="str">
        <f>VLOOKUP(B3954,辅助信息!E:I,4,FALSE)</f>
        <v>谢鑫</v>
      </c>
      <c r="K3954" s="41">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30</v>
      </c>
      <c r="Q3954" s="30" t="str">
        <f>VLOOKUP(B3954,辅助信息!E:M,9,FALSE)</f>
        <v>ZTWM-CDGS-XS-2025-0073-五冶天府-成都怡心湖片区及龙泉驿医院等项目</v>
      </c>
      <c r="R3954" s="30" t="str">
        <f>_xlfn._xlws.FILTER(辅助信息!D:D,辅助信息!E:E=B3954)</f>
        <v>五冶建设成都盐道街中学初中部改扩建工程</v>
      </c>
    </row>
    <row r="3955" hidden="1" spans="2:18">
      <c r="B3955" s="136" t="s">
        <v>230</v>
      </c>
      <c r="C3955" s="71">
        <v>45928</v>
      </c>
      <c r="D3955" s="41" t="str">
        <f>VLOOKUP(B3955,辅助信息!E:K,7,FALSE)</f>
        <v>JWDDCD2025102100481</v>
      </c>
      <c r="E3955" s="41" t="str">
        <f>VLOOKUP(F3955,辅助信息!A:B,2,FALSE)</f>
        <v>盘螺</v>
      </c>
      <c r="F3955" s="41" t="s">
        <v>41</v>
      </c>
      <c r="G3955" s="37">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1" t="str">
        <f>VLOOKUP(B3955,辅助信息!E:I,3,FALSE)</f>
        <v>(五冶建设成都盐道街中学初中部改扩建工程-二标)四川省成都市锦江区春熙路街道盐道街4号（盐道街中学初中部）</v>
      </c>
      <c r="J3955" s="41" t="str">
        <f>VLOOKUP(B3955,辅助信息!E:I,4,FALSE)</f>
        <v>谢鑫</v>
      </c>
      <c r="K3955" s="41">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30</v>
      </c>
      <c r="Q3955" s="30" t="str">
        <f>VLOOKUP(B3955,辅助信息!E:M,9,FALSE)</f>
        <v>ZTWM-CDGS-XS-2025-0073-五冶天府-成都怡心湖片区及龙泉驿医院等项目</v>
      </c>
      <c r="R3955" s="30" t="str">
        <f>_xlfn._xlws.FILTER(辅助信息!D:D,辅助信息!E:E=B3955)</f>
        <v>五冶建设成都盐道街中学初中部改扩建工程</v>
      </c>
    </row>
    <row r="3956" hidden="1" spans="2:18">
      <c r="B3956" s="136" t="s">
        <v>230</v>
      </c>
      <c r="C3956" s="71">
        <v>45928</v>
      </c>
      <c r="D3956" s="41" t="str">
        <f>VLOOKUP(B3956,辅助信息!E:K,7,FALSE)</f>
        <v>JWDDCD2025102100481</v>
      </c>
      <c r="E3956" s="41" t="str">
        <f>VLOOKUP(F3956,辅助信息!A:B,2,FALSE)</f>
        <v>盘螺</v>
      </c>
      <c r="F3956" s="41" t="s">
        <v>40</v>
      </c>
      <c r="G3956" s="37">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1" t="str">
        <f>VLOOKUP(B3956,辅助信息!E:I,3,FALSE)</f>
        <v>(五冶建设成都盐道街中学初中部改扩建工程-二标)四川省成都市锦江区春熙路街道盐道街4号（盐道街中学初中部）</v>
      </c>
      <c r="J3956" s="41" t="str">
        <f>VLOOKUP(B3956,辅助信息!E:I,4,FALSE)</f>
        <v>谢鑫</v>
      </c>
      <c r="K3956" s="41">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30</v>
      </c>
      <c r="Q3956" s="30" t="str">
        <f>VLOOKUP(B3956,辅助信息!E:M,9,FALSE)</f>
        <v>ZTWM-CDGS-XS-2025-0073-五冶天府-成都怡心湖片区及龙泉驿医院等项目</v>
      </c>
      <c r="R3956" s="30" t="str">
        <f>_xlfn._xlws.FILTER(辅助信息!D:D,辅助信息!E:E=B3956)</f>
        <v>五冶建设成都盐道街中学初中部改扩建工程</v>
      </c>
    </row>
    <row r="3957" hidden="1" spans="2:18">
      <c r="B3957" s="136" t="s">
        <v>231</v>
      </c>
      <c r="C3957" s="71">
        <v>45928</v>
      </c>
      <c r="D3957" s="41" t="str">
        <f>VLOOKUP(B3957,辅助信息!E:K,7,FALSE)</f>
        <v>JWDDCD2025102100481</v>
      </c>
      <c r="E3957" s="41" t="str">
        <f>VLOOKUP(F3957,辅助信息!A:B,2,FALSE)</f>
        <v>螺纹钢</v>
      </c>
      <c r="F3957" s="41" t="s">
        <v>19</v>
      </c>
      <c r="G3957" s="37">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1" t="str">
        <f>VLOOKUP(B3957,辅助信息!E:I,3,FALSE)</f>
        <v>(五冶建设成都盐道街中学初中部改扩建工程-一标)四川省成都市锦江区春熙路街道盐道街4号（盐道街中学初中部）</v>
      </c>
      <c r="J3957" s="41" t="str">
        <f>VLOOKUP(B3957,辅助信息!E:I,4,FALSE)</f>
        <v>谢鑫</v>
      </c>
      <c r="K3957" s="41">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30</v>
      </c>
      <c r="Q3957" s="30" t="str">
        <f>VLOOKUP(B3957,辅助信息!E:M,9,FALSE)</f>
        <v>ZTWM-CDGS-XS-2025-0073-五冶天府-成都怡心湖片区及龙泉驿医院等项目</v>
      </c>
      <c r="R3957" s="30" t="str">
        <f>_xlfn._xlws.FILTER(辅助信息!D:D,辅助信息!E:E=B3957)</f>
        <v>五冶建设成都盐道街中学初中部改扩建工程</v>
      </c>
    </row>
    <row r="3958" hidden="1" spans="2:18">
      <c r="B3958" s="136" t="s">
        <v>231</v>
      </c>
      <c r="C3958" s="71">
        <v>45928</v>
      </c>
      <c r="D3958" s="41" t="str">
        <f>VLOOKUP(B3958,辅助信息!E:K,7,FALSE)</f>
        <v>JWDDCD2025102100481</v>
      </c>
      <c r="E3958" s="41" t="str">
        <f>VLOOKUP(F3958,辅助信息!A:B,2,FALSE)</f>
        <v>螺纹钢</v>
      </c>
      <c r="F3958" s="41" t="s">
        <v>32</v>
      </c>
      <c r="G3958" s="37">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1" t="str">
        <f>VLOOKUP(B3958,辅助信息!E:I,3,FALSE)</f>
        <v>(五冶建设成都盐道街中学初中部改扩建工程-一标)四川省成都市锦江区春熙路街道盐道街4号（盐道街中学初中部）</v>
      </c>
      <c r="J3958" s="41" t="str">
        <f>VLOOKUP(B3958,辅助信息!E:I,4,FALSE)</f>
        <v>谢鑫</v>
      </c>
      <c r="K3958" s="41">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30</v>
      </c>
      <c r="Q3958" s="30" t="str">
        <f>VLOOKUP(B3958,辅助信息!E:M,9,FALSE)</f>
        <v>ZTWM-CDGS-XS-2025-0073-五冶天府-成都怡心湖片区及龙泉驿医院等项目</v>
      </c>
      <c r="R3958" s="30" t="str">
        <f>_xlfn._xlws.FILTER(辅助信息!D:D,辅助信息!E:E=B3958)</f>
        <v>五冶建设成都盐道街中学初中部改扩建工程</v>
      </c>
    </row>
    <row r="3959" hidden="1" spans="2:18">
      <c r="B3959" s="136" t="s">
        <v>231</v>
      </c>
      <c r="C3959" s="71">
        <v>45928</v>
      </c>
      <c r="D3959" s="41" t="str">
        <f>VLOOKUP(B3959,辅助信息!E:K,7,FALSE)</f>
        <v>JWDDCD2025102100481</v>
      </c>
      <c r="E3959" s="41" t="str">
        <f>VLOOKUP(F3959,辅助信息!A:B,2,FALSE)</f>
        <v>螺纹钢</v>
      </c>
      <c r="F3959" s="41" t="s">
        <v>28</v>
      </c>
      <c r="G3959" s="37">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1" t="str">
        <f>VLOOKUP(B3959,辅助信息!E:I,3,FALSE)</f>
        <v>(五冶建设成都盐道街中学初中部改扩建工程-一标)四川省成都市锦江区春熙路街道盐道街4号（盐道街中学初中部）</v>
      </c>
      <c r="J3959" s="41" t="str">
        <f>VLOOKUP(B3959,辅助信息!E:I,4,FALSE)</f>
        <v>谢鑫</v>
      </c>
      <c r="K3959" s="41">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30</v>
      </c>
      <c r="Q3959" s="30" t="str">
        <f>VLOOKUP(B3959,辅助信息!E:M,9,FALSE)</f>
        <v>ZTWM-CDGS-XS-2025-0073-五冶天府-成都怡心湖片区及龙泉驿医院等项目</v>
      </c>
      <c r="R3959" s="30" t="str">
        <f>_xlfn._xlws.FILTER(辅助信息!D:D,辅助信息!E:E=B3959)</f>
        <v>五冶建设成都盐道街中学初中部改扩建工程</v>
      </c>
    </row>
    <row r="3960" hidden="1" spans="2:18">
      <c r="B3960" s="136" t="s">
        <v>231</v>
      </c>
      <c r="C3960" s="71">
        <v>45928</v>
      </c>
      <c r="D3960" s="41" t="str">
        <f>VLOOKUP(B3960,辅助信息!E:K,7,FALSE)</f>
        <v>JWDDCD2025102100481</v>
      </c>
      <c r="E3960" s="41" t="str">
        <f>VLOOKUP(F3960,辅助信息!A:B,2,FALSE)</f>
        <v>盘螺</v>
      </c>
      <c r="F3960" s="41" t="s">
        <v>49</v>
      </c>
      <c r="G3960" s="37">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1" t="str">
        <f>VLOOKUP(B3960,辅助信息!E:I,3,FALSE)</f>
        <v>(五冶建设成都盐道街中学初中部改扩建工程-一标)四川省成都市锦江区春熙路街道盐道街4号（盐道街中学初中部）</v>
      </c>
      <c r="J3960" s="41" t="str">
        <f>VLOOKUP(B3960,辅助信息!E:I,4,FALSE)</f>
        <v>谢鑫</v>
      </c>
      <c r="K3960" s="41">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30</v>
      </c>
      <c r="Q3960" s="30" t="str">
        <f>VLOOKUP(B3960,辅助信息!E:M,9,FALSE)</f>
        <v>ZTWM-CDGS-XS-2025-0073-五冶天府-成都怡心湖片区及龙泉驿医院等项目</v>
      </c>
      <c r="R3960" s="30" t="str">
        <f>_xlfn._xlws.FILTER(辅助信息!D:D,辅助信息!E:E=B3960)</f>
        <v>五冶建设成都盐道街中学初中部改扩建工程</v>
      </c>
    </row>
    <row r="3961" hidden="1" spans="2:18">
      <c r="B3961" s="136" t="s">
        <v>167</v>
      </c>
      <c r="C3961" s="71">
        <v>45928</v>
      </c>
      <c r="D3961" s="41" t="str">
        <f>VLOOKUP(B3961,辅助信息!E:K,7,FALSE)</f>
        <v>JWDDCD2025102100473</v>
      </c>
      <c r="E3961" s="41" t="str">
        <f>VLOOKUP(F3961,辅助信息!A:B,2,FALSE)</f>
        <v>螺纹钢</v>
      </c>
      <c r="F3961" s="41" t="s">
        <v>21</v>
      </c>
      <c r="G3961" s="37">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1" t="str">
        <f>VLOOKUP(B3961,辅助信息!E:I,3,FALSE)</f>
        <v>(五冶建设扩建艺体中学二期工程)四川省成都市双流区光荣路成都艺体中学南200米</v>
      </c>
      <c r="J3961" s="41" t="str">
        <f>VLOOKUP(B3961,辅助信息!E:I,4,FALSE)</f>
        <v>谢序强</v>
      </c>
      <c r="K3961" s="41">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30</v>
      </c>
      <c r="Q3961" s="30" t="str">
        <f>VLOOKUP(B3961,辅助信息!E:M,9,FALSE)</f>
        <v>ZTWM-CDGS-XS-2025-0073-五冶天府-成都怡心湖片区及龙泉驿医院等项目</v>
      </c>
      <c r="R3961" s="30" t="str">
        <f>_xlfn._xlws.FILTER(辅助信息!D:D,辅助信息!E:E=B3961)</f>
        <v>五冶建设扩建艺体中学二期工程</v>
      </c>
    </row>
    <row r="3962" hidden="1" spans="2:18">
      <c r="B3962" s="136" t="s">
        <v>167</v>
      </c>
      <c r="C3962" s="71">
        <v>45928</v>
      </c>
      <c r="D3962" s="41" t="str">
        <f>VLOOKUP(B3962,辅助信息!E:K,7,FALSE)</f>
        <v>JWDDCD2025102100473</v>
      </c>
      <c r="E3962" s="41" t="str">
        <f>VLOOKUP(F3962,辅助信息!A:B,2,FALSE)</f>
        <v>螺纹钢</v>
      </c>
      <c r="F3962" s="41" t="s">
        <v>58</v>
      </c>
      <c r="G3962" s="37">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1" t="str">
        <f>VLOOKUP(B3962,辅助信息!E:I,3,FALSE)</f>
        <v>(五冶建设扩建艺体中学二期工程)四川省成都市双流区光荣路成都艺体中学南200米</v>
      </c>
      <c r="J3962" s="41" t="str">
        <f>VLOOKUP(B3962,辅助信息!E:I,4,FALSE)</f>
        <v>谢序强</v>
      </c>
      <c r="K3962" s="41">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30</v>
      </c>
      <c r="Q3962" s="30" t="str">
        <f>VLOOKUP(B3962,辅助信息!E:M,9,FALSE)</f>
        <v>ZTWM-CDGS-XS-2025-0073-五冶天府-成都怡心湖片区及龙泉驿医院等项目</v>
      </c>
      <c r="R3962" s="30" t="str">
        <f>_xlfn._xlws.FILTER(辅助信息!D:D,辅助信息!E:E=B3962)</f>
        <v>五冶建设扩建艺体中学二期工程</v>
      </c>
    </row>
    <row r="3963" hidden="1" spans="2:18">
      <c r="B3963" s="136" t="s">
        <v>167</v>
      </c>
      <c r="C3963" s="71">
        <v>45928</v>
      </c>
      <c r="D3963" s="41" t="str">
        <f>VLOOKUP(B3963,辅助信息!E:K,7,FALSE)</f>
        <v>JWDDCD2025102100473</v>
      </c>
      <c r="E3963" s="41" t="str">
        <f>VLOOKUP(F3963,辅助信息!A:B,2,FALSE)</f>
        <v>螺纹钢</v>
      </c>
      <c r="F3963" s="41" t="s">
        <v>46</v>
      </c>
      <c r="G3963" s="37">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1" t="str">
        <f>VLOOKUP(B3963,辅助信息!E:I,3,FALSE)</f>
        <v>(五冶建设扩建艺体中学二期工程)四川省成都市双流区光荣路成都艺体中学南200米</v>
      </c>
      <c r="J3963" s="41" t="str">
        <f>VLOOKUP(B3963,辅助信息!E:I,4,FALSE)</f>
        <v>谢序强</v>
      </c>
      <c r="K3963" s="41">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30</v>
      </c>
      <c r="Q3963" s="30" t="str">
        <f>VLOOKUP(B3963,辅助信息!E:M,9,FALSE)</f>
        <v>ZTWM-CDGS-XS-2025-0073-五冶天府-成都怡心湖片区及龙泉驿医院等项目</v>
      </c>
      <c r="R3963" s="30" t="str">
        <f>_xlfn._xlws.FILTER(辅助信息!D:D,辅助信息!E:E=B3963)</f>
        <v>五冶建设扩建艺体中学二期工程</v>
      </c>
    </row>
    <row r="3964" hidden="1" spans="2:18">
      <c r="B3964" s="136" t="s">
        <v>167</v>
      </c>
      <c r="C3964" s="71">
        <v>45928</v>
      </c>
      <c r="D3964" s="41" t="str">
        <f>VLOOKUP(B3964,辅助信息!E:K,7,FALSE)</f>
        <v>JWDDCD2025102100473</v>
      </c>
      <c r="E3964" s="41" t="str">
        <f>VLOOKUP(F3964,辅助信息!A:B,2,FALSE)</f>
        <v>螺纹钢</v>
      </c>
      <c r="F3964" s="41" t="s">
        <v>22</v>
      </c>
      <c r="G3964" s="37">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1" t="str">
        <f>VLOOKUP(B3964,辅助信息!E:I,3,FALSE)</f>
        <v>(五冶建设扩建艺体中学二期工程)四川省成都市双流区光荣路成都艺体中学南200米</v>
      </c>
      <c r="J3964" s="41" t="str">
        <f>VLOOKUP(B3964,辅助信息!E:I,4,FALSE)</f>
        <v>谢序强</v>
      </c>
      <c r="K3964" s="41">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30</v>
      </c>
      <c r="Q3964" s="30" t="str">
        <f>VLOOKUP(B3964,辅助信息!E:M,9,FALSE)</f>
        <v>ZTWM-CDGS-XS-2025-0073-五冶天府-成都怡心湖片区及龙泉驿医院等项目</v>
      </c>
      <c r="R3964" s="30" t="str">
        <f>_xlfn._xlws.FILTER(辅助信息!D:D,辅助信息!E:E=B3964)</f>
        <v>五冶建设扩建艺体中学二期工程</v>
      </c>
    </row>
    <row r="3965" hidden="1" spans="2:18">
      <c r="B3965" s="136" t="s">
        <v>167</v>
      </c>
      <c r="C3965" s="71">
        <v>45928</v>
      </c>
      <c r="D3965" s="41" t="str">
        <f>VLOOKUP(B3965,辅助信息!E:K,7,FALSE)</f>
        <v>JWDDCD2025102100473</v>
      </c>
      <c r="E3965" s="41" t="str">
        <f>VLOOKUP(F3965,辅助信息!A:B,2,FALSE)</f>
        <v>螺纹钢</v>
      </c>
      <c r="F3965" s="41" t="s">
        <v>181</v>
      </c>
      <c r="G3965" s="37">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1" t="str">
        <f>VLOOKUP(B3965,辅助信息!E:I,3,FALSE)</f>
        <v>(五冶建设扩建艺体中学二期工程)四川省成都市双流区光荣路成都艺体中学南200米</v>
      </c>
      <c r="J3965" s="41" t="str">
        <f>VLOOKUP(B3965,辅助信息!E:I,4,FALSE)</f>
        <v>谢序强</v>
      </c>
      <c r="K3965" s="41">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30</v>
      </c>
      <c r="Q3965" s="30" t="str">
        <f>VLOOKUP(B3965,辅助信息!E:M,9,FALSE)</f>
        <v>ZTWM-CDGS-XS-2025-0073-五冶天府-成都怡心湖片区及龙泉驿医院等项目</v>
      </c>
      <c r="R3965" s="30" t="str">
        <f>_xlfn._xlws.FILTER(辅助信息!D:D,辅助信息!E:E=B3965)</f>
        <v>五冶建设扩建艺体中学二期工程</v>
      </c>
    </row>
    <row r="3966" hidden="1" spans="2:18">
      <c r="B3966" s="136" t="s">
        <v>167</v>
      </c>
      <c r="C3966" s="71">
        <v>45928</v>
      </c>
      <c r="D3966" s="41" t="str">
        <f>VLOOKUP(B3966,辅助信息!E:K,7,FALSE)</f>
        <v>JWDDCD2025102100473</v>
      </c>
      <c r="E3966" s="41" t="str">
        <f>VLOOKUP(F3966,辅助信息!A:B,2,FALSE)</f>
        <v>螺纹钢</v>
      </c>
      <c r="F3966" s="41" t="s">
        <v>182</v>
      </c>
      <c r="G3966" s="37">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1" t="str">
        <f>VLOOKUP(B3966,辅助信息!E:I,3,FALSE)</f>
        <v>(五冶建设扩建艺体中学二期工程)四川省成都市双流区光荣路成都艺体中学南200米</v>
      </c>
      <c r="J3966" s="41" t="str">
        <f>VLOOKUP(B3966,辅助信息!E:I,4,FALSE)</f>
        <v>谢序强</v>
      </c>
      <c r="K3966" s="41">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30</v>
      </c>
      <c r="Q3966" s="30" t="str">
        <f>VLOOKUP(B3966,辅助信息!E:M,9,FALSE)</f>
        <v>ZTWM-CDGS-XS-2025-0073-五冶天府-成都怡心湖片区及龙泉驿医院等项目</v>
      </c>
      <c r="R3966" s="30" t="str">
        <f>_xlfn._xlws.FILTER(辅助信息!D:D,辅助信息!E:E=B3966)</f>
        <v>五冶建设扩建艺体中学二期工程</v>
      </c>
    </row>
    <row r="3967" hidden="1" spans="2:18">
      <c r="B3967" s="136" t="s">
        <v>167</v>
      </c>
      <c r="C3967" s="71">
        <v>45928</v>
      </c>
      <c r="D3967" s="41" t="str">
        <f>VLOOKUP(B3967,辅助信息!E:K,7,FALSE)</f>
        <v>JWDDCD2025102100473</v>
      </c>
      <c r="E3967" s="41" t="str">
        <f>VLOOKUP(F3967,辅助信息!A:B,2,FALSE)</f>
        <v>盘螺</v>
      </c>
      <c r="F3967" s="41" t="s">
        <v>41</v>
      </c>
      <c r="G3967" s="37">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1" t="str">
        <f>VLOOKUP(B3967,辅助信息!E:I,3,FALSE)</f>
        <v>(五冶建设扩建艺体中学二期工程)四川省成都市双流区光荣路成都艺体中学南200米</v>
      </c>
      <c r="J3967" s="41" t="str">
        <f>VLOOKUP(B3967,辅助信息!E:I,4,FALSE)</f>
        <v>谢序强</v>
      </c>
      <c r="K3967" s="41">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30</v>
      </c>
      <c r="Q3967" s="30" t="str">
        <f>VLOOKUP(B3967,辅助信息!E:M,9,FALSE)</f>
        <v>ZTWM-CDGS-XS-2025-0073-五冶天府-成都怡心湖片区及龙泉驿医院等项目</v>
      </c>
      <c r="R3967" s="30" t="str">
        <f>_xlfn._xlws.FILTER(辅助信息!D:D,辅助信息!E:E=B3967)</f>
        <v>五冶建设扩建艺体中学二期工程</v>
      </c>
    </row>
    <row r="3968" hidden="1" spans="2:18">
      <c r="B3968" s="136" t="s">
        <v>167</v>
      </c>
      <c r="C3968" s="71">
        <v>45928</v>
      </c>
      <c r="D3968" s="41" t="str">
        <f>VLOOKUP(B3968,辅助信息!E:K,7,FALSE)</f>
        <v>JWDDCD2025102100473</v>
      </c>
      <c r="E3968" s="41" t="str">
        <f>VLOOKUP(F3968,辅助信息!A:B,2,FALSE)</f>
        <v>盘螺</v>
      </c>
      <c r="F3968" s="41" t="s">
        <v>40</v>
      </c>
      <c r="G3968" s="37">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1" t="str">
        <f>VLOOKUP(B3968,辅助信息!E:I,3,FALSE)</f>
        <v>(五冶建设扩建艺体中学二期工程)四川省成都市双流区光荣路成都艺体中学南200米</v>
      </c>
      <c r="J3968" s="41" t="str">
        <f>VLOOKUP(B3968,辅助信息!E:I,4,FALSE)</f>
        <v>谢序强</v>
      </c>
      <c r="K3968" s="41">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30</v>
      </c>
      <c r="Q3968" s="30" t="str">
        <f>VLOOKUP(B3968,辅助信息!E:M,9,FALSE)</f>
        <v>ZTWM-CDGS-XS-2025-0073-五冶天府-成都怡心湖片区及龙泉驿医院等项目</v>
      </c>
      <c r="R3968" s="30" t="str">
        <f>_xlfn._xlws.FILTER(辅助信息!D:D,辅助信息!E:E=B3968)</f>
        <v>五冶建设扩建艺体中学二期工程</v>
      </c>
    </row>
    <row r="3969" hidden="1" spans="2:18">
      <c r="B3969" s="136" t="s">
        <v>215</v>
      </c>
      <c r="C3969" s="71">
        <v>45928</v>
      </c>
      <c r="D3969" s="41" t="str">
        <f>VLOOKUP(B3969,辅助信息!E:K,7,FALSE)</f>
        <v>JWDDCD2025102100486</v>
      </c>
      <c r="E3969" s="41" t="str">
        <f>VLOOKUP(F3969,辅助信息!A:B,2,FALSE)</f>
        <v>螺纹钢</v>
      </c>
      <c r="F3969" s="41" t="s">
        <v>27</v>
      </c>
      <c r="G3969" s="37">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1" t="str">
        <f>VLOOKUP(B3969,辅助信息!E:I,3,FALSE)</f>
        <v>(五冶建设龙泉驿一医院配套建设工程)成都市龙泉驿区董朗路69号龙泉驿一医院5号门</v>
      </c>
      <c r="J3969" s="41" t="str">
        <f>VLOOKUP(B3969,辅助信息!E:I,4,FALSE)</f>
        <v>孙敏</v>
      </c>
      <c r="K3969" s="41">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30" t="str">
        <f>VLOOKUP(B3969,辅助信息!E:M,9,FALSE)</f>
        <v>ZTWM-CDGS-XS-2025-0073-五冶天府-成都怡心湖片区及龙泉驿医院等项目</v>
      </c>
      <c r="R3969" s="30" t="str">
        <f>_xlfn._xlws.FILTER(辅助信息!D:D,辅助信息!E:E=B3969)</f>
        <v>五冶建设龙泉驿一医院配套建设工程</v>
      </c>
    </row>
    <row r="3970" hidden="1" spans="2:18">
      <c r="B3970" s="136" t="s">
        <v>215</v>
      </c>
      <c r="C3970" s="71">
        <v>45928</v>
      </c>
      <c r="D3970" s="41" t="str">
        <f>VLOOKUP(B3970,辅助信息!E:K,7,FALSE)</f>
        <v>JWDDCD2025102100486</v>
      </c>
      <c r="E3970" s="41" t="str">
        <f>VLOOKUP(F3970,辅助信息!A:B,2,FALSE)</f>
        <v>螺纹钢</v>
      </c>
      <c r="F3970" s="41" t="s">
        <v>28</v>
      </c>
      <c r="G3970" s="37">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1" t="str">
        <f>VLOOKUP(B3970,辅助信息!E:I,3,FALSE)</f>
        <v>(五冶建设龙泉驿一医院配套建设工程)成都市龙泉驿区董朗路69号龙泉驿一医院5号门</v>
      </c>
      <c r="J3970" s="41" t="str">
        <f>VLOOKUP(B3970,辅助信息!E:I,4,FALSE)</f>
        <v>孙敏</v>
      </c>
      <c r="K3970" s="41">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30" t="str">
        <f>VLOOKUP(B3970,辅助信息!E:M,9,FALSE)</f>
        <v>ZTWM-CDGS-XS-2025-0073-五冶天府-成都怡心湖片区及龙泉驿医院等项目</v>
      </c>
      <c r="R3970" s="30" t="str">
        <f>_xlfn._xlws.FILTER(辅助信息!D:D,辅助信息!E:E=B3970)</f>
        <v>五冶建设龙泉驿一医院配套建设工程</v>
      </c>
    </row>
    <row r="3971" hidden="1" spans="2:18">
      <c r="B3971" s="136" t="s">
        <v>215</v>
      </c>
      <c r="C3971" s="71">
        <v>45928</v>
      </c>
      <c r="D3971" s="41" t="str">
        <f>VLOOKUP(B3971,辅助信息!E:K,7,FALSE)</f>
        <v>JWDDCD2025102100486</v>
      </c>
      <c r="E3971" s="41" t="str">
        <f>VLOOKUP(F3971,辅助信息!A:B,2,FALSE)</f>
        <v>螺纹钢</v>
      </c>
      <c r="F3971" s="41" t="s">
        <v>18</v>
      </c>
      <c r="G3971" s="37">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1" t="str">
        <f>VLOOKUP(B3971,辅助信息!E:I,3,FALSE)</f>
        <v>(五冶建设龙泉驿一医院配套建设工程)成都市龙泉驿区董朗路69号龙泉驿一医院5号门</v>
      </c>
      <c r="J3971" s="41" t="str">
        <f>VLOOKUP(B3971,辅助信息!E:I,4,FALSE)</f>
        <v>孙敏</v>
      </c>
      <c r="K3971" s="41">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30" t="str">
        <f>VLOOKUP(B3971,辅助信息!E:M,9,FALSE)</f>
        <v>ZTWM-CDGS-XS-2025-0073-五冶天府-成都怡心湖片区及龙泉驿医院等项目</v>
      </c>
      <c r="R3971" s="30" t="str">
        <f>_xlfn._xlws.FILTER(辅助信息!D:D,辅助信息!E:E=B3971)</f>
        <v>五冶建设龙泉驿一医院配套建设工程</v>
      </c>
    </row>
    <row r="3972" hidden="1" spans="2:18">
      <c r="B3972" s="136" t="s">
        <v>215</v>
      </c>
      <c r="C3972" s="71">
        <v>45928</v>
      </c>
      <c r="D3972" s="41" t="str">
        <f>VLOOKUP(B3972,辅助信息!E:K,7,FALSE)</f>
        <v>JWDDCD2025102100486</v>
      </c>
      <c r="E3972" s="41" t="str">
        <f>VLOOKUP(F3972,辅助信息!A:B,2,FALSE)</f>
        <v>螺纹钢</v>
      </c>
      <c r="F3972" s="41" t="s">
        <v>22</v>
      </c>
      <c r="G3972" s="37">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1" t="str">
        <f>VLOOKUP(B3972,辅助信息!E:I,3,FALSE)</f>
        <v>(五冶建设龙泉驿一医院配套建设工程)成都市龙泉驿区董朗路69号龙泉驿一医院5号门</v>
      </c>
      <c r="J3972" s="41" t="str">
        <f>VLOOKUP(B3972,辅助信息!E:I,4,FALSE)</f>
        <v>孙敏</v>
      </c>
      <c r="K3972" s="41">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30" t="str">
        <f>VLOOKUP(B3972,辅助信息!E:M,9,FALSE)</f>
        <v>ZTWM-CDGS-XS-2025-0073-五冶天府-成都怡心湖片区及龙泉驿医院等项目</v>
      </c>
      <c r="R3972" s="30" t="str">
        <f>_xlfn._xlws.FILTER(辅助信息!D:D,辅助信息!E:E=B3972)</f>
        <v>五冶建设龙泉驿一医院配套建设工程</v>
      </c>
    </row>
    <row r="3973" hidden="1" spans="2:18">
      <c r="B3973" s="136" t="s">
        <v>196</v>
      </c>
      <c r="C3973" s="71">
        <v>45928</v>
      </c>
      <c r="D3973" s="41" t="str">
        <f>VLOOKUP(B3973,辅助信息!E:K,7,FALSE)</f>
        <v>JWDDCD2025102100476</v>
      </c>
      <c r="E3973" s="41" t="str">
        <f>VLOOKUP(F3973,辅助信息!A:B,2,FALSE)</f>
        <v>螺纹钢</v>
      </c>
      <c r="F3973" s="41" t="s">
        <v>21</v>
      </c>
      <c r="G3973" s="37">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1" t="str">
        <f>VLOOKUP(B3973,辅助信息!E:I,3,FALSE)</f>
        <v>(五冶建设师大附中外语校新建教学楼工程)四川省成都市成华区大观堰2号(四川师范大学附属中学外国语学校)</v>
      </c>
      <c r="J3973" s="41" t="str">
        <f>VLOOKUP(B3973,辅助信息!E:I,4,FALSE)</f>
        <v>蔡浩</v>
      </c>
      <c r="K3973" s="41">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30" t="str">
        <f>VLOOKUP(B3973,辅助信息!E:M,9,FALSE)</f>
        <v>ZTWM-CDGS-XS-2025-0073-五冶天府-成都怡心湖片区及龙泉驿医院等项目</v>
      </c>
      <c r="R3973" s="30" t="str">
        <f>_xlfn._xlws.FILTER(辅助信息!D:D,辅助信息!E:E=B3973)</f>
        <v>五冶建设师大附中外语校新建教学楼工程</v>
      </c>
    </row>
    <row r="3974" hidden="1" spans="2:18">
      <c r="B3974" s="136" t="s">
        <v>196</v>
      </c>
      <c r="C3974" s="71">
        <v>45928</v>
      </c>
      <c r="D3974" s="41" t="str">
        <f>VLOOKUP(B3974,辅助信息!E:K,7,FALSE)</f>
        <v>JWDDCD2025102100476</v>
      </c>
      <c r="E3974" s="41" t="str">
        <f>VLOOKUP(F3974,辅助信息!A:B,2,FALSE)</f>
        <v>螺纹钢</v>
      </c>
      <c r="F3974" s="41" t="s">
        <v>22</v>
      </c>
      <c r="G3974" s="37">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1" t="str">
        <f>VLOOKUP(B3974,辅助信息!E:I,3,FALSE)</f>
        <v>(五冶建设师大附中外语校新建教学楼工程)四川省成都市成华区大观堰2号(四川师范大学附属中学外国语学校)</v>
      </c>
      <c r="J3974" s="41" t="str">
        <f>VLOOKUP(B3974,辅助信息!E:I,4,FALSE)</f>
        <v>蔡浩</v>
      </c>
      <c r="K3974" s="41">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30" t="str">
        <f>VLOOKUP(B3974,辅助信息!E:M,9,FALSE)</f>
        <v>ZTWM-CDGS-XS-2025-0073-五冶天府-成都怡心湖片区及龙泉驿医院等项目</v>
      </c>
      <c r="R3974" s="30" t="str">
        <f>_xlfn._xlws.FILTER(辅助信息!D:D,辅助信息!E:E=B3974)</f>
        <v>五冶建设师大附中外语校新建教学楼工程</v>
      </c>
    </row>
    <row r="3975" hidden="1" spans="2:18">
      <c r="B3975" s="136" t="s">
        <v>204</v>
      </c>
      <c r="C3975" s="71">
        <v>45928</v>
      </c>
      <c r="D3975" s="41" t="str">
        <f>VLOOKUP(B3975,辅助信息!E:K,7,FALSE)</f>
        <v>JWDDCD2025062200016</v>
      </c>
      <c r="E3975" s="41" t="str">
        <f>VLOOKUP(F3975,辅助信息!A:B,2,FALSE)</f>
        <v>螺纹钢</v>
      </c>
      <c r="F3975" s="41" t="s">
        <v>19</v>
      </c>
      <c r="G3975" s="37">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1" t="str">
        <f>VLOOKUP(B3975,辅助信息!E:I,3,FALSE)</f>
        <v>(武汉电气化局成达万高铁强电项目-达州主城区-达州南站)四川省达州市达川区达州南站</v>
      </c>
      <c r="J3975" s="41" t="str">
        <f>VLOOKUP(B3975,辅助信息!E:I,4,FALSE)</f>
        <v>杨人志</v>
      </c>
      <c r="K3975" s="41">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30" t="str">
        <f>VLOOKUP(B3975,辅助信息!E:M,9,FALSE)</f>
        <v>ZTWM-CDGS-XS-2025-0033-中铁武汉电气化局集团有限公司成达万高速铁路强电工程项目</v>
      </c>
      <c r="R3975" s="30" t="str">
        <f>_xlfn._xlws.FILTER(辅助信息!D:D,辅助信息!E:E=B3975)</f>
        <v>武汉电气化局成达万高铁强电项目</v>
      </c>
    </row>
    <row r="3976" hidden="1" spans="2:18">
      <c r="B3976" s="136" t="s">
        <v>204</v>
      </c>
      <c r="C3976" s="71">
        <v>45928</v>
      </c>
      <c r="D3976" s="41" t="str">
        <f>VLOOKUP(B3976,辅助信息!E:K,7,FALSE)</f>
        <v>JWDDCD2025062200016</v>
      </c>
      <c r="E3976" s="41" t="str">
        <f>VLOOKUP(F3976,辅助信息!A:B,2,FALSE)</f>
        <v>螺纹钢</v>
      </c>
      <c r="F3976" s="41" t="s">
        <v>32</v>
      </c>
      <c r="G3976" s="37">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1" t="str">
        <f>VLOOKUP(B3976,辅助信息!E:I,3,FALSE)</f>
        <v>(武汉电气化局成达万高铁强电项目-达州主城区-达州南站)四川省达州市达川区达州南站</v>
      </c>
      <c r="J3976" s="41" t="str">
        <f>VLOOKUP(B3976,辅助信息!E:I,4,FALSE)</f>
        <v>杨人志</v>
      </c>
      <c r="K3976" s="41">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30" t="str">
        <f>VLOOKUP(B3976,辅助信息!E:M,9,FALSE)</f>
        <v>ZTWM-CDGS-XS-2025-0033-中铁武汉电气化局集团有限公司成达万高速铁路强电工程项目</v>
      </c>
      <c r="R3976" s="30" t="str">
        <f>_xlfn._xlws.FILTER(辅助信息!D:D,辅助信息!E:E=B3976)</f>
        <v>武汉电气化局成达万高铁强电项目</v>
      </c>
    </row>
    <row r="3977" hidden="1" spans="2:18">
      <c r="B3977" s="136" t="s">
        <v>204</v>
      </c>
      <c r="C3977" s="71">
        <v>45928</v>
      </c>
      <c r="D3977" s="41" t="str">
        <f>VLOOKUP(B3977,辅助信息!E:K,7,FALSE)</f>
        <v>JWDDCD2025062200016</v>
      </c>
      <c r="E3977" s="41" t="str">
        <f>VLOOKUP(F3977,辅助信息!A:B,2,FALSE)</f>
        <v>螺纹钢</v>
      </c>
      <c r="F3977" s="41" t="s">
        <v>30</v>
      </c>
      <c r="G3977" s="37">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1" t="str">
        <f>VLOOKUP(B3977,辅助信息!E:I,3,FALSE)</f>
        <v>(武汉电气化局成达万高铁强电项目-达州主城区-达州南站)四川省达州市达川区达州南站</v>
      </c>
      <c r="J3977" s="41" t="str">
        <f>VLOOKUP(B3977,辅助信息!E:I,4,FALSE)</f>
        <v>杨人志</v>
      </c>
      <c r="K3977" s="41">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30" t="str">
        <f>VLOOKUP(B3977,辅助信息!E:M,9,FALSE)</f>
        <v>ZTWM-CDGS-XS-2025-0033-中铁武汉电气化局集团有限公司成达万高速铁路强电工程项目</v>
      </c>
      <c r="R3977" s="30" t="str">
        <f>_xlfn._xlws.FILTER(辅助信息!D:D,辅助信息!E:E=B3977)</f>
        <v>武汉电气化局成达万高铁强电项目</v>
      </c>
    </row>
    <row r="3978" hidden="1" spans="2:18">
      <c r="B3978" s="136" t="s">
        <v>204</v>
      </c>
      <c r="C3978" s="71">
        <v>45928</v>
      </c>
      <c r="D3978" s="41" t="str">
        <f>VLOOKUP(B3978,辅助信息!E:K,7,FALSE)</f>
        <v>JWDDCD2025062200016</v>
      </c>
      <c r="E3978" s="41" t="str">
        <f>VLOOKUP(F3978,辅助信息!A:B,2,FALSE)</f>
        <v>螺纹钢</v>
      </c>
      <c r="F3978" s="41" t="s">
        <v>33</v>
      </c>
      <c r="G3978" s="37">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1" t="str">
        <f>VLOOKUP(B3978,辅助信息!E:I,3,FALSE)</f>
        <v>(武汉电气化局成达万高铁强电项目-达州主城区-达州南站)四川省达州市达川区达州南站</v>
      </c>
      <c r="J3978" s="41" t="str">
        <f>VLOOKUP(B3978,辅助信息!E:I,4,FALSE)</f>
        <v>杨人志</v>
      </c>
      <c r="K3978" s="41">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30" t="str">
        <f>VLOOKUP(B3978,辅助信息!E:M,9,FALSE)</f>
        <v>ZTWM-CDGS-XS-2025-0033-中铁武汉电气化局集团有限公司成达万高速铁路强电工程项目</v>
      </c>
      <c r="R3978" s="30" t="str">
        <f>_xlfn._xlws.FILTER(辅助信息!D:D,辅助信息!E:E=B3978)</f>
        <v>武汉电气化局成达万高铁强电项目</v>
      </c>
    </row>
    <row r="3979" hidden="1" spans="2:18">
      <c r="B3979" s="136" t="s">
        <v>204</v>
      </c>
      <c r="C3979" s="71">
        <v>45928</v>
      </c>
      <c r="D3979" s="41" t="str">
        <f>VLOOKUP(B3979,辅助信息!E:K,7,FALSE)</f>
        <v>JWDDCD2025062200016</v>
      </c>
      <c r="E3979" s="41" t="str">
        <f>VLOOKUP(F3979,辅助信息!A:B,2,FALSE)</f>
        <v>螺纹钢</v>
      </c>
      <c r="F3979" s="41" t="s">
        <v>28</v>
      </c>
      <c r="G3979" s="37">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1" t="str">
        <f>VLOOKUP(B3979,辅助信息!E:I,3,FALSE)</f>
        <v>(武汉电气化局成达万高铁强电项目-达州主城区-达州南站)四川省达州市达川区达州南站</v>
      </c>
      <c r="J3979" s="41" t="str">
        <f>VLOOKUP(B3979,辅助信息!E:I,4,FALSE)</f>
        <v>杨人志</v>
      </c>
      <c r="K3979" s="41">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30" t="str">
        <f>VLOOKUP(B3979,辅助信息!E:M,9,FALSE)</f>
        <v>ZTWM-CDGS-XS-2025-0033-中铁武汉电气化局集团有限公司成达万高速铁路强电工程项目</v>
      </c>
      <c r="R3979" s="30" t="str">
        <f>_xlfn._xlws.FILTER(辅助信息!D:D,辅助信息!E:E=B3979)</f>
        <v>武汉电气化局成达万高铁强电项目</v>
      </c>
    </row>
    <row r="3980" hidden="1" spans="2:18">
      <c r="B3980" s="136" t="s">
        <v>204</v>
      </c>
      <c r="C3980" s="71">
        <v>45928</v>
      </c>
      <c r="D3980" s="41" t="str">
        <f>VLOOKUP(B3980,辅助信息!E:K,7,FALSE)</f>
        <v>JWDDCD2025062200016</v>
      </c>
      <c r="E3980" s="41" t="str">
        <f>VLOOKUP(F3980,辅助信息!A:B,2,FALSE)</f>
        <v>螺纹钢</v>
      </c>
      <c r="F3980" s="41" t="s">
        <v>18</v>
      </c>
      <c r="G3980" s="37">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1" t="str">
        <f>VLOOKUP(B3980,辅助信息!E:I,3,FALSE)</f>
        <v>(武汉电气化局成达万高铁强电项目-达州主城区-达州南站)四川省达州市达川区达州南站</v>
      </c>
      <c r="J3980" s="41" t="str">
        <f>VLOOKUP(B3980,辅助信息!E:I,4,FALSE)</f>
        <v>杨人志</v>
      </c>
      <c r="K3980" s="41">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30" t="str">
        <f>VLOOKUP(B3980,辅助信息!E:M,9,FALSE)</f>
        <v>ZTWM-CDGS-XS-2025-0033-中铁武汉电气化局集团有限公司成达万高速铁路强电工程项目</v>
      </c>
      <c r="R3980" s="30" t="str">
        <f>_xlfn._xlws.FILTER(辅助信息!D:D,辅助信息!E:E=B3980)</f>
        <v>武汉电气化局成达万高铁强电项目</v>
      </c>
    </row>
    <row r="3981" hidden="1" spans="2:18">
      <c r="B3981" s="136" t="s">
        <v>204</v>
      </c>
      <c r="C3981" s="71">
        <v>45928</v>
      </c>
      <c r="D3981" s="41" t="str">
        <f>VLOOKUP(B3981,辅助信息!E:K,7,FALSE)</f>
        <v>JWDDCD2025062200016</v>
      </c>
      <c r="E3981" s="41" t="str">
        <f>VLOOKUP(F3981,辅助信息!A:B,2,FALSE)</f>
        <v>盘螺</v>
      </c>
      <c r="F3981" s="41" t="s">
        <v>41</v>
      </c>
      <c r="G3981" s="37">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1" t="str">
        <f>VLOOKUP(B3981,辅助信息!E:I,3,FALSE)</f>
        <v>(武汉电气化局成达万高铁强电项目-达州主城区-达州南站)四川省达州市达川区达州南站</v>
      </c>
      <c r="J3981" s="41" t="str">
        <f>VLOOKUP(B3981,辅助信息!E:I,4,FALSE)</f>
        <v>杨人志</v>
      </c>
      <c r="K3981" s="41">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30" t="str">
        <f>VLOOKUP(B3981,辅助信息!E:M,9,FALSE)</f>
        <v>ZTWM-CDGS-XS-2025-0033-中铁武汉电气化局集团有限公司成达万高速铁路强电工程项目</v>
      </c>
      <c r="R3981" s="30" t="str">
        <f>_xlfn._xlws.FILTER(辅助信息!D:D,辅助信息!E:E=B3981)</f>
        <v>武汉电气化局成达万高铁强电项目</v>
      </c>
    </row>
    <row r="3982" hidden="1" spans="2:18">
      <c r="B3982" s="136" t="s">
        <v>204</v>
      </c>
      <c r="C3982" s="71">
        <v>45928</v>
      </c>
      <c r="D3982" s="41" t="str">
        <f>VLOOKUP(B3982,辅助信息!E:K,7,FALSE)</f>
        <v>JWDDCD2025062200016</v>
      </c>
      <c r="E3982" s="41" t="str">
        <f>VLOOKUP(F3982,辅助信息!A:B,2,FALSE)</f>
        <v>盘螺</v>
      </c>
      <c r="F3982" s="41" t="s">
        <v>40</v>
      </c>
      <c r="G3982" s="37">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1" t="str">
        <f>VLOOKUP(B3982,辅助信息!E:I,3,FALSE)</f>
        <v>(武汉电气化局成达万高铁强电项目-达州主城区-达州南站)四川省达州市达川区达州南站</v>
      </c>
      <c r="J3982" s="41" t="str">
        <f>VLOOKUP(B3982,辅助信息!E:I,4,FALSE)</f>
        <v>杨人志</v>
      </c>
      <c r="K3982" s="41">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30" t="str">
        <f>VLOOKUP(B3982,辅助信息!E:M,9,FALSE)</f>
        <v>ZTWM-CDGS-XS-2025-0033-中铁武汉电气化局集团有限公司成达万高速铁路强电工程项目</v>
      </c>
      <c r="R3982" s="30" t="str">
        <f>_xlfn._xlws.FILTER(辅助信息!D:D,辅助信息!E:E=B3982)</f>
        <v>武汉电气化局成达万高铁强电项目</v>
      </c>
    </row>
    <row r="3983" hidden="1" spans="2:18">
      <c r="B3983" s="136" t="s">
        <v>177</v>
      </c>
      <c r="C3983" s="71">
        <v>45928</v>
      </c>
      <c r="D3983" s="41" t="str">
        <f>VLOOKUP(B3983,辅助信息!E:K,7,FALSE)</f>
        <v>JWDDCD2025062200016</v>
      </c>
      <c r="E3983" s="41" t="str">
        <f>VLOOKUP(F3983,辅助信息!A:B,2,FALSE)</f>
        <v>螺纹钢</v>
      </c>
      <c r="F3983" s="41" t="s">
        <v>27</v>
      </c>
      <c r="G3983" s="37">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1" t="str">
        <f>VLOOKUP(B3983,辅助信息!E:I,3,FALSE)</f>
        <v>(武汉电气化局成达万高铁强电项目-南充营山)四川省南充市营山县保真路景阳名城南50米(保真路东)</v>
      </c>
      <c r="J3983" s="41" t="str">
        <f>VLOOKUP(B3983,辅助信息!E:I,4,FALSE)</f>
        <v>周开亮</v>
      </c>
      <c r="K3983" s="41">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30" t="str">
        <f>VLOOKUP(B3983,辅助信息!E:M,9,FALSE)</f>
        <v>ZTWM-CDGS-XS-2025-0033-中铁武汉电气化局集团有限公司成达万高速铁路强电工程项目</v>
      </c>
      <c r="R3983" s="30" t="str">
        <f>_xlfn._xlws.FILTER(辅助信息!D:D,辅助信息!E:E=B3983)</f>
        <v>武汉电气化局成达万高铁强电项目</v>
      </c>
    </row>
    <row r="3984" hidden="1" spans="2:18">
      <c r="B3984" s="136" t="s">
        <v>177</v>
      </c>
      <c r="C3984" s="71">
        <v>45928</v>
      </c>
      <c r="D3984" s="41" t="str">
        <f>VLOOKUP(B3984,辅助信息!E:K,7,FALSE)</f>
        <v>JWDDCD2025062200016</v>
      </c>
      <c r="E3984" s="41" t="str">
        <f>VLOOKUP(F3984,辅助信息!A:B,2,FALSE)</f>
        <v>螺纹钢</v>
      </c>
      <c r="F3984" s="41" t="s">
        <v>19</v>
      </c>
      <c r="G3984" s="37">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1" t="str">
        <f>VLOOKUP(B3984,辅助信息!E:I,3,FALSE)</f>
        <v>(武汉电气化局成达万高铁强电项目-南充营山)四川省南充市营山县保真路景阳名城南50米(保真路东)</v>
      </c>
      <c r="J3984" s="41" t="str">
        <f>VLOOKUP(B3984,辅助信息!E:I,4,FALSE)</f>
        <v>周开亮</v>
      </c>
      <c r="K3984" s="41">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30" t="str">
        <f>VLOOKUP(B3984,辅助信息!E:M,9,FALSE)</f>
        <v>ZTWM-CDGS-XS-2025-0033-中铁武汉电气化局集团有限公司成达万高速铁路强电工程项目</v>
      </c>
      <c r="R3984" s="30" t="str">
        <f>_xlfn._xlws.FILTER(辅助信息!D:D,辅助信息!E:E=B3984)</f>
        <v>武汉电气化局成达万高铁强电项目</v>
      </c>
    </row>
    <row r="3985" hidden="1" spans="2:18">
      <c r="B3985" s="136" t="s">
        <v>177</v>
      </c>
      <c r="C3985" s="71">
        <v>45928</v>
      </c>
      <c r="D3985" s="41" t="str">
        <f>VLOOKUP(B3985,辅助信息!E:K,7,FALSE)</f>
        <v>JWDDCD2025062200016</v>
      </c>
      <c r="E3985" s="41" t="str">
        <f>VLOOKUP(F3985,辅助信息!A:B,2,FALSE)</f>
        <v>螺纹钢</v>
      </c>
      <c r="F3985" s="41" t="s">
        <v>32</v>
      </c>
      <c r="G3985" s="37">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1" t="str">
        <f>VLOOKUP(B3985,辅助信息!E:I,3,FALSE)</f>
        <v>(武汉电气化局成达万高铁强电项目-南充营山)四川省南充市营山县保真路景阳名城南50米(保真路东)</v>
      </c>
      <c r="J3985" s="41" t="str">
        <f>VLOOKUP(B3985,辅助信息!E:I,4,FALSE)</f>
        <v>周开亮</v>
      </c>
      <c r="K3985" s="41">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30" t="str">
        <f>VLOOKUP(B3985,辅助信息!E:M,9,FALSE)</f>
        <v>ZTWM-CDGS-XS-2025-0033-中铁武汉电气化局集团有限公司成达万高速铁路强电工程项目</v>
      </c>
      <c r="R3985" s="30" t="str">
        <f>_xlfn._xlws.FILTER(辅助信息!D:D,辅助信息!E:E=B3985)</f>
        <v>武汉电气化局成达万高铁强电项目</v>
      </c>
    </row>
    <row r="3986" hidden="1" spans="2:18">
      <c r="B3986" s="136" t="s">
        <v>177</v>
      </c>
      <c r="C3986" s="71">
        <v>45928</v>
      </c>
      <c r="D3986" s="41" t="str">
        <f>VLOOKUP(B3986,辅助信息!E:K,7,FALSE)</f>
        <v>JWDDCD2025062200016</v>
      </c>
      <c r="E3986" s="41" t="str">
        <f>VLOOKUP(F3986,辅助信息!A:B,2,FALSE)</f>
        <v>螺纹钢</v>
      </c>
      <c r="F3986" s="41" t="s">
        <v>30</v>
      </c>
      <c r="G3986" s="37">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1" t="str">
        <f>VLOOKUP(B3986,辅助信息!E:I,3,FALSE)</f>
        <v>(武汉电气化局成达万高铁强电项目-南充营山)四川省南充市营山县保真路景阳名城南50米(保真路东)</v>
      </c>
      <c r="J3986" s="41" t="str">
        <f>VLOOKUP(B3986,辅助信息!E:I,4,FALSE)</f>
        <v>周开亮</v>
      </c>
      <c r="K3986" s="41">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30" t="str">
        <f>VLOOKUP(B3986,辅助信息!E:M,9,FALSE)</f>
        <v>ZTWM-CDGS-XS-2025-0033-中铁武汉电气化局集团有限公司成达万高速铁路强电工程项目</v>
      </c>
      <c r="R3986" s="30" t="str">
        <f>_xlfn._xlws.FILTER(辅助信息!D:D,辅助信息!E:E=B3986)</f>
        <v>武汉电气化局成达万高铁强电项目</v>
      </c>
    </row>
    <row r="3987" hidden="1" spans="2:18">
      <c r="B3987" s="136" t="s">
        <v>177</v>
      </c>
      <c r="C3987" s="71">
        <v>45928</v>
      </c>
      <c r="D3987" s="41" t="str">
        <f>VLOOKUP(B3987,辅助信息!E:K,7,FALSE)</f>
        <v>JWDDCD2025062200016</v>
      </c>
      <c r="E3987" s="41" t="str">
        <f>VLOOKUP(F3987,辅助信息!A:B,2,FALSE)</f>
        <v>螺纹钢</v>
      </c>
      <c r="F3987" s="41" t="s">
        <v>33</v>
      </c>
      <c r="G3987" s="37">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1" t="str">
        <f>VLOOKUP(B3987,辅助信息!E:I,3,FALSE)</f>
        <v>(武汉电气化局成达万高铁强电项目-南充营山)四川省南充市营山县保真路景阳名城南50米(保真路东)</v>
      </c>
      <c r="J3987" s="41" t="str">
        <f>VLOOKUP(B3987,辅助信息!E:I,4,FALSE)</f>
        <v>周开亮</v>
      </c>
      <c r="K3987" s="41">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30" t="str">
        <f>VLOOKUP(B3987,辅助信息!E:M,9,FALSE)</f>
        <v>ZTWM-CDGS-XS-2025-0033-中铁武汉电气化局集团有限公司成达万高速铁路强电工程项目</v>
      </c>
      <c r="R3987" s="30" t="str">
        <f>_xlfn._xlws.FILTER(辅助信息!D:D,辅助信息!E:E=B3987)</f>
        <v>武汉电气化局成达万高铁强电项目</v>
      </c>
    </row>
    <row r="3988" hidden="1" spans="2:18">
      <c r="B3988" s="136" t="s">
        <v>177</v>
      </c>
      <c r="C3988" s="71">
        <v>45928</v>
      </c>
      <c r="D3988" s="41" t="str">
        <f>VLOOKUP(B3988,辅助信息!E:K,7,FALSE)</f>
        <v>JWDDCD2025062200016</v>
      </c>
      <c r="E3988" s="41" t="str">
        <f>VLOOKUP(F3988,辅助信息!A:B,2,FALSE)</f>
        <v>螺纹钢</v>
      </c>
      <c r="F3988" s="41" t="s">
        <v>18</v>
      </c>
      <c r="G3988" s="37">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1" t="str">
        <f>VLOOKUP(B3988,辅助信息!E:I,3,FALSE)</f>
        <v>(武汉电气化局成达万高铁强电项目-南充营山)四川省南充市营山县保真路景阳名城南50米(保真路东)</v>
      </c>
      <c r="J3988" s="41" t="str">
        <f>VLOOKUP(B3988,辅助信息!E:I,4,FALSE)</f>
        <v>周开亮</v>
      </c>
      <c r="K3988" s="41">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30" t="str">
        <f>VLOOKUP(B3988,辅助信息!E:M,9,FALSE)</f>
        <v>ZTWM-CDGS-XS-2025-0033-中铁武汉电气化局集团有限公司成达万高速铁路强电工程项目</v>
      </c>
      <c r="R3988" s="30" t="str">
        <f>_xlfn._xlws.FILTER(辅助信息!D:D,辅助信息!E:E=B3988)</f>
        <v>武汉电气化局成达万高铁强电项目</v>
      </c>
    </row>
    <row r="3989" hidden="1" spans="2:18">
      <c r="B3989" s="136" t="s">
        <v>177</v>
      </c>
      <c r="C3989" s="71">
        <v>45928</v>
      </c>
      <c r="D3989" s="41" t="str">
        <f>VLOOKUP(B3989,辅助信息!E:K,7,FALSE)</f>
        <v>JWDDCD2025062200016</v>
      </c>
      <c r="E3989" s="41" t="str">
        <f>VLOOKUP(F3989,辅助信息!A:B,2,FALSE)</f>
        <v>盘螺</v>
      </c>
      <c r="F3989" s="41" t="s">
        <v>41</v>
      </c>
      <c r="G3989" s="37">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1" t="str">
        <f>VLOOKUP(B3989,辅助信息!E:I,3,FALSE)</f>
        <v>(武汉电气化局成达万高铁强电项目-南充营山)四川省南充市营山县保真路景阳名城南50米(保真路东)</v>
      </c>
      <c r="J3989" s="41" t="str">
        <f>VLOOKUP(B3989,辅助信息!E:I,4,FALSE)</f>
        <v>周开亮</v>
      </c>
      <c r="K3989" s="41">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30" t="str">
        <f>VLOOKUP(B3989,辅助信息!E:M,9,FALSE)</f>
        <v>ZTWM-CDGS-XS-2025-0033-中铁武汉电气化局集团有限公司成达万高速铁路强电工程项目</v>
      </c>
      <c r="R3989" s="30" t="str">
        <f>_xlfn._xlws.FILTER(辅助信息!D:D,辅助信息!E:E=B3989)</f>
        <v>武汉电气化局成达万高铁强电项目</v>
      </c>
    </row>
    <row r="3990" hidden="1" spans="2:18">
      <c r="B3990" s="136" t="s">
        <v>177</v>
      </c>
      <c r="C3990" s="71">
        <v>45928</v>
      </c>
      <c r="D3990" s="41" t="str">
        <f>VLOOKUP(B3990,辅助信息!E:K,7,FALSE)</f>
        <v>JWDDCD2025062200016</v>
      </c>
      <c r="E3990" s="41" t="str">
        <f>VLOOKUP(F3990,辅助信息!A:B,2,FALSE)</f>
        <v>盘螺</v>
      </c>
      <c r="F3990" s="41" t="s">
        <v>40</v>
      </c>
      <c r="G3990" s="37">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1" t="str">
        <f>VLOOKUP(B3990,辅助信息!E:I,3,FALSE)</f>
        <v>(武汉电气化局成达万高铁强电项目-南充营山)四川省南充市营山县保真路景阳名城南50米(保真路东)</v>
      </c>
      <c r="J3990" s="41" t="str">
        <f>VLOOKUP(B3990,辅助信息!E:I,4,FALSE)</f>
        <v>周开亮</v>
      </c>
      <c r="K3990" s="41">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30" t="str">
        <f>VLOOKUP(B3990,辅助信息!E:M,9,FALSE)</f>
        <v>ZTWM-CDGS-XS-2025-0033-中铁武汉电气化局集团有限公司成达万高速铁路强电工程项目</v>
      </c>
      <c r="R3990" s="30" t="str">
        <f>_xlfn._xlws.FILTER(辅助信息!D:D,辅助信息!E:E=B3990)</f>
        <v>武汉电气化局成达万高铁强电项目</v>
      </c>
    </row>
    <row r="3991" hidden="1" spans="2:18">
      <c r="B3991" s="136" t="s">
        <v>194</v>
      </c>
      <c r="C3991" s="71">
        <v>45928</v>
      </c>
      <c r="D3991" s="41" t="str">
        <f>VLOOKUP(B3991,辅助信息!E:K,7,FALSE)</f>
        <v>JWDD2025071500089</v>
      </c>
      <c r="E3991" s="41" t="str">
        <f>VLOOKUP(F3991,辅助信息!A:B,2,FALSE)</f>
        <v>螺纹钢</v>
      </c>
      <c r="F3991" s="41" t="s">
        <v>19</v>
      </c>
      <c r="G3991" s="37">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1" t="str">
        <f>VLOOKUP(B3991,辅助信息!E:I,3,FALSE)</f>
        <v>(宜宾兴港三江新区长江工业园保障性租赁住房建设项目-土建)四川省宜宾市翠屏区永善路南段宜宾市三江新区长江工业园区</v>
      </c>
      <c r="J3991" s="41" t="str">
        <f>VLOOKUP(B3991,辅助信息!E:I,4,FALSE)</f>
        <v>赵元虎</v>
      </c>
      <c r="K3991" s="41">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30" t="str">
        <f>VLOOKUP(B3991,辅助信息!E:M,9,FALSE)</f>
        <v>ZTWM-CDYXGS-XS-2025-0014-宜宾兴港建材-三江新区长江工业园片区保障性租赁住房建设项目</v>
      </c>
      <c r="R3991" s="30" t="str">
        <f>_xlfn._xlws.FILTER(辅助信息!D:D,辅助信息!E:E=B3991)</f>
        <v>宜宾兴港三江新区长江工业园建设项目</v>
      </c>
    </row>
    <row r="3992" hidden="1" spans="2:18">
      <c r="B3992" s="136" t="s">
        <v>194</v>
      </c>
      <c r="C3992" s="71">
        <v>45928</v>
      </c>
      <c r="D3992" s="41" t="str">
        <f>VLOOKUP(B3992,辅助信息!E:K,7,FALSE)</f>
        <v>JWDD2025071500089</v>
      </c>
      <c r="E3992" s="41" t="str">
        <f>VLOOKUP(F3992,辅助信息!A:B,2,FALSE)</f>
        <v>螺纹钢</v>
      </c>
      <c r="F3992" s="41" t="s">
        <v>32</v>
      </c>
      <c r="G3992" s="37">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1" t="str">
        <f>VLOOKUP(B3992,辅助信息!E:I,3,FALSE)</f>
        <v>(宜宾兴港三江新区长江工业园保障性租赁住房建设项目-土建)四川省宜宾市翠屏区永善路南段宜宾市三江新区长江工业园区</v>
      </c>
      <c r="J3992" s="41" t="str">
        <f>VLOOKUP(B3992,辅助信息!E:I,4,FALSE)</f>
        <v>赵元虎</v>
      </c>
      <c r="K3992" s="41">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30" t="str">
        <f>VLOOKUP(B3992,辅助信息!E:M,9,FALSE)</f>
        <v>ZTWM-CDYXGS-XS-2025-0014-宜宾兴港建材-三江新区长江工业园片区保障性租赁住房建设项目</v>
      </c>
      <c r="R3992" s="30" t="str">
        <f>_xlfn._xlws.FILTER(辅助信息!D:D,辅助信息!E:E=B3992)</f>
        <v>宜宾兴港三江新区长江工业园建设项目</v>
      </c>
    </row>
    <row r="3993" hidden="1" spans="2:18">
      <c r="B3993" s="136" t="s">
        <v>194</v>
      </c>
      <c r="C3993" s="71">
        <v>45928</v>
      </c>
      <c r="D3993" s="41" t="str">
        <f>VLOOKUP(B3993,辅助信息!E:K,7,FALSE)</f>
        <v>JWDD2025071500089</v>
      </c>
      <c r="E3993" s="41" t="str">
        <f>VLOOKUP(F3993,辅助信息!A:B,2,FALSE)</f>
        <v>螺纹钢</v>
      </c>
      <c r="F3993" s="41" t="s">
        <v>33</v>
      </c>
      <c r="G3993" s="37">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1" t="str">
        <f>VLOOKUP(B3993,辅助信息!E:I,3,FALSE)</f>
        <v>(宜宾兴港三江新区长江工业园保障性租赁住房建设项目-土建)四川省宜宾市翠屏区永善路南段宜宾市三江新区长江工业园区</v>
      </c>
      <c r="J3993" s="41" t="str">
        <f>VLOOKUP(B3993,辅助信息!E:I,4,FALSE)</f>
        <v>赵元虎</v>
      </c>
      <c r="K3993" s="41">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30" t="str">
        <f>VLOOKUP(B3993,辅助信息!E:M,9,FALSE)</f>
        <v>ZTWM-CDYXGS-XS-2025-0014-宜宾兴港建材-三江新区长江工业园片区保障性租赁住房建设项目</v>
      </c>
      <c r="R3993" s="30" t="str">
        <f>_xlfn._xlws.FILTER(辅助信息!D:D,辅助信息!E:E=B3993)</f>
        <v>宜宾兴港三江新区长江工业园建设项目</v>
      </c>
    </row>
    <row r="3994" hidden="1" spans="2:18">
      <c r="B3994" s="136" t="s">
        <v>194</v>
      </c>
      <c r="C3994" s="71">
        <v>45928</v>
      </c>
      <c r="D3994" s="41" t="str">
        <f>VLOOKUP(B3994,辅助信息!E:K,7,FALSE)</f>
        <v>JWDD2025071500089</v>
      </c>
      <c r="E3994" s="41" t="str">
        <f>VLOOKUP(F3994,辅助信息!A:B,2,FALSE)</f>
        <v>螺纹钢</v>
      </c>
      <c r="F3994" s="41" t="s">
        <v>28</v>
      </c>
      <c r="G3994" s="37">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1" t="str">
        <f>VLOOKUP(B3994,辅助信息!E:I,3,FALSE)</f>
        <v>(宜宾兴港三江新区长江工业园保障性租赁住房建设项目-土建)四川省宜宾市翠屏区永善路南段宜宾市三江新区长江工业园区</v>
      </c>
      <c r="J3994" s="41" t="str">
        <f>VLOOKUP(B3994,辅助信息!E:I,4,FALSE)</f>
        <v>赵元虎</v>
      </c>
      <c r="K3994" s="41">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30" t="str">
        <f>VLOOKUP(B3994,辅助信息!E:M,9,FALSE)</f>
        <v>ZTWM-CDYXGS-XS-2025-0014-宜宾兴港建材-三江新区长江工业园片区保障性租赁住房建设项目</v>
      </c>
      <c r="R3994" s="30" t="str">
        <f>_xlfn._xlws.FILTER(辅助信息!D:D,辅助信息!E:E=B3994)</f>
        <v>宜宾兴港三江新区长江工业园建设项目</v>
      </c>
    </row>
    <row r="3995" hidden="1" spans="2:18">
      <c r="B3995" s="136" t="s">
        <v>194</v>
      </c>
      <c r="C3995" s="71">
        <v>45928</v>
      </c>
      <c r="D3995" s="41" t="str">
        <f>VLOOKUP(B3995,辅助信息!E:K,7,FALSE)</f>
        <v>JWDD2025071500089</v>
      </c>
      <c r="E3995" s="41" t="str">
        <f>VLOOKUP(F3995,辅助信息!A:B,2,FALSE)</f>
        <v>螺纹钢</v>
      </c>
      <c r="F3995" s="41" t="s">
        <v>18</v>
      </c>
      <c r="G3995" s="37">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1" t="str">
        <f>VLOOKUP(B3995,辅助信息!E:I,3,FALSE)</f>
        <v>(宜宾兴港三江新区长江工业园保障性租赁住房建设项目-土建)四川省宜宾市翠屏区永善路南段宜宾市三江新区长江工业园区</v>
      </c>
      <c r="J3995" s="41" t="str">
        <f>VLOOKUP(B3995,辅助信息!E:I,4,FALSE)</f>
        <v>赵元虎</v>
      </c>
      <c r="K3995" s="41">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30" t="str">
        <f>VLOOKUP(B3995,辅助信息!E:M,9,FALSE)</f>
        <v>ZTWM-CDYXGS-XS-2025-0014-宜宾兴港建材-三江新区长江工业园片区保障性租赁住房建设项目</v>
      </c>
      <c r="R3995" s="30" t="str">
        <f>_xlfn._xlws.FILTER(辅助信息!D:D,辅助信息!E:E=B3995)</f>
        <v>宜宾兴港三江新区长江工业园建设项目</v>
      </c>
    </row>
    <row r="3996" hidden="1" spans="2:18">
      <c r="B3996" s="136" t="s">
        <v>150</v>
      </c>
      <c r="C3996" s="71">
        <v>45928</v>
      </c>
      <c r="D3996" s="41" t="str">
        <f>VLOOKUP(B3996,辅助信息!E:K,7,FALSE)</f>
        <v>JWDDCD2025050800101</v>
      </c>
      <c r="E3996" s="41" t="str">
        <f>VLOOKUP(F3996,辅助信息!A:B,2,FALSE)</f>
        <v>盘螺</v>
      </c>
      <c r="F3996" s="41" t="s">
        <v>41</v>
      </c>
      <c r="G3996" s="37">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1" t="str">
        <f>VLOOKUP(B3996,辅助信息!E:I,3,FALSE)</f>
        <v>(中铁科研院宜宾泥溪项目)中铁科研院集团有限公司宜宾市泥溪东互通式立交下穿成贵客专铁路工程项目钢筋加工厂</v>
      </c>
      <c r="J3996" s="41" t="str">
        <f>VLOOKUP(B3996,辅助信息!E:I,4,FALSE)</f>
        <v>蔡鹏</v>
      </c>
      <c r="K3996" s="41">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30" t="str">
        <f>VLOOKUP(B3996,辅助信息!E:M,9,FALSE)</f>
        <v>ZTWM-CDGS-XS-2025-0050-中铁科研院-宜宾泥溪项目</v>
      </c>
      <c r="R3996" s="30" t="str">
        <f>_xlfn._xlws.FILTER(辅助信息!D:D,辅助信息!E:E=B3996)</f>
        <v>中铁科研院宜宾泥溪项目</v>
      </c>
    </row>
    <row r="3997" hidden="1" spans="2:18">
      <c r="B3997" s="136" t="s">
        <v>150</v>
      </c>
      <c r="C3997" s="71">
        <v>45928</v>
      </c>
      <c r="D3997" s="41" t="str">
        <f>VLOOKUP(B3997,辅助信息!E:K,7,FALSE)</f>
        <v>JWDDCD2025050800101</v>
      </c>
      <c r="E3997" s="41" t="str">
        <f>VLOOKUP(F3997,辅助信息!A:B,2,FALSE)</f>
        <v>盘螺</v>
      </c>
      <c r="F3997" s="41" t="s">
        <v>26</v>
      </c>
      <c r="G3997" s="37">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1" t="str">
        <f>VLOOKUP(B3997,辅助信息!E:I,3,FALSE)</f>
        <v>(中铁科研院宜宾泥溪项目)中铁科研院集团有限公司宜宾市泥溪东互通式立交下穿成贵客专铁路工程项目钢筋加工厂</v>
      </c>
      <c r="J3997" s="41" t="str">
        <f>VLOOKUP(B3997,辅助信息!E:I,4,FALSE)</f>
        <v>蔡鹏</v>
      </c>
      <c r="K3997" s="41">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30" t="str">
        <f>VLOOKUP(B3997,辅助信息!E:M,9,FALSE)</f>
        <v>ZTWM-CDGS-XS-2025-0050-中铁科研院-宜宾泥溪项目</v>
      </c>
      <c r="R3997" s="30"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30</v>
      </c>
      <c r="Q3998" s="30" t="str">
        <f>VLOOKUP(B3998,辅助信息!E:M,9,FALSE)</f>
        <v>ZTWM-CDGS-XS-2024-0030-华西集采-简州大道</v>
      </c>
      <c r="R3998" s="30"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30</v>
      </c>
      <c r="Q3999" s="30" t="str">
        <f>VLOOKUP(B3999,辅助信息!E:M,9,FALSE)</f>
        <v>ZTWM-CDGS-XS-2024-0030-华西集采-简州大道</v>
      </c>
      <c r="R3999" s="30"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30</v>
      </c>
      <c r="Q4000" s="30" t="str">
        <f>VLOOKUP(B4000,辅助信息!E:M,9,FALSE)</f>
        <v>ZTWM-CDGS-XS-2024-0030-华西集采-简州大道</v>
      </c>
      <c r="R4000" s="30"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30</v>
      </c>
      <c r="Q4001" s="30" t="str">
        <f>VLOOKUP(B4001,辅助信息!E:M,9,FALSE)</f>
        <v>ZTWM-CDGS-XS-2024-0030-华西集采-简州大道</v>
      </c>
      <c r="R4001" s="30"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30</v>
      </c>
      <c r="Q4002" s="30" t="str">
        <f>VLOOKUP(B4002,辅助信息!E:M,9,FALSE)</f>
        <v>ZTWM-CDGS-XS-2024-0030-华西集采-简州大道</v>
      </c>
      <c r="R4002" s="30"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30" t="str">
        <f>VLOOKUP(B4003,辅助信息!E:M,9,FALSE)</f>
        <v>ZTWM-CDGS-XS-2024-0030-华西集采-简州大道</v>
      </c>
      <c r="R4003" s="30"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30" t="str">
        <f>VLOOKUP(B4004,辅助信息!E:M,9,FALSE)</f>
        <v>ZTWM-CDGS-XS-2024-0030-华西集采-简州大道</v>
      </c>
      <c r="R4004" s="30"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30" t="str">
        <f>VLOOKUP(B4005,辅助信息!E:M,9,FALSE)</f>
        <v>ZTWM-CDGS-XS-2024-0030-华西集采-简州大道</v>
      </c>
      <c r="R4005" s="30"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30" t="str">
        <f>VLOOKUP(B4006,辅助信息!E:M,9,FALSE)</f>
        <v>ZTWM-CDGS-XS-2024-0030-华西集采-简州大道</v>
      </c>
      <c r="R4006" s="30"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30" t="str">
        <f>VLOOKUP(B4007,辅助信息!E:M,9,FALSE)</f>
        <v>ZTWM-CDGS-XS-2024-0030-华西集采-简州大道</v>
      </c>
      <c r="R4007" s="30"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30" t="str">
        <f>VLOOKUP(B4008,辅助信息!E:M,9,FALSE)</f>
        <v>ZTWM-CDGS-XS-2024-0030-华西集采-简州大道</v>
      </c>
      <c r="R4008" s="30"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30</v>
      </c>
      <c r="Q4009" s="30" t="str">
        <f>VLOOKUP(B4009,辅助信息!E:M,9,FALSE)</f>
        <v>ZTWM-CDGS-XS-2024-0030-华西集采-简州大道</v>
      </c>
      <c r="R4009" s="30"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30</v>
      </c>
      <c r="Q4010" s="30" t="str">
        <f>VLOOKUP(B4010,辅助信息!E:M,9,FALSE)</f>
        <v>ZTWM-CDGS-XS-2025-0126-四川机司-乐山市校地共建产教融合基地配套设施项目施工二标段钢筋采购合同</v>
      </c>
      <c r="R4010" s="30"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30</v>
      </c>
      <c r="Q4011" s="30" t="str">
        <f>VLOOKUP(B4011,辅助信息!E:M,9,FALSE)</f>
        <v>ZTWM-CDGS-XS-2025-0126-四川机司-乐山市校地共建产教融合基地配套设施项目施工二标段钢筋采购合同</v>
      </c>
      <c r="R4011" s="30"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30</v>
      </c>
      <c r="Q4012" s="30" t="str">
        <f>VLOOKUP(B4012,辅助信息!E:M,9,FALSE)</f>
        <v>ZTWM-CDGS-XS-2025-0126-四川机司-乐山市校地共建产教融合基地配套设施项目施工二标段钢筋采购合同</v>
      </c>
      <c r="R4012" s="30"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30" t="str">
        <f>VLOOKUP(B4013,辅助信息!E:M,9,FALSE)</f>
        <v>ZTWM-CDGS-XS-2025-0126-四川机司-乐山市校地共建产教融合基地配套设施项目施工二标段钢筋采购合同</v>
      </c>
      <c r="R4013" s="30"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30</v>
      </c>
      <c r="Q4014" s="30" t="str">
        <f>VLOOKUP(B4014,辅助信息!E:M,9,FALSE)</f>
        <v>ZTWM-CDGS-XS-2025-0126-四川机司-乐山市校地共建产教融合基地配套设施项目施工二标段钢筋采购合同</v>
      </c>
      <c r="R4014" s="30"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30</v>
      </c>
      <c r="Q4015" s="30" t="str">
        <f>VLOOKUP(B4015,辅助信息!E:M,9,FALSE)</f>
        <v>ZTWM-CDGS-XS-2025-0126-四川机司-乐山市校地共建产教融合基地配套设施项目施工二标段钢筋采购合同</v>
      </c>
      <c r="R4015" s="30"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30</v>
      </c>
      <c r="Q4016" s="30" t="str">
        <f>VLOOKUP(B4016,辅助信息!E:M,9,FALSE)</f>
        <v>ZTWM-CDGS-XS-2025-0126-四川机司-乐山市校地共建产教融合基地配套设施项目施工二标段钢筋采购合同</v>
      </c>
      <c r="R4016" s="30"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30</v>
      </c>
      <c r="Q4017" s="30" t="str">
        <f>VLOOKUP(B4017,辅助信息!E:M,9,FALSE)</f>
        <v>ZTWM-CDGS-XS-2025-0126-四川机司-乐山市校地共建产教融合基地配套设施项目施工二标段钢筋采购合同</v>
      </c>
      <c r="R4017" s="30"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30</v>
      </c>
      <c r="Q4018" s="30" t="str">
        <f>VLOOKUP(B4018,辅助信息!E:M,9,FALSE)</f>
        <v>ZTWM-CDGS-XS-2025-0126-四川机司-乐山市校地共建产教融合基地配套设施项目施工二标段钢筋采购合同</v>
      </c>
      <c r="R4018" s="30"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30</v>
      </c>
      <c r="Q4019" s="30" t="str">
        <f>VLOOKUP(B4019,辅助信息!E:M,9,FALSE)</f>
        <v>ZTWM-CDGS-XS-2025-0126-四川机司-乐山市校地共建产教融合基地配套设施项目施工二标段钢筋采购合同</v>
      </c>
      <c r="R4019" s="30"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30</v>
      </c>
      <c r="Q4020" s="30" t="str">
        <f>VLOOKUP(B4020,辅助信息!E:M,9,FALSE)</f>
        <v>ZTWM-CDGS-XS-2025-0126-四川机司-乐山市校地共建产教融合基地配套设施项目施工二标段钢筋采购合同</v>
      </c>
      <c r="R4020" s="30"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30</v>
      </c>
      <c r="Q4021" s="30" t="str">
        <f>VLOOKUP(B4021,辅助信息!E:M,9,FALSE)</f>
        <v>ZTWM-CDGS-XS-2025-0126-四川机司-乐山市校地共建产教融合基地配套设施项目施工二标段钢筋采购合同</v>
      </c>
      <c r="R4021" s="30"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30</v>
      </c>
      <c r="Q4022" s="30" t="str">
        <f>VLOOKUP(B4022,辅助信息!E:M,9,FALSE)</f>
        <v>ZTWM-CDGS-XS-2025-0126-四川机司-乐山市校地共建产教融合基地配套设施项目施工二标段钢筋采购合同</v>
      </c>
      <c r="R4022" s="30"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30</v>
      </c>
      <c r="Q4023" s="30" t="str">
        <f>VLOOKUP(B4023,辅助信息!E:M,9,FALSE)</f>
        <v>ZTWM-CDGS-XS-2025-0125-四川机司-乐山市校地共建产教融合基地配套设施项目施工一标段钢筋采购合同</v>
      </c>
      <c r="R4023" s="30"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30</v>
      </c>
      <c r="Q4024" s="30" t="str">
        <f>VLOOKUP(B4024,辅助信息!E:M,9,FALSE)</f>
        <v>ZTWM-CDGS-XS-2025-0125-四川机司-乐山市校地共建产教融合基地配套设施项目施工一标段钢筋采购合同</v>
      </c>
      <c r="R4024" s="30"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30</v>
      </c>
      <c r="Q4025" s="30" t="str">
        <f>VLOOKUP(B4025,辅助信息!E:M,9,FALSE)</f>
        <v>ZTWM-CDGS-XS-2025-0125-四川机司-乐山市校地共建产教融合基地配套设施项目施工一标段钢筋采购合同</v>
      </c>
      <c r="R4025" s="30"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30</v>
      </c>
      <c r="Q4026" s="30" t="str">
        <f>VLOOKUP(B4026,辅助信息!E:M,9,FALSE)</f>
        <v>ZTWM-CDGS-XS-2025-0125-四川机司-乐山市校地共建产教融合基地配套设施项目施工一标段钢筋采购合同</v>
      </c>
      <c r="R4026" s="30"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30</v>
      </c>
      <c r="Q4027" s="30" t="str">
        <f>VLOOKUP(B4027,辅助信息!E:M,9,FALSE)</f>
        <v>ZTWM-CDGS-XS-2025-0125-四川机司-乐山市校地共建产教融合基地配套设施项目施工一标段钢筋采购合同</v>
      </c>
      <c r="R4027" s="30"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30</v>
      </c>
      <c r="Q4028" s="30" t="str">
        <f>VLOOKUP(B4028,辅助信息!E:M,9,FALSE)</f>
        <v>ZTWM-CDGS-XS-2024-0134-商投建工达州中医药科技成果示范园项目</v>
      </c>
      <c r="R4028" s="30"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30</v>
      </c>
      <c r="Q4029" s="30" t="str">
        <f>VLOOKUP(B4029,辅助信息!E:M,9,FALSE)</f>
        <v>ZTWM-CDGS-XS-2024-0134-商投建工达州中医药科技成果示范园项目</v>
      </c>
      <c r="R4029" s="30"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30</v>
      </c>
      <c r="Q4030" s="30" t="str">
        <f>VLOOKUP(B4030,辅助信息!E:M,9,FALSE)</f>
        <v>ZTWM-CDGS-XS-2024-0134-商投建工达州中医药科技成果示范园项目</v>
      </c>
      <c r="R4030" s="30"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31</v>
      </c>
      <c r="Q4031" s="30" t="str">
        <f>VLOOKUP(B4031,辅助信息!E:M,9,FALSE)</f>
        <v>ZTWM-CDGS-XS-2024-0134-商投建工达州中医药科技成果示范园项目</v>
      </c>
      <c r="R4031" s="30"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31</v>
      </c>
      <c r="Q4032" s="30" t="str">
        <f>VLOOKUP(B4032,辅助信息!E:M,9,FALSE)</f>
        <v>ZTWM-CDGS-XS-2024-0134-商投建工达州中医药科技成果示范园项目</v>
      </c>
      <c r="R4032" s="30"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30</v>
      </c>
      <c r="Q4033" s="30" t="str">
        <f>VLOOKUP(B4033,辅助信息!E:M,9,FALSE)</f>
        <v>ZTWM-CDGS-XS-2024-0134-商投建工达州中医药科技成果示范园项目</v>
      </c>
      <c r="R4033" s="30"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30</v>
      </c>
      <c r="Q4034" s="30" t="str">
        <f>VLOOKUP(B4034,辅助信息!E:M,9,FALSE)</f>
        <v>ZTWM-CDGS-XS-2024-0134-商投建工达州中医药科技成果示范园项目</v>
      </c>
      <c r="R4034" s="30"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30</v>
      </c>
      <c r="Q4035" s="30" t="str">
        <f>VLOOKUP(B4035,辅助信息!E:M,9,FALSE)</f>
        <v>ZTWM-CDGS-XS-2025-0156-五冶钢构-2025年九月第一批次钢筋采购合同(三圣乡项目)-中铁物贸成都公司</v>
      </c>
      <c r="R4035" s="30"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30</v>
      </c>
      <c r="Q4036" s="30" t="str">
        <f>VLOOKUP(B4036,辅助信息!E:M,9,FALSE)</f>
        <v>ZTWM-CDGS-XS-2025-0156-五冶钢构-2025年九月第一批次钢筋采购合同(三圣乡项目)-中铁物贸成都公司</v>
      </c>
      <c r="R4036" s="30"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30</v>
      </c>
      <c r="Q4037" s="30" t="str">
        <f>VLOOKUP(B4037,辅助信息!E:M,9,FALSE)</f>
        <v>ZTWM-CDGS-XS-2025-0156-五冶钢构-2025年九月第一批次钢筋采购合同(三圣乡项目)-中铁物贸成都公司</v>
      </c>
      <c r="R4037" s="30"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30</v>
      </c>
      <c r="Q4038" s="30" t="str">
        <f>VLOOKUP(B4038,辅助信息!E:M,9,FALSE)</f>
        <v>ZTWM-CDGS-XS-2025-0156-五冶钢构-2025年九月第一批次钢筋采购合同(三圣乡项目)-中铁物贸成都公司</v>
      </c>
      <c r="R4038" s="30"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30</v>
      </c>
      <c r="Q4039" s="30" t="str">
        <f>VLOOKUP(B4039,辅助信息!E:M,9,FALSE)</f>
        <v>ZTWM-CDGS-XS-2025-0073-五冶天府-成都怡心湖片区及龙泉驿医院等项目</v>
      </c>
      <c r="R4039" s="30"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30</v>
      </c>
      <c r="Q4040" s="30" t="str">
        <f>VLOOKUP(B4040,辅助信息!E:M,9,FALSE)</f>
        <v>ZTWM-CDGS-XS-2025-0073-五冶天府-成都怡心湖片区及龙泉驿医院等项目</v>
      </c>
      <c r="R4040" s="30"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30</v>
      </c>
      <c r="Q4041" s="30" t="str">
        <f>VLOOKUP(B4041,辅助信息!E:M,9,FALSE)</f>
        <v>ZTWM-CDGS-XS-2025-0073-五冶天府-成都怡心湖片区及龙泉驿医院等项目</v>
      </c>
      <c r="R4041" s="30"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30</v>
      </c>
      <c r="Q4042" s="30" t="str">
        <f>VLOOKUP(B4042,辅助信息!E:M,9,FALSE)</f>
        <v>ZTWM-CDGS-XS-2025-0073-五冶天府-成都怡心湖片区及龙泉驿医院等项目</v>
      </c>
      <c r="R4042" s="30"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30</v>
      </c>
      <c r="Q4043" s="30" t="str">
        <f>VLOOKUP(B4043,辅助信息!E:M,9,FALSE)</f>
        <v>ZTWM-CDGS-XS-2025-0073-五冶天府-成都怡心湖片区及龙泉驿医院等项目</v>
      </c>
      <c r="R4043" s="30"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30</v>
      </c>
      <c r="Q4044" s="30" t="str">
        <f>VLOOKUP(B4044,辅助信息!E:M,9,FALSE)</f>
        <v>ZTWM-CDGS-XS-2025-0073-五冶天府-成都怡心湖片区及龙泉驿医院等项目</v>
      </c>
      <c r="R4044" s="30"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30</v>
      </c>
      <c r="Q4045" s="30" t="str">
        <f>VLOOKUP(B4045,辅助信息!E:M,9,FALSE)</f>
        <v>ZTWM-CDGS-XS-2025-0073-五冶天府-成都怡心湖片区及龙泉驿医院等项目</v>
      </c>
      <c r="R4045" s="30"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30</v>
      </c>
      <c r="Q4046" s="30" t="str">
        <f>VLOOKUP(B4046,辅助信息!E:M,9,FALSE)</f>
        <v>ZTWM-CDGS-XS-2025-0073-五冶天府-成都怡心湖片区及龙泉驿医院等项目</v>
      </c>
      <c r="R4046" s="30"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30</v>
      </c>
      <c r="Q4047" s="30" t="str">
        <f>VLOOKUP(B4047,辅助信息!E:M,9,FALSE)</f>
        <v>ZTWM-CDGS-XS-2025-0073-五冶天府-成都怡心湖片区及龙泉驿医院等项目</v>
      </c>
      <c r="R4047" s="30"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30</v>
      </c>
      <c r="Q4048" s="30" t="str">
        <f>VLOOKUP(B4048,辅助信息!E:M,9,FALSE)</f>
        <v>ZTWM-CDGS-XS-2025-0073-五冶天府-成都怡心湖片区及龙泉驿医院等项目</v>
      </c>
      <c r="R4048" s="30"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30</v>
      </c>
      <c r="Q4049" s="30" t="str">
        <f>VLOOKUP(B4049,辅助信息!E:M,9,FALSE)</f>
        <v>ZTWM-CDGS-XS-2025-0073-五冶天府-成都怡心湖片区及龙泉驿医院等项目</v>
      </c>
      <c r="R4049" s="30"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30</v>
      </c>
      <c r="Q4050" s="30" t="str">
        <f>VLOOKUP(B4050,辅助信息!E:M,9,FALSE)</f>
        <v>ZTWM-CDGS-XS-2025-0073-五冶天府-成都怡心湖片区及龙泉驿医院等项目</v>
      </c>
      <c r="R4050" s="30"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30</v>
      </c>
      <c r="Q4051" s="30" t="str">
        <f>VLOOKUP(B4051,辅助信息!E:M,9,FALSE)</f>
        <v>ZTWM-CDGS-XS-2025-0073-五冶天府-成都怡心湖片区及龙泉驿医院等项目</v>
      </c>
      <c r="R4051" s="30"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30</v>
      </c>
      <c r="Q4052" s="30" t="str">
        <f>VLOOKUP(B4052,辅助信息!E:M,9,FALSE)</f>
        <v>ZTWM-CDGS-XS-2025-0073-五冶天府-成都怡心湖片区及龙泉驿医院等项目</v>
      </c>
      <c r="R4052" s="30"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30" t="str">
        <f>VLOOKUP(B4053,辅助信息!E:M,9,FALSE)</f>
        <v>ZTWM-CDGS-XS-2025-0073-五冶天府-成都怡心湖片区及龙泉驿医院等项目</v>
      </c>
      <c r="R4053" s="30"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30" t="str">
        <f>VLOOKUP(B4054,辅助信息!E:M,9,FALSE)</f>
        <v>ZTWM-CDGS-XS-2025-0073-五冶天府-成都怡心湖片区及龙泉驿医院等项目</v>
      </c>
      <c r="R4054" s="30"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30" t="str">
        <f>VLOOKUP(B4055,辅助信息!E:M,9,FALSE)</f>
        <v>ZTWM-CDGS-XS-2025-0073-五冶天府-成都怡心湖片区及龙泉驿医院等项目</v>
      </c>
      <c r="R4055" s="30"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30" t="str">
        <f>VLOOKUP(B4056,辅助信息!E:M,9,FALSE)</f>
        <v>ZTWM-CDGS-XS-2025-0073-五冶天府-成都怡心湖片区及龙泉驿医院等项目</v>
      </c>
      <c r="R4056" s="30"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30" t="str">
        <f>VLOOKUP(B4057,辅助信息!E:M,9,FALSE)</f>
        <v>ZTWM-CDGS-XS-2025-0033-中铁武汉电气化局集团有限公司成达万高速铁路强电工程项目</v>
      </c>
      <c r="R4057" s="30"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30" t="str">
        <f>VLOOKUP(B4058,辅助信息!E:M,9,FALSE)</f>
        <v>ZTWM-CDGS-XS-2025-0033-中铁武汉电气化局集团有限公司成达万高速铁路强电工程项目</v>
      </c>
      <c r="R4058" s="30"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30" t="str">
        <f>VLOOKUP(B4059,辅助信息!E:M,9,FALSE)</f>
        <v>ZTWM-CDGS-XS-2025-0050-中铁科研院-宜宾泥溪项目</v>
      </c>
      <c r="R4059" s="30"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30" t="str">
        <f>VLOOKUP(B4060,辅助信息!E:M,9,FALSE)</f>
        <v>ZTWM-CDGS-XS-2025-0050-中铁科研院-宜宾泥溪项目</v>
      </c>
      <c r="R4060" s="30" t="str">
        <f>_xlfn._xlws.FILTER(辅助信息!D:D,辅助信息!E:E=B4060)</f>
        <v>中铁科研院宜宾泥溪项目</v>
      </c>
    </row>
    <row r="4061" hidden="1" spans="2:18">
      <c r="B4061" s="136" t="s">
        <v>228</v>
      </c>
      <c r="C4061" s="71">
        <v>45929</v>
      </c>
      <c r="D4061" s="41" t="str">
        <f>VLOOKUP(B4061,辅助信息!E:K,7,FALSE)</f>
        <v>JWDDCD2025092400190</v>
      </c>
      <c r="E4061" s="41" t="str">
        <f>VLOOKUP(F4061,辅助信息!A:B,2,FALSE)</f>
        <v>螺纹钢</v>
      </c>
      <c r="F4061" s="41" t="s">
        <v>27</v>
      </c>
      <c r="G4061" s="37">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1" t="str">
        <f>VLOOKUP(B4061,辅助信息!E:I,3,FALSE)</f>
        <v>(五冶钢构龙泉东洪片区70亩住宅、商业及配套工程项目二标段)成都市龙泉驿外东洪路地铁2号线惠王陵地铁C口</v>
      </c>
      <c r="J4061" s="41" t="str">
        <f>VLOOKUP(B4061,辅助信息!E:I,4,FALSE)</f>
        <v>蒋嗣伟</v>
      </c>
      <c r="K4061" s="41">
        <f>VLOOKUP(J4061,辅助信息!H:I,2,FALSE)</f>
        <v>15014331252</v>
      </c>
      <c r="L4061" s="110">
        <f>VLOOKUP(B4061,辅助信息!E:J,6,FALSE)</f>
        <v>0</v>
      </c>
      <c r="O4061" s="63" t="str">
        <f ca="1" t="shared" si="208"/>
        <v/>
      </c>
      <c r="P4061" s="63" t="str">
        <f ca="1" t="shared" si="209"/>
        <v/>
      </c>
      <c r="Q4061" s="30" t="str">
        <f>VLOOKUP(B4061,辅助信息!E:M,9,FALSE)</f>
        <v>ZTWM-CDGS-XS-2025-0156-五冶钢构-2025年九月第一批次钢筋采购合同(三圣乡项目)-中铁物贸成都公司</v>
      </c>
      <c r="R4061" s="30" t="str">
        <f>_xlfn._xlws.FILTER(辅助信息!D:D,辅助信息!E:E=B4061)</f>
        <v>五冶钢构龙泉东洪片区(70亩、85亩)住宅、商业及配套工程项目</v>
      </c>
    </row>
    <row r="4062" hidden="1" spans="2:18">
      <c r="B4062" s="136" t="s">
        <v>228</v>
      </c>
      <c r="C4062" s="71">
        <v>45929</v>
      </c>
      <c r="D4062" s="41" t="str">
        <f>VLOOKUP(B4062,辅助信息!E:K,7,FALSE)</f>
        <v>JWDDCD2025092400190</v>
      </c>
      <c r="E4062" s="41" t="str">
        <f>VLOOKUP(F4062,辅助信息!A:B,2,FALSE)</f>
        <v>螺纹钢</v>
      </c>
      <c r="F4062" s="41" t="s">
        <v>30</v>
      </c>
      <c r="G4062" s="37">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1" t="str">
        <f>VLOOKUP(B4062,辅助信息!E:I,3,FALSE)</f>
        <v>(五冶钢构龙泉东洪片区70亩住宅、商业及配套工程项目二标段)成都市龙泉驿外东洪路地铁2号线惠王陵地铁C口</v>
      </c>
      <c r="J4062" s="41" t="str">
        <f>VLOOKUP(B4062,辅助信息!E:I,4,FALSE)</f>
        <v>蒋嗣伟</v>
      </c>
      <c r="K4062" s="41">
        <f>VLOOKUP(J4062,辅助信息!H:I,2,FALSE)</f>
        <v>15014331252</v>
      </c>
      <c r="L4062" s="110">
        <f>VLOOKUP(B4062,辅助信息!E:J,6,FALSE)</f>
        <v>0</v>
      </c>
      <c r="O4062" s="63" t="str">
        <f ca="1" t="shared" si="208"/>
        <v/>
      </c>
      <c r="P4062" s="63" t="str">
        <f ca="1" t="shared" si="209"/>
        <v/>
      </c>
      <c r="Q4062" s="30" t="str">
        <f>VLOOKUP(B4062,辅助信息!E:M,9,FALSE)</f>
        <v>ZTWM-CDGS-XS-2025-0156-五冶钢构-2025年九月第一批次钢筋采购合同(三圣乡项目)-中铁物贸成都公司</v>
      </c>
      <c r="R4062" s="30" t="str">
        <f>_xlfn._xlws.FILTER(辅助信息!D:D,辅助信息!E:E=B4062)</f>
        <v>五冶钢构龙泉东洪片区(70亩、85亩)住宅、商业及配套工程项目</v>
      </c>
    </row>
    <row r="4063" hidden="1" spans="2:18">
      <c r="B4063" s="136" t="s">
        <v>228</v>
      </c>
      <c r="C4063" s="71">
        <v>45929</v>
      </c>
      <c r="D4063" s="41" t="str">
        <f>VLOOKUP(B4063,辅助信息!E:K,7,FALSE)</f>
        <v>JWDDCD2025092400190</v>
      </c>
      <c r="E4063" s="41" t="str">
        <f>VLOOKUP(F4063,辅助信息!A:B,2,FALSE)</f>
        <v>螺纹钢</v>
      </c>
      <c r="F4063" s="41" t="s">
        <v>33</v>
      </c>
      <c r="G4063" s="37">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1" t="str">
        <f>VLOOKUP(B4063,辅助信息!E:I,3,FALSE)</f>
        <v>(五冶钢构龙泉东洪片区70亩住宅、商业及配套工程项目二标段)成都市龙泉驿外东洪路地铁2号线惠王陵地铁C口</v>
      </c>
      <c r="J4063" s="41" t="str">
        <f>VLOOKUP(B4063,辅助信息!E:I,4,FALSE)</f>
        <v>蒋嗣伟</v>
      </c>
      <c r="K4063" s="41">
        <f>VLOOKUP(J4063,辅助信息!H:I,2,FALSE)</f>
        <v>15014331252</v>
      </c>
      <c r="L4063" s="110">
        <f>VLOOKUP(B4063,辅助信息!E:J,6,FALSE)</f>
        <v>0</v>
      </c>
      <c r="O4063" s="63" t="str">
        <f ca="1" t="shared" si="208"/>
        <v/>
      </c>
      <c r="P4063" s="63" t="str">
        <f ca="1" t="shared" si="209"/>
        <v/>
      </c>
      <c r="Q4063" s="30" t="str">
        <f>VLOOKUP(B4063,辅助信息!E:M,9,FALSE)</f>
        <v>ZTWM-CDGS-XS-2025-0156-五冶钢构-2025年九月第一批次钢筋采购合同(三圣乡项目)-中铁物贸成都公司</v>
      </c>
      <c r="R4063" s="30" t="str">
        <f>_xlfn._xlws.FILTER(辅助信息!D:D,辅助信息!E:E=B4063)</f>
        <v>五冶钢构龙泉东洪片区(70亩、85亩)住宅、商业及配套工程项目</v>
      </c>
    </row>
    <row r="4064" hidden="1" spans="2:18">
      <c r="B4064" s="136" t="s">
        <v>228</v>
      </c>
      <c r="C4064" s="71">
        <v>45929</v>
      </c>
      <c r="D4064" s="41" t="str">
        <f>VLOOKUP(B4064,辅助信息!E:K,7,FALSE)</f>
        <v>JWDDCD2025092400190</v>
      </c>
      <c r="E4064" s="41" t="str">
        <f>VLOOKUP(F4064,辅助信息!A:B,2,FALSE)</f>
        <v>螺纹钢</v>
      </c>
      <c r="F4064" s="41" t="s">
        <v>18</v>
      </c>
      <c r="G4064" s="37">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1" t="str">
        <f>VLOOKUP(B4064,辅助信息!E:I,3,FALSE)</f>
        <v>(五冶钢构龙泉东洪片区70亩住宅、商业及配套工程项目二标段)成都市龙泉驿外东洪路地铁2号线惠王陵地铁C口</v>
      </c>
      <c r="J4064" s="41" t="str">
        <f>VLOOKUP(B4064,辅助信息!E:I,4,FALSE)</f>
        <v>蒋嗣伟</v>
      </c>
      <c r="K4064" s="41">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30" t="str">
        <f>VLOOKUP(B4064,辅助信息!E:M,9,FALSE)</f>
        <v>ZTWM-CDGS-XS-2025-0156-五冶钢构-2025年九月第一批次钢筋采购合同(三圣乡项目)-中铁物贸成都公司</v>
      </c>
      <c r="R4064" s="30" t="str">
        <f>_xlfn._xlws.FILTER(辅助信息!D:D,辅助信息!E:E=B4064)</f>
        <v>五冶钢构龙泉东洪片区(70亩、85亩)住宅、商业及配套工程项目</v>
      </c>
    </row>
    <row r="4065" hidden="1" spans="2:18">
      <c r="B4065" s="136" t="s">
        <v>169</v>
      </c>
      <c r="C4065" s="71">
        <v>45929</v>
      </c>
      <c r="D4065" s="41" t="str">
        <f>VLOOKUP(B4065,辅助信息!E:K,7,FALSE)</f>
        <v>JWDDCD2025051800044</v>
      </c>
      <c r="E4065" s="41" t="str">
        <f>VLOOKUP(F4065,辅助信息!A:B,2,FALSE)</f>
        <v>高线</v>
      </c>
      <c r="F4065" s="41" t="s">
        <v>51</v>
      </c>
      <c r="G4065" s="37">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1" t="str">
        <f>VLOOKUP(B4065,辅助信息!E:I,3,FALSE)</f>
        <v>(五冶建设龙泉芙蓉花语项目-1,3地块)龙泉驿区北川路双堰塘钓鱼东100米(北川路)</v>
      </c>
      <c r="J4065" s="41" t="str">
        <f>VLOOKUP(B4065,辅助信息!E:I,4,FALSE)</f>
        <v>祝斯阳</v>
      </c>
      <c r="K4065" s="41">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30" t="str">
        <f>VLOOKUP(B4065,辅助信息!E:M,9,FALSE)</f>
        <v>ZTWM-CDGS-XS-2025-0073-五冶天府-成都怡心湖片区及龙泉驿医院等项目</v>
      </c>
      <c r="R4065" s="30" t="str">
        <f>_xlfn._xlws.FILTER(辅助信息!D:D,辅助信息!E:E=B4065)</f>
        <v>五冶建设龙泉芙蓉花语项目</v>
      </c>
    </row>
    <row r="4066" hidden="1" spans="2:18">
      <c r="B4066" s="136" t="s">
        <v>169</v>
      </c>
      <c r="C4066" s="71">
        <v>45929</v>
      </c>
      <c r="D4066" s="41" t="str">
        <f>VLOOKUP(B4066,辅助信息!E:K,7,FALSE)</f>
        <v>JWDDCD2025051800044</v>
      </c>
      <c r="E4066" s="41" t="str">
        <f>VLOOKUP(F4066,辅助信息!A:B,2,FALSE)</f>
        <v>螺纹钢</v>
      </c>
      <c r="F4066" s="41" t="s">
        <v>28</v>
      </c>
      <c r="G4066" s="37">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1" t="str">
        <f>VLOOKUP(B4066,辅助信息!E:I,3,FALSE)</f>
        <v>(五冶建设龙泉芙蓉花语项目-1,3地块)龙泉驿区北川路双堰塘钓鱼东100米(北川路)</v>
      </c>
      <c r="J4066" s="41" t="str">
        <f>VLOOKUP(B4066,辅助信息!E:I,4,FALSE)</f>
        <v>祝斯阳</v>
      </c>
      <c r="K4066" s="41">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30" t="str">
        <f>VLOOKUP(B4066,辅助信息!E:M,9,FALSE)</f>
        <v>ZTWM-CDGS-XS-2025-0073-五冶天府-成都怡心湖片区及龙泉驿医院等项目</v>
      </c>
      <c r="R4066" s="30"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30</v>
      </c>
      <c r="Q4067" s="30" t="str">
        <f>VLOOKUP(B4067,辅助信息!E:M,9,FALSE)</f>
        <v>ZTWM-CDGS-XS-2024-0030-华西集采-简州大道</v>
      </c>
      <c r="R4067" s="30"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30" t="str">
        <f>VLOOKUP(B4068,辅助信息!E:M,9,FALSE)</f>
        <v>ZTWM-CDGS-XS-2024-0030-华西集采-简州大道</v>
      </c>
      <c r="R4068" s="30"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30" t="str">
        <f>VLOOKUP(B4069,辅助信息!E:M,9,FALSE)</f>
        <v>ZTWM-CDGS-XS-2024-0030-华西集采-简州大道</v>
      </c>
      <c r="R4069" s="30"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30" t="str">
        <f>VLOOKUP(B4070,辅助信息!E:M,9,FALSE)</f>
        <v>ZTWM-CDGS-XS-2024-0030-华西集采-简州大道</v>
      </c>
      <c r="R4070" s="30"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30" t="str">
        <f>VLOOKUP(B4071,辅助信息!E:M,9,FALSE)</f>
        <v>ZTWM-CDGS-XS-2024-0030-华西集采-简州大道</v>
      </c>
      <c r="R4071" s="30"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30</v>
      </c>
      <c r="Q4072" s="30" t="str">
        <f>VLOOKUP(B4072,辅助信息!E:M,9,FALSE)</f>
        <v>ZTWM-CDGS-XS-2024-0030-华西集采-简州大道</v>
      </c>
      <c r="R4072" s="30"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30</v>
      </c>
      <c r="Q4073" s="30" t="str">
        <f>VLOOKUP(B4073,辅助信息!E:M,9,FALSE)</f>
        <v>ZTWM-CDGS-XS-2024-0134-商投建工达州中医药科技成果示范园项目</v>
      </c>
      <c r="R4073" s="30"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30</v>
      </c>
      <c r="Q4074" s="30" t="str">
        <f>VLOOKUP(B4074,辅助信息!E:M,9,FALSE)</f>
        <v>ZTWM-CDGS-XS-2024-0134-商投建工达州中医药科技成果示范园项目</v>
      </c>
      <c r="R4074" s="30"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30</v>
      </c>
      <c r="Q4075" s="30" t="str">
        <f>VLOOKUP(B4075,辅助信息!E:M,9,FALSE)</f>
        <v>ZTWM-CDGS-XS-2024-0134-商投建工达州中医药科技成果示范园项目</v>
      </c>
      <c r="R4075" s="30"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31</v>
      </c>
      <c r="Q4076" s="30" t="str">
        <f>VLOOKUP(B4076,辅助信息!E:M,9,FALSE)</f>
        <v>ZTWM-CDGS-XS-2024-0134-商投建工达州中医药科技成果示范园项目</v>
      </c>
      <c r="R4076" s="30"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31</v>
      </c>
      <c r="Q4077" s="30" t="str">
        <f>VLOOKUP(B4077,辅助信息!E:M,9,FALSE)</f>
        <v>ZTWM-CDGS-XS-2024-0134-商投建工达州中医药科技成果示范园项目</v>
      </c>
      <c r="R4077" s="30"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30</v>
      </c>
      <c r="Q4078" s="30" t="str">
        <f>VLOOKUP(B4078,辅助信息!E:M,9,FALSE)</f>
        <v>ZTWM-CDGS-XS-2024-0134-商投建工达州中医药科技成果示范园项目</v>
      </c>
      <c r="R4078" s="30"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30</v>
      </c>
      <c r="Q4079" s="30" t="str">
        <f>VLOOKUP(B4079,辅助信息!E:M,9,FALSE)</f>
        <v>ZTWM-CDGS-XS-2024-0134-商投建工达州中医药科技成果示范园项目</v>
      </c>
      <c r="R4079" s="30"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30</v>
      </c>
      <c r="Q4080" s="30" t="str">
        <f>VLOOKUP(B4080,辅助信息!E:M,9,FALSE)</f>
        <v>ZTWM-CDGS-XS-2025-0073-五冶天府-成都怡心湖片区及龙泉驿医院等项目</v>
      </c>
      <c r="R4080" s="30"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30</v>
      </c>
      <c r="Q4081" s="30" t="str">
        <f>VLOOKUP(B4081,辅助信息!E:M,9,FALSE)</f>
        <v>ZTWM-CDGS-XS-2025-0073-五冶天府-成都怡心湖片区及龙泉驿医院等项目</v>
      </c>
      <c r="R4081" s="30"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30</v>
      </c>
      <c r="Q4082" s="30" t="str">
        <f>VLOOKUP(B4082,辅助信息!E:M,9,FALSE)</f>
        <v>ZTWM-CDGS-XS-2025-0073-五冶天府-成都怡心湖片区及龙泉驿医院等项目</v>
      </c>
      <c r="R4082" s="30"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30</v>
      </c>
      <c r="Q4083" s="30" t="str">
        <f>VLOOKUP(B4083,辅助信息!E:M,9,FALSE)</f>
        <v>ZTWM-CDGS-XS-2025-0073-五冶天府-成都怡心湖片区及龙泉驿医院等项目</v>
      </c>
      <c r="R4083" s="30"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30</v>
      </c>
      <c r="Q4084" s="30" t="str">
        <f>VLOOKUP(B4084,辅助信息!E:M,9,FALSE)</f>
        <v>ZTWM-CDGS-XS-2025-0073-五冶天府-成都怡心湖片区及龙泉驿医院等项目</v>
      </c>
      <c r="R4084" s="30"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30</v>
      </c>
      <c r="Q4085" s="30" t="str">
        <f>VLOOKUP(B4085,辅助信息!E:M,9,FALSE)</f>
        <v>ZTWM-CDGS-XS-2025-0073-五冶天府-成都怡心湖片区及龙泉驿医院等项目</v>
      </c>
      <c r="R4085" s="30"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30</v>
      </c>
      <c r="Q4086" s="30" t="str">
        <f>VLOOKUP(B4086,辅助信息!E:M,9,FALSE)</f>
        <v>ZTWM-CDGS-XS-2025-0073-五冶天府-成都怡心湖片区及龙泉驿医院等项目</v>
      </c>
      <c r="R4086" s="30"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30</v>
      </c>
      <c r="Q4087" s="30" t="str">
        <f>VLOOKUP(B4087,辅助信息!E:M,9,FALSE)</f>
        <v>ZTWM-CDGS-XS-2025-0073-五冶天府-成都怡心湖片区及龙泉驿医院等项目</v>
      </c>
      <c r="R4087" s="30"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30" t="str">
        <f>VLOOKUP(B4088,辅助信息!E:M,9,FALSE)</f>
        <v>ZTWM-CDGS-XS-2025-0073-五冶天府-成都怡心湖片区及龙泉驿医院等项目</v>
      </c>
      <c r="R4088" s="30"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30</v>
      </c>
      <c r="Q4089" s="30" t="str">
        <f>VLOOKUP(B4089,辅助信息!E:M,9,FALSE)</f>
        <v>ZTWM-CDGS-XS-2025-0073-五冶天府-成都怡心湖片区及龙泉驿医院等项目</v>
      </c>
      <c r="R4089" s="30"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30</v>
      </c>
      <c r="Q4090" s="30" t="str">
        <f>VLOOKUP(B4090,辅助信息!E:M,9,FALSE)</f>
        <v>ZTWM-CDGS-XS-2025-0073-五冶天府-成都怡心湖片区及龙泉驿医院等项目</v>
      </c>
      <c r="R4090" s="30"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30</v>
      </c>
      <c r="Q4091" s="30" t="str">
        <f>VLOOKUP(B4091,辅助信息!E:M,9,FALSE)</f>
        <v>ZTWM-CDGS-XS-2025-0073-五冶天府-成都怡心湖片区及龙泉驿医院等项目</v>
      </c>
      <c r="R4091" s="30"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30</v>
      </c>
      <c r="Q4092" s="30" t="str">
        <f>VLOOKUP(B4092,辅助信息!E:M,9,FALSE)</f>
        <v>ZTWM-CDGS-XS-2025-0073-五冶天府-成都怡心湖片区及龙泉驿医院等项目</v>
      </c>
      <c r="R4092" s="30"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30</v>
      </c>
      <c r="Q4093" s="30" t="str">
        <f>VLOOKUP(B4093,辅助信息!E:M,9,FALSE)</f>
        <v>ZTWM-CDGS-XS-2025-0073-五冶天府-成都怡心湖片区及龙泉驿医院等项目</v>
      </c>
      <c r="R4093" s="30"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30</v>
      </c>
      <c r="Q4094" s="30" t="str">
        <f>VLOOKUP(B4094,辅助信息!E:M,9,FALSE)</f>
        <v>ZTWM-CDGS-XS-2025-0073-五冶天府-成都怡心湖片区及龙泉驿医院等项目</v>
      </c>
      <c r="R4094" s="30"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30" t="str">
        <f>VLOOKUP(B4095,辅助信息!E:M,9,FALSE)</f>
        <v>ZTWM-CDGS-XS-2025-0033-中铁武汉电气化局集团有限公司成达万高速铁路强电工程项目</v>
      </c>
      <c r="R4095" s="30"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30" t="str">
        <f>VLOOKUP(B4096,辅助信息!E:M,9,FALSE)</f>
        <v>ZTWM-CDGS-XS-2025-0033-中铁武汉电气化局集团有限公司成达万高速铁路强电工程项目</v>
      </c>
      <c r="R4096" s="30"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30" t="str">
        <f>VLOOKUP(B4097,辅助信息!E:M,9,FALSE)</f>
        <v>ZTWM-CDGS-XS-2025-0073-五冶天府-成都怡心湖片区及龙泉驿医院等项目</v>
      </c>
      <c r="R4097" s="30"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30" t="str">
        <f>VLOOKUP(B4098,辅助信息!E:M,9,FALSE)</f>
        <v>ZTWM-CDGS-XS-2025-0073-五冶天府-成都怡心湖片区及龙泉驿医院等项目</v>
      </c>
      <c r="R4098" s="30" t="str">
        <f>_xlfn._xlws.FILTER(辅助信息!D:D,辅助信息!E:E=B4098)</f>
        <v>五冶建设龙泉芙蓉花语项目</v>
      </c>
    </row>
    <row r="4099" hidden="1" spans="2:18">
      <c r="B4099" s="136" t="s">
        <v>163</v>
      </c>
      <c r="C4099" s="71">
        <v>45930</v>
      </c>
      <c r="D4099" s="41" t="str">
        <f>VLOOKUP(B4099,辅助信息!E:K,7,FALSE)</f>
        <v>JWDDCD2025052800131</v>
      </c>
      <c r="E4099" s="41" t="str">
        <f>VLOOKUP(F4099,辅助信息!A:B,2,FALSE)</f>
        <v>盘螺</v>
      </c>
      <c r="F4099" s="41" t="s">
        <v>49</v>
      </c>
      <c r="G4099" s="37">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1" t="str">
        <f>VLOOKUP(B4099,辅助信息!E:I,3,FALSE)</f>
        <v>（商投建工达州中医药科技园-4工区-9号楼）达州市通川区达州中医药职业学院犀牛大道北段</v>
      </c>
      <c r="J4099" s="41" t="str">
        <f>VLOOKUP(B4099,辅助信息!E:I,4,FALSE)</f>
        <v>张扬</v>
      </c>
      <c r="K4099" s="41">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30" t="str">
        <f>VLOOKUP(B4099,辅助信息!E:M,9,FALSE)</f>
        <v>ZTWM-CDGS-XS-2024-0134-商投建工达州中医药科技成果示范园项目</v>
      </c>
      <c r="R4099" s="30" t="str">
        <f>_xlfn._xlws.FILTER(辅助信息!D:D,辅助信息!E:E=B4099)</f>
        <v>商投建工达州中医药科技园</v>
      </c>
    </row>
    <row r="4100" hidden="1" spans="2:18">
      <c r="B4100" s="136" t="s">
        <v>163</v>
      </c>
      <c r="C4100" s="71">
        <v>45930</v>
      </c>
      <c r="D4100" s="41" t="str">
        <f>VLOOKUP(B4100,辅助信息!E:K,7,FALSE)</f>
        <v>JWDDCD2025052800131</v>
      </c>
      <c r="E4100" s="41" t="str">
        <f>VLOOKUP(F4100,辅助信息!A:B,2,FALSE)</f>
        <v>盘螺</v>
      </c>
      <c r="F4100" s="41" t="s">
        <v>40</v>
      </c>
      <c r="G4100" s="37">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1" t="str">
        <f>VLOOKUP(B4100,辅助信息!E:I,3,FALSE)</f>
        <v>（商投建工达州中医药科技园-4工区-9号楼）达州市通川区达州中医药职业学院犀牛大道北段</v>
      </c>
      <c r="J4100" s="41" t="str">
        <f>VLOOKUP(B4100,辅助信息!E:I,4,FALSE)</f>
        <v>张扬</v>
      </c>
      <c r="K4100" s="41">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30" t="str">
        <f>VLOOKUP(B4100,辅助信息!E:M,9,FALSE)</f>
        <v>ZTWM-CDGS-XS-2024-0134-商投建工达州中医药科技成果示范园项目</v>
      </c>
      <c r="R4100" s="30" t="str">
        <f>_xlfn._xlws.FILTER(辅助信息!D:D,辅助信息!E:E=B4100)</f>
        <v>商投建工达州中医药科技园</v>
      </c>
    </row>
    <row r="4101" hidden="1" spans="2:18">
      <c r="B4101" s="136" t="s">
        <v>163</v>
      </c>
      <c r="C4101" s="71">
        <v>45930</v>
      </c>
      <c r="D4101" s="41" t="str">
        <f>VLOOKUP(B4101,辅助信息!E:K,7,FALSE)</f>
        <v>JWDDCD2025052800131</v>
      </c>
      <c r="E4101" s="41" t="str">
        <f>VLOOKUP(F4101,辅助信息!A:B,2,FALSE)</f>
        <v>盘螺</v>
      </c>
      <c r="F4101" s="41" t="s">
        <v>41</v>
      </c>
      <c r="G4101" s="37">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1" t="str">
        <f>VLOOKUP(B4101,辅助信息!E:I,3,FALSE)</f>
        <v>（商投建工达州中医药科技园-4工区-9号楼）达州市通川区达州中医药职业学院犀牛大道北段</v>
      </c>
      <c r="J4101" s="41" t="str">
        <f>VLOOKUP(B4101,辅助信息!E:I,4,FALSE)</f>
        <v>张扬</v>
      </c>
      <c r="K4101" s="41">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30" t="str">
        <f>VLOOKUP(B4101,辅助信息!E:M,9,FALSE)</f>
        <v>ZTWM-CDGS-XS-2024-0134-商投建工达州中医药科技成果示范园项目</v>
      </c>
      <c r="R4101" s="30" t="str">
        <f>_xlfn._xlws.FILTER(辅助信息!D:D,辅助信息!E:E=B4101)</f>
        <v>商投建工达州中医药科技园</v>
      </c>
    </row>
    <row r="4102" hidden="1" spans="2:18">
      <c r="B4102" s="136" t="s">
        <v>163</v>
      </c>
      <c r="C4102" s="71">
        <v>45930</v>
      </c>
      <c r="D4102" s="41" t="str">
        <f>VLOOKUP(B4102,辅助信息!E:K,7,FALSE)</f>
        <v>JWDDCD2025052800131</v>
      </c>
      <c r="E4102" s="41" t="str">
        <f>VLOOKUP(F4102,辅助信息!A:B,2,FALSE)</f>
        <v>螺纹钢</v>
      </c>
      <c r="F4102" s="41" t="s">
        <v>66</v>
      </c>
      <c r="G4102" s="37">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1" t="str">
        <f>VLOOKUP(B4102,辅助信息!E:I,3,FALSE)</f>
        <v>（商投建工达州中医药科技园-4工区-9号楼）达州市通川区达州中医药职业学院犀牛大道北段</v>
      </c>
      <c r="J4102" s="41" t="str">
        <f>VLOOKUP(B4102,辅助信息!E:I,4,FALSE)</f>
        <v>张扬</v>
      </c>
      <c r="K4102" s="41">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30" t="str">
        <f>VLOOKUP(B4102,辅助信息!E:M,9,FALSE)</f>
        <v>ZTWM-CDGS-XS-2024-0134-商投建工达州中医药科技成果示范园项目</v>
      </c>
      <c r="R4102" s="30" t="str">
        <f>_xlfn._xlws.FILTER(辅助信息!D:D,辅助信息!E:E=B4102)</f>
        <v>商投建工达州中医药科技园</v>
      </c>
    </row>
    <row r="4103" hidden="1" spans="2:18">
      <c r="B4103" s="136" t="s">
        <v>163</v>
      </c>
      <c r="C4103" s="71">
        <v>45930</v>
      </c>
      <c r="D4103" s="41" t="str">
        <f>VLOOKUP(B4103,辅助信息!E:K,7,FALSE)</f>
        <v>JWDDCD2025052800131</v>
      </c>
      <c r="E4103" s="41" t="str">
        <f>VLOOKUP(F4103,辅助信息!A:B,2,FALSE)</f>
        <v>螺纹钢</v>
      </c>
      <c r="F4103" s="41" t="s">
        <v>58</v>
      </c>
      <c r="G4103" s="37">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1" t="str">
        <f>VLOOKUP(B4103,辅助信息!E:I,3,FALSE)</f>
        <v>（商投建工达州中医药科技园-4工区-9号楼）达州市通川区达州中医药职业学院犀牛大道北段</v>
      </c>
      <c r="J4103" s="41" t="str">
        <f>VLOOKUP(B4103,辅助信息!E:I,4,FALSE)</f>
        <v>张扬</v>
      </c>
      <c r="K4103" s="41">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30" t="str">
        <f>VLOOKUP(B4103,辅助信息!E:M,9,FALSE)</f>
        <v>ZTWM-CDGS-XS-2024-0134-商投建工达州中医药科技成果示范园项目</v>
      </c>
      <c r="R4103" s="30" t="str">
        <f>_xlfn._xlws.FILTER(辅助信息!D:D,辅助信息!E:E=B4103)</f>
        <v>商投建工达州中医药科技园</v>
      </c>
    </row>
    <row r="4104" hidden="1" spans="2:18">
      <c r="B4104" s="136" t="s">
        <v>163</v>
      </c>
      <c r="C4104" s="71">
        <v>45930</v>
      </c>
      <c r="D4104" s="41" t="str">
        <f>VLOOKUP(B4104,辅助信息!E:K,7,FALSE)</f>
        <v>JWDDCD2025052800131</v>
      </c>
      <c r="E4104" s="41" t="str">
        <f>VLOOKUP(F4104,辅助信息!A:B,2,FALSE)</f>
        <v>螺纹钢</v>
      </c>
      <c r="F4104" s="41" t="s">
        <v>22</v>
      </c>
      <c r="G4104" s="37">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1" t="str">
        <f>VLOOKUP(B4104,辅助信息!E:I,3,FALSE)</f>
        <v>（商投建工达州中医药科技园-4工区-9号楼）达州市通川区达州中医药职业学院犀牛大道北段</v>
      </c>
      <c r="J4104" s="41" t="str">
        <f>VLOOKUP(B4104,辅助信息!E:I,4,FALSE)</f>
        <v>张扬</v>
      </c>
      <c r="K4104" s="41">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30" t="str">
        <f>VLOOKUP(B4104,辅助信息!E:M,9,FALSE)</f>
        <v>ZTWM-CDGS-XS-2024-0134-商投建工达州中医药科技成果示范园项目</v>
      </c>
      <c r="R4104" s="30" t="str">
        <f>_xlfn._xlws.FILTER(辅助信息!D:D,辅助信息!E:E=B4104)</f>
        <v>商投建工达州中医药科技园</v>
      </c>
    </row>
    <row r="4105" hidden="1" spans="2:18">
      <c r="B4105" s="136" t="s">
        <v>112</v>
      </c>
      <c r="C4105" s="71">
        <v>45937</v>
      </c>
      <c r="D4105" s="41" t="str">
        <f>VLOOKUP(B4105,辅助信息!E:K,7,FALSE)</f>
        <v>JWDDCD2025052800131</v>
      </c>
      <c r="E4105" s="41" t="str">
        <f>VLOOKUP(F4105,辅助信息!A:B,2,FALSE)</f>
        <v>盘螺</v>
      </c>
      <c r="F4105" s="41" t="s">
        <v>40</v>
      </c>
      <c r="G4105" s="37">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1" t="str">
        <f>VLOOKUP(B4105,辅助信息!E:I,3,FALSE)</f>
        <v>（商投建工达州中医药科技园-4工区-10号楼）达州市通川区达州中医药职业学院犀牛大道北段</v>
      </c>
      <c r="J4105" s="41" t="str">
        <f>VLOOKUP(B4105,辅助信息!E:I,4,FALSE)</f>
        <v>张扬</v>
      </c>
      <c r="K4105" s="41">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30" t="str">
        <f>VLOOKUP(B4105,辅助信息!E:M,9,FALSE)</f>
        <v>ZTWM-CDGS-XS-2024-0134-商投建工达州中医药科技成果示范园项目</v>
      </c>
      <c r="R4105" s="30" t="str">
        <f>_xlfn._xlws.FILTER(辅助信息!D:D,辅助信息!E:E=B4105)</f>
        <v>商投建工达州中医药科技园</v>
      </c>
    </row>
    <row r="4106" hidden="1" spans="2:18">
      <c r="B4106" s="136" t="s">
        <v>112</v>
      </c>
      <c r="C4106" s="71">
        <v>45937</v>
      </c>
      <c r="D4106" s="41" t="str">
        <f>VLOOKUP(B4106,辅助信息!E:K,7,FALSE)</f>
        <v>JWDDCD2025052800131</v>
      </c>
      <c r="E4106" s="41" t="str">
        <f>VLOOKUP(F4106,辅助信息!A:B,2,FALSE)</f>
        <v>盘螺</v>
      </c>
      <c r="F4106" s="41" t="s">
        <v>41</v>
      </c>
      <c r="G4106" s="37">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1" t="str">
        <f>VLOOKUP(B4106,辅助信息!E:I,3,FALSE)</f>
        <v>（商投建工达州中医药科技园-4工区-10号楼）达州市通川区达州中医药职业学院犀牛大道北段</v>
      </c>
      <c r="J4106" s="41" t="str">
        <f>VLOOKUP(B4106,辅助信息!E:I,4,FALSE)</f>
        <v>张扬</v>
      </c>
      <c r="K4106" s="41">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30" t="str">
        <f>VLOOKUP(B4106,辅助信息!E:M,9,FALSE)</f>
        <v>ZTWM-CDGS-XS-2024-0134-商投建工达州中医药科技成果示范园项目</v>
      </c>
      <c r="R4106" s="30" t="str">
        <f>_xlfn._xlws.FILTER(辅助信息!D:D,辅助信息!E:E=B4106)</f>
        <v>商投建工达州中医药科技园</v>
      </c>
    </row>
    <row r="4107" hidden="1" spans="2:18">
      <c r="B4107" s="136" t="s">
        <v>112</v>
      </c>
      <c r="C4107" s="71">
        <v>45937</v>
      </c>
      <c r="D4107" s="41" t="str">
        <f>VLOOKUP(B4107,辅助信息!E:K,7,FALSE)</f>
        <v>JWDDCD2025052800131</v>
      </c>
      <c r="E4107" s="41" t="str">
        <f>VLOOKUP(F4107,辅助信息!A:B,2,FALSE)</f>
        <v>螺纹钢</v>
      </c>
      <c r="F4107" s="41" t="s">
        <v>27</v>
      </c>
      <c r="G4107" s="37">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1" t="str">
        <f>VLOOKUP(B4107,辅助信息!E:I,3,FALSE)</f>
        <v>（商投建工达州中医药科技园-4工区-10号楼）达州市通川区达州中医药职业学院犀牛大道北段</v>
      </c>
      <c r="J4107" s="41" t="str">
        <f>VLOOKUP(B4107,辅助信息!E:I,4,FALSE)</f>
        <v>张扬</v>
      </c>
      <c r="K4107" s="41">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30" t="str">
        <f>VLOOKUP(B4107,辅助信息!E:M,9,FALSE)</f>
        <v>ZTWM-CDGS-XS-2024-0134-商投建工达州中医药科技成果示范园项目</v>
      </c>
      <c r="R4107" s="30" t="str">
        <f>_xlfn._xlws.FILTER(辅助信息!D:D,辅助信息!E:E=B4107)</f>
        <v>商投建工达州中医药科技园</v>
      </c>
    </row>
    <row r="4108" hidden="1" spans="2:18">
      <c r="B4108" s="136" t="s">
        <v>112</v>
      </c>
      <c r="C4108" s="71">
        <v>45937</v>
      </c>
      <c r="D4108" s="41" t="str">
        <f>VLOOKUP(B4108,辅助信息!E:K,7,FALSE)</f>
        <v>JWDDCD2025052800131</v>
      </c>
      <c r="E4108" s="41" t="str">
        <f>VLOOKUP(F4108,辅助信息!A:B,2,FALSE)</f>
        <v>螺纹钢</v>
      </c>
      <c r="F4108" s="41" t="s">
        <v>32</v>
      </c>
      <c r="G4108" s="37">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1" t="str">
        <f>VLOOKUP(B4108,辅助信息!E:I,3,FALSE)</f>
        <v>（商投建工达州中医药科技园-4工区-10号楼）达州市通川区达州中医药职业学院犀牛大道北段</v>
      </c>
      <c r="J4108" s="41" t="str">
        <f>VLOOKUP(B4108,辅助信息!E:I,4,FALSE)</f>
        <v>张扬</v>
      </c>
      <c r="K4108" s="41">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30" t="str">
        <f>VLOOKUP(B4108,辅助信息!E:M,9,FALSE)</f>
        <v>ZTWM-CDGS-XS-2024-0134-商投建工达州中医药科技成果示范园项目</v>
      </c>
      <c r="R4108" s="30" t="str">
        <f>_xlfn._xlws.FILTER(辅助信息!D:D,辅助信息!E:E=B4108)</f>
        <v>商投建工达州中医药科技园</v>
      </c>
    </row>
    <row r="4109" hidden="1" spans="2:18">
      <c r="B4109" s="136" t="s">
        <v>112</v>
      </c>
      <c r="C4109" s="71">
        <v>45937</v>
      </c>
      <c r="D4109" s="41" t="str">
        <f>VLOOKUP(B4109,辅助信息!E:K,7,FALSE)</f>
        <v>JWDDCD2025052800131</v>
      </c>
      <c r="E4109" s="41" t="str">
        <f>VLOOKUP(F4109,辅助信息!A:B,2,FALSE)</f>
        <v>螺纹钢</v>
      </c>
      <c r="F4109" s="41" t="s">
        <v>58</v>
      </c>
      <c r="G4109" s="37">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1" t="str">
        <f>VLOOKUP(B4109,辅助信息!E:I,3,FALSE)</f>
        <v>（商投建工达州中医药科技园-4工区-10号楼）达州市通川区达州中医药职业学院犀牛大道北段</v>
      </c>
      <c r="J4109" s="41" t="str">
        <f>VLOOKUP(B4109,辅助信息!E:I,4,FALSE)</f>
        <v>张扬</v>
      </c>
      <c r="K4109" s="41">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30" t="str">
        <f>VLOOKUP(B4109,辅助信息!E:M,9,FALSE)</f>
        <v>ZTWM-CDGS-XS-2024-0134-商投建工达州中医药科技成果示范园项目</v>
      </c>
      <c r="R4109" s="30" t="str">
        <f>_xlfn._xlws.FILTER(辅助信息!D:D,辅助信息!E:E=B4109)</f>
        <v>商投建工达州中医药科技园</v>
      </c>
    </row>
    <row r="4110" hidden="1" spans="2:18">
      <c r="B4110" s="136" t="s">
        <v>163</v>
      </c>
      <c r="C4110" s="71">
        <v>45937</v>
      </c>
      <c r="D4110" s="41" t="str">
        <f>VLOOKUP(B4110,辅助信息!E:K,7,FALSE)</f>
        <v>JWDDCD2025052800131</v>
      </c>
      <c r="E4110" s="41" t="str">
        <f>VLOOKUP(F4110,辅助信息!A:B,2,FALSE)</f>
        <v>螺纹钢</v>
      </c>
      <c r="F4110" s="41" t="s">
        <v>66</v>
      </c>
      <c r="G4110" s="37">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1" t="str">
        <f>VLOOKUP(B4110,辅助信息!E:I,3,FALSE)</f>
        <v>（商投建工达州中医药科技园-4工区-9号楼）达州市通川区达州中医药职业学院犀牛大道北段</v>
      </c>
      <c r="J4110" s="41" t="str">
        <f>VLOOKUP(B4110,辅助信息!E:I,4,FALSE)</f>
        <v>张扬</v>
      </c>
      <c r="K4110" s="41">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30" t="str">
        <f>VLOOKUP(B4110,辅助信息!E:M,9,FALSE)</f>
        <v>ZTWM-CDGS-XS-2024-0134-商投建工达州中医药科技成果示范园项目</v>
      </c>
      <c r="R4110" s="30" t="str">
        <f>_xlfn._xlws.FILTER(辅助信息!D:D,辅助信息!E:E=B4110)</f>
        <v>商投建工达州中医药科技园</v>
      </c>
    </row>
    <row r="4111" hidden="1" spans="2:18">
      <c r="B4111" s="136" t="s">
        <v>163</v>
      </c>
      <c r="C4111" s="71">
        <v>45937</v>
      </c>
      <c r="D4111" s="41" t="str">
        <f>VLOOKUP(B4111,辅助信息!E:K,7,FALSE)</f>
        <v>JWDDCD2025052800131</v>
      </c>
      <c r="E4111" s="41" t="str">
        <f>VLOOKUP(F4111,辅助信息!A:B,2,FALSE)</f>
        <v>螺纹钢</v>
      </c>
      <c r="F4111" s="41" t="s">
        <v>45</v>
      </c>
      <c r="G4111" s="37">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1" t="str">
        <f>VLOOKUP(B4111,辅助信息!E:I,3,FALSE)</f>
        <v>（商投建工达州中医药科技园-4工区-9号楼）达州市通川区达州中医药职业学院犀牛大道北段</v>
      </c>
      <c r="J4111" s="41" t="str">
        <f>VLOOKUP(B4111,辅助信息!E:I,4,FALSE)</f>
        <v>张扬</v>
      </c>
      <c r="K4111" s="41">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30" t="str">
        <f>VLOOKUP(B4111,辅助信息!E:M,9,FALSE)</f>
        <v>ZTWM-CDGS-XS-2024-0134-商投建工达州中医药科技成果示范园项目</v>
      </c>
      <c r="R4111" s="30" t="str">
        <f>_xlfn._xlws.FILTER(辅助信息!D:D,辅助信息!E:E=B4111)</f>
        <v>商投建工达州中医药科技园</v>
      </c>
    </row>
    <row r="4112" hidden="1" spans="2:18">
      <c r="B4112" s="136" t="s">
        <v>163</v>
      </c>
      <c r="C4112" s="71">
        <v>45937</v>
      </c>
      <c r="D4112" s="41" t="str">
        <f>VLOOKUP(B4112,辅助信息!E:K,7,FALSE)</f>
        <v>JWDDCD2025052800131</v>
      </c>
      <c r="E4112" s="41" t="str">
        <f>VLOOKUP(F4112,辅助信息!A:B,2,FALSE)</f>
        <v>螺纹钢</v>
      </c>
      <c r="F4112" s="41" t="s">
        <v>21</v>
      </c>
      <c r="G4112" s="37">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1" t="str">
        <f>VLOOKUP(B4112,辅助信息!E:I,3,FALSE)</f>
        <v>（商投建工达州中医药科技园-4工区-9号楼）达州市通川区达州中医药职业学院犀牛大道北段</v>
      </c>
      <c r="J4112" s="41" t="str">
        <f>VLOOKUP(B4112,辅助信息!E:I,4,FALSE)</f>
        <v>张扬</v>
      </c>
      <c r="K4112" s="41">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30" t="str">
        <f>VLOOKUP(B4112,辅助信息!E:M,9,FALSE)</f>
        <v>ZTWM-CDGS-XS-2024-0134-商投建工达州中医药科技成果示范园项目</v>
      </c>
      <c r="R4112" s="30" t="str">
        <f>_xlfn._xlws.FILTER(辅助信息!D:D,辅助信息!E:E=B4112)</f>
        <v>商投建工达州中医药科技园</v>
      </c>
    </row>
    <row r="4113" hidden="1" spans="2:18">
      <c r="B4113" s="136" t="s">
        <v>208</v>
      </c>
      <c r="C4113" s="71">
        <v>45937</v>
      </c>
      <c r="D4113" s="41" t="str">
        <f>VLOOKUP(B4113,辅助信息!E:K,7,FALSE)</f>
        <v>JWDDCD2025102100480</v>
      </c>
      <c r="E4113" s="41" t="str">
        <f>VLOOKUP(F4113,辅助信息!A:B,2,FALSE)</f>
        <v>螺纹钢</v>
      </c>
      <c r="F4113" s="41" t="s">
        <v>19</v>
      </c>
      <c r="G4113" s="37">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1" t="str">
        <f>VLOOKUP(B4113,辅助信息!E:I,3,FALSE)</f>
        <v>(五冶建设锦江区林家坝片区20号地块商业项目)锦江区泰昌路锦江28亩项目部</v>
      </c>
      <c r="J4113" s="41" t="str">
        <f>VLOOKUP(B4113,辅助信息!E:I,4,FALSE)</f>
        <v>陶杰</v>
      </c>
      <c r="K4113" s="41">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30" t="str">
        <f>VLOOKUP(B4113,辅助信息!E:M,9,FALSE)</f>
        <v>ZTWM-CDGS-XS-2025-0073-五冶天府-成都怡心湖片区及龙泉驿医院等项目</v>
      </c>
      <c r="R4113" s="30" t="str">
        <f>_xlfn._xlws.FILTER(辅助信息!D:D,辅助信息!E:E=B4113)</f>
        <v>五冶建设锦江区林家坝片区20号地块商业项目</v>
      </c>
    </row>
    <row r="4114" hidden="1" spans="2:18">
      <c r="B4114" s="136" t="s">
        <v>208</v>
      </c>
      <c r="C4114" s="71">
        <v>45937</v>
      </c>
      <c r="D4114" s="41" t="str">
        <f>VLOOKUP(B4114,辅助信息!E:K,7,FALSE)</f>
        <v>JWDDCD2025102100480</v>
      </c>
      <c r="E4114" s="41" t="str">
        <f>VLOOKUP(F4114,辅助信息!A:B,2,FALSE)</f>
        <v>螺纹钢</v>
      </c>
      <c r="F4114" s="41" t="s">
        <v>32</v>
      </c>
      <c r="G4114" s="37">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1" t="str">
        <f>VLOOKUP(B4114,辅助信息!E:I,3,FALSE)</f>
        <v>(五冶建设锦江区林家坝片区20号地块商业项目)锦江区泰昌路锦江28亩项目部</v>
      </c>
      <c r="J4114" s="41" t="str">
        <f>VLOOKUP(B4114,辅助信息!E:I,4,FALSE)</f>
        <v>陶杰</v>
      </c>
      <c r="K4114" s="41">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30" t="str">
        <f>VLOOKUP(B4114,辅助信息!E:M,9,FALSE)</f>
        <v>ZTWM-CDGS-XS-2025-0073-五冶天府-成都怡心湖片区及龙泉驿医院等项目</v>
      </c>
      <c r="R4114" s="30" t="str">
        <f>_xlfn._xlws.FILTER(辅助信息!D:D,辅助信息!E:E=B4114)</f>
        <v>五冶建设锦江区林家坝片区20号地块商业项目</v>
      </c>
    </row>
    <row r="4115" hidden="1" spans="2:18">
      <c r="B4115" s="136" t="s">
        <v>208</v>
      </c>
      <c r="C4115" s="71">
        <v>45937</v>
      </c>
      <c r="D4115" s="41" t="str">
        <f>VLOOKUP(B4115,辅助信息!E:K,7,FALSE)</f>
        <v>JWDDCD2025102100480</v>
      </c>
      <c r="E4115" s="41" t="str">
        <f>VLOOKUP(F4115,辅助信息!A:B,2,FALSE)</f>
        <v>螺纹钢</v>
      </c>
      <c r="F4115" s="41" t="s">
        <v>30</v>
      </c>
      <c r="G4115" s="37">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1" t="str">
        <f>VLOOKUP(B4115,辅助信息!E:I,3,FALSE)</f>
        <v>(五冶建设锦江区林家坝片区20号地块商业项目)锦江区泰昌路锦江28亩项目部</v>
      </c>
      <c r="J4115" s="41" t="str">
        <f>VLOOKUP(B4115,辅助信息!E:I,4,FALSE)</f>
        <v>陶杰</v>
      </c>
      <c r="K4115" s="41">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30" t="str">
        <f>VLOOKUP(B4115,辅助信息!E:M,9,FALSE)</f>
        <v>ZTWM-CDGS-XS-2025-0073-五冶天府-成都怡心湖片区及龙泉驿医院等项目</v>
      </c>
      <c r="R4115" s="30" t="str">
        <f>_xlfn._xlws.FILTER(辅助信息!D:D,辅助信息!E:E=B4115)</f>
        <v>五冶建设锦江区林家坝片区20号地块商业项目</v>
      </c>
    </row>
    <row r="4116" hidden="1" spans="2:18">
      <c r="B4116" s="136" t="s">
        <v>208</v>
      </c>
      <c r="C4116" s="71">
        <v>45937</v>
      </c>
      <c r="D4116" s="41" t="str">
        <f>VLOOKUP(B4116,辅助信息!E:K,7,FALSE)</f>
        <v>JWDDCD2025102100480</v>
      </c>
      <c r="E4116" s="41" t="str">
        <f>VLOOKUP(F4116,辅助信息!A:B,2,FALSE)</f>
        <v>螺纹钢</v>
      </c>
      <c r="F4116" s="41" t="s">
        <v>18</v>
      </c>
      <c r="G4116" s="37">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1" t="str">
        <f>VLOOKUP(B4116,辅助信息!E:I,3,FALSE)</f>
        <v>(五冶建设锦江区林家坝片区20号地块商业项目)锦江区泰昌路锦江28亩项目部</v>
      </c>
      <c r="J4116" s="41" t="str">
        <f>VLOOKUP(B4116,辅助信息!E:I,4,FALSE)</f>
        <v>陶杰</v>
      </c>
      <c r="K4116" s="41">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30" t="str">
        <f>VLOOKUP(B4116,辅助信息!E:M,9,FALSE)</f>
        <v>ZTWM-CDGS-XS-2025-0073-五冶天府-成都怡心湖片区及龙泉驿医院等项目</v>
      </c>
      <c r="R4116" s="30" t="str">
        <f>_xlfn._xlws.FILTER(辅助信息!D:D,辅助信息!E:E=B4116)</f>
        <v>五冶建设锦江区林家坝片区20号地块商业项目</v>
      </c>
    </row>
    <row r="4117" hidden="1" spans="2:18">
      <c r="B4117" s="136" t="s">
        <v>68</v>
      </c>
      <c r="C4117" s="71">
        <v>45937</v>
      </c>
      <c r="D4117" s="41" t="str">
        <f>VLOOKUP(B4117,辅助信息!E:K,7,FALSE)</f>
        <v>JWDDCD2025052800131</v>
      </c>
      <c r="E4117" s="41" t="str">
        <f>VLOOKUP(F4117,辅助信息!A:B,2,FALSE)</f>
        <v>螺纹钢</v>
      </c>
      <c r="F4117" s="41" t="s">
        <v>27</v>
      </c>
      <c r="G4117" s="37">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1" t="str">
        <f>VLOOKUP(B4117,辅助信息!E:I,3,FALSE)</f>
        <v>（商投建工达州中医药科技园-2工区-景观桥）达州市通川区达州中医药职业学院犀牛大道北段</v>
      </c>
      <c r="J4117" s="41" t="str">
        <f>VLOOKUP(B4117,辅助信息!E:I,4,FALSE)</f>
        <v>李波</v>
      </c>
      <c r="K4117" s="41">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30" t="str">
        <f>VLOOKUP(B4117,辅助信息!E:M,9,FALSE)</f>
        <v>ZTWM-CDGS-XS-2024-0134-商投建工达州中医药科技成果示范园项目</v>
      </c>
      <c r="R4117" s="30" t="str">
        <f>_xlfn._xlws.FILTER(辅助信息!D:D,辅助信息!E:E=B4117)</f>
        <v>商投建工达州中医药科技园</v>
      </c>
    </row>
    <row r="4118" hidden="1" spans="2:18">
      <c r="B4118" s="136" t="s">
        <v>68</v>
      </c>
      <c r="C4118" s="71">
        <v>45937</v>
      </c>
      <c r="D4118" s="41" t="str">
        <f>VLOOKUP(B4118,辅助信息!E:K,7,FALSE)</f>
        <v>JWDDCD2025052800131</v>
      </c>
      <c r="E4118" s="41" t="str">
        <f>VLOOKUP(F4118,辅助信息!A:B,2,FALSE)</f>
        <v>螺纹钢</v>
      </c>
      <c r="F4118" s="41" t="s">
        <v>32</v>
      </c>
      <c r="G4118" s="37">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1" t="str">
        <f>VLOOKUP(B4118,辅助信息!E:I,3,FALSE)</f>
        <v>（商投建工达州中医药科技园-2工区-景观桥）达州市通川区达州中医药职业学院犀牛大道北段</v>
      </c>
      <c r="J4118" s="41" t="str">
        <f>VLOOKUP(B4118,辅助信息!E:I,4,FALSE)</f>
        <v>李波</v>
      </c>
      <c r="K4118" s="41">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30" t="str">
        <f>VLOOKUP(B4118,辅助信息!E:M,9,FALSE)</f>
        <v>ZTWM-CDGS-XS-2024-0134-商投建工达州中医药科技成果示范园项目</v>
      </c>
      <c r="R4118" s="30" t="str">
        <f>_xlfn._xlws.FILTER(辅助信息!D:D,辅助信息!E:E=B4118)</f>
        <v>商投建工达州中医药科技园</v>
      </c>
    </row>
    <row r="4119" hidden="1" spans="2:18">
      <c r="B4119" s="136" t="s">
        <v>68</v>
      </c>
      <c r="C4119" s="71">
        <v>45937</v>
      </c>
      <c r="D4119" s="41" t="str">
        <f>VLOOKUP(B4119,辅助信息!E:K,7,FALSE)</f>
        <v>JWDDCD2025052800131</v>
      </c>
      <c r="E4119" s="41" t="str">
        <f>VLOOKUP(F4119,辅助信息!A:B,2,FALSE)</f>
        <v>螺纹钢</v>
      </c>
      <c r="F4119" s="41" t="s">
        <v>33</v>
      </c>
      <c r="G4119" s="37">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1" t="str">
        <f>VLOOKUP(B4119,辅助信息!E:I,3,FALSE)</f>
        <v>（商投建工达州中医药科技园-2工区-景观桥）达州市通川区达州中医药职业学院犀牛大道北段</v>
      </c>
      <c r="J4119" s="41" t="str">
        <f>VLOOKUP(B4119,辅助信息!E:I,4,FALSE)</f>
        <v>李波</v>
      </c>
      <c r="K4119" s="41">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30" t="str">
        <f>VLOOKUP(B4119,辅助信息!E:M,9,FALSE)</f>
        <v>ZTWM-CDGS-XS-2024-0134-商投建工达州中医药科技成果示范园项目</v>
      </c>
      <c r="R4119" s="30" t="str">
        <f>_xlfn._xlws.FILTER(辅助信息!D:D,辅助信息!E:E=B4119)</f>
        <v>商投建工达州中医药科技园</v>
      </c>
    </row>
    <row r="4120" hidden="1" spans="2:18">
      <c r="B4120" s="136" t="s">
        <v>68</v>
      </c>
      <c r="C4120" s="71">
        <v>45937</v>
      </c>
      <c r="D4120" s="41" t="str">
        <f>VLOOKUP(B4120,辅助信息!E:K,7,FALSE)</f>
        <v>JWDDCD2025052800131</v>
      </c>
      <c r="E4120" s="41" t="str">
        <f>VLOOKUP(F4120,辅助信息!A:B,2,FALSE)</f>
        <v>螺纹钢</v>
      </c>
      <c r="F4120" s="41" t="s">
        <v>65</v>
      </c>
      <c r="G4120" s="37">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1" t="str">
        <f>VLOOKUP(B4120,辅助信息!E:I,3,FALSE)</f>
        <v>（商投建工达州中医药科技园-2工区-景观桥）达州市通川区达州中医药职业学院犀牛大道北段</v>
      </c>
      <c r="J4120" s="41" t="str">
        <f>VLOOKUP(B4120,辅助信息!E:I,4,FALSE)</f>
        <v>李波</v>
      </c>
      <c r="K4120" s="41">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30" t="str">
        <f>VLOOKUP(B4120,辅助信息!E:M,9,FALSE)</f>
        <v>ZTWM-CDGS-XS-2024-0134-商投建工达州中医药科技成果示范园项目</v>
      </c>
      <c r="R4120" s="30" t="str">
        <f>_xlfn._xlws.FILTER(辅助信息!D:D,辅助信息!E:E=B4120)</f>
        <v>商投建工达州中医药科技园</v>
      </c>
    </row>
    <row r="4121" hidden="1" spans="2:18">
      <c r="B4121" s="136" t="s">
        <v>167</v>
      </c>
      <c r="C4121" s="71">
        <v>45937</v>
      </c>
      <c r="D4121" s="41" t="str">
        <f>VLOOKUP(B4121,辅助信息!E:K,7,FALSE)</f>
        <v>JWDDCD2025102100473</v>
      </c>
      <c r="E4121" s="41" t="str">
        <f>VLOOKUP(F4121,辅助信息!A:B,2,FALSE)</f>
        <v>盘螺</v>
      </c>
      <c r="F4121" s="41" t="s">
        <v>40</v>
      </c>
      <c r="G4121" s="37">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1" t="str">
        <f>VLOOKUP(B4121,辅助信息!E:I,3,FALSE)</f>
        <v>(五冶建设扩建艺体中学二期工程)四川省成都市双流区光荣路成都艺体中学南200米</v>
      </c>
      <c r="J4121" s="41" t="str">
        <f>VLOOKUP(B4121,辅助信息!E:I,4,FALSE)</f>
        <v>谢序强</v>
      </c>
      <c r="K4121" s="41">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30" t="str">
        <f>VLOOKUP(B4121,辅助信息!E:M,9,FALSE)</f>
        <v>ZTWM-CDGS-XS-2025-0073-五冶天府-成都怡心湖片区及龙泉驿医院等项目</v>
      </c>
      <c r="R4121" s="30" t="str">
        <f>_xlfn._xlws.FILTER(辅助信息!D:D,辅助信息!E:E=B4121)</f>
        <v>五冶建设扩建艺体中学二期工程</v>
      </c>
    </row>
    <row r="4122" hidden="1" spans="2:18">
      <c r="B4122" s="136" t="s">
        <v>167</v>
      </c>
      <c r="C4122" s="71">
        <v>45937</v>
      </c>
      <c r="D4122" s="41" t="str">
        <f>VLOOKUP(B4122,辅助信息!E:K,7,FALSE)</f>
        <v>JWDDCD2025102100473</v>
      </c>
      <c r="E4122" s="41" t="str">
        <f>VLOOKUP(F4122,辅助信息!A:B,2,FALSE)</f>
        <v>盘螺</v>
      </c>
      <c r="F4122" s="41" t="s">
        <v>41</v>
      </c>
      <c r="G4122" s="37">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1" t="str">
        <f>VLOOKUP(B4122,辅助信息!E:I,3,FALSE)</f>
        <v>(五冶建设扩建艺体中学二期工程)四川省成都市双流区光荣路成都艺体中学南200米</v>
      </c>
      <c r="J4122" s="41" t="str">
        <f>VLOOKUP(B4122,辅助信息!E:I,4,FALSE)</f>
        <v>谢序强</v>
      </c>
      <c r="K4122" s="41">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30" t="str">
        <f>VLOOKUP(B4122,辅助信息!E:M,9,FALSE)</f>
        <v>ZTWM-CDGS-XS-2025-0073-五冶天府-成都怡心湖片区及龙泉驿医院等项目</v>
      </c>
      <c r="R4122" s="30" t="str">
        <f>_xlfn._xlws.FILTER(辅助信息!D:D,辅助信息!E:E=B4122)</f>
        <v>五冶建设扩建艺体中学二期工程</v>
      </c>
    </row>
    <row r="4123" hidden="1" spans="2:18">
      <c r="B4123" s="136" t="s">
        <v>167</v>
      </c>
      <c r="C4123" s="71">
        <v>45937</v>
      </c>
      <c r="D4123" s="41" t="str">
        <f>VLOOKUP(B4123,辅助信息!E:K,7,FALSE)</f>
        <v>JWDDCD2025102100473</v>
      </c>
      <c r="E4123" s="41" t="str">
        <f>VLOOKUP(F4123,辅助信息!A:B,2,FALSE)</f>
        <v>螺纹钢</v>
      </c>
      <c r="F4123" s="41" t="s">
        <v>27</v>
      </c>
      <c r="G4123" s="37">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1" t="str">
        <f>VLOOKUP(B4123,辅助信息!E:I,3,FALSE)</f>
        <v>(五冶建设扩建艺体中学二期工程)四川省成都市双流区光荣路成都艺体中学南200米</v>
      </c>
      <c r="J4123" s="41" t="str">
        <f>VLOOKUP(B4123,辅助信息!E:I,4,FALSE)</f>
        <v>谢序强</v>
      </c>
      <c r="K4123" s="41">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30" t="str">
        <f>VLOOKUP(B4123,辅助信息!E:M,9,FALSE)</f>
        <v>ZTWM-CDGS-XS-2025-0073-五冶天府-成都怡心湖片区及龙泉驿医院等项目</v>
      </c>
      <c r="R4123" s="30" t="str">
        <f>_xlfn._xlws.FILTER(辅助信息!D:D,辅助信息!E:E=B4123)</f>
        <v>五冶建设扩建艺体中学二期工程</v>
      </c>
    </row>
    <row r="4124" hidden="1" spans="2:18">
      <c r="B4124" s="136" t="s">
        <v>167</v>
      </c>
      <c r="C4124" s="71">
        <v>45937</v>
      </c>
      <c r="D4124" s="41" t="str">
        <f>VLOOKUP(B4124,辅助信息!E:K,7,FALSE)</f>
        <v>JWDDCD2025102100473</v>
      </c>
      <c r="E4124" s="41" t="str">
        <f>VLOOKUP(F4124,辅助信息!A:B,2,FALSE)</f>
        <v>螺纹钢</v>
      </c>
      <c r="F4124" s="41" t="s">
        <v>58</v>
      </c>
      <c r="G4124" s="37">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1" t="str">
        <f>VLOOKUP(B4124,辅助信息!E:I,3,FALSE)</f>
        <v>(五冶建设扩建艺体中学二期工程)四川省成都市双流区光荣路成都艺体中学南200米</v>
      </c>
      <c r="J4124" s="41" t="str">
        <f>VLOOKUP(B4124,辅助信息!E:I,4,FALSE)</f>
        <v>谢序强</v>
      </c>
      <c r="K4124" s="41">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30" t="str">
        <f>VLOOKUP(B4124,辅助信息!E:M,9,FALSE)</f>
        <v>ZTWM-CDGS-XS-2025-0073-五冶天府-成都怡心湖片区及龙泉驿医院等项目</v>
      </c>
      <c r="R4124" s="30" t="str">
        <f>_xlfn._xlws.FILTER(辅助信息!D:D,辅助信息!E:E=B4124)</f>
        <v>五冶建设扩建艺体中学二期工程</v>
      </c>
    </row>
    <row r="4125" hidden="1" spans="2:18">
      <c r="B4125" s="136" t="s">
        <v>167</v>
      </c>
      <c r="C4125" s="71">
        <v>45937</v>
      </c>
      <c r="D4125" s="41" t="str">
        <f>VLOOKUP(B4125,辅助信息!E:K,7,FALSE)</f>
        <v>JWDDCD2025102100473</v>
      </c>
      <c r="E4125" s="41" t="str">
        <f>VLOOKUP(F4125,辅助信息!A:B,2,FALSE)</f>
        <v>螺纹钢</v>
      </c>
      <c r="F4125" s="41" t="s">
        <v>46</v>
      </c>
      <c r="G4125" s="37">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1" t="str">
        <f>VLOOKUP(B4125,辅助信息!E:I,3,FALSE)</f>
        <v>(五冶建设扩建艺体中学二期工程)四川省成都市双流区光荣路成都艺体中学南200米</v>
      </c>
      <c r="J4125" s="41" t="str">
        <f>VLOOKUP(B4125,辅助信息!E:I,4,FALSE)</f>
        <v>谢序强</v>
      </c>
      <c r="K4125" s="41">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30" t="str">
        <f>VLOOKUP(B4125,辅助信息!E:M,9,FALSE)</f>
        <v>ZTWM-CDGS-XS-2025-0073-五冶天府-成都怡心湖片区及龙泉驿医院等项目</v>
      </c>
      <c r="R4125" s="30" t="str">
        <f>_xlfn._xlws.FILTER(辅助信息!D:D,辅助信息!E:E=B4125)</f>
        <v>五冶建设扩建艺体中学二期工程</v>
      </c>
    </row>
    <row r="4126" hidden="1" spans="2:18">
      <c r="B4126" s="136" t="s">
        <v>167</v>
      </c>
      <c r="C4126" s="71">
        <v>45937</v>
      </c>
      <c r="D4126" s="41" t="str">
        <f>VLOOKUP(B4126,辅助信息!E:K,7,FALSE)</f>
        <v>JWDDCD2025102100473</v>
      </c>
      <c r="E4126" s="41" t="str">
        <f>VLOOKUP(F4126,辅助信息!A:B,2,FALSE)</f>
        <v>螺纹钢</v>
      </c>
      <c r="F4126" s="41" t="s">
        <v>22</v>
      </c>
      <c r="G4126" s="37">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1" t="str">
        <f>VLOOKUP(B4126,辅助信息!E:I,3,FALSE)</f>
        <v>(五冶建设扩建艺体中学二期工程)四川省成都市双流区光荣路成都艺体中学南200米</v>
      </c>
      <c r="J4126" s="41" t="str">
        <f>VLOOKUP(B4126,辅助信息!E:I,4,FALSE)</f>
        <v>谢序强</v>
      </c>
      <c r="K4126" s="41">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30" t="str">
        <f>VLOOKUP(B4126,辅助信息!E:M,9,FALSE)</f>
        <v>ZTWM-CDGS-XS-2025-0073-五冶天府-成都怡心湖片区及龙泉驿医院等项目</v>
      </c>
      <c r="R4126" s="30" t="str">
        <f>_xlfn._xlws.FILTER(辅助信息!D:D,辅助信息!E:E=B4126)</f>
        <v>五冶建设扩建艺体中学二期工程</v>
      </c>
    </row>
    <row r="4127" hidden="1" spans="2:18">
      <c r="B4127" s="136" t="s">
        <v>167</v>
      </c>
      <c r="C4127" s="71">
        <v>45937</v>
      </c>
      <c r="D4127" s="41" t="str">
        <f>VLOOKUP(B4127,辅助信息!E:K,7,FALSE)</f>
        <v>JWDDCD2025102100473</v>
      </c>
      <c r="E4127" s="41" t="str">
        <f>VLOOKUP(F4127,辅助信息!A:B,2,FALSE)</f>
        <v>螺纹钢</v>
      </c>
      <c r="F4127" s="41" t="s">
        <v>142</v>
      </c>
      <c r="G4127" s="37">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1" t="str">
        <f>VLOOKUP(B4127,辅助信息!E:I,3,FALSE)</f>
        <v>(五冶建设扩建艺体中学二期工程)四川省成都市双流区光荣路成都艺体中学南200米</v>
      </c>
      <c r="J4127" s="41" t="str">
        <f>VLOOKUP(B4127,辅助信息!E:I,4,FALSE)</f>
        <v>谢序强</v>
      </c>
      <c r="K4127" s="41">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30" t="str">
        <f>VLOOKUP(B4127,辅助信息!E:M,9,FALSE)</f>
        <v>ZTWM-CDGS-XS-2025-0073-五冶天府-成都怡心湖片区及龙泉驿医院等项目</v>
      </c>
      <c r="R4127" s="30" t="str">
        <f>_xlfn._xlws.FILTER(辅助信息!D:D,辅助信息!E:E=B4127)</f>
        <v>五冶建设扩建艺体中学二期工程</v>
      </c>
    </row>
    <row r="4128" hidden="1" spans="2:18">
      <c r="B4128" s="136" t="s">
        <v>225</v>
      </c>
      <c r="C4128" s="71">
        <v>45937</v>
      </c>
      <c r="D4128" s="41" t="str">
        <f>VLOOKUP(B4128,辅助信息!E:K,7,FALSE)</f>
        <v>JWDDCD2025092400210</v>
      </c>
      <c r="E4128" s="41" t="str">
        <f>VLOOKUP(F4128,辅助信息!A:B,2,FALSE)</f>
        <v>盘螺</v>
      </c>
      <c r="F4128" s="41" t="s">
        <v>40</v>
      </c>
      <c r="G4128" s="37">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1" t="str">
        <f>VLOOKUP(B4128,辅助信息!E:I,3,FALSE)</f>
        <v>(五冶钢构龙泉东洪片区85亩住宅、商业及配套工程项目一标段)成都市龙泉驿外东洪路地铁2号线惠王陵地铁C口</v>
      </c>
      <c r="J4128" s="41" t="str">
        <f>VLOOKUP(B4128,辅助信息!E:I,4,FALSE)</f>
        <v>岳工</v>
      </c>
      <c r="K4128" s="41">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30" t="str">
        <f>VLOOKUP(B4128,辅助信息!E:M,9,FALSE)</f>
        <v>ZTWM-CDGS-XS-2025-0156-五冶钢构-2025年九月第一批次钢筋采购合同(三圣乡项目)-中铁物贸成都公司</v>
      </c>
      <c r="R4128" s="30" t="str">
        <f>_xlfn._xlws.FILTER(辅助信息!D:D,辅助信息!E:E=B4128)</f>
        <v>五冶钢构龙泉东洪片区(70亩、85亩)住宅、商业及配套工程项目</v>
      </c>
    </row>
    <row r="4129" hidden="1" spans="2:18">
      <c r="B4129" s="136" t="s">
        <v>232</v>
      </c>
      <c r="C4129" s="71">
        <v>45937</v>
      </c>
      <c r="D4129" s="41" t="str">
        <f>VLOOKUP(B4129,辅助信息!E:K,7,FALSE)</f>
        <v>JWDDCD2025052800131</v>
      </c>
      <c r="E4129" s="41" t="str">
        <f>VLOOKUP(F4129,辅助信息!A:B,2,FALSE)</f>
        <v>盘螺</v>
      </c>
      <c r="F4129" s="41" t="s">
        <v>49</v>
      </c>
      <c r="G4129" s="37">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1" t="str">
        <f>VLOOKUP(B4129,辅助信息!E:I,3,FALSE)</f>
        <v>（商投建工达州中医药科技园-2工区-2号桥）达州市通川区达州中医药职业学院犀牛大道北段</v>
      </c>
      <c r="J4129" s="41" t="str">
        <f>VLOOKUP(B4129,辅助信息!E:I,4,FALSE)</f>
        <v>李波</v>
      </c>
      <c r="K4129" s="41">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30" t="str">
        <f>VLOOKUP(B4129,辅助信息!E:M,9,FALSE)</f>
        <v>ZTWM-CDGS-XS-2024-0134-商投建工达州中医药科技成果示范园项目</v>
      </c>
      <c r="R4129" s="30" t="str">
        <f>_xlfn._xlws.FILTER(辅助信息!D:D,辅助信息!E:E=B4129)</f>
        <v>商投建工达州中医药科技园</v>
      </c>
    </row>
    <row r="4130" hidden="1" spans="2:18">
      <c r="B4130" s="136" t="s">
        <v>232</v>
      </c>
      <c r="C4130" s="71">
        <v>45937</v>
      </c>
      <c r="D4130" s="41" t="str">
        <f>VLOOKUP(B4130,辅助信息!E:K,7,FALSE)</f>
        <v>JWDDCD2025052800131</v>
      </c>
      <c r="E4130" s="41" t="str">
        <f>VLOOKUP(F4130,辅助信息!A:B,2,FALSE)</f>
        <v>盘螺</v>
      </c>
      <c r="F4130" s="41" t="s">
        <v>40</v>
      </c>
      <c r="G4130" s="37">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1" t="str">
        <f>VLOOKUP(B4130,辅助信息!E:I,3,FALSE)</f>
        <v>（商投建工达州中医药科技园-2工区-2号桥）达州市通川区达州中医药职业学院犀牛大道北段</v>
      </c>
      <c r="J4130" s="41" t="str">
        <f>VLOOKUP(B4130,辅助信息!E:I,4,FALSE)</f>
        <v>李波</v>
      </c>
      <c r="K4130" s="41">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30" t="str">
        <f>VLOOKUP(B4130,辅助信息!E:M,9,FALSE)</f>
        <v>ZTWM-CDGS-XS-2024-0134-商投建工达州中医药科技成果示范园项目</v>
      </c>
      <c r="R4130" s="30" t="str">
        <f>_xlfn._xlws.FILTER(辅助信息!D:D,辅助信息!E:E=B4130)</f>
        <v>商投建工达州中医药科技园</v>
      </c>
    </row>
    <row r="4131" hidden="1" spans="2:18">
      <c r="B4131" s="136" t="s">
        <v>232</v>
      </c>
      <c r="C4131" s="71">
        <v>45937</v>
      </c>
      <c r="D4131" s="41" t="str">
        <f>VLOOKUP(B4131,辅助信息!E:K,7,FALSE)</f>
        <v>JWDDCD2025052800131</v>
      </c>
      <c r="E4131" s="41" t="str">
        <f>VLOOKUP(F4131,辅助信息!A:B,2,FALSE)</f>
        <v>盘螺</v>
      </c>
      <c r="F4131" s="41" t="s">
        <v>41</v>
      </c>
      <c r="G4131" s="37">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1" t="str">
        <f>VLOOKUP(B4131,辅助信息!E:I,3,FALSE)</f>
        <v>（商投建工达州中医药科技园-2工区-2号桥）达州市通川区达州中医药职业学院犀牛大道北段</v>
      </c>
      <c r="J4131" s="41" t="str">
        <f>VLOOKUP(B4131,辅助信息!E:I,4,FALSE)</f>
        <v>李波</v>
      </c>
      <c r="K4131" s="41">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30" t="str">
        <f>VLOOKUP(B4131,辅助信息!E:M,9,FALSE)</f>
        <v>ZTWM-CDGS-XS-2024-0134-商投建工达州中医药科技成果示范园项目</v>
      </c>
      <c r="R4131" s="30" t="str">
        <f>_xlfn._xlws.FILTER(辅助信息!D:D,辅助信息!E:E=B4131)</f>
        <v>商投建工达州中医药科技园</v>
      </c>
    </row>
    <row r="4132" hidden="1" spans="2:18">
      <c r="B4132" s="136" t="s">
        <v>232</v>
      </c>
      <c r="C4132" s="71">
        <v>45937</v>
      </c>
      <c r="D4132" s="41" t="str">
        <f>VLOOKUP(B4132,辅助信息!E:K,7,FALSE)</f>
        <v>JWDDCD2025052800131</v>
      </c>
      <c r="E4132" s="41" t="str">
        <f>VLOOKUP(F4132,辅助信息!A:B,2,FALSE)</f>
        <v>螺纹钢</v>
      </c>
      <c r="F4132" s="41" t="s">
        <v>27</v>
      </c>
      <c r="G4132" s="37">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1" t="str">
        <f>VLOOKUP(B4132,辅助信息!E:I,3,FALSE)</f>
        <v>（商投建工达州中医药科技园-2工区-2号桥）达州市通川区达州中医药职业学院犀牛大道北段</v>
      </c>
      <c r="J4132" s="41" t="str">
        <f>VLOOKUP(B4132,辅助信息!E:I,4,FALSE)</f>
        <v>李波</v>
      </c>
      <c r="K4132" s="41">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30" t="str">
        <f>VLOOKUP(B4132,辅助信息!E:M,9,FALSE)</f>
        <v>ZTWM-CDGS-XS-2024-0134-商投建工达州中医药科技成果示范园项目</v>
      </c>
      <c r="R4132" s="30" t="str">
        <f>_xlfn._xlws.FILTER(辅助信息!D:D,辅助信息!E:E=B4132)</f>
        <v>商投建工达州中医药科技园</v>
      </c>
    </row>
    <row r="4133" hidden="1" spans="2:18">
      <c r="B4133" s="136" t="s">
        <v>232</v>
      </c>
      <c r="C4133" s="71">
        <v>45937</v>
      </c>
      <c r="D4133" s="41" t="str">
        <f>VLOOKUP(B4133,辅助信息!E:K,7,FALSE)</f>
        <v>JWDDCD2025052800131</v>
      </c>
      <c r="E4133" s="41" t="str">
        <f>VLOOKUP(F4133,辅助信息!A:B,2,FALSE)</f>
        <v>螺纹钢</v>
      </c>
      <c r="F4133" s="41" t="s">
        <v>19</v>
      </c>
      <c r="G4133" s="37">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1" t="str">
        <f>VLOOKUP(B4133,辅助信息!E:I,3,FALSE)</f>
        <v>（商投建工达州中医药科技园-2工区-2号桥）达州市通川区达州中医药职业学院犀牛大道北段</v>
      </c>
      <c r="J4133" s="41" t="str">
        <f>VLOOKUP(B4133,辅助信息!E:I,4,FALSE)</f>
        <v>李波</v>
      </c>
      <c r="K4133" s="41">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30" t="str">
        <f>VLOOKUP(B4133,辅助信息!E:M,9,FALSE)</f>
        <v>ZTWM-CDGS-XS-2024-0134-商投建工达州中医药科技成果示范园项目</v>
      </c>
      <c r="R4133" s="30" t="str">
        <f>_xlfn._xlws.FILTER(辅助信息!D:D,辅助信息!E:E=B4133)</f>
        <v>商投建工达州中医药科技园</v>
      </c>
    </row>
    <row r="4134" hidden="1" spans="2:18">
      <c r="B4134" s="136" t="s">
        <v>232</v>
      </c>
      <c r="C4134" s="71">
        <v>45937</v>
      </c>
      <c r="D4134" s="41" t="str">
        <f>VLOOKUP(B4134,辅助信息!E:K,7,FALSE)</f>
        <v>JWDDCD2025052800131</v>
      </c>
      <c r="E4134" s="41" t="str">
        <f>VLOOKUP(F4134,辅助信息!A:B,2,FALSE)</f>
        <v>螺纹钢</v>
      </c>
      <c r="F4134" s="41" t="s">
        <v>32</v>
      </c>
      <c r="G4134" s="37">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1" t="str">
        <f>VLOOKUP(B4134,辅助信息!E:I,3,FALSE)</f>
        <v>（商投建工达州中医药科技园-2工区-2号桥）达州市通川区达州中医药职业学院犀牛大道北段</v>
      </c>
      <c r="J4134" s="41" t="str">
        <f>VLOOKUP(B4134,辅助信息!E:I,4,FALSE)</f>
        <v>李波</v>
      </c>
      <c r="K4134" s="41">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30" t="str">
        <f>VLOOKUP(B4134,辅助信息!E:M,9,FALSE)</f>
        <v>ZTWM-CDGS-XS-2024-0134-商投建工达州中医药科技成果示范园项目</v>
      </c>
      <c r="R4134" s="30" t="str">
        <f>_xlfn._xlws.FILTER(辅助信息!D:D,辅助信息!E:E=B4134)</f>
        <v>商投建工达州中医药科技园</v>
      </c>
    </row>
    <row r="4135" hidden="1" spans="2:18">
      <c r="B4135" s="136" t="s">
        <v>232</v>
      </c>
      <c r="C4135" s="71">
        <v>45937</v>
      </c>
      <c r="D4135" s="41" t="str">
        <f>VLOOKUP(B4135,辅助信息!E:K,7,FALSE)</f>
        <v>JWDDCD2025052800131</v>
      </c>
      <c r="E4135" s="41" t="str">
        <f>VLOOKUP(F4135,辅助信息!A:B,2,FALSE)</f>
        <v>螺纹钢</v>
      </c>
      <c r="F4135" s="41" t="s">
        <v>30</v>
      </c>
      <c r="G4135" s="37">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1" t="str">
        <f>VLOOKUP(B4135,辅助信息!E:I,3,FALSE)</f>
        <v>（商投建工达州中医药科技园-2工区-2号桥）达州市通川区达州中医药职业学院犀牛大道北段</v>
      </c>
      <c r="J4135" s="41" t="str">
        <f>VLOOKUP(B4135,辅助信息!E:I,4,FALSE)</f>
        <v>李波</v>
      </c>
      <c r="K4135" s="41">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30" t="str">
        <f>VLOOKUP(B4135,辅助信息!E:M,9,FALSE)</f>
        <v>ZTWM-CDGS-XS-2024-0134-商投建工达州中医药科技成果示范园项目</v>
      </c>
      <c r="R4135" s="30" t="str">
        <f>_xlfn._xlws.FILTER(辅助信息!D:D,辅助信息!E:E=B4135)</f>
        <v>商投建工达州中医药科技园</v>
      </c>
    </row>
    <row r="4136" hidden="1" spans="2:18">
      <c r="B4136" s="136" t="s">
        <v>232</v>
      </c>
      <c r="C4136" s="71">
        <v>45937</v>
      </c>
      <c r="D4136" s="41" t="str">
        <f>VLOOKUP(B4136,辅助信息!E:K,7,FALSE)</f>
        <v>JWDDCD2025052800131</v>
      </c>
      <c r="E4136" s="41" t="str">
        <f>VLOOKUP(F4136,辅助信息!A:B,2,FALSE)</f>
        <v>螺纹钢</v>
      </c>
      <c r="F4136" s="41" t="s">
        <v>33</v>
      </c>
      <c r="G4136" s="37">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1" t="str">
        <f>VLOOKUP(B4136,辅助信息!E:I,3,FALSE)</f>
        <v>（商投建工达州中医药科技园-2工区-2号桥）达州市通川区达州中医药职业学院犀牛大道北段</v>
      </c>
      <c r="J4136" s="41" t="str">
        <f>VLOOKUP(B4136,辅助信息!E:I,4,FALSE)</f>
        <v>李波</v>
      </c>
      <c r="K4136" s="41">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30" t="str">
        <f>VLOOKUP(B4136,辅助信息!E:M,9,FALSE)</f>
        <v>ZTWM-CDGS-XS-2024-0134-商投建工达州中医药科技成果示范园项目</v>
      </c>
      <c r="R4136" s="30" t="str">
        <f>_xlfn._xlws.FILTER(辅助信息!D:D,辅助信息!E:E=B4136)</f>
        <v>商投建工达州中医药科技园</v>
      </c>
    </row>
    <row r="4137" hidden="1" spans="2:18">
      <c r="B4137" s="136" t="s">
        <v>232</v>
      </c>
      <c r="C4137" s="71">
        <v>45937</v>
      </c>
      <c r="D4137" s="41" t="str">
        <f>VLOOKUP(B4137,辅助信息!E:K,7,FALSE)</f>
        <v>JWDDCD2025052800131</v>
      </c>
      <c r="E4137" s="41" t="str">
        <f>VLOOKUP(F4137,辅助信息!A:B,2,FALSE)</f>
        <v>螺纹钢</v>
      </c>
      <c r="F4137" s="41" t="s">
        <v>28</v>
      </c>
      <c r="G4137" s="37">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1" t="str">
        <f>VLOOKUP(B4137,辅助信息!E:I,3,FALSE)</f>
        <v>（商投建工达州中医药科技园-2工区-2号桥）达州市通川区达州中医药职业学院犀牛大道北段</v>
      </c>
      <c r="J4137" s="41" t="str">
        <f>VLOOKUP(B4137,辅助信息!E:I,4,FALSE)</f>
        <v>李波</v>
      </c>
      <c r="K4137" s="41">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30" t="str">
        <f>VLOOKUP(B4137,辅助信息!E:M,9,FALSE)</f>
        <v>ZTWM-CDGS-XS-2024-0134-商投建工达州中医药科技成果示范园项目</v>
      </c>
      <c r="R4137" s="30" t="str">
        <f>_xlfn._xlws.FILTER(辅助信息!D:D,辅助信息!E:E=B4137)</f>
        <v>商投建工达州中医药科技园</v>
      </c>
    </row>
    <row r="4138" hidden="1" spans="2:18">
      <c r="B4138" s="136" t="s">
        <v>232</v>
      </c>
      <c r="C4138" s="71">
        <v>45937</v>
      </c>
      <c r="D4138" s="41" t="str">
        <f>VLOOKUP(B4138,辅助信息!E:K,7,FALSE)</f>
        <v>JWDDCD2025052800131</v>
      </c>
      <c r="E4138" s="41" t="str">
        <f>VLOOKUP(F4138,辅助信息!A:B,2,FALSE)</f>
        <v>螺纹钢</v>
      </c>
      <c r="F4138" s="41" t="s">
        <v>18</v>
      </c>
      <c r="G4138" s="37">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1" t="str">
        <f>VLOOKUP(B4138,辅助信息!E:I,3,FALSE)</f>
        <v>（商投建工达州中医药科技园-2工区-2号桥）达州市通川区达州中医药职业学院犀牛大道北段</v>
      </c>
      <c r="J4138" s="41" t="str">
        <f>VLOOKUP(B4138,辅助信息!E:I,4,FALSE)</f>
        <v>李波</v>
      </c>
      <c r="K4138" s="41">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30" t="str">
        <f>VLOOKUP(B4138,辅助信息!E:M,9,FALSE)</f>
        <v>ZTWM-CDGS-XS-2024-0134-商投建工达州中医药科技成果示范园项目</v>
      </c>
      <c r="R4138" s="30" t="str">
        <f>_xlfn._xlws.FILTER(辅助信息!D:D,辅助信息!E:E=B4138)</f>
        <v>商投建工达州中医药科技园</v>
      </c>
    </row>
    <row r="4139" hidden="1" spans="2:18">
      <c r="B4139" s="136" t="s">
        <v>163</v>
      </c>
      <c r="C4139" s="71">
        <v>45938</v>
      </c>
      <c r="D4139" s="41" t="str">
        <f>VLOOKUP(B4139,辅助信息!E:K,7,FALSE)</f>
        <v>JWDDCD2025052800131</v>
      </c>
      <c r="E4139" s="41" t="str">
        <f>VLOOKUP(F4139,辅助信息!A:B,2,FALSE)</f>
        <v>盘螺</v>
      </c>
      <c r="F4139" s="41" t="s">
        <v>41</v>
      </c>
      <c r="G4139" s="37">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1" t="str">
        <f>VLOOKUP(B4139,辅助信息!E:I,3,FALSE)</f>
        <v>（商投建工达州中医药科技园-4工区-9号楼）达州市通川区达州中医药职业学院犀牛大道北段</v>
      </c>
      <c r="J4139" s="41" t="str">
        <f>VLOOKUP(B4139,辅助信息!E:I,4,FALSE)</f>
        <v>张扬</v>
      </c>
      <c r="K4139" s="41">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30" t="str">
        <f>VLOOKUP(B4139,辅助信息!E:M,9,FALSE)</f>
        <v>ZTWM-CDGS-XS-2024-0134-商投建工达州中医药科技成果示范园项目</v>
      </c>
      <c r="R4139" s="30" t="str">
        <f>_xlfn._xlws.FILTER(辅助信息!D:D,辅助信息!E:E=B4139)</f>
        <v>商投建工达州中医药科技园</v>
      </c>
    </row>
    <row r="4140" hidden="1" spans="2:18">
      <c r="B4140" s="136" t="s">
        <v>163</v>
      </c>
      <c r="C4140" s="71">
        <v>45938</v>
      </c>
      <c r="D4140" s="41" t="str">
        <f>VLOOKUP(B4140,辅助信息!E:K,7,FALSE)</f>
        <v>JWDDCD2025052800131</v>
      </c>
      <c r="E4140" s="41" t="str">
        <f>VLOOKUP(F4140,辅助信息!A:B,2,FALSE)</f>
        <v>盘螺</v>
      </c>
      <c r="F4140" s="41" t="s">
        <v>40</v>
      </c>
      <c r="G4140" s="37">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1" t="str">
        <f>VLOOKUP(B4140,辅助信息!E:I,3,FALSE)</f>
        <v>（商投建工达州中医药科技园-4工区-9号楼）达州市通川区达州中医药职业学院犀牛大道北段</v>
      </c>
      <c r="J4140" s="41" t="str">
        <f>VLOOKUP(B4140,辅助信息!E:I,4,FALSE)</f>
        <v>张扬</v>
      </c>
      <c r="K4140" s="41">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30" t="str">
        <f>VLOOKUP(B4140,辅助信息!E:M,9,FALSE)</f>
        <v>ZTWM-CDGS-XS-2024-0134-商投建工达州中医药科技成果示范园项目</v>
      </c>
      <c r="R4140" s="30" t="str">
        <f>_xlfn._xlws.FILTER(辅助信息!D:D,辅助信息!E:E=B4140)</f>
        <v>商投建工达州中医药科技园</v>
      </c>
    </row>
    <row r="4141" hidden="1" spans="2:18">
      <c r="B4141" s="136" t="s">
        <v>179</v>
      </c>
      <c r="C4141" s="71">
        <v>45938</v>
      </c>
      <c r="D4141" s="41" t="str">
        <f>VLOOKUP(B4141,辅助信息!E:K,7,FALSE)</f>
        <v>JWDDCD2025052800131</v>
      </c>
      <c r="E4141" s="41" t="str">
        <f>VLOOKUP(F4141,辅助信息!A:B,2,FALSE)</f>
        <v>盘螺</v>
      </c>
      <c r="F4141" s="41" t="s">
        <v>49</v>
      </c>
      <c r="G4141" s="37">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1" t="str">
        <f>VLOOKUP(B4141,辅助信息!E:I,3,FALSE)</f>
        <v>（商投建工达州中医药科技园-4工区-3号楼）达州市通川区达州中医药职业学院犀牛大道北段</v>
      </c>
      <c r="J4141" s="41" t="str">
        <f>VLOOKUP(B4141,辅助信息!E:I,4,FALSE)</f>
        <v>张扬</v>
      </c>
      <c r="K4141" s="41">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30" t="str">
        <f>VLOOKUP(B4141,辅助信息!E:M,9,FALSE)</f>
        <v>ZTWM-CDGS-XS-2024-0134-商投建工达州中医药科技成果示范园项目</v>
      </c>
      <c r="R4141" s="30" t="str">
        <f>_xlfn._xlws.FILTER(辅助信息!D:D,辅助信息!E:E=B4141)</f>
        <v>商投建工达州中医药科技园</v>
      </c>
    </row>
    <row r="4142" hidden="1" spans="2:18">
      <c r="B4142" s="136" t="s">
        <v>179</v>
      </c>
      <c r="C4142" s="71">
        <v>45938</v>
      </c>
      <c r="D4142" s="41" t="str">
        <f>VLOOKUP(B4142,辅助信息!E:K,7,FALSE)</f>
        <v>JWDDCD2025052800131</v>
      </c>
      <c r="E4142" s="41" t="str">
        <f>VLOOKUP(F4142,辅助信息!A:B,2,FALSE)</f>
        <v>盘螺</v>
      </c>
      <c r="F4142" s="41" t="s">
        <v>40</v>
      </c>
      <c r="G4142" s="37">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1" t="str">
        <f>VLOOKUP(B4142,辅助信息!E:I,3,FALSE)</f>
        <v>（商投建工达州中医药科技园-4工区-3号楼）达州市通川区达州中医药职业学院犀牛大道北段</v>
      </c>
      <c r="J4142" s="41" t="str">
        <f>VLOOKUP(B4142,辅助信息!E:I,4,FALSE)</f>
        <v>张扬</v>
      </c>
      <c r="K4142" s="41">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30" t="str">
        <f>VLOOKUP(B4142,辅助信息!E:M,9,FALSE)</f>
        <v>ZTWM-CDGS-XS-2024-0134-商投建工达州中医药科技成果示范园项目</v>
      </c>
      <c r="R4142" s="30" t="str">
        <f>_xlfn._xlws.FILTER(辅助信息!D:D,辅助信息!E:E=B4142)</f>
        <v>商投建工达州中医药科技园</v>
      </c>
    </row>
    <row r="4143" hidden="1" spans="2:18">
      <c r="B4143" s="136" t="s">
        <v>179</v>
      </c>
      <c r="C4143" s="71">
        <v>45938</v>
      </c>
      <c r="D4143" s="41" t="str">
        <f>VLOOKUP(B4143,辅助信息!E:K,7,FALSE)</f>
        <v>JWDDCD2025052800131</v>
      </c>
      <c r="E4143" s="41" t="str">
        <f>VLOOKUP(F4143,辅助信息!A:B,2,FALSE)</f>
        <v>盘螺</v>
      </c>
      <c r="F4143" s="41" t="s">
        <v>41</v>
      </c>
      <c r="G4143" s="37">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1" t="str">
        <f>VLOOKUP(B4143,辅助信息!E:I,3,FALSE)</f>
        <v>（商投建工达州中医药科技园-4工区-3号楼）达州市通川区达州中医药职业学院犀牛大道北段</v>
      </c>
      <c r="J4143" s="41" t="str">
        <f>VLOOKUP(B4143,辅助信息!E:I,4,FALSE)</f>
        <v>张扬</v>
      </c>
      <c r="K4143" s="41">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30" t="str">
        <f>VLOOKUP(B4143,辅助信息!E:M,9,FALSE)</f>
        <v>ZTWM-CDGS-XS-2024-0134-商投建工达州中医药科技成果示范园项目</v>
      </c>
      <c r="R4143" s="30" t="str">
        <f>_xlfn._xlws.FILTER(辅助信息!D:D,辅助信息!E:E=B4143)</f>
        <v>商投建工达州中医药科技园</v>
      </c>
    </row>
    <row r="4144" hidden="1" spans="2:18">
      <c r="B4144" s="136" t="s">
        <v>179</v>
      </c>
      <c r="C4144" s="71">
        <v>45938</v>
      </c>
      <c r="D4144" s="41" t="str">
        <f>VLOOKUP(B4144,辅助信息!E:K,7,FALSE)</f>
        <v>JWDDCD2025052800131</v>
      </c>
      <c r="E4144" s="41" t="str">
        <f>VLOOKUP(F4144,辅助信息!A:B,2,FALSE)</f>
        <v>螺纹钢</v>
      </c>
      <c r="F4144" s="41" t="s">
        <v>66</v>
      </c>
      <c r="G4144" s="37">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1" t="str">
        <f>VLOOKUP(B4144,辅助信息!E:I,3,FALSE)</f>
        <v>（商投建工达州中医药科技园-4工区-3号楼）达州市通川区达州中医药职业学院犀牛大道北段</v>
      </c>
      <c r="J4144" s="41" t="str">
        <f>VLOOKUP(B4144,辅助信息!E:I,4,FALSE)</f>
        <v>张扬</v>
      </c>
      <c r="K4144" s="41">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30" t="str">
        <f>VLOOKUP(B4144,辅助信息!E:M,9,FALSE)</f>
        <v>ZTWM-CDGS-XS-2024-0134-商投建工达州中医药科技成果示范园项目</v>
      </c>
      <c r="R4144" s="30" t="str">
        <f>_xlfn._xlws.FILTER(辅助信息!D:D,辅助信息!E:E=B4144)</f>
        <v>商投建工达州中医药科技园</v>
      </c>
    </row>
    <row r="4145" hidden="1" spans="2:18">
      <c r="B4145" s="136" t="s">
        <v>179</v>
      </c>
      <c r="C4145" s="71">
        <v>45938</v>
      </c>
      <c r="D4145" s="41" t="str">
        <f>VLOOKUP(B4145,辅助信息!E:K,7,FALSE)</f>
        <v>JWDDCD2025052800131</v>
      </c>
      <c r="E4145" s="41" t="str">
        <f>VLOOKUP(F4145,辅助信息!A:B,2,FALSE)</f>
        <v>螺纹钢</v>
      </c>
      <c r="F4145" s="41" t="s">
        <v>21</v>
      </c>
      <c r="G4145" s="37">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1" t="str">
        <f>VLOOKUP(B4145,辅助信息!E:I,3,FALSE)</f>
        <v>（商投建工达州中医药科技园-4工区-3号楼）达州市通川区达州中医药职业学院犀牛大道北段</v>
      </c>
      <c r="J4145" s="41" t="str">
        <f>VLOOKUP(B4145,辅助信息!E:I,4,FALSE)</f>
        <v>张扬</v>
      </c>
      <c r="K4145" s="41">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30" t="str">
        <f>VLOOKUP(B4145,辅助信息!E:M,9,FALSE)</f>
        <v>ZTWM-CDGS-XS-2024-0134-商投建工达州中医药科技成果示范园项目</v>
      </c>
      <c r="R4145" s="30" t="str">
        <f>_xlfn._xlws.FILTER(辅助信息!D:D,辅助信息!E:E=B4145)</f>
        <v>商投建工达州中医药科技园</v>
      </c>
    </row>
    <row r="4146" hidden="1" spans="2:18">
      <c r="B4146" s="136" t="s">
        <v>179</v>
      </c>
      <c r="C4146" s="71">
        <v>45938</v>
      </c>
      <c r="D4146" s="41" t="str">
        <f>VLOOKUP(B4146,辅助信息!E:K,7,FALSE)</f>
        <v>JWDDCD2025052800131</v>
      </c>
      <c r="E4146" s="41" t="str">
        <f>VLOOKUP(F4146,辅助信息!A:B,2,FALSE)</f>
        <v>螺纹钢</v>
      </c>
      <c r="F4146" s="41" t="s">
        <v>58</v>
      </c>
      <c r="G4146" s="37">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1" t="str">
        <f>VLOOKUP(B4146,辅助信息!E:I,3,FALSE)</f>
        <v>（商投建工达州中医药科技园-4工区-3号楼）达州市通川区达州中医药职业学院犀牛大道北段</v>
      </c>
      <c r="J4146" s="41" t="str">
        <f>VLOOKUP(B4146,辅助信息!E:I,4,FALSE)</f>
        <v>张扬</v>
      </c>
      <c r="K4146" s="41">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30" t="str">
        <f>VLOOKUP(B4146,辅助信息!E:M,9,FALSE)</f>
        <v>ZTWM-CDGS-XS-2024-0134-商投建工达州中医药科技成果示范园项目</v>
      </c>
      <c r="R4146" s="30" t="str">
        <f>_xlfn._xlws.FILTER(辅助信息!D:D,辅助信息!E:E=B4146)</f>
        <v>商投建工达州中医药科技园</v>
      </c>
    </row>
    <row r="4147" hidden="1" spans="2:18">
      <c r="B4147" s="136" t="s">
        <v>179</v>
      </c>
      <c r="C4147" s="71">
        <v>45938</v>
      </c>
      <c r="D4147" s="41" t="str">
        <f>VLOOKUP(B4147,辅助信息!E:K,7,FALSE)</f>
        <v>JWDDCD2025052800131</v>
      </c>
      <c r="E4147" s="41" t="str">
        <f>VLOOKUP(F4147,辅助信息!A:B,2,FALSE)</f>
        <v>螺纹钢</v>
      </c>
      <c r="F4147" s="41" t="s">
        <v>22</v>
      </c>
      <c r="G4147" s="37">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1" t="str">
        <f>VLOOKUP(B4147,辅助信息!E:I,3,FALSE)</f>
        <v>（商投建工达州中医药科技园-4工区-3号楼）达州市通川区达州中医药职业学院犀牛大道北段</v>
      </c>
      <c r="J4147" s="41" t="str">
        <f>VLOOKUP(B4147,辅助信息!E:I,4,FALSE)</f>
        <v>张扬</v>
      </c>
      <c r="K4147" s="41">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30" t="str">
        <f>VLOOKUP(B4147,辅助信息!E:M,9,FALSE)</f>
        <v>ZTWM-CDGS-XS-2024-0134-商投建工达州中医药科技成果示范园项目</v>
      </c>
      <c r="R4147" s="30" t="str">
        <f>_xlfn._xlws.FILTER(辅助信息!D:D,辅助信息!E:E=B4147)</f>
        <v>商投建工达州中医药科技园</v>
      </c>
    </row>
    <row r="4148" hidden="1" spans="2:18">
      <c r="B4148" s="136" t="s">
        <v>232</v>
      </c>
      <c r="C4148" s="71">
        <v>45938</v>
      </c>
      <c r="D4148" s="41" t="str">
        <f>VLOOKUP(B4148,辅助信息!E:K,7,FALSE)</f>
        <v>JWDDCD2025052800131</v>
      </c>
      <c r="E4148" s="41" t="str">
        <f>VLOOKUP(F4148,辅助信息!A:B,2,FALSE)</f>
        <v>螺纹钢</v>
      </c>
      <c r="F4148" s="41" t="s">
        <v>30</v>
      </c>
      <c r="G4148" s="37">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1" t="str">
        <f>VLOOKUP(B4148,辅助信息!E:I,3,FALSE)</f>
        <v>（商投建工达州中医药科技园-2工区-2号桥）达州市通川区达州中医药职业学院犀牛大道北段</v>
      </c>
      <c r="J4148" s="41" t="str">
        <f>VLOOKUP(B4148,辅助信息!E:I,4,FALSE)</f>
        <v>李波</v>
      </c>
      <c r="K4148" s="41">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30" t="str">
        <f>VLOOKUP(B4148,辅助信息!E:M,9,FALSE)</f>
        <v>ZTWM-CDGS-XS-2024-0134-商投建工达州中医药科技成果示范园项目</v>
      </c>
      <c r="R4148" s="30" t="str">
        <f>_xlfn._xlws.FILTER(辅助信息!D:D,辅助信息!E:E=B4148)</f>
        <v>商投建工达州中医药科技园</v>
      </c>
    </row>
    <row r="4149" hidden="1" spans="2:18">
      <c r="B4149" s="136" t="s">
        <v>232</v>
      </c>
      <c r="C4149" s="71">
        <v>45938</v>
      </c>
      <c r="D4149" s="41" t="str">
        <f>VLOOKUP(B4149,辅助信息!E:K,7,FALSE)</f>
        <v>JWDDCD2025052800131</v>
      </c>
      <c r="E4149" s="41" t="str">
        <f>VLOOKUP(F4149,辅助信息!A:B,2,FALSE)</f>
        <v>螺纹钢</v>
      </c>
      <c r="F4149" s="41" t="s">
        <v>33</v>
      </c>
      <c r="G4149" s="37">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1" t="str">
        <f>VLOOKUP(B4149,辅助信息!E:I,3,FALSE)</f>
        <v>（商投建工达州中医药科技园-2工区-2号桥）达州市通川区达州中医药职业学院犀牛大道北段</v>
      </c>
      <c r="J4149" s="41" t="str">
        <f>VLOOKUP(B4149,辅助信息!E:I,4,FALSE)</f>
        <v>李波</v>
      </c>
      <c r="K4149" s="41">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30" t="str">
        <f>VLOOKUP(B4149,辅助信息!E:M,9,FALSE)</f>
        <v>ZTWM-CDGS-XS-2024-0134-商投建工达州中医药科技成果示范园项目</v>
      </c>
      <c r="R4149" s="30" t="str">
        <f>_xlfn._xlws.FILTER(辅助信息!D:D,辅助信息!E:E=B4149)</f>
        <v>商投建工达州中医药科技园</v>
      </c>
    </row>
    <row r="4150" hidden="1" spans="2:18">
      <c r="B4150" s="136" t="s">
        <v>232</v>
      </c>
      <c r="C4150" s="71">
        <v>45938</v>
      </c>
      <c r="D4150" s="41" t="str">
        <f>VLOOKUP(B4150,辅助信息!E:K,7,FALSE)</f>
        <v>JWDDCD2025052800131</v>
      </c>
      <c r="E4150" s="41" t="str">
        <f>VLOOKUP(F4150,辅助信息!A:B,2,FALSE)</f>
        <v>螺纹钢</v>
      </c>
      <c r="F4150" s="41" t="s">
        <v>18</v>
      </c>
      <c r="G4150" s="37">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1" t="str">
        <f>VLOOKUP(B4150,辅助信息!E:I,3,FALSE)</f>
        <v>（商投建工达州中医药科技园-2工区-2号桥）达州市通川区达州中医药职业学院犀牛大道北段</v>
      </c>
      <c r="J4150" s="41" t="str">
        <f>VLOOKUP(B4150,辅助信息!E:I,4,FALSE)</f>
        <v>李波</v>
      </c>
      <c r="K4150" s="41">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30" t="str">
        <f>VLOOKUP(B4150,辅助信息!E:M,9,FALSE)</f>
        <v>ZTWM-CDGS-XS-2024-0134-商投建工达州中医药科技成果示范园项目</v>
      </c>
      <c r="R4150" s="30" t="str">
        <f>_xlfn._xlws.FILTER(辅助信息!D:D,辅助信息!E:E=B4150)</f>
        <v>商投建工达州中医药科技园</v>
      </c>
    </row>
    <row r="4151" hidden="1" spans="2:18">
      <c r="B4151" s="136" t="s">
        <v>215</v>
      </c>
      <c r="C4151" s="71">
        <v>45938</v>
      </c>
      <c r="D4151" s="41" t="str">
        <f>VLOOKUP(B4151,辅助信息!E:K,7,FALSE)</f>
        <v>JWDDCD2025102100486</v>
      </c>
      <c r="E4151" s="41" t="str">
        <f>VLOOKUP(F4151,辅助信息!A:B,2,FALSE)</f>
        <v>螺纹钢</v>
      </c>
      <c r="F4151" s="41" t="s">
        <v>27</v>
      </c>
      <c r="G4151" s="37">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1" t="str">
        <f>VLOOKUP(B4151,辅助信息!E:I,3,FALSE)</f>
        <v>(五冶建设龙泉驿一医院配套建设工程)成都市龙泉驿区董朗路69号龙泉驿一医院5号门</v>
      </c>
      <c r="J4151" s="41" t="str">
        <f>VLOOKUP(B4151,辅助信息!E:I,4,FALSE)</f>
        <v>孙敏</v>
      </c>
      <c r="K4151" s="41">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30" t="str">
        <f>VLOOKUP(B4151,辅助信息!E:M,9,FALSE)</f>
        <v>ZTWM-CDGS-XS-2025-0073-五冶天府-成都怡心湖片区及龙泉驿医院等项目</v>
      </c>
      <c r="R4151" s="30" t="str">
        <f>_xlfn._xlws.FILTER(辅助信息!D:D,辅助信息!E:E=B4151)</f>
        <v>五冶建设龙泉驿一医院配套建设工程</v>
      </c>
    </row>
    <row r="4152" hidden="1" spans="2:18">
      <c r="B4152" s="136" t="s">
        <v>215</v>
      </c>
      <c r="C4152" s="71">
        <v>45938</v>
      </c>
      <c r="D4152" s="41" t="str">
        <f>VLOOKUP(B4152,辅助信息!E:K,7,FALSE)</f>
        <v>JWDDCD2025102100486</v>
      </c>
      <c r="E4152" s="41" t="str">
        <f>VLOOKUP(F4152,辅助信息!A:B,2,FALSE)</f>
        <v>螺纹钢</v>
      </c>
      <c r="F4152" s="41" t="s">
        <v>32</v>
      </c>
      <c r="G4152" s="37">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1" t="str">
        <f>VLOOKUP(B4152,辅助信息!E:I,3,FALSE)</f>
        <v>(五冶建设龙泉驿一医院配套建设工程)成都市龙泉驿区董朗路69号龙泉驿一医院5号门</v>
      </c>
      <c r="J4152" s="41" t="str">
        <f>VLOOKUP(B4152,辅助信息!E:I,4,FALSE)</f>
        <v>孙敏</v>
      </c>
      <c r="K4152" s="41">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30" t="str">
        <f>VLOOKUP(B4152,辅助信息!E:M,9,FALSE)</f>
        <v>ZTWM-CDGS-XS-2025-0073-五冶天府-成都怡心湖片区及龙泉驿医院等项目</v>
      </c>
      <c r="R4152" s="30" t="str">
        <f>_xlfn._xlws.FILTER(辅助信息!D:D,辅助信息!E:E=B4152)</f>
        <v>五冶建设龙泉驿一医院配套建设工程</v>
      </c>
    </row>
    <row r="4153" hidden="1" spans="2:18">
      <c r="B4153" s="136" t="s">
        <v>215</v>
      </c>
      <c r="C4153" s="71">
        <v>45938</v>
      </c>
      <c r="D4153" s="41" t="str">
        <f>VLOOKUP(B4153,辅助信息!E:K,7,FALSE)</f>
        <v>JWDDCD2025102100486</v>
      </c>
      <c r="E4153" s="41" t="str">
        <f>VLOOKUP(F4153,辅助信息!A:B,2,FALSE)</f>
        <v>螺纹钢</v>
      </c>
      <c r="F4153" s="41" t="s">
        <v>33</v>
      </c>
      <c r="G4153" s="37">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1" t="str">
        <f>VLOOKUP(B4153,辅助信息!E:I,3,FALSE)</f>
        <v>(五冶建设龙泉驿一医院配套建设工程)成都市龙泉驿区董朗路69号龙泉驿一医院5号门</v>
      </c>
      <c r="J4153" s="41" t="str">
        <f>VLOOKUP(B4153,辅助信息!E:I,4,FALSE)</f>
        <v>孙敏</v>
      </c>
      <c r="K4153" s="41">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30" t="str">
        <f>VLOOKUP(B4153,辅助信息!E:M,9,FALSE)</f>
        <v>ZTWM-CDGS-XS-2025-0073-五冶天府-成都怡心湖片区及龙泉驿医院等项目</v>
      </c>
      <c r="R4153" s="30" t="str">
        <f>_xlfn._xlws.FILTER(辅助信息!D:D,辅助信息!E:E=B4153)</f>
        <v>五冶建设龙泉驿一医院配套建设工程</v>
      </c>
    </row>
    <row r="4154" hidden="1" spans="2:18">
      <c r="B4154" s="136" t="s">
        <v>215</v>
      </c>
      <c r="C4154" s="71">
        <v>45938</v>
      </c>
      <c r="D4154" s="41" t="str">
        <f>VLOOKUP(B4154,辅助信息!E:K,7,FALSE)</f>
        <v>JWDDCD2025102100486</v>
      </c>
      <c r="E4154" s="41" t="str">
        <f>VLOOKUP(F4154,辅助信息!A:B,2,FALSE)</f>
        <v>螺纹钢</v>
      </c>
      <c r="F4154" s="41" t="s">
        <v>28</v>
      </c>
      <c r="G4154" s="37">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1" t="str">
        <f>VLOOKUP(B4154,辅助信息!E:I,3,FALSE)</f>
        <v>(五冶建设龙泉驿一医院配套建设工程)成都市龙泉驿区董朗路69号龙泉驿一医院5号门</v>
      </c>
      <c r="J4154" s="41" t="str">
        <f>VLOOKUP(B4154,辅助信息!E:I,4,FALSE)</f>
        <v>孙敏</v>
      </c>
      <c r="K4154" s="41">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30" t="str">
        <f>VLOOKUP(B4154,辅助信息!E:M,9,FALSE)</f>
        <v>ZTWM-CDGS-XS-2025-0073-五冶天府-成都怡心湖片区及龙泉驿医院等项目</v>
      </c>
      <c r="R4154" s="30" t="str">
        <f>_xlfn._xlws.FILTER(辅助信息!D:D,辅助信息!E:E=B4154)</f>
        <v>五冶建设龙泉驿一医院配套建设工程</v>
      </c>
    </row>
    <row r="4155" hidden="1" spans="2:18">
      <c r="B4155" s="136" t="s">
        <v>215</v>
      </c>
      <c r="C4155" s="71">
        <v>45938</v>
      </c>
      <c r="D4155" s="41" t="str">
        <f>VLOOKUP(B4155,辅助信息!E:K,7,FALSE)</f>
        <v>JWDDCD2025102100486</v>
      </c>
      <c r="E4155" s="41" t="str">
        <f>VLOOKUP(F4155,辅助信息!A:B,2,FALSE)</f>
        <v>螺纹钢</v>
      </c>
      <c r="F4155" s="41" t="s">
        <v>18</v>
      </c>
      <c r="G4155" s="37">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1" t="str">
        <f>VLOOKUP(B4155,辅助信息!E:I,3,FALSE)</f>
        <v>(五冶建设龙泉驿一医院配套建设工程)成都市龙泉驿区董朗路69号龙泉驿一医院5号门</v>
      </c>
      <c r="J4155" s="41" t="str">
        <f>VLOOKUP(B4155,辅助信息!E:I,4,FALSE)</f>
        <v>孙敏</v>
      </c>
      <c r="K4155" s="41">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30" t="str">
        <f>VLOOKUP(B4155,辅助信息!E:M,9,FALSE)</f>
        <v>ZTWM-CDGS-XS-2025-0073-五冶天府-成都怡心湖片区及龙泉驿医院等项目</v>
      </c>
      <c r="R4155" s="30" t="str">
        <f>_xlfn._xlws.FILTER(辅助信息!D:D,辅助信息!E:E=B4155)</f>
        <v>五冶建设龙泉驿一医院配套建设工程</v>
      </c>
    </row>
    <row r="4156" hidden="1" spans="1:18">
      <c r="A4156" s="120"/>
      <c r="B4156" s="136" t="s">
        <v>231</v>
      </c>
      <c r="C4156" s="71">
        <v>45939</v>
      </c>
      <c r="D4156" s="41" t="str">
        <f>VLOOKUP(B4156,辅助信息!E:K,7,FALSE)</f>
        <v>JWDDCD2025102100481</v>
      </c>
      <c r="E4156" s="41" t="str">
        <f>VLOOKUP(F4156,辅助信息!A:B,2,FALSE)</f>
        <v>螺纹钢</v>
      </c>
      <c r="F4156" s="41" t="s">
        <v>32</v>
      </c>
      <c r="G4156" s="37">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1" t="str">
        <f>VLOOKUP(B4156,辅助信息!E:I,3,FALSE)</f>
        <v>(五冶建设成都盐道街中学初中部改扩建工程-一标)四川省成都市锦江区春熙路街道盐道街4号（盐道街中学初中部）</v>
      </c>
      <c r="J4156" s="41" t="str">
        <f>VLOOKUP(B4156,辅助信息!E:I,4,FALSE)</f>
        <v>谢鑫</v>
      </c>
      <c r="K4156" s="41">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30" t="str">
        <f>VLOOKUP(B4156,辅助信息!E:M,9,FALSE)</f>
        <v>ZTWM-CDGS-XS-2025-0073-五冶天府-成都怡心湖片区及龙泉驿医院等项目</v>
      </c>
      <c r="R4156" s="30" t="str">
        <f>_xlfn._xlws.FILTER(辅助信息!D:D,辅助信息!E:E=B4156)</f>
        <v>五冶建设成都盐道街中学初中部改扩建工程</v>
      </c>
    </row>
    <row r="4157" hidden="1" spans="1:18">
      <c r="A4157" s="120"/>
      <c r="B4157" s="136" t="s">
        <v>231</v>
      </c>
      <c r="C4157" s="71">
        <v>45939</v>
      </c>
      <c r="D4157" s="41" t="str">
        <f>VLOOKUP(B4157,辅助信息!E:K,7,FALSE)</f>
        <v>JWDDCD2025102100481</v>
      </c>
      <c r="E4157" s="41" t="str">
        <f>VLOOKUP(F4157,辅助信息!A:B,2,FALSE)</f>
        <v>螺纹钢</v>
      </c>
      <c r="F4157" s="41" t="s">
        <v>28</v>
      </c>
      <c r="G4157" s="37">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1" t="str">
        <f>VLOOKUP(B4157,辅助信息!E:I,3,FALSE)</f>
        <v>(五冶建设成都盐道街中学初中部改扩建工程-一标)四川省成都市锦江区春熙路街道盐道街4号（盐道街中学初中部）</v>
      </c>
      <c r="J4157" s="41" t="str">
        <f>VLOOKUP(B4157,辅助信息!E:I,4,FALSE)</f>
        <v>谢鑫</v>
      </c>
      <c r="K4157" s="41">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30" t="str">
        <f>VLOOKUP(B4157,辅助信息!E:M,9,FALSE)</f>
        <v>ZTWM-CDGS-XS-2025-0073-五冶天府-成都怡心湖片区及龙泉驿医院等项目</v>
      </c>
      <c r="R4157" s="30" t="str">
        <f>_xlfn._xlws.FILTER(辅助信息!D:D,辅助信息!E:E=B4157)</f>
        <v>五冶建设成都盐道街中学初中部改扩建工程</v>
      </c>
    </row>
    <row r="4158" hidden="1" spans="1:18">
      <c r="A4158" s="120"/>
      <c r="B4158" s="136" t="s">
        <v>231</v>
      </c>
      <c r="C4158" s="71">
        <v>45939</v>
      </c>
      <c r="D4158" s="41" t="str">
        <f>VLOOKUP(B4158,辅助信息!E:K,7,FALSE)</f>
        <v>JWDDCD2025102100481</v>
      </c>
      <c r="E4158" s="41" t="str">
        <f>VLOOKUP(F4158,辅助信息!A:B,2,FALSE)</f>
        <v>螺纹钢</v>
      </c>
      <c r="F4158" s="41" t="s">
        <v>65</v>
      </c>
      <c r="G4158" s="37">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1" t="str">
        <f>VLOOKUP(B4158,辅助信息!E:I,3,FALSE)</f>
        <v>(五冶建设成都盐道街中学初中部改扩建工程-一标)四川省成都市锦江区春熙路街道盐道街4号（盐道街中学初中部）</v>
      </c>
      <c r="J4158" s="41" t="str">
        <f>VLOOKUP(B4158,辅助信息!E:I,4,FALSE)</f>
        <v>谢鑫</v>
      </c>
      <c r="K4158" s="41">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30" t="str">
        <f>VLOOKUP(B4158,辅助信息!E:M,9,FALSE)</f>
        <v>ZTWM-CDGS-XS-2025-0073-五冶天府-成都怡心湖片区及龙泉驿医院等项目</v>
      </c>
      <c r="R4158" s="30" t="str">
        <f>_xlfn._xlws.FILTER(辅助信息!D:D,辅助信息!E:E=B4158)</f>
        <v>五冶建设成都盐道街中学初中部改扩建工程</v>
      </c>
    </row>
    <row r="4159" hidden="1" spans="1:18">
      <c r="A4159" s="120"/>
      <c r="B4159" s="136" t="s">
        <v>208</v>
      </c>
      <c r="C4159" s="71">
        <v>45938</v>
      </c>
      <c r="D4159" s="41" t="str">
        <f>VLOOKUP(B4159,辅助信息!E:K,7,FALSE)</f>
        <v>JWDDCD2025102100480</v>
      </c>
      <c r="E4159" s="41" t="str">
        <f>VLOOKUP(F4159,辅助信息!A:B,2,FALSE)</f>
        <v>高线</v>
      </c>
      <c r="F4159" s="41" t="s">
        <v>53</v>
      </c>
      <c r="G4159" s="37">
        <v>18</v>
      </c>
      <c r="H4159" s="135">
        <v>18</v>
      </c>
      <c r="I4159" s="41" t="str">
        <f>VLOOKUP(B4159,辅助信息!E:I,3,FALSE)</f>
        <v>(五冶建设锦江区林家坝片区20号地块商业项目)锦江区泰昌路锦江28亩项目部</v>
      </c>
      <c r="J4159" s="41" t="str">
        <f>VLOOKUP(B4159,辅助信息!E:I,4,FALSE)</f>
        <v>陶杰</v>
      </c>
      <c r="K4159" s="41">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30" t="str">
        <f>VLOOKUP(B4159,辅助信息!E:M,9,FALSE)</f>
        <v>ZTWM-CDGS-XS-2025-0073-五冶天府-成都怡心湖片区及龙泉驿医院等项目</v>
      </c>
      <c r="R4159" s="30" t="str">
        <f>_xlfn._xlws.FILTER(辅助信息!D:D,辅助信息!E:E=B4159)</f>
        <v>五冶建设锦江区林家坝片区20号地块商业项目</v>
      </c>
    </row>
    <row r="4160" hidden="1" spans="1:18">
      <c r="A4160" s="120"/>
      <c r="B4160" s="136" t="s">
        <v>208</v>
      </c>
      <c r="C4160" s="71">
        <v>45938</v>
      </c>
      <c r="D4160" s="41" t="str">
        <f>VLOOKUP(B4160,辅助信息!E:K,7,FALSE)</f>
        <v>JWDDCD2025102100480</v>
      </c>
      <c r="E4160" s="41" t="str">
        <f>VLOOKUP(F4160,辅助信息!A:B,2,FALSE)</f>
        <v>螺纹钢</v>
      </c>
      <c r="F4160" s="41" t="s">
        <v>32</v>
      </c>
      <c r="G4160" s="37">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1" t="str">
        <f>VLOOKUP(B4160,辅助信息!E:I,3,FALSE)</f>
        <v>(五冶建设锦江区林家坝片区20号地块商业项目)锦江区泰昌路锦江28亩项目部</v>
      </c>
      <c r="J4160" s="41" t="str">
        <f>VLOOKUP(B4160,辅助信息!E:I,4,FALSE)</f>
        <v>陶杰</v>
      </c>
      <c r="K4160" s="41">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30" t="str">
        <f>VLOOKUP(B4160,辅助信息!E:M,9,FALSE)</f>
        <v>ZTWM-CDGS-XS-2025-0073-五冶天府-成都怡心湖片区及龙泉驿医院等项目</v>
      </c>
      <c r="R4160" s="30" t="str">
        <f>_xlfn._xlws.FILTER(辅助信息!D:D,辅助信息!E:E=B4160)</f>
        <v>五冶建设锦江区林家坝片区20号地块商业项目</v>
      </c>
    </row>
    <row r="4161" hidden="1" spans="1:18">
      <c r="A4161" s="120"/>
      <c r="B4161" s="136" t="s">
        <v>208</v>
      </c>
      <c r="C4161" s="71">
        <v>45938</v>
      </c>
      <c r="D4161" s="41" t="str">
        <f>VLOOKUP(B4161,辅助信息!E:K,7,FALSE)</f>
        <v>JWDDCD2025102100480</v>
      </c>
      <c r="E4161" s="41" t="str">
        <f>VLOOKUP(F4161,辅助信息!A:B,2,FALSE)</f>
        <v>螺纹钢</v>
      </c>
      <c r="F4161" s="41" t="s">
        <v>30</v>
      </c>
      <c r="G4161" s="37">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1" t="str">
        <f>VLOOKUP(B4161,辅助信息!E:I,3,FALSE)</f>
        <v>(五冶建设锦江区林家坝片区20号地块商业项目)锦江区泰昌路锦江28亩项目部</v>
      </c>
      <c r="J4161" s="41" t="str">
        <f>VLOOKUP(B4161,辅助信息!E:I,4,FALSE)</f>
        <v>陶杰</v>
      </c>
      <c r="K4161" s="41">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30" t="str">
        <f>VLOOKUP(B4161,辅助信息!E:M,9,FALSE)</f>
        <v>ZTWM-CDGS-XS-2025-0073-五冶天府-成都怡心湖片区及龙泉驿医院等项目</v>
      </c>
      <c r="R4161" s="30" t="str">
        <f>_xlfn._xlws.FILTER(辅助信息!D:D,辅助信息!E:E=B4161)</f>
        <v>五冶建设锦江区林家坝片区20号地块商业项目</v>
      </c>
    </row>
    <row r="4162" hidden="1" spans="1:18">
      <c r="A4162" s="72" t="s">
        <v>233</v>
      </c>
      <c r="B4162" s="156" t="s">
        <v>196</v>
      </c>
      <c r="C4162" s="71">
        <v>45939</v>
      </c>
      <c r="D4162" s="41" t="str">
        <f>VLOOKUP(B4162,辅助信息!E:K,7,FALSE)</f>
        <v>JWDDCD2025102100476</v>
      </c>
      <c r="E4162" s="41" t="str">
        <f>VLOOKUP(F4162,辅助信息!A:B,2,FALSE)</f>
        <v>螺纹钢</v>
      </c>
      <c r="F4162" s="41" t="s">
        <v>27</v>
      </c>
      <c r="G4162" s="37">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1" t="str">
        <f>VLOOKUP(B4162,辅助信息!E:I,3,FALSE)</f>
        <v>(五冶建设师大附中外语校新建教学楼工程)四川省成都市成华区大观堰2号(四川师范大学附属中学外国语学校)</v>
      </c>
      <c r="J4162" s="41" t="str">
        <f>VLOOKUP(B4162,辅助信息!E:I,4,FALSE)</f>
        <v>蔡浩</v>
      </c>
      <c r="K4162" s="41">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19</v>
      </c>
      <c r="Q4162" s="30" t="str">
        <f>VLOOKUP(B4162,辅助信息!E:M,9,FALSE)</f>
        <v>ZTWM-CDGS-XS-2025-0073-五冶天府-成都怡心湖片区及龙泉驿医院等项目</v>
      </c>
      <c r="R4162" s="30" t="str">
        <f>_xlfn._xlws.FILTER(辅助信息!D:D,辅助信息!E:E=B4162)</f>
        <v>五冶建设师大附中外语校新建教学楼工程</v>
      </c>
    </row>
    <row r="4163" hidden="1" spans="1:18">
      <c r="A4163" s="72"/>
      <c r="B4163" s="156" t="s">
        <v>196</v>
      </c>
      <c r="C4163" s="71">
        <v>45939</v>
      </c>
      <c r="D4163" s="41" t="str">
        <f>VLOOKUP(B4163,辅助信息!E:K,7,FALSE)</f>
        <v>JWDDCD2025102100476</v>
      </c>
      <c r="E4163" s="41" t="str">
        <f>VLOOKUP(F4163,辅助信息!A:B,2,FALSE)</f>
        <v>螺纹钢</v>
      </c>
      <c r="F4163" s="41" t="s">
        <v>66</v>
      </c>
      <c r="G4163" s="37">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1" t="str">
        <f>VLOOKUP(B4163,辅助信息!E:I,3,FALSE)</f>
        <v>(五冶建设师大附中外语校新建教学楼工程)四川省成都市成华区大观堰2号(四川师范大学附属中学外国语学校)</v>
      </c>
      <c r="J4163" s="41" t="str">
        <f>VLOOKUP(B4163,辅助信息!E:I,4,FALSE)</f>
        <v>蔡浩</v>
      </c>
      <c r="K4163" s="41">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19</v>
      </c>
      <c r="Q4163" s="30" t="str">
        <f>VLOOKUP(B4163,辅助信息!E:M,9,FALSE)</f>
        <v>ZTWM-CDGS-XS-2025-0073-五冶天府-成都怡心湖片区及龙泉驿医院等项目</v>
      </c>
      <c r="R4163" s="30" t="str">
        <f>_xlfn._xlws.FILTER(辅助信息!D:D,辅助信息!E:E=B4163)</f>
        <v>五冶建设师大附中外语校新建教学楼工程</v>
      </c>
    </row>
    <row r="4164" hidden="1" spans="1:18">
      <c r="A4164" s="72"/>
      <c r="B4164" s="156" t="s">
        <v>196</v>
      </c>
      <c r="C4164" s="71">
        <v>45939</v>
      </c>
      <c r="D4164" s="41" t="str">
        <f>VLOOKUP(B4164,辅助信息!E:K,7,FALSE)</f>
        <v>JWDDCD2025102100476</v>
      </c>
      <c r="E4164" s="41" t="str">
        <f>VLOOKUP(F4164,辅助信息!A:B,2,FALSE)</f>
        <v>螺纹钢</v>
      </c>
      <c r="F4164" s="41" t="s">
        <v>21</v>
      </c>
      <c r="G4164" s="37">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1" t="str">
        <f>VLOOKUP(B4164,辅助信息!E:I,3,FALSE)</f>
        <v>(五冶建设师大附中外语校新建教学楼工程)四川省成都市成华区大观堰2号(四川师范大学附属中学外国语学校)</v>
      </c>
      <c r="J4164" s="41" t="str">
        <f>VLOOKUP(B4164,辅助信息!E:I,4,FALSE)</f>
        <v>蔡浩</v>
      </c>
      <c r="K4164" s="41">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19</v>
      </c>
      <c r="Q4164" s="30" t="str">
        <f>VLOOKUP(B4164,辅助信息!E:M,9,FALSE)</f>
        <v>ZTWM-CDGS-XS-2025-0073-五冶天府-成都怡心湖片区及龙泉驿医院等项目</v>
      </c>
      <c r="R4164" s="30" t="str">
        <f>_xlfn._xlws.FILTER(辅助信息!D:D,辅助信息!E:E=B4164)</f>
        <v>五冶建设师大附中外语校新建教学楼工程</v>
      </c>
    </row>
    <row r="4165" hidden="1" spans="1:18">
      <c r="A4165" s="72"/>
      <c r="B4165" s="156" t="s">
        <v>196</v>
      </c>
      <c r="C4165" s="71">
        <v>45939</v>
      </c>
      <c r="D4165" s="41" t="str">
        <f>VLOOKUP(B4165,辅助信息!E:K,7,FALSE)</f>
        <v>JWDDCD2025102100476</v>
      </c>
      <c r="E4165" s="41" t="str">
        <f>VLOOKUP(F4165,辅助信息!A:B,2,FALSE)</f>
        <v>螺纹钢</v>
      </c>
      <c r="F4165" s="41" t="s">
        <v>46</v>
      </c>
      <c r="G4165" s="37">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1" t="str">
        <f>VLOOKUP(B4165,辅助信息!E:I,3,FALSE)</f>
        <v>(五冶建设师大附中外语校新建教学楼工程)四川省成都市成华区大观堰2号(四川师范大学附属中学外国语学校)</v>
      </c>
      <c r="J4165" s="41" t="str">
        <f>VLOOKUP(B4165,辅助信息!E:I,4,FALSE)</f>
        <v>蔡浩</v>
      </c>
      <c r="K4165" s="41">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19</v>
      </c>
      <c r="Q4165" s="30" t="str">
        <f>VLOOKUP(B4165,辅助信息!E:M,9,FALSE)</f>
        <v>ZTWM-CDGS-XS-2025-0073-五冶天府-成都怡心湖片区及龙泉驿医院等项目</v>
      </c>
      <c r="R4165" s="30" t="str">
        <f>_xlfn._xlws.FILTER(辅助信息!D:D,辅助信息!E:E=B4165)</f>
        <v>五冶建设师大附中外语校新建教学楼工程</v>
      </c>
    </row>
    <row r="4166" hidden="1" spans="1:18">
      <c r="A4166" s="72"/>
      <c r="B4166" s="156" t="s">
        <v>196</v>
      </c>
      <c r="C4166" s="71">
        <v>45939</v>
      </c>
      <c r="D4166" s="41" t="str">
        <f>VLOOKUP(B4166,辅助信息!E:K,7,FALSE)</f>
        <v>JWDDCD2025102100476</v>
      </c>
      <c r="E4166" s="41" t="str">
        <f>VLOOKUP(F4166,辅助信息!A:B,2,FALSE)</f>
        <v>螺纹钢</v>
      </c>
      <c r="F4166" s="41" t="s">
        <v>22</v>
      </c>
      <c r="G4166" s="37">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1" t="str">
        <f>VLOOKUP(B4166,辅助信息!E:I,3,FALSE)</f>
        <v>(五冶建设师大附中外语校新建教学楼工程)四川省成都市成华区大观堰2号(四川师范大学附属中学外国语学校)</v>
      </c>
      <c r="J4166" s="41" t="str">
        <f>VLOOKUP(B4166,辅助信息!E:I,4,FALSE)</f>
        <v>蔡浩</v>
      </c>
      <c r="K4166" s="41">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19</v>
      </c>
      <c r="Q4166" s="30" t="str">
        <f>VLOOKUP(B4166,辅助信息!E:M,9,FALSE)</f>
        <v>ZTWM-CDGS-XS-2025-0073-五冶天府-成都怡心湖片区及龙泉驿医院等项目</v>
      </c>
      <c r="R4166" s="30" t="str">
        <f>_xlfn._xlws.FILTER(辅助信息!D:D,辅助信息!E:E=B4166)</f>
        <v>五冶建设师大附中外语校新建教学楼工程</v>
      </c>
    </row>
    <row r="4167" hidden="1" spans="1:18">
      <c r="A4167" s="72"/>
      <c r="B4167" s="156" t="s">
        <v>196</v>
      </c>
      <c r="C4167" s="71">
        <v>45939</v>
      </c>
      <c r="D4167" s="41" t="str">
        <f>VLOOKUP(B4167,辅助信息!E:K,7,FALSE)</f>
        <v>JWDDCD2025102100476</v>
      </c>
      <c r="E4167" s="41" t="str">
        <f>VLOOKUP(F4167,辅助信息!A:B,2,FALSE)</f>
        <v>螺纹钢</v>
      </c>
      <c r="F4167" s="41" t="s">
        <v>181</v>
      </c>
      <c r="G4167" s="37">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1" t="str">
        <f>VLOOKUP(B4167,辅助信息!E:I,3,FALSE)</f>
        <v>(五冶建设师大附中外语校新建教学楼工程)四川省成都市成华区大观堰2号(四川师范大学附属中学外国语学校)</v>
      </c>
      <c r="J4167" s="41" t="str">
        <f>VLOOKUP(B4167,辅助信息!E:I,4,FALSE)</f>
        <v>蔡浩</v>
      </c>
      <c r="K4167" s="41">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19</v>
      </c>
      <c r="Q4167" s="30" t="str">
        <f>VLOOKUP(B4167,辅助信息!E:M,9,FALSE)</f>
        <v>ZTWM-CDGS-XS-2025-0073-五冶天府-成都怡心湖片区及龙泉驿医院等项目</v>
      </c>
      <c r="R4167" s="30" t="str">
        <f>_xlfn._xlws.FILTER(辅助信息!D:D,辅助信息!E:E=B4167)</f>
        <v>五冶建设师大附中外语校新建教学楼工程</v>
      </c>
    </row>
    <row r="4168" hidden="1" spans="1:18">
      <c r="A4168" s="72"/>
      <c r="B4168" s="156" t="s">
        <v>196</v>
      </c>
      <c r="C4168" s="71">
        <v>45939</v>
      </c>
      <c r="D4168" s="41" t="str">
        <f>VLOOKUP(B4168,辅助信息!E:K,7,FALSE)</f>
        <v>JWDDCD2025102100476</v>
      </c>
      <c r="E4168" s="41" t="str">
        <f>VLOOKUP(F4168,辅助信息!A:B,2,FALSE)</f>
        <v>螺纹钢</v>
      </c>
      <c r="F4168" s="41" t="s">
        <v>182</v>
      </c>
      <c r="G4168" s="37">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1" t="str">
        <f>VLOOKUP(B4168,辅助信息!E:I,3,FALSE)</f>
        <v>(五冶建设师大附中外语校新建教学楼工程)四川省成都市成华区大观堰2号(四川师范大学附属中学外国语学校)</v>
      </c>
      <c r="J4168" s="41" t="str">
        <f>VLOOKUP(B4168,辅助信息!E:I,4,FALSE)</f>
        <v>蔡浩</v>
      </c>
      <c r="K4168" s="41">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19</v>
      </c>
      <c r="Q4168" s="30" t="str">
        <f>VLOOKUP(B4168,辅助信息!E:M,9,FALSE)</f>
        <v>ZTWM-CDGS-XS-2025-0073-五冶天府-成都怡心湖片区及龙泉驿医院等项目</v>
      </c>
      <c r="R4168" s="30" t="str">
        <f>_xlfn._xlws.FILTER(辅助信息!D:D,辅助信息!E:E=B4168)</f>
        <v>五冶建设师大附中外语校新建教学楼工程</v>
      </c>
    </row>
    <row r="4169" hidden="1" spans="2:18">
      <c r="B4169" s="136" t="s">
        <v>186</v>
      </c>
      <c r="C4169" s="71">
        <v>45939</v>
      </c>
      <c r="D4169" s="41" t="str">
        <f>VLOOKUP(B4169,辅助信息!E:K,7,FALSE)</f>
        <v>JWDDCD2025072900123</v>
      </c>
      <c r="E4169" s="41" t="str">
        <f>VLOOKUP(F4169,辅助信息!A:B,2,FALSE)</f>
        <v>螺纹钢</v>
      </c>
      <c r="F4169" s="41" t="s">
        <v>111</v>
      </c>
      <c r="G4169" s="37">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1" t="str">
        <f>VLOOKUP(B4169,辅助信息!E:I,3,FALSE)</f>
        <v>(乐山市校地共建产教融合基地建设项目二标段)四川省乐山市市中区苏稽镇</v>
      </c>
      <c r="J4169" s="41" t="str">
        <f>VLOOKUP(B4169,辅助信息!E:I,4,FALSE)</f>
        <v>彭江涛</v>
      </c>
      <c r="K4169" s="41">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30" t="str">
        <f>VLOOKUP(B4169,辅助信息!E:M,9,FALSE)</f>
        <v>ZTWM-CDGS-XS-2025-0126-四川机司-乐山市校地共建产教融合基地配套设施项目施工二标段钢筋采购合同</v>
      </c>
      <c r="R4169" s="30" t="str">
        <f>_xlfn._xlws.FILTER(辅助信息!D:D,辅助信息!E:E=B4169)</f>
        <v>乐山市校地共建产教融合基地建设项目</v>
      </c>
    </row>
    <row r="4170" hidden="1" spans="2:18">
      <c r="B4170" s="156" t="s">
        <v>186</v>
      </c>
      <c r="C4170" s="71">
        <v>45939</v>
      </c>
      <c r="D4170" s="41" t="str">
        <f>VLOOKUP(B4170,辅助信息!E:K,7,FALSE)</f>
        <v>JWDDCD2025072900123</v>
      </c>
      <c r="E4170" s="41" t="str">
        <f>VLOOKUP(F4170,辅助信息!A:B,2,FALSE)</f>
        <v>螺纹钢</v>
      </c>
      <c r="F4170" s="41" t="s">
        <v>76</v>
      </c>
      <c r="G4170" s="37">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1" t="str">
        <f>VLOOKUP(B4170,辅助信息!E:I,3,FALSE)</f>
        <v>(乐山市校地共建产教融合基地建设项目二标段)四川省乐山市市中区苏稽镇</v>
      </c>
      <c r="J4170" s="41" t="str">
        <f>VLOOKUP(B4170,辅助信息!E:I,4,FALSE)</f>
        <v>彭江涛</v>
      </c>
      <c r="K4170" s="41">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30" t="str">
        <f>VLOOKUP(B4170,辅助信息!E:M,9,FALSE)</f>
        <v>ZTWM-CDGS-XS-2025-0126-四川机司-乐山市校地共建产教融合基地配套设施项目施工二标段钢筋采购合同</v>
      </c>
      <c r="R4170" s="30" t="str">
        <f>_xlfn._xlws.FILTER(辅助信息!D:D,辅助信息!E:E=B4170)</f>
        <v>乐山市校地共建产教融合基地建设项目</v>
      </c>
    </row>
    <row r="4171" hidden="1" spans="2:18">
      <c r="B4171" s="156" t="s">
        <v>186</v>
      </c>
      <c r="C4171" s="71">
        <v>45939</v>
      </c>
      <c r="D4171" s="41" t="str">
        <f>VLOOKUP(B4171,辅助信息!E:K,7,FALSE)</f>
        <v>JWDDCD2025072900123</v>
      </c>
      <c r="E4171" s="41" t="str">
        <f>VLOOKUP(F4171,辅助信息!A:B,2,FALSE)</f>
        <v>螺纹钢</v>
      </c>
      <c r="F4171" s="41" t="s">
        <v>142</v>
      </c>
      <c r="G4171" s="37">
        <v>35</v>
      </c>
      <c r="H4171" s="135">
        <v>35</v>
      </c>
      <c r="I4171" s="41" t="str">
        <f>VLOOKUP(B4171,辅助信息!E:I,3,FALSE)</f>
        <v>(乐山市校地共建产教融合基地建设项目二标段)四川省乐山市市中区苏稽镇</v>
      </c>
      <c r="J4171" s="41" t="str">
        <f>VLOOKUP(B4171,辅助信息!E:I,4,FALSE)</f>
        <v>彭江涛</v>
      </c>
      <c r="K4171" s="41">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30" t="str">
        <f>VLOOKUP(B4171,辅助信息!E:M,9,FALSE)</f>
        <v>ZTWM-CDGS-XS-2025-0126-四川机司-乐山市校地共建产教融合基地配套设施项目施工二标段钢筋采购合同</v>
      </c>
      <c r="R4171" s="30" t="str">
        <f>_xlfn._xlws.FILTER(辅助信息!D:D,辅助信息!E:E=B4171)</f>
        <v>乐山市校地共建产教融合基地建设项目</v>
      </c>
    </row>
    <row r="4172" hidden="1" spans="2:18">
      <c r="B4172" s="156" t="s">
        <v>92</v>
      </c>
      <c r="C4172" s="71">
        <v>45939</v>
      </c>
      <c r="D4172" s="41" t="str">
        <f>VLOOKUP(B4172,辅助信息!E:K,7,FALSE)</f>
        <v>JWDDCD2025051800046</v>
      </c>
      <c r="E4172" s="41" t="str">
        <f>VLOOKUP(F4172,辅助信息!A:B,2,FALSE)</f>
        <v>盘螺</v>
      </c>
      <c r="F4172" s="41" t="s">
        <v>49</v>
      </c>
      <c r="G4172" s="37">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1" t="str">
        <f>VLOOKUP(B4172,辅助信息!E:I,3,FALSE)</f>
        <v>（华西萌海科创农业生态谷）成都市简阳市白金山水库</v>
      </c>
      <c r="J4172" s="41" t="str">
        <f>VLOOKUP(B4172,辅助信息!E:I,4,FALSE)</f>
        <v>石清国</v>
      </c>
      <c r="K4172" s="41">
        <f>VLOOKUP(J4172,辅助信息!H:I,2,FALSE)</f>
        <v>13458642015</v>
      </c>
      <c r="L4172" s="110" t="str">
        <f>VLOOKUP(B4172,辅助信息!E:J,6,FALSE)</f>
        <v>优先威钢,我方卸车,新老国标钢厂不加价可直发</v>
      </c>
      <c r="M4172" s="149">
        <v>45942</v>
      </c>
      <c r="O4172" s="63">
        <f ca="1" t="shared" si="212"/>
        <v>0</v>
      </c>
      <c r="P4172" s="63">
        <f ca="1" t="shared" si="213"/>
        <v>17</v>
      </c>
      <c r="Q4172" s="30" t="str">
        <f>VLOOKUP(B4172,辅助信息!E:M,9,FALSE)</f>
        <v>ZTWM-CDGS-XS-2024-0092-华西-萌海科创农业生态谷</v>
      </c>
      <c r="R4172" s="30" t="str">
        <f>_xlfn._xlws.FILTER(辅助信息!D:D,辅助信息!E:E=B4172)</f>
        <v>华西萌海-科创农业生态谷</v>
      </c>
    </row>
    <row r="4173" hidden="1" spans="2:18">
      <c r="B4173" s="156" t="s">
        <v>92</v>
      </c>
      <c r="C4173" s="71">
        <v>45939</v>
      </c>
      <c r="D4173" s="41" t="str">
        <f>VLOOKUP(B4173,辅助信息!E:K,7,FALSE)</f>
        <v>JWDDCD2025051800046</v>
      </c>
      <c r="E4173" s="41" t="str">
        <f>VLOOKUP(F4173,辅助信息!A:B,2,FALSE)</f>
        <v>盘螺</v>
      </c>
      <c r="F4173" s="41" t="s">
        <v>40</v>
      </c>
      <c r="G4173" s="37">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1" t="str">
        <f>VLOOKUP(B4173,辅助信息!E:I,3,FALSE)</f>
        <v>（华西萌海科创农业生态谷）成都市简阳市白金山水库</v>
      </c>
      <c r="J4173" s="41" t="str">
        <f>VLOOKUP(B4173,辅助信息!E:I,4,FALSE)</f>
        <v>石清国</v>
      </c>
      <c r="K4173" s="41">
        <f>VLOOKUP(J4173,辅助信息!H:I,2,FALSE)</f>
        <v>13458642015</v>
      </c>
      <c r="L4173" s="110" t="str">
        <f>VLOOKUP(B4173,辅助信息!E:J,6,FALSE)</f>
        <v>优先威钢,我方卸车,新老国标钢厂不加价可直发</v>
      </c>
      <c r="M4173" s="149">
        <v>45942</v>
      </c>
      <c r="O4173" s="63">
        <f ca="1" t="shared" si="212"/>
        <v>0</v>
      </c>
      <c r="P4173" s="63">
        <f ca="1" t="shared" si="213"/>
        <v>17</v>
      </c>
      <c r="Q4173" s="30" t="str">
        <f>VLOOKUP(B4173,辅助信息!E:M,9,FALSE)</f>
        <v>ZTWM-CDGS-XS-2024-0092-华西-萌海科创农业生态谷</v>
      </c>
      <c r="R4173" s="30" t="str">
        <f>_xlfn._xlws.FILTER(辅助信息!D:D,辅助信息!E:E=B4173)</f>
        <v>华西萌海-科创农业生态谷</v>
      </c>
    </row>
    <row r="4174" hidden="1" spans="2:18">
      <c r="B4174" s="156" t="s">
        <v>92</v>
      </c>
      <c r="C4174" s="71">
        <v>45939</v>
      </c>
      <c r="D4174" s="41" t="str">
        <f>VLOOKUP(B4174,辅助信息!E:K,7,FALSE)</f>
        <v>JWDDCD2025051800046</v>
      </c>
      <c r="E4174" s="41" t="str">
        <f>VLOOKUP(F4174,辅助信息!A:B,2,FALSE)</f>
        <v>盘螺</v>
      </c>
      <c r="F4174" s="41" t="s">
        <v>41</v>
      </c>
      <c r="G4174" s="37">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1" t="str">
        <f>VLOOKUP(B4174,辅助信息!E:I,3,FALSE)</f>
        <v>（华西萌海科创农业生态谷）成都市简阳市白金山水库</v>
      </c>
      <c r="J4174" s="41" t="str">
        <f>VLOOKUP(B4174,辅助信息!E:I,4,FALSE)</f>
        <v>石清国</v>
      </c>
      <c r="K4174" s="41">
        <f>VLOOKUP(J4174,辅助信息!H:I,2,FALSE)</f>
        <v>13458642015</v>
      </c>
      <c r="L4174" s="110" t="str">
        <f>VLOOKUP(B4174,辅助信息!E:J,6,FALSE)</f>
        <v>优先威钢,我方卸车,新老国标钢厂不加价可直发</v>
      </c>
      <c r="M4174" s="149">
        <v>45942</v>
      </c>
      <c r="O4174" s="63">
        <f ca="1" t="shared" si="212"/>
        <v>0</v>
      </c>
      <c r="P4174" s="63">
        <f ca="1" t="shared" si="213"/>
        <v>17</v>
      </c>
      <c r="Q4174" s="30" t="str">
        <f>VLOOKUP(B4174,辅助信息!E:M,9,FALSE)</f>
        <v>ZTWM-CDGS-XS-2024-0092-华西-萌海科创农业生态谷</v>
      </c>
      <c r="R4174" s="30" t="str">
        <f>_xlfn._xlws.FILTER(辅助信息!D:D,辅助信息!E:E=B4174)</f>
        <v>华西萌海-科创农业生态谷</v>
      </c>
    </row>
    <row r="4175" hidden="1" spans="2:18">
      <c r="B4175" s="156" t="s">
        <v>92</v>
      </c>
      <c r="C4175" s="71">
        <v>45939</v>
      </c>
      <c r="D4175" s="41" t="str">
        <f>VLOOKUP(B4175,辅助信息!E:K,7,FALSE)</f>
        <v>JWDDCD2025051800046</v>
      </c>
      <c r="E4175" s="41" t="str">
        <f>VLOOKUP(F4175,辅助信息!A:B,2,FALSE)</f>
        <v>盘螺</v>
      </c>
      <c r="F4175" s="41" t="s">
        <v>26</v>
      </c>
      <c r="G4175" s="37">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1" t="str">
        <f>VLOOKUP(B4175,辅助信息!E:I,3,FALSE)</f>
        <v>（华西萌海科创农业生态谷）成都市简阳市白金山水库</v>
      </c>
      <c r="J4175" s="41" t="str">
        <f>VLOOKUP(B4175,辅助信息!E:I,4,FALSE)</f>
        <v>石清国</v>
      </c>
      <c r="K4175" s="41">
        <f>VLOOKUP(J4175,辅助信息!H:I,2,FALSE)</f>
        <v>13458642015</v>
      </c>
      <c r="L4175" s="110" t="str">
        <f>VLOOKUP(B4175,辅助信息!E:J,6,FALSE)</f>
        <v>优先威钢,我方卸车,新老国标钢厂不加价可直发</v>
      </c>
      <c r="M4175" s="149">
        <v>45942</v>
      </c>
      <c r="O4175" s="63">
        <f ca="1" t="shared" si="212"/>
        <v>0</v>
      </c>
      <c r="P4175" s="63">
        <f ca="1" t="shared" si="213"/>
        <v>17</v>
      </c>
      <c r="Q4175" s="30" t="str">
        <f>VLOOKUP(B4175,辅助信息!E:M,9,FALSE)</f>
        <v>ZTWM-CDGS-XS-2024-0092-华西-萌海科创农业生态谷</v>
      </c>
      <c r="R4175" s="30" t="str">
        <f>_xlfn._xlws.FILTER(辅助信息!D:D,辅助信息!E:E=B4175)</f>
        <v>华西萌海-科创农业生态谷</v>
      </c>
    </row>
    <row r="4176" hidden="1" spans="2:18">
      <c r="B4176" s="156" t="s">
        <v>92</v>
      </c>
      <c r="C4176" s="71">
        <v>45939</v>
      </c>
      <c r="D4176" s="41" t="str">
        <f>VLOOKUP(B4176,辅助信息!E:K,7,FALSE)</f>
        <v>JWDDCD2025051800046</v>
      </c>
      <c r="E4176" s="41" t="str">
        <f>VLOOKUP(F4176,辅助信息!A:B,2,FALSE)</f>
        <v>螺纹钢</v>
      </c>
      <c r="F4176" s="41" t="s">
        <v>27</v>
      </c>
      <c r="G4176" s="37">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1" t="str">
        <f>VLOOKUP(B4176,辅助信息!E:I,3,FALSE)</f>
        <v>（华西萌海科创农业生态谷）成都市简阳市白金山水库</v>
      </c>
      <c r="J4176" s="41" t="str">
        <f>VLOOKUP(B4176,辅助信息!E:I,4,FALSE)</f>
        <v>石清国</v>
      </c>
      <c r="K4176" s="41">
        <f>VLOOKUP(J4176,辅助信息!H:I,2,FALSE)</f>
        <v>13458642015</v>
      </c>
      <c r="L4176" s="110" t="str">
        <f>VLOOKUP(B4176,辅助信息!E:J,6,FALSE)</f>
        <v>优先威钢,我方卸车,新老国标钢厂不加价可直发</v>
      </c>
      <c r="M4176" s="149">
        <v>45942</v>
      </c>
      <c r="O4176" s="63">
        <f ca="1" t="shared" si="212"/>
        <v>0</v>
      </c>
      <c r="P4176" s="63">
        <f ca="1" t="shared" si="213"/>
        <v>17</v>
      </c>
      <c r="Q4176" s="30" t="str">
        <f>VLOOKUP(B4176,辅助信息!E:M,9,FALSE)</f>
        <v>ZTWM-CDGS-XS-2024-0092-华西-萌海科创农业生态谷</v>
      </c>
      <c r="R4176" s="30" t="str">
        <f>_xlfn._xlws.FILTER(辅助信息!D:D,辅助信息!E:E=B4176)</f>
        <v>华西萌海-科创农业生态谷</v>
      </c>
    </row>
    <row r="4177" hidden="1" spans="2:18">
      <c r="B4177" s="156" t="s">
        <v>92</v>
      </c>
      <c r="C4177" s="71">
        <v>45939</v>
      </c>
      <c r="D4177" s="41" t="str">
        <f>VLOOKUP(B4177,辅助信息!E:K,7,FALSE)</f>
        <v>JWDDCD2025051800046</v>
      </c>
      <c r="E4177" s="41" t="str">
        <f>VLOOKUP(F4177,辅助信息!A:B,2,FALSE)</f>
        <v>螺纹钢</v>
      </c>
      <c r="F4177" s="41" t="s">
        <v>19</v>
      </c>
      <c r="G4177" s="37">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1" t="str">
        <f>VLOOKUP(B4177,辅助信息!E:I,3,FALSE)</f>
        <v>（华西萌海科创农业生态谷）成都市简阳市白金山水库</v>
      </c>
      <c r="J4177" s="41" t="str">
        <f>VLOOKUP(B4177,辅助信息!E:I,4,FALSE)</f>
        <v>石清国</v>
      </c>
      <c r="K4177" s="41">
        <f>VLOOKUP(J4177,辅助信息!H:I,2,FALSE)</f>
        <v>13458642015</v>
      </c>
      <c r="L4177" s="110" t="str">
        <f>VLOOKUP(B4177,辅助信息!E:J,6,FALSE)</f>
        <v>优先威钢,我方卸车,新老国标钢厂不加价可直发</v>
      </c>
      <c r="M4177" s="149">
        <v>45942</v>
      </c>
      <c r="O4177" s="63">
        <f ca="1" t="shared" si="212"/>
        <v>0</v>
      </c>
      <c r="P4177" s="63">
        <f ca="1" t="shared" si="213"/>
        <v>17</v>
      </c>
      <c r="Q4177" s="30" t="str">
        <f>VLOOKUP(B4177,辅助信息!E:M,9,FALSE)</f>
        <v>ZTWM-CDGS-XS-2024-0092-华西-萌海科创农业生态谷</v>
      </c>
      <c r="R4177" s="30" t="str">
        <f>_xlfn._xlws.FILTER(辅助信息!D:D,辅助信息!E:E=B4177)</f>
        <v>华西萌海-科创农业生态谷</v>
      </c>
    </row>
    <row r="4178" hidden="1" spans="2:18">
      <c r="B4178" s="156" t="s">
        <v>92</v>
      </c>
      <c r="C4178" s="71">
        <v>45939</v>
      </c>
      <c r="D4178" s="41" t="str">
        <f>VLOOKUP(B4178,辅助信息!E:K,7,FALSE)</f>
        <v>JWDDCD2025051800046</v>
      </c>
      <c r="E4178" s="41" t="str">
        <f>VLOOKUP(F4178,辅助信息!A:B,2,FALSE)</f>
        <v>螺纹钢</v>
      </c>
      <c r="F4178" s="41" t="s">
        <v>45</v>
      </c>
      <c r="G4178" s="37">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1" t="str">
        <f>VLOOKUP(B4178,辅助信息!E:I,3,FALSE)</f>
        <v>（华西萌海科创农业生态谷）成都市简阳市白金山水库</v>
      </c>
      <c r="J4178" s="41" t="str">
        <f>VLOOKUP(B4178,辅助信息!E:I,4,FALSE)</f>
        <v>石清国</v>
      </c>
      <c r="K4178" s="41">
        <f>VLOOKUP(J4178,辅助信息!H:I,2,FALSE)</f>
        <v>13458642015</v>
      </c>
      <c r="L4178" s="110" t="str">
        <f>VLOOKUP(B4178,辅助信息!E:J,6,FALSE)</f>
        <v>优先威钢,我方卸车,新老国标钢厂不加价可直发</v>
      </c>
      <c r="M4178" s="149">
        <v>45942</v>
      </c>
      <c r="O4178" s="63">
        <f ca="1" t="shared" si="212"/>
        <v>0</v>
      </c>
      <c r="P4178" s="63">
        <f ca="1" t="shared" si="213"/>
        <v>17</v>
      </c>
      <c r="Q4178" s="30" t="str">
        <f>VLOOKUP(B4178,辅助信息!E:M,9,FALSE)</f>
        <v>ZTWM-CDGS-XS-2024-0092-华西-萌海科创农业生态谷</v>
      </c>
      <c r="R4178" s="30" t="str">
        <f>_xlfn._xlws.FILTER(辅助信息!D:D,辅助信息!E:E=B4178)</f>
        <v>华西萌海-科创农业生态谷</v>
      </c>
    </row>
    <row r="4179" hidden="1" spans="2:18">
      <c r="B4179" s="156" t="s">
        <v>92</v>
      </c>
      <c r="C4179" s="71">
        <v>45939</v>
      </c>
      <c r="D4179" s="41" t="str">
        <f>VLOOKUP(B4179,辅助信息!E:K,7,FALSE)</f>
        <v>JWDDCD2025051800046</v>
      </c>
      <c r="E4179" s="41" t="str">
        <f>VLOOKUP(F4179,辅助信息!A:B,2,FALSE)</f>
        <v>螺纹钢</v>
      </c>
      <c r="F4179" s="41" t="s">
        <v>58</v>
      </c>
      <c r="G4179" s="37">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1" t="str">
        <f>VLOOKUP(B4179,辅助信息!E:I,3,FALSE)</f>
        <v>（华西萌海科创农业生态谷）成都市简阳市白金山水库</v>
      </c>
      <c r="J4179" s="41" t="str">
        <f>VLOOKUP(B4179,辅助信息!E:I,4,FALSE)</f>
        <v>石清国</v>
      </c>
      <c r="K4179" s="41">
        <f>VLOOKUP(J4179,辅助信息!H:I,2,FALSE)</f>
        <v>13458642015</v>
      </c>
      <c r="L4179" s="110" t="str">
        <f>VLOOKUP(B4179,辅助信息!E:J,6,FALSE)</f>
        <v>优先威钢,我方卸车,新老国标钢厂不加价可直发</v>
      </c>
      <c r="M4179" s="149">
        <v>45942</v>
      </c>
      <c r="O4179" s="63">
        <f ca="1" t="shared" si="212"/>
        <v>0</v>
      </c>
      <c r="P4179" s="63">
        <f ca="1" t="shared" si="213"/>
        <v>17</v>
      </c>
      <c r="Q4179" s="30" t="str">
        <f>VLOOKUP(B4179,辅助信息!E:M,9,FALSE)</f>
        <v>ZTWM-CDGS-XS-2024-0092-华西-萌海科创农业生态谷</v>
      </c>
      <c r="R4179" s="30" t="str">
        <f>_xlfn._xlws.FILTER(辅助信息!D:D,辅助信息!E:E=B4179)</f>
        <v>华西萌海-科创农业生态谷</v>
      </c>
    </row>
    <row r="4180" hidden="1" spans="2:18">
      <c r="B4180" s="156" t="s">
        <v>92</v>
      </c>
      <c r="C4180" s="71">
        <v>45939</v>
      </c>
      <c r="D4180" s="41" t="str">
        <f>VLOOKUP(B4180,辅助信息!E:K,7,FALSE)</f>
        <v>JWDDCD2025051800046</v>
      </c>
      <c r="E4180" s="41" t="str">
        <f>VLOOKUP(F4180,辅助信息!A:B,2,FALSE)</f>
        <v>螺纹钢</v>
      </c>
      <c r="F4180" s="41" t="s">
        <v>22</v>
      </c>
      <c r="G4180" s="37">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1" t="str">
        <f>VLOOKUP(B4180,辅助信息!E:I,3,FALSE)</f>
        <v>（华西萌海科创农业生态谷）成都市简阳市白金山水库</v>
      </c>
      <c r="J4180" s="41" t="str">
        <f>VLOOKUP(B4180,辅助信息!E:I,4,FALSE)</f>
        <v>石清国</v>
      </c>
      <c r="K4180" s="41">
        <f>VLOOKUP(J4180,辅助信息!H:I,2,FALSE)</f>
        <v>13458642015</v>
      </c>
      <c r="L4180" s="110" t="str">
        <f>VLOOKUP(B4180,辅助信息!E:J,6,FALSE)</f>
        <v>优先威钢,我方卸车,新老国标钢厂不加价可直发</v>
      </c>
      <c r="M4180" s="149">
        <v>45942</v>
      </c>
      <c r="O4180" s="63">
        <f ca="1" t="shared" si="212"/>
        <v>0</v>
      </c>
      <c r="P4180" s="63">
        <f ca="1" t="shared" si="213"/>
        <v>17</v>
      </c>
      <c r="Q4180" s="30" t="str">
        <f>VLOOKUP(B4180,辅助信息!E:M,9,FALSE)</f>
        <v>ZTWM-CDGS-XS-2024-0092-华西-萌海科创农业生态谷</v>
      </c>
      <c r="R4180" s="30" t="str">
        <f>_xlfn._xlws.FILTER(辅助信息!D:D,辅助信息!E:E=B4180)</f>
        <v>华西萌海-科创农业生态谷</v>
      </c>
    </row>
    <row r="4181" hidden="1" spans="2:18">
      <c r="B4181" s="156" t="s">
        <v>47</v>
      </c>
      <c r="C4181" s="71">
        <v>45939</v>
      </c>
      <c r="D4181" s="41" t="str">
        <f>VLOOKUP(B4181,辅助信息!E:K,7,FALSE)</f>
        <v>JWDDCD2025052800131</v>
      </c>
      <c r="E4181" s="41" t="str">
        <f>VLOOKUP(F4181,辅助信息!A:B,2,FALSE)</f>
        <v>盘螺</v>
      </c>
      <c r="F4181" s="41" t="s">
        <v>49</v>
      </c>
      <c r="G4181" s="37">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1" t="str">
        <f>VLOOKUP(B4181,辅助信息!E:I,3,FALSE)</f>
        <v>（商投建工达州中医药科技园-1工区）达州市通川区达州中医药职业学院犀牛大道北段</v>
      </c>
      <c r="J4181" s="41" t="str">
        <f>VLOOKUP(B4181,辅助信息!E:I,4,FALSE)</f>
        <v>程黄刚</v>
      </c>
      <c r="K4181" s="41">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18</v>
      </c>
      <c r="Q4181" s="30" t="str">
        <f>VLOOKUP(B4181,辅助信息!E:M,9,FALSE)</f>
        <v>ZTWM-CDGS-XS-2024-0134-商投建工达州中医药科技成果示范园项目</v>
      </c>
      <c r="R4181" s="30" t="str">
        <f>_xlfn._xlws.FILTER(辅助信息!D:D,辅助信息!E:E=B4181)</f>
        <v>商投建工达州中医药科技园</v>
      </c>
    </row>
    <row r="4182" hidden="1" spans="2:18">
      <c r="B4182" s="156" t="s">
        <v>47</v>
      </c>
      <c r="C4182" s="71">
        <v>45939</v>
      </c>
      <c r="D4182" s="41" t="str">
        <f>VLOOKUP(B4182,辅助信息!E:K,7,FALSE)</f>
        <v>JWDDCD2025052800131</v>
      </c>
      <c r="E4182" s="41" t="str">
        <f>VLOOKUP(F4182,辅助信息!A:B,2,FALSE)</f>
        <v>盘螺</v>
      </c>
      <c r="F4182" s="41" t="s">
        <v>40</v>
      </c>
      <c r="G4182" s="37">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1" t="str">
        <f>VLOOKUP(B4182,辅助信息!E:I,3,FALSE)</f>
        <v>（商投建工达州中医药科技园-1工区）达州市通川区达州中医药职业学院犀牛大道北段</v>
      </c>
      <c r="J4182" s="41" t="str">
        <f>VLOOKUP(B4182,辅助信息!E:I,4,FALSE)</f>
        <v>程黄刚</v>
      </c>
      <c r="K4182" s="41">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18</v>
      </c>
      <c r="Q4182" s="30" t="str">
        <f>VLOOKUP(B4182,辅助信息!E:M,9,FALSE)</f>
        <v>ZTWM-CDGS-XS-2024-0134-商投建工达州中医药科技成果示范园项目</v>
      </c>
      <c r="R4182" s="30" t="str">
        <f>_xlfn._xlws.FILTER(辅助信息!D:D,辅助信息!E:E=B4182)</f>
        <v>商投建工达州中医药科技园</v>
      </c>
    </row>
    <row r="4183" hidden="1" spans="2:18">
      <c r="B4183" s="156" t="s">
        <v>47</v>
      </c>
      <c r="C4183" s="71">
        <v>45939</v>
      </c>
      <c r="D4183" s="41" t="str">
        <f>VLOOKUP(B4183,辅助信息!E:K,7,FALSE)</f>
        <v>JWDDCD2025052800131</v>
      </c>
      <c r="E4183" s="41" t="str">
        <f>VLOOKUP(F4183,辅助信息!A:B,2,FALSE)</f>
        <v>螺纹钢</v>
      </c>
      <c r="F4183" s="41" t="s">
        <v>27</v>
      </c>
      <c r="G4183" s="37">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1" t="str">
        <f>VLOOKUP(B4183,辅助信息!E:I,3,FALSE)</f>
        <v>（商投建工达州中医药科技园-1工区）达州市通川区达州中医药职业学院犀牛大道北段</v>
      </c>
      <c r="J4183" s="41" t="str">
        <f>VLOOKUP(B4183,辅助信息!E:I,4,FALSE)</f>
        <v>程黄刚</v>
      </c>
      <c r="K4183" s="41">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18</v>
      </c>
      <c r="Q4183" s="30" t="str">
        <f>VLOOKUP(B4183,辅助信息!E:M,9,FALSE)</f>
        <v>ZTWM-CDGS-XS-2024-0134-商投建工达州中医药科技成果示范园项目</v>
      </c>
      <c r="R4183" s="30" t="str">
        <f>_xlfn._xlws.FILTER(辅助信息!D:D,辅助信息!E:E=B4183)</f>
        <v>商投建工达州中医药科技园</v>
      </c>
    </row>
    <row r="4184" hidden="1" spans="2:18">
      <c r="B4184" s="156" t="s">
        <v>47</v>
      </c>
      <c r="C4184" s="71">
        <v>45939</v>
      </c>
      <c r="D4184" s="41" t="str">
        <f>VLOOKUP(B4184,辅助信息!E:K,7,FALSE)</f>
        <v>JWDDCD2025052800131</v>
      </c>
      <c r="E4184" s="41" t="str">
        <f>VLOOKUP(F4184,辅助信息!A:B,2,FALSE)</f>
        <v>螺纹钢</v>
      </c>
      <c r="F4184" s="41" t="s">
        <v>32</v>
      </c>
      <c r="G4184" s="37">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1" t="str">
        <f>VLOOKUP(B4184,辅助信息!E:I,3,FALSE)</f>
        <v>（商投建工达州中医药科技园-1工区）达州市通川区达州中医药职业学院犀牛大道北段</v>
      </c>
      <c r="J4184" s="41" t="str">
        <f>VLOOKUP(B4184,辅助信息!E:I,4,FALSE)</f>
        <v>程黄刚</v>
      </c>
      <c r="K4184" s="41">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18</v>
      </c>
      <c r="Q4184" s="30" t="str">
        <f>VLOOKUP(B4184,辅助信息!E:M,9,FALSE)</f>
        <v>ZTWM-CDGS-XS-2024-0134-商投建工达州中医药科技成果示范园项目</v>
      </c>
      <c r="R4184" s="30" t="str">
        <f>_xlfn._xlws.FILTER(辅助信息!D:D,辅助信息!E:E=B4184)</f>
        <v>商投建工达州中医药科技园</v>
      </c>
    </row>
    <row r="4185" hidden="1" spans="2:18">
      <c r="B4185" s="156" t="s">
        <v>47</v>
      </c>
      <c r="C4185" s="71">
        <v>45939</v>
      </c>
      <c r="D4185" s="41" t="str">
        <f>VLOOKUP(B4185,辅助信息!E:K,7,FALSE)</f>
        <v>JWDDCD2025052800131</v>
      </c>
      <c r="E4185" s="41" t="str">
        <f>VLOOKUP(F4185,辅助信息!A:B,2,FALSE)</f>
        <v>螺纹钢</v>
      </c>
      <c r="F4185" s="41" t="s">
        <v>33</v>
      </c>
      <c r="G4185" s="37">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1" t="str">
        <f>VLOOKUP(B4185,辅助信息!E:I,3,FALSE)</f>
        <v>（商投建工达州中医药科技园-1工区）达州市通川区达州中医药职业学院犀牛大道北段</v>
      </c>
      <c r="J4185" s="41" t="str">
        <f>VLOOKUP(B4185,辅助信息!E:I,4,FALSE)</f>
        <v>程黄刚</v>
      </c>
      <c r="K4185" s="41">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18</v>
      </c>
      <c r="Q4185" s="30" t="str">
        <f>VLOOKUP(B4185,辅助信息!E:M,9,FALSE)</f>
        <v>ZTWM-CDGS-XS-2024-0134-商投建工达州中医药科技成果示范园项目</v>
      </c>
      <c r="R4185" s="30" t="str">
        <f>_xlfn._xlws.FILTER(辅助信息!D:D,辅助信息!E:E=B4185)</f>
        <v>商投建工达州中医药科技园</v>
      </c>
    </row>
    <row r="4186" hidden="1" spans="2:18">
      <c r="B4186" s="156" t="s">
        <v>228</v>
      </c>
      <c r="C4186" s="71">
        <v>45939</v>
      </c>
      <c r="D4186" s="41" t="str">
        <f>VLOOKUP(B4186,辅助信息!E:K,7,FALSE)</f>
        <v>JWDDCD2025092400190</v>
      </c>
      <c r="E4186" s="41" t="str">
        <f>VLOOKUP(F4186,辅助信息!A:B,2,FALSE)</f>
        <v>螺纹钢</v>
      </c>
      <c r="F4186" s="41" t="s">
        <v>27</v>
      </c>
      <c r="G4186" s="37">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1" t="str">
        <f>VLOOKUP(B4186,辅助信息!E:I,3,FALSE)</f>
        <v>(五冶钢构龙泉东洪片区70亩住宅、商业及配套工程项目二标段)成都市龙泉驿外东洪路地铁2号线惠王陵地铁C口</v>
      </c>
      <c r="J4186" s="41" t="str">
        <f>VLOOKUP(B4186,辅助信息!E:I,4,FALSE)</f>
        <v>蒋嗣伟</v>
      </c>
      <c r="K4186" s="41">
        <f>VLOOKUP(J4186,辅助信息!H:I,2,FALSE)</f>
        <v>15014331252</v>
      </c>
      <c r="L4186" s="110">
        <f>VLOOKUP(B4186,辅助信息!E:J,6,FALSE)</f>
        <v>0</v>
      </c>
      <c r="M4186" s="92">
        <v>45941</v>
      </c>
      <c r="O4186" s="63">
        <f ca="1" t="shared" si="212"/>
        <v>0</v>
      </c>
      <c r="P4186" s="63">
        <f ca="1" t="shared" si="213"/>
        <v>18</v>
      </c>
      <c r="Q4186" s="30" t="str">
        <f>VLOOKUP(B4186,辅助信息!E:M,9,FALSE)</f>
        <v>ZTWM-CDGS-XS-2025-0156-五冶钢构-2025年九月第一批次钢筋采购合同(三圣乡项目)-中铁物贸成都公司</v>
      </c>
      <c r="R4186" s="30" t="str">
        <f>_xlfn._xlws.FILTER(辅助信息!D:D,辅助信息!E:E=B4186)</f>
        <v>五冶钢构龙泉东洪片区(70亩、85亩)住宅、商业及配套工程项目</v>
      </c>
    </row>
    <row r="4187" hidden="1" spans="2:18">
      <c r="B4187" s="136" t="s">
        <v>228</v>
      </c>
      <c r="C4187" s="71">
        <v>45939</v>
      </c>
      <c r="D4187" s="41" t="str">
        <f>VLOOKUP(B4187,辅助信息!E:K,7,FALSE)</f>
        <v>JWDDCD2025092400190</v>
      </c>
      <c r="E4187" s="41" t="str">
        <f>VLOOKUP(F4187,辅助信息!A:B,2,FALSE)</f>
        <v>螺纹钢</v>
      </c>
      <c r="F4187" s="41" t="s">
        <v>32</v>
      </c>
      <c r="G4187" s="37">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1" t="str">
        <f>VLOOKUP(B4187,辅助信息!E:I,3,FALSE)</f>
        <v>(五冶钢构龙泉东洪片区70亩住宅、商业及配套工程项目二标段)成都市龙泉驿外东洪路地铁2号线惠王陵地铁C口</v>
      </c>
      <c r="J4187" s="41" t="str">
        <f>VLOOKUP(B4187,辅助信息!E:I,4,FALSE)</f>
        <v>蒋嗣伟</v>
      </c>
      <c r="K4187" s="41">
        <f>VLOOKUP(J4187,辅助信息!H:I,2,FALSE)</f>
        <v>15014331252</v>
      </c>
      <c r="L4187" s="110">
        <f>VLOOKUP(B4187,辅助信息!E:J,6,FALSE)</f>
        <v>0</v>
      </c>
      <c r="M4187" s="92">
        <v>45941</v>
      </c>
      <c r="O4187" s="63">
        <f ca="1" t="shared" si="212"/>
        <v>0</v>
      </c>
      <c r="P4187" s="63">
        <f ca="1" t="shared" si="213"/>
        <v>18</v>
      </c>
      <c r="Q4187" s="30" t="str">
        <f>VLOOKUP(B4187,辅助信息!E:M,9,FALSE)</f>
        <v>ZTWM-CDGS-XS-2025-0156-五冶钢构-2025年九月第一批次钢筋采购合同(三圣乡项目)-中铁物贸成都公司</v>
      </c>
      <c r="R4187" s="30" t="str">
        <f>_xlfn._xlws.FILTER(辅助信息!D:D,辅助信息!E:E=B4187)</f>
        <v>五冶钢构龙泉东洪片区(70亩、85亩)住宅、商业及配套工程项目</v>
      </c>
    </row>
    <row r="4188" hidden="1" spans="2:18">
      <c r="B4188" s="136" t="s">
        <v>228</v>
      </c>
      <c r="C4188" s="71">
        <v>45939</v>
      </c>
      <c r="D4188" s="41" t="str">
        <f>VLOOKUP(B4188,辅助信息!E:K,7,FALSE)</f>
        <v>JWDDCD2025092400190</v>
      </c>
      <c r="E4188" s="41" t="str">
        <f>VLOOKUP(F4188,辅助信息!A:B,2,FALSE)</f>
        <v>螺纹钢</v>
      </c>
      <c r="F4188" s="41" t="s">
        <v>30</v>
      </c>
      <c r="G4188" s="37">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1" t="str">
        <f>VLOOKUP(B4188,辅助信息!E:I,3,FALSE)</f>
        <v>(五冶钢构龙泉东洪片区70亩住宅、商业及配套工程项目二标段)成都市龙泉驿外东洪路地铁2号线惠王陵地铁C口</v>
      </c>
      <c r="J4188" s="41" t="str">
        <f>VLOOKUP(B4188,辅助信息!E:I,4,FALSE)</f>
        <v>蒋嗣伟</v>
      </c>
      <c r="K4188" s="41">
        <f>VLOOKUP(J4188,辅助信息!H:I,2,FALSE)</f>
        <v>15014331252</v>
      </c>
      <c r="L4188" s="110">
        <f>VLOOKUP(B4188,辅助信息!E:J,6,FALSE)</f>
        <v>0</v>
      </c>
      <c r="M4188" s="92">
        <v>45941</v>
      </c>
      <c r="O4188" s="63">
        <f ca="1" t="shared" si="212"/>
        <v>0</v>
      </c>
      <c r="P4188" s="63">
        <f ca="1" t="shared" si="213"/>
        <v>18</v>
      </c>
      <c r="Q4188" s="30" t="str">
        <f>VLOOKUP(B4188,辅助信息!E:M,9,FALSE)</f>
        <v>ZTWM-CDGS-XS-2025-0156-五冶钢构-2025年九月第一批次钢筋采购合同(三圣乡项目)-中铁物贸成都公司</v>
      </c>
      <c r="R4188" s="30" t="str">
        <f>_xlfn._xlws.FILTER(辅助信息!D:D,辅助信息!E:E=B4188)</f>
        <v>五冶钢构龙泉东洪片区(70亩、85亩)住宅、商业及配套工程项目</v>
      </c>
    </row>
    <row r="4189" hidden="1" spans="2:18">
      <c r="B4189" s="136" t="s">
        <v>228</v>
      </c>
      <c r="C4189" s="71">
        <v>45939</v>
      </c>
      <c r="D4189" s="41" t="str">
        <f>VLOOKUP(B4189,辅助信息!E:K,7,FALSE)</f>
        <v>JWDDCD2025092400190</v>
      </c>
      <c r="E4189" s="41" t="str">
        <f>VLOOKUP(F4189,辅助信息!A:B,2,FALSE)</f>
        <v>螺纹钢</v>
      </c>
      <c r="F4189" s="41" t="s">
        <v>28</v>
      </c>
      <c r="G4189" s="37">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1" t="str">
        <f>VLOOKUP(B4189,辅助信息!E:I,3,FALSE)</f>
        <v>(五冶钢构龙泉东洪片区70亩住宅、商业及配套工程项目二标段)成都市龙泉驿外东洪路地铁2号线惠王陵地铁C口</v>
      </c>
      <c r="J4189" s="41" t="str">
        <f>VLOOKUP(B4189,辅助信息!E:I,4,FALSE)</f>
        <v>蒋嗣伟</v>
      </c>
      <c r="K4189" s="41">
        <f>VLOOKUP(J4189,辅助信息!H:I,2,FALSE)</f>
        <v>15014331252</v>
      </c>
      <c r="L4189" s="110">
        <f>VLOOKUP(B4189,辅助信息!E:J,6,FALSE)</f>
        <v>0</v>
      </c>
      <c r="M4189" s="92">
        <v>45941</v>
      </c>
      <c r="O4189" s="63">
        <f ca="1" t="shared" si="212"/>
        <v>0</v>
      </c>
      <c r="P4189" s="63">
        <f ca="1" t="shared" si="213"/>
        <v>18</v>
      </c>
      <c r="Q4189" s="30" t="str">
        <f>VLOOKUP(B4189,辅助信息!E:M,9,FALSE)</f>
        <v>ZTWM-CDGS-XS-2025-0156-五冶钢构-2025年九月第一批次钢筋采购合同(三圣乡项目)-中铁物贸成都公司</v>
      </c>
      <c r="R4189" s="30" t="str">
        <f>_xlfn._xlws.FILTER(辅助信息!D:D,辅助信息!E:E=B4189)</f>
        <v>五冶钢构龙泉东洪片区(70亩、85亩)住宅、商业及配套工程项目</v>
      </c>
    </row>
    <row r="4190" hidden="1" spans="2:18">
      <c r="B4190" s="136" t="s">
        <v>228</v>
      </c>
      <c r="C4190" s="71">
        <v>45939</v>
      </c>
      <c r="D4190" s="41" t="str">
        <f>VLOOKUP(B4190,辅助信息!E:K,7,FALSE)</f>
        <v>JWDDCD2025092400190</v>
      </c>
      <c r="E4190" s="41" t="str">
        <f>VLOOKUP(F4190,辅助信息!A:B,2,FALSE)</f>
        <v>螺纹钢</v>
      </c>
      <c r="F4190" s="41" t="s">
        <v>46</v>
      </c>
      <c r="G4190" s="37">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1" t="str">
        <f>VLOOKUP(B4190,辅助信息!E:I,3,FALSE)</f>
        <v>(五冶钢构龙泉东洪片区70亩住宅、商业及配套工程项目二标段)成都市龙泉驿外东洪路地铁2号线惠王陵地铁C口</v>
      </c>
      <c r="J4190" s="41" t="str">
        <f>VLOOKUP(B4190,辅助信息!E:I,4,FALSE)</f>
        <v>蒋嗣伟</v>
      </c>
      <c r="K4190" s="41">
        <f>VLOOKUP(J4190,辅助信息!H:I,2,FALSE)</f>
        <v>15014331252</v>
      </c>
      <c r="L4190" s="110">
        <f>VLOOKUP(B4190,辅助信息!E:J,6,FALSE)</f>
        <v>0</v>
      </c>
      <c r="M4190" s="92">
        <v>45941</v>
      </c>
      <c r="O4190" s="63">
        <f ca="1" t="shared" si="212"/>
        <v>0</v>
      </c>
      <c r="P4190" s="63">
        <f ca="1" t="shared" si="213"/>
        <v>18</v>
      </c>
      <c r="Q4190" s="30" t="str">
        <f>VLOOKUP(B4190,辅助信息!E:M,9,FALSE)</f>
        <v>ZTWM-CDGS-XS-2025-0156-五冶钢构-2025年九月第一批次钢筋采购合同(三圣乡项目)-中铁物贸成都公司</v>
      </c>
      <c r="R4190" s="30" t="str">
        <f>_xlfn._xlws.FILTER(辅助信息!D:D,辅助信息!E:E=B4190)</f>
        <v>五冶钢构龙泉东洪片区(70亩、85亩)住宅、商业及配套工程项目</v>
      </c>
    </row>
    <row r="4191" hidden="1" spans="2:18">
      <c r="B4191" s="136" t="s">
        <v>224</v>
      </c>
      <c r="C4191" s="71">
        <v>45939</v>
      </c>
      <c r="D4191" s="41" t="str">
        <f>VLOOKUP(B4191,辅助信息!E:K,7,FALSE)</f>
        <v>JWDDCD2025092400188</v>
      </c>
      <c r="E4191" s="41" t="str">
        <f>VLOOKUP(F4191,辅助信息!A:B,2,FALSE)</f>
        <v>盘螺</v>
      </c>
      <c r="F4191" s="41" t="s">
        <v>40</v>
      </c>
      <c r="G4191" s="37">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1" t="str">
        <f>VLOOKUP(B4191,辅助信息!E:I,3,FALSE)</f>
        <v>(五冶钢构龙泉东洪片区70亩住宅、商业及配套工程项目一标段)成都市龙泉驿外东洪路地铁2号线惠王陵地铁C口</v>
      </c>
      <c r="J4191" s="41" t="str">
        <f>VLOOKUP(B4191,辅助信息!E:I,4,FALSE)</f>
        <v>邹爱国</v>
      </c>
      <c r="K4191" s="41">
        <f>VLOOKUP(J4191,辅助信息!H:I,2,FALSE)</f>
        <v>13540231225</v>
      </c>
      <c r="L4191" s="110">
        <f>VLOOKUP(B4191,辅助信息!E:J,6,FALSE)</f>
        <v>0</v>
      </c>
      <c r="M4191" s="92">
        <v>45941</v>
      </c>
      <c r="O4191" s="63">
        <f ca="1" t="shared" si="212"/>
        <v>0</v>
      </c>
      <c r="P4191" s="63">
        <f ca="1" t="shared" si="213"/>
        <v>18</v>
      </c>
      <c r="Q4191" s="30" t="str">
        <f>VLOOKUP(B4191,辅助信息!E:M,9,FALSE)</f>
        <v>ZTWM-CDGS-XS-2025-0156-五冶钢构-2025年九月第一批次钢筋采购合同(三圣乡项目)-中铁物贸成都公司</v>
      </c>
      <c r="R4191" s="30" t="str">
        <f>_xlfn._xlws.FILTER(辅助信息!D:D,辅助信息!E:E=B4191)</f>
        <v>五冶钢构龙泉东洪片区(70亩、85亩)住宅、商业及配套工程项目</v>
      </c>
    </row>
    <row r="4192" hidden="1" spans="2:18">
      <c r="B4192" s="136" t="s">
        <v>224</v>
      </c>
      <c r="C4192" s="71">
        <v>45939</v>
      </c>
      <c r="D4192" s="41" t="str">
        <f>VLOOKUP(B4192,辅助信息!E:K,7,FALSE)</f>
        <v>JWDDCD2025092400188</v>
      </c>
      <c r="E4192" s="41" t="str">
        <f>VLOOKUP(F4192,辅助信息!A:B,2,FALSE)</f>
        <v>盘螺</v>
      </c>
      <c r="F4192" s="41" t="s">
        <v>41</v>
      </c>
      <c r="G4192" s="37">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1" t="str">
        <f>VLOOKUP(B4192,辅助信息!E:I,3,FALSE)</f>
        <v>(五冶钢构龙泉东洪片区70亩住宅、商业及配套工程项目一标段)成都市龙泉驿外东洪路地铁2号线惠王陵地铁C口</v>
      </c>
      <c r="J4192" s="41" t="str">
        <f>VLOOKUP(B4192,辅助信息!E:I,4,FALSE)</f>
        <v>邹爱国</v>
      </c>
      <c r="K4192" s="41">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18</v>
      </c>
      <c r="Q4192" s="30" t="str">
        <f>VLOOKUP(B4192,辅助信息!E:M,9,FALSE)</f>
        <v>ZTWM-CDGS-XS-2025-0156-五冶钢构-2025年九月第一批次钢筋采购合同(三圣乡项目)-中铁物贸成都公司</v>
      </c>
      <c r="R4192" s="30" t="str">
        <f>_xlfn._xlws.FILTER(辅助信息!D:D,辅助信息!E:E=B4192)</f>
        <v>五冶钢构龙泉东洪片区(70亩、85亩)住宅、商业及配套工程项目</v>
      </c>
    </row>
    <row r="4193" hidden="1" spans="2:18">
      <c r="B4193" s="136" t="s">
        <v>224</v>
      </c>
      <c r="C4193" s="71">
        <v>45939</v>
      </c>
      <c r="D4193" s="41" t="str">
        <f>VLOOKUP(B4193,辅助信息!E:K,7,FALSE)</f>
        <v>JWDDCD2025092400188</v>
      </c>
      <c r="E4193" s="41" t="str">
        <f>VLOOKUP(F4193,辅助信息!A:B,2,FALSE)</f>
        <v>螺纹钢</v>
      </c>
      <c r="F4193" s="41" t="s">
        <v>27</v>
      </c>
      <c r="G4193" s="37">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1" t="str">
        <f>VLOOKUP(B4193,辅助信息!E:I,3,FALSE)</f>
        <v>(五冶钢构龙泉东洪片区70亩住宅、商业及配套工程项目一标段)成都市龙泉驿外东洪路地铁2号线惠王陵地铁C口</v>
      </c>
      <c r="J4193" s="41" t="str">
        <f>VLOOKUP(B4193,辅助信息!E:I,4,FALSE)</f>
        <v>邹爱国</v>
      </c>
      <c r="K4193" s="41">
        <f>VLOOKUP(J4193,辅助信息!H:I,2,FALSE)</f>
        <v>13540231225</v>
      </c>
      <c r="L4193" s="110">
        <f>VLOOKUP(B4193,辅助信息!E:J,6,FALSE)</f>
        <v>0</v>
      </c>
      <c r="M4193" s="92">
        <v>45941</v>
      </c>
      <c r="O4193" s="63">
        <f ca="1" t="shared" si="214"/>
        <v>0</v>
      </c>
      <c r="P4193" s="63">
        <f ca="1" t="shared" si="215"/>
        <v>18</v>
      </c>
      <c r="Q4193" s="30" t="str">
        <f>VLOOKUP(B4193,辅助信息!E:M,9,FALSE)</f>
        <v>ZTWM-CDGS-XS-2025-0156-五冶钢构-2025年九月第一批次钢筋采购合同(三圣乡项目)-中铁物贸成都公司</v>
      </c>
      <c r="R4193" s="30" t="str">
        <f>_xlfn._xlws.FILTER(辅助信息!D:D,辅助信息!E:E=B4193)</f>
        <v>五冶钢构龙泉东洪片区(70亩、85亩)住宅、商业及配套工程项目</v>
      </c>
    </row>
    <row r="4194" hidden="1" spans="2:18">
      <c r="B4194" s="136" t="s">
        <v>224</v>
      </c>
      <c r="C4194" s="71">
        <v>45939</v>
      </c>
      <c r="D4194" s="41" t="str">
        <f>VLOOKUP(B4194,辅助信息!E:K,7,FALSE)</f>
        <v>JWDDCD2025092400188</v>
      </c>
      <c r="E4194" s="41" t="str">
        <f>VLOOKUP(F4194,辅助信息!A:B,2,FALSE)</f>
        <v>螺纹钢</v>
      </c>
      <c r="F4194" s="41" t="s">
        <v>19</v>
      </c>
      <c r="G4194" s="37">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1" t="str">
        <f>VLOOKUP(B4194,辅助信息!E:I,3,FALSE)</f>
        <v>(五冶钢构龙泉东洪片区70亩住宅、商业及配套工程项目一标段)成都市龙泉驿外东洪路地铁2号线惠王陵地铁C口</v>
      </c>
      <c r="J4194" s="41" t="str">
        <f>VLOOKUP(B4194,辅助信息!E:I,4,FALSE)</f>
        <v>邹爱国</v>
      </c>
      <c r="K4194" s="41">
        <f>VLOOKUP(J4194,辅助信息!H:I,2,FALSE)</f>
        <v>13540231225</v>
      </c>
      <c r="L4194" s="110">
        <f>VLOOKUP(B4194,辅助信息!E:J,6,FALSE)</f>
        <v>0</v>
      </c>
      <c r="M4194" s="92">
        <v>45941</v>
      </c>
      <c r="O4194" s="63">
        <f ca="1" t="shared" si="214"/>
        <v>0</v>
      </c>
      <c r="P4194" s="63">
        <f ca="1" t="shared" si="215"/>
        <v>18</v>
      </c>
      <c r="Q4194" s="30" t="str">
        <f>VLOOKUP(B4194,辅助信息!E:M,9,FALSE)</f>
        <v>ZTWM-CDGS-XS-2025-0156-五冶钢构-2025年九月第一批次钢筋采购合同(三圣乡项目)-中铁物贸成都公司</v>
      </c>
      <c r="R4194" s="30" t="str">
        <f>_xlfn._xlws.FILTER(辅助信息!D:D,辅助信息!E:E=B4194)</f>
        <v>五冶钢构龙泉东洪片区(70亩、85亩)住宅、商业及配套工程项目</v>
      </c>
    </row>
    <row r="4195" hidden="1" spans="2:18">
      <c r="B4195" s="136" t="s">
        <v>224</v>
      </c>
      <c r="C4195" s="71">
        <v>45939</v>
      </c>
      <c r="D4195" s="41" t="str">
        <f>VLOOKUP(B4195,辅助信息!E:K,7,FALSE)</f>
        <v>JWDDCD2025092400188</v>
      </c>
      <c r="E4195" s="41" t="str">
        <f>VLOOKUP(F4195,辅助信息!A:B,2,FALSE)</f>
        <v>螺纹钢</v>
      </c>
      <c r="F4195" s="41" t="s">
        <v>32</v>
      </c>
      <c r="G4195" s="37">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1" t="str">
        <f>VLOOKUP(B4195,辅助信息!E:I,3,FALSE)</f>
        <v>(五冶钢构龙泉东洪片区70亩住宅、商业及配套工程项目一标段)成都市龙泉驿外东洪路地铁2号线惠王陵地铁C口</v>
      </c>
      <c r="J4195" s="41" t="str">
        <f>VLOOKUP(B4195,辅助信息!E:I,4,FALSE)</f>
        <v>邹爱国</v>
      </c>
      <c r="K4195" s="41">
        <f>VLOOKUP(J4195,辅助信息!H:I,2,FALSE)</f>
        <v>13540231225</v>
      </c>
      <c r="L4195" s="110">
        <f>VLOOKUP(B4195,辅助信息!E:J,6,FALSE)</f>
        <v>0</v>
      </c>
      <c r="M4195" s="92">
        <v>45941</v>
      </c>
      <c r="O4195" s="63">
        <f ca="1" t="shared" si="214"/>
        <v>0</v>
      </c>
      <c r="P4195" s="63">
        <f ca="1" t="shared" si="215"/>
        <v>18</v>
      </c>
      <c r="Q4195" s="30" t="str">
        <f>VLOOKUP(B4195,辅助信息!E:M,9,FALSE)</f>
        <v>ZTWM-CDGS-XS-2025-0156-五冶钢构-2025年九月第一批次钢筋采购合同(三圣乡项目)-中铁物贸成都公司</v>
      </c>
      <c r="R4195" s="30" t="str">
        <f>_xlfn._xlws.FILTER(辅助信息!D:D,辅助信息!E:E=B4195)</f>
        <v>五冶钢构龙泉东洪片区(70亩、85亩)住宅、商业及配套工程项目</v>
      </c>
    </row>
    <row r="4196" hidden="1" spans="2:18">
      <c r="B4196" s="136" t="s">
        <v>224</v>
      </c>
      <c r="C4196" s="71">
        <v>45939</v>
      </c>
      <c r="D4196" s="41" t="str">
        <f>VLOOKUP(B4196,辅助信息!E:K,7,FALSE)</f>
        <v>JWDDCD2025092400188</v>
      </c>
      <c r="E4196" s="41" t="str">
        <f>VLOOKUP(F4196,辅助信息!A:B,2,FALSE)</f>
        <v>螺纹钢</v>
      </c>
      <c r="F4196" s="41" t="s">
        <v>30</v>
      </c>
      <c r="G4196" s="37">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1" t="str">
        <f>VLOOKUP(B4196,辅助信息!E:I,3,FALSE)</f>
        <v>(五冶钢构龙泉东洪片区70亩住宅、商业及配套工程项目一标段)成都市龙泉驿外东洪路地铁2号线惠王陵地铁C口</v>
      </c>
      <c r="J4196" s="41" t="str">
        <f>VLOOKUP(B4196,辅助信息!E:I,4,FALSE)</f>
        <v>邹爱国</v>
      </c>
      <c r="K4196" s="41">
        <f>VLOOKUP(J4196,辅助信息!H:I,2,FALSE)</f>
        <v>13540231225</v>
      </c>
      <c r="L4196" s="110">
        <f>VLOOKUP(B4196,辅助信息!E:J,6,FALSE)</f>
        <v>0</v>
      </c>
      <c r="M4196" s="92">
        <v>45941</v>
      </c>
      <c r="O4196" s="63">
        <f ca="1" t="shared" si="214"/>
        <v>0</v>
      </c>
      <c r="P4196" s="63">
        <f ca="1" t="shared" si="215"/>
        <v>18</v>
      </c>
      <c r="Q4196" s="30" t="str">
        <f>VLOOKUP(B4196,辅助信息!E:M,9,FALSE)</f>
        <v>ZTWM-CDGS-XS-2025-0156-五冶钢构-2025年九月第一批次钢筋采购合同(三圣乡项目)-中铁物贸成都公司</v>
      </c>
      <c r="R4196" s="30" t="str">
        <f>_xlfn._xlws.FILTER(辅助信息!D:D,辅助信息!E:E=B4196)</f>
        <v>五冶钢构龙泉东洪片区(70亩、85亩)住宅、商业及配套工程项目</v>
      </c>
    </row>
    <row r="4197" hidden="1" spans="2:18">
      <c r="B4197" s="136" t="s">
        <v>224</v>
      </c>
      <c r="C4197" s="71">
        <v>45939</v>
      </c>
      <c r="D4197" s="41" t="str">
        <f>VLOOKUP(B4197,辅助信息!E:K,7,FALSE)</f>
        <v>JWDDCD2025092400188</v>
      </c>
      <c r="E4197" s="41" t="str">
        <f>VLOOKUP(F4197,辅助信息!A:B,2,FALSE)</f>
        <v>螺纹钢</v>
      </c>
      <c r="F4197" s="41" t="s">
        <v>33</v>
      </c>
      <c r="G4197" s="37">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1" t="str">
        <f>VLOOKUP(B4197,辅助信息!E:I,3,FALSE)</f>
        <v>(五冶钢构龙泉东洪片区70亩住宅、商业及配套工程项目一标段)成都市龙泉驿外东洪路地铁2号线惠王陵地铁C口</v>
      </c>
      <c r="J4197" s="41" t="str">
        <f>VLOOKUP(B4197,辅助信息!E:I,4,FALSE)</f>
        <v>邹爱国</v>
      </c>
      <c r="K4197" s="41">
        <f>VLOOKUP(J4197,辅助信息!H:I,2,FALSE)</f>
        <v>13540231225</v>
      </c>
      <c r="L4197" s="110">
        <f>VLOOKUP(B4197,辅助信息!E:J,6,FALSE)</f>
        <v>0</v>
      </c>
      <c r="M4197" s="92">
        <v>45941</v>
      </c>
      <c r="O4197" s="63">
        <f ca="1" t="shared" si="214"/>
        <v>0</v>
      </c>
      <c r="P4197" s="63">
        <f ca="1" t="shared" si="215"/>
        <v>18</v>
      </c>
      <c r="Q4197" s="30" t="str">
        <f>VLOOKUP(B4197,辅助信息!E:M,9,FALSE)</f>
        <v>ZTWM-CDGS-XS-2025-0156-五冶钢构-2025年九月第一批次钢筋采购合同(三圣乡项目)-中铁物贸成都公司</v>
      </c>
      <c r="R4197" s="30" t="str">
        <f>_xlfn._xlws.FILTER(辅助信息!D:D,辅助信息!E:E=B4197)</f>
        <v>五冶钢构龙泉东洪片区(70亩、85亩)住宅、商业及配套工程项目</v>
      </c>
    </row>
    <row r="4198" hidden="1" spans="2:18">
      <c r="B4198" s="136" t="s">
        <v>224</v>
      </c>
      <c r="C4198" s="71">
        <v>45939</v>
      </c>
      <c r="D4198" s="41" t="str">
        <f>VLOOKUP(B4198,辅助信息!E:K,7,FALSE)</f>
        <v>JWDDCD2025092400188</v>
      </c>
      <c r="E4198" s="41" t="str">
        <f>VLOOKUP(F4198,辅助信息!A:B,2,FALSE)</f>
        <v>螺纹钢</v>
      </c>
      <c r="F4198" s="41" t="s">
        <v>28</v>
      </c>
      <c r="G4198" s="37">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1" t="str">
        <f>VLOOKUP(B4198,辅助信息!E:I,3,FALSE)</f>
        <v>(五冶钢构龙泉东洪片区70亩住宅、商业及配套工程项目一标段)成都市龙泉驿外东洪路地铁2号线惠王陵地铁C口</v>
      </c>
      <c r="J4198" s="41" t="str">
        <f>VLOOKUP(B4198,辅助信息!E:I,4,FALSE)</f>
        <v>邹爱国</v>
      </c>
      <c r="K4198" s="41">
        <f>VLOOKUP(J4198,辅助信息!H:I,2,FALSE)</f>
        <v>13540231225</v>
      </c>
      <c r="L4198" s="110">
        <f>VLOOKUP(B4198,辅助信息!E:J,6,FALSE)</f>
        <v>0</v>
      </c>
      <c r="M4198" s="92">
        <v>45941</v>
      </c>
      <c r="O4198" s="63">
        <f ca="1" t="shared" si="214"/>
        <v>0</v>
      </c>
      <c r="P4198" s="63">
        <f ca="1" t="shared" si="215"/>
        <v>18</v>
      </c>
      <c r="Q4198" s="30" t="str">
        <f>VLOOKUP(B4198,辅助信息!E:M,9,FALSE)</f>
        <v>ZTWM-CDGS-XS-2025-0156-五冶钢构-2025年九月第一批次钢筋采购合同(三圣乡项目)-中铁物贸成都公司</v>
      </c>
      <c r="R4198" s="30" t="str">
        <f>_xlfn._xlws.FILTER(辅助信息!D:D,辅助信息!E:E=B4198)</f>
        <v>五冶钢构龙泉东洪片区(70亩、85亩)住宅、商业及配套工程项目</v>
      </c>
    </row>
    <row r="4199" hidden="1" spans="2:18">
      <c r="B4199" s="136" t="s">
        <v>224</v>
      </c>
      <c r="C4199" s="71">
        <v>45939</v>
      </c>
      <c r="D4199" s="41" t="str">
        <f>VLOOKUP(B4199,辅助信息!E:K,7,FALSE)</f>
        <v>JWDDCD2025092400188</v>
      </c>
      <c r="E4199" s="41" t="str">
        <f>VLOOKUP(F4199,辅助信息!A:B,2,FALSE)</f>
        <v>螺纹钢</v>
      </c>
      <c r="F4199" s="41" t="s">
        <v>18</v>
      </c>
      <c r="G4199" s="37">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1" t="str">
        <f>VLOOKUP(B4199,辅助信息!E:I,3,FALSE)</f>
        <v>(五冶钢构龙泉东洪片区70亩住宅、商业及配套工程项目一标段)成都市龙泉驿外东洪路地铁2号线惠王陵地铁C口</v>
      </c>
      <c r="J4199" s="41" t="str">
        <f>VLOOKUP(B4199,辅助信息!E:I,4,FALSE)</f>
        <v>邹爱国</v>
      </c>
      <c r="K4199" s="41">
        <f>VLOOKUP(J4199,辅助信息!H:I,2,FALSE)</f>
        <v>13540231225</v>
      </c>
      <c r="L4199" s="110">
        <f>VLOOKUP(B4199,辅助信息!E:J,6,FALSE)</f>
        <v>0</v>
      </c>
      <c r="M4199" s="92">
        <v>45941</v>
      </c>
      <c r="O4199" s="63">
        <f ca="1" t="shared" si="214"/>
        <v>0</v>
      </c>
      <c r="P4199" s="63">
        <f ca="1" t="shared" si="215"/>
        <v>18</v>
      </c>
      <c r="Q4199" s="30" t="str">
        <f>VLOOKUP(B4199,辅助信息!E:M,9,FALSE)</f>
        <v>ZTWM-CDGS-XS-2025-0156-五冶钢构-2025年九月第一批次钢筋采购合同(三圣乡项目)-中铁物贸成都公司</v>
      </c>
      <c r="R4199" s="30" t="str">
        <f>_xlfn._xlws.FILTER(辅助信息!D:D,辅助信息!E:E=B4199)</f>
        <v>五冶钢构龙泉东洪片区(70亩、85亩)住宅、商业及配套工程项目</v>
      </c>
    </row>
    <row r="4200" hidden="1" spans="2:18">
      <c r="B4200" s="136" t="s">
        <v>226</v>
      </c>
      <c r="C4200" s="71">
        <v>45939</v>
      </c>
      <c r="D4200" s="41" t="str">
        <f>VLOOKUP(B4200,辅助信息!E:K,7,FALSE)</f>
        <v>JWDDCD2025092400211</v>
      </c>
      <c r="E4200" s="41" t="str">
        <f>VLOOKUP(F4200,辅助信息!A:B,2,FALSE)</f>
        <v>盘螺</v>
      </c>
      <c r="F4200" s="41" t="s">
        <v>40</v>
      </c>
      <c r="G4200" s="37">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1" t="str">
        <f>VLOOKUP(B4200,辅助信息!E:I,3,FALSE)</f>
        <v>(五冶钢构龙泉东洪片区85亩住宅、商业及配套工程项目二标段)成都市龙泉驿外东洪路地铁2号线惠王陵地铁C口</v>
      </c>
      <c r="J4200" s="41" t="str">
        <f>VLOOKUP(B4200,辅助信息!E:I,4,FALSE)</f>
        <v>李渊</v>
      </c>
      <c r="K4200" s="41">
        <f>VLOOKUP(J4200,辅助信息!H:I,2,FALSE)</f>
        <v>18381013849</v>
      </c>
      <c r="L4200" s="110">
        <f>VLOOKUP(B4200,辅助信息!E:J,6,FALSE)</f>
        <v>0</v>
      </c>
      <c r="M4200" s="92">
        <v>45941</v>
      </c>
      <c r="O4200" s="63">
        <f ca="1" t="shared" si="214"/>
        <v>0</v>
      </c>
      <c r="P4200" s="63">
        <f ca="1" t="shared" si="215"/>
        <v>18</v>
      </c>
      <c r="Q4200" s="30" t="str">
        <f>VLOOKUP(B4200,辅助信息!E:M,9,FALSE)</f>
        <v>ZTWM-CDGS-XS-2025-0156-五冶钢构-2025年九月第一批次钢筋采购合同(三圣乡项目)-中铁物贸成都公司</v>
      </c>
      <c r="R4200" s="30" t="str">
        <f>_xlfn._xlws.FILTER(辅助信息!D:D,辅助信息!E:E=B4200)</f>
        <v>五冶钢构龙泉东洪片区(70亩、85亩)住宅、商业及配套工程项目</v>
      </c>
    </row>
    <row r="4201" hidden="1" spans="2:18">
      <c r="B4201" s="136" t="s">
        <v>226</v>
      </c>
      <c r="C4201" s="71">
        <v>45939</v>
      </c>
      <c r="D4201" s="41" t="str">
        <f>VLOOKUP(B4201,辅助信息!E:K,7,FALSE)</f>
        <v>JWDDCD2025092400211</v>
      </c>
      <c r="E4201" s="41" t="str">
        <f>VLOOKUP(F4201,辅助信息!A:B,2,FALSE)</f>
        <v>盘螺</v>
      </c>
      <c r="F4201" s="41" t="s">
        <v>41</v>
      </c>
      <c r="G4201" s="37">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1" t="str">
        <f>VLOOKUP(B4201,辅助信息!E:I,3,FALSE)</f>
        <v>(五冶钢构龙泉东洪片区85亩住宅、商业及配套工程项目二标段)成都市龙泉驿外东洪路地铁2号线惠王陵地铁C口</v>
      </c>
      <c r="J4201" s="41" t="str">
        <f>VLOOKUP(B4201,辅助信息!E:I,4,FALSE)</f>
        <v>李渊</v>
      </c>
      <c r="K4201" s="41">
        <f>VLOOKUP(J4201,辅助信息!H:I,2,FALSE)</f>
        <v>18381013849</v>
      </c>
      <c r="L4201" s="110">
        <f>VLOOKUP(B4201,辅助信息!E:J,6,FALSE)</f>
        <v>0</v>
      </c>
      <c r="M4201" s="92">
        <v>45941</v>
      </c>
      <c r="O4201" s="63">
        <f ca="1" t="shared" si="214"/>
        <v>0</v>
      </c>
      <c r="P4201" s="63">
        <f ca="1" t="shared" si="215"/>
        <v>18</v>
      </c>
      <c r="Q4201" s="30" t="str">
        <f>VLOOKUP(B4201,辅助信息!E:M,9,FALSE)</f>
        <v>ZTWM-CDGS-XS-2025-0156-五冶钢构-2025年九月第一批次钢筋采购合同(三圣乡项目)-中铁物贸成都公司</v>
      </c>
      <c r="R4201" s="30" t="str">
        <f>_xlfn._xlws.FILTER(辅助信息!D:D,辅助信息!E:E=B4201)</f>
        <v>五冶钢构龙泉东洪片区(70亩、85亩)住宅、商业及配套工程项目</v>
      </c>
    </row>
    <row r="4202" hidden="1" spans="2:18">
      <c r="B4202" s="136" t="s">
        <v>226</v>
      </c>
      <c r="C4202" s="71">
        <v>45939</v>
      </c>
      <c r="D4202" s="41" t="str">
        <f>VLOOKUP(B4202,辅助信息!E:K,7,FALSE)</f>
        <v>JWDDCD2025092400211</v>
      </c>
      <c r="E4202" s="41" t="str">
        <f>VLOOKUP(F4202,辅助信息!A:B,2,FALSE)</f>
        <v>盘螺</v>
      </c>
      <c r="F4202" s="41" t="s">
        <v>26</v>
      </c>
      <c r="G4202" s="37">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1" t="str">
        <f>VLOOKUP(B4202,辅助信息!E:I,3,FALSE)</f>
        <v>(五冶钢构龙泉东洪片区85亩住宅、商业及配套工程项目二标段)成都市龙泉驿外东洪路地铁2号线惠王陵地铁C口</v>
      </c>
      <c r="J4202" s="41" t="str">
        <f>VLOOKUP(B4202,辅助信息!E:I,4,FALSE)</f>
        <v>李渊</v>
      </c>
      <c r="K4202" s="41">
        <f>VLOOKUP(J4202,辅助信息!H:I,2,FALSE)</f>
        <v>18381013849</v>
      </c>
      <c r="L4202" s="110">
        <f>VLOOKUP(B4202,辅助信息!E:J,6,FALSE)</f>
        <v>0</v>
      </c>
      <c r="M4202" s="92">
        <v>45941</v>
      </c>
      <c r="O4202" s="63">
        <f ca="1" t="shared" si="214"/>
        <v>0</v>
      </c>
      <c r="P4202" s="63">
        <f ca="1" t="shared" si="215"/>
        <v>18</v>
      </c>
      <c r="Q4202" s="30" t="str">
        <f>VLOOKUP(B4202,辅助信息!E:M,9,FALSE)</f>
        <v>ZTWM-CDGS-XS-2025-0156-五冶钢构-2025年九月第一批次钢筋采购合同(三圣乡项目)-中铁物贸成都公司</v>
      </c>
      <c r="R4202" s="30" t="str">
        <f>_xlfn._xlws.FILTER(辅助信息!D:D,辅助信息!E:E=B4202)</f>
        <v>五冶钢构龙泉东洪片区(70亩、85亩)住宅、商业及配套工程项目</v>
      </c>
    </row>
    <row r="4203" hidden="1" spans="2:18">
      <c r="B4203" s="136" t="s">
        <v>226</v>
      </c>
      <c r="C4203" s="71">
        <v>45939</v>
      </c>
      <c r="D4203" s="41" t="str">
        <f>VLOOKUP(B4203,辅助信息!E:K,7,FALSE)</f>
        <v>JWDDCD2025092400211</v>
      </c>
      <c r="E4203" s="41" t="str">
        <f>VLOOKUP(F4203,辅助信息!A:B,2,FALSE)</f>
        <v>螺纹钢</v>
      </c>
      <c r="F4203" s="41" t="s">
        <v>19</v>
      </c>
      <c r="G4203" s="37">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1" t="str">
        <f>VLOOKUP(B4203,辅助信息!E:I,3,FALSE)</f>
        <v>(五冶钢构龙泉东洪片区85亩住宅、商业及配套工程项目二标段)成都市龙泉驿外东洪路地铁2号线惠王陵地铁C口</v>
      </c>
      <c r="J4203" s="41" t="str">
        <f>VLOOKUP(B4203,辅助信息!E:I,4,FALSE)</f>
        <v>李渊</v>
      </c>
      <c r="K4203" s="41">
        <f>VLOOKUP(J4203,辅助信息!H:I,2,FALSE)</f>
        <v>18381013849</v>
      </c>
      <c r="L4203" s="110">
        <f>VLOOKUP(B4203,辅助信息!E:J,6,FALSE)</f>
        <v>0</v>
      </c>
      <c r="M4203" s="92">
        <v>45941</v>
      </c>
      <c r="O4203" s="63">
        <f ca="1" t="shared" si="214"/>
        <v>0</v>
      </c>
      <c r="P4203" s="63">
        <f ca="1" t="shared" si="215"/>
        <v>18</v>
      </c>
      <c r="Q4203" s="30" t="str">
        <f>VLOOKUP(B4203,辅助信息!E:M,9,FALSE)</f>
        <v>ZTWM-CDGS-XS-2025-0156-五冶钢构-2025年九月第一批次钢筋采购合同(三圣乡项目)-中铁物贸成都公司</v>
      </c>
      <c r="R4203" s="30" t="str">
        <f>_xlfn._xlws.FILTER(辅助信息!D:D,辅助信息!E:E=B4203)</f>
        <v>五冶钢构龙泉东洪片区(70亩、85亩)住宅、商业及配套工程项目</v>
      </c>
    </row>
    <row r="4204" hidden="1" spans="2:18">
      <c r="B4204" s="136" t="s">
        <v>226</v>
      </c>
      <c r="C4204" s="71">
        <v>45939</v>
      </c>
      <c r="D4204" s="41" t="str">
        <f>VLOOKUP(B4204,辅助信息!E:K,7,FALSE)</f>
        <v>JWDDCD2025092400211</v>
      </c>
      <c r="E4204" s="41" t="str">
        <f>VLOOKUP(F4204,辅助信息!A:B,2,FALSE)</f>
        <v>螺纹钢</v>
      </c>
      <c r="F4204" s="41" t="s">
        <v>33</v>
      </c>
      <c r="G4204" s="37">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1" t="str">
        <f>VLOOKUP(B4204,辅助信息!E:I,3,FALSE)</f>
        <v>(五冶钢构龙泉东洪片区85亩住宅、商业及配套工程项目二标段)成都市龙泉驿外东洪路地铁2号线惠王陵地铁C口</v>
      </c>
      <c r="J4204" s="41" t="str">
        <f>VLOOKUP(B4204,辅助信息!E:I,4,FALSE)</f>
        <v>李渊</v>
      </c>
      <c r="K4204" s="41">
        <f>VLOOKUP(J4204,辅助信息!H:I,2,FALSE)</f>
        <v>18381013849</v>
      </c>
      <c r="L4204" s="110">
        <f>VLOOKUP(B4204,辅助信息!E:J,6,FALSE)</f>
        <v>0</v>
      </c>
      <c r="M4204" s="92">
        <v>45941</v>
      </c>
      <c r="O4204" s="63">
        <f ca="1" t="shared" si="214"/>
        <v>0</v>
      </c>
      <c r="P4204" s="63">
        <f ca="1" t="shared" si="215"/>
        <v>18</v>
      </c>
      <c r="Q4204" s="30" t="str">
        <f>VLOOKUP(B4204,辅助信息!E:M,9,FALSE)</f>
        <v>ZTWM-CDGS-XS-2025-0156-五冶钢构-2025年九月第一批次钢筋采购合同(三圣乡项目)-中铁物贸成都公司</v>
      </c>
      <c r="R4204" s="30" t="str">
        <f>_xlfn._xlws.FILTER(辅助信息!D:D,辅助信息!E:E=B4204)</f>
        <v>五冶钢构龙泉东洪片区(70亩、85亩)住宅、商业及配套工程项目</v>
      </c>
    </row>
    <row r="4205" hidden="1" spans="2:18">
      <c r="B4205" s="136" t="s">
        <v>226</v>
      </c>
      <c r="C4205" s="71">
        <v>45939</v>
      </c>
      <c r="D4205" s="41" t="str">
        <f>VLOOKUP(B4205,辅助信息!E:K,7,FALSE)</f>
        <v>JWDDCD2025092400211</v>
      </c>
      <c r="E4205" s="41" t="str">
        <f>VLOOKUP(F4205,辅助信息!A:B,2,FALSE)</f>
        <v>螺纹钢</v>
      </c>
      <c r="F4205" s="41" t="s">
        <v>28</v>
      </c>
      <c r="G4205" s="37">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1" t="str">
        <f>VLOOKUP(B4205,辅助信息!E:I,3,FALSE)</f>
        <v>(五冶钢构龙泉东洪片区85亩住宅、商业及配套工程项目二标段)成都市龙泉驿外东洪路地铁2号线惠王陵地铁C口</v>
      </c>
      <c r="J4205" s="41" t="str">
        <f>VLOOKUP(B4205,辅助信息!E:I,4,FALSE)</f>
        <v>李渊</v>
      </c>
      <c r="K4205" s="41">
        <f>VLOOKUP(J4205,辅助信息!H:I,2,FALSE)</f>
        <v>18381013849</v>
      </c>
      <c r="L4205" s="110">
        <f>VLOOKUP(B4205,辅助信息!E:J,6,FALSE)</f>
        <v>0</v>
      </c>
      <c r="M4205" s="92">
        <v>45941</v>
      </c>
      <c r="O4205" s="63">
        <f ca="1" t="shared" si="214"/>
        <v>0</v>
      </c>
      <c r="P4205" s="63">
        <f ca="1" t="shared" si="215"/>
        <v>18</v>
      </c>
      <c r="Q4205" s="30" t="str">
        <f>VLOOKUP(B4205,辅助信息!E:M,9,FALSE)</f>
        <v>ZTWM-CDGS-XS-2025-0156-五冶钢构-2025年九月第一批次钢筋采购合同(三圣乡项目)-中铁物贸成都公司</v>
      </c>
      <c r="R4205" s="30" t="str">
        <f>_xlfn._xlws.FILTER(辅助信息!D:D,辅助信息!E:E=B4205)</f>
        <v>五冶钢构龙泉东洪片区(70亩、85亩)住宅、商业及配套工程项目</v>
      </c>
    </row>
    <row r="4206" hidden="1" spans="2:18">
      <c r="B4206" s="136" t="s">
        <v>226</v>
      </c>
      <c r="C4206" s="71">
        <v>45939</v>
      </c>
      <c r="D4206" s="41" t="str">
        <f>VLOOKUP(B4206,辅助信息!E:K,7,FALSE)</f>
        <v>JWDDCD2025092400211</v>
      </c>
      <c r="E4206" s="41" t="str">
        <f>VLOOKUP(F4206,辅助信息!A:B,2,FALSE)</f>
        <v>螺纹钢</v>
      </c>
      <c r="F4206" s="41" t="s">
        <v>18</v>
      </c>
      <c r="G4206" s="37">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1" t="str">
        <f>VLOOKUP(B4206,辅助信息!E:I,3,FALSE)</f>
        <v>(五冶钢构龙泉东洪片区85亩住宅、商业及配套工程项目二标段)成都市龙泉驿外东洪路地铁2号线惠王陵地铁C口</v>
      </c>
      <c r="J4206" s="41" t="str">
        <f>VLOOKUP(B4206,辅助信息!E:I,4,FALSE)</f>
        <v>李渊</v>
      </c>
      <c r="K4206" s="41">
        <f>VLOOKUP(J4206,辅助信息!H:I,2,FALSE)</f>
        <v>18381013849</v>
      </c>
      <c r="L4206" s="110">
        <f>VLOOKUP(B4206,辅助信息!E:J,6,FALSE)</f>
        <v>0</v>
      </c>
      <c r="M4206" s="92">
        <v>45941</v>
      </c>
      <c r="O4206" s="63">
        <f ca="1" t="shared" si="214"/>
        <v>0</v>
      </c>
      <c r="P4206" s="63">
        <f ca="1" t="shared" si="215"/>
        <v>18</v>
      </c>
      <c r="Q4206" s="30" t="str">
        <f>VLOOKUP(B4206,辅助信息!E:M,9,FALSE)</f>
        <v>ZTWM-CDGS-XS-2025-0156-五冶钢构-2025年九月第一批次钢筋采购合同(三圣乡项目)-中铁物贸成都公司</v>
      </c>
      <c r="R4206" s="30" t="str">
        <f>_xlfn._xlws.FILTER(辅助信息!D:D,辅助信息!E:E=B4206)</f>
        <v>五冶钢构龙泉东洪片区(70亩、85亩)住宅、商业及配套工程项目</v>
      </c>
    </row>
    <row r="4207" ht="22.5" hidden="1" spans="1:18">
      <c r="A4207" s="58" t="s">
        <v>234</v>
      </c>
      <c r="B4207" s="136" t="s">
        <v>229</v>
      </c>
      <c r="C4207" s="71">
        <v>45939</v>
      </c>
      <c r="D4207" s="41" t="str">
        <f>VLOOKUP(B4207,辅助信息!E:K,7,FALSE)</f>
        <v>JWDDCD2025092400212</v>
      </c>
      <c r="E4207" s="41" t="str">
        <f>VLOOKUP(F4207,辅助信息!A:B,2,FALSE)</f>
        <v>盘螺</v>
      </c>
      <c r="F4207" s="41" t="s">
        <v>49</v>
      </c>
      <c r="G4207" s="37">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1" t="str">
        <f>VLOOKUP(B4207,辅助信息!E:I,3,FALSE)</f>
        <v>(五冶钢构龙泉东洪片区85亩住宅、商业及配套工程项目三标段)成都市龙泉驿外东洪路地铁2号线惠王陵地铁C口</v>
      </c>
      <c r="J4207" s="41" t="str">
        <f>VLOOKUP(B4207,辅助信息!E:I,4,FALSE)</f>
        <v>王军宝</v>
      </c>
      <c r="K4207" s="41">
        <f>VLOOKUP(J4207,辅助信息!H:I,2,FALSE)</f>
        <v>13889142392</v>
      </c>
      <c r="L4207" s="110">
        <f>VLOOKUP(B4207,辅助信息!E:J,6,FALSE)</f>
        <v>0</v>
      </c>
      <c r="M4207" s="92">
        <v>45941</v>
      </c>
      <c r="O4207" s="63">
        <f ca="1" t="shared" si="214"/>
        <v>0</v>
      </c>
      <c r="P4207" s="63">
        <f ca="1" t="shared" si="215"/>
        <v>18</v>
      </c>
      <c r="Q4207" s="30" t="str">
        <f>VLOOKUP(B4207,辅助信息!E:M,9,FALSE)</f>
        <v>ZTWM-CDGS-XS-2025-0156-五冶钢构-2025年九月第一批次钢筋采购合同(三圣乡项目)-中铁物贸成都公司</v>
      </c>
      <c r="R4207" s="30" t="str">
        <f>_xlfn._xlws.FILTER(辅助信息!D:D,辅助信息!E:E=B4207)</f>
        <v>五冶钢构龙泉东洪片区(70亩、85亩)住宅、商业及配套工程项目</v>
      </c>
    </row>
    <row r="4208" ht="22.5" hidden="1" spans="1:18">
      <c r="A4208" s="58" t="s">
        <v>234</v>
      </c>
      <c r="B4208" s="136" t="s">
        <v>229</v>
      </c>
      <c r="C4208" s="71">
        <v>45939</v>
      </c>
      <c r="D4208" s="41" t="str">
        <f>VLOOKUP(B4208,辅助信息!E:K,7,FALSE)</f>
        <v>JWDDCD2025092400212</v>
      </c>
      <c r="E4208" s="41" t="str">
        <f>VLOOKUP(F4208,辅助信息!A:B,2,FALSE)</f>
        <v>盘螺</v>
      </c>
      <c r="F4208" s="41" t="s">
        <v>40</v>
      </c>
      <c r="G4208" s="37">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1" t="str">
        <f>VLOOKUP(B4208,辅助信息!E:I,3,FALSE)</f>
        <v>(五冶钢构龙泉东洪片区85亩住宅、商业及配套工程项目三标段)成都市龙泉驿外东洪路地铁2号线惠王陵地铁C口</v>
      </c>
      <c r="J4208" s="41" t="str">
        <f>VLOOKUP(B4208,辅助信息!E:I,4,FALSE)</f>
        <v>王军宝</v>
      </c>
      <c r="K4208" s="41">
        <f>VLOOKUP(J4208,辅助信息!H:I,2,FALSE)</f>
        <v>13889142392</v>
      </c>
      <c r="L4208" s="110">
        <f>VLOOKUP(B4208,辅助信息!E:J,6,FALSE)</f>
        <v>0</v>
      </c>
      <c r="M4208" s="92">
        <v>45941</v>
      </c>
      <c r="O4208" s="63">
        <f ca="1" t="shared" si="214"/>
        <v>0</v>
      </c>
      <c r="P4208" s="63">
        <f ca="1" t="shared" si="215"/>
        <v>18</v>
      </c>
      <c r="Q4208" s="30" t="str">
        <f>VLOOKUP(B4208,辅助信息!E:M,9,FALSE)</f>
        <v>ZTWM-CDGS-XS-2025-0156-五冶钢构-2025年九月第一批次钢筋采购合同(三圣乡项目)-中铁物贸成都公司</v>
      </c>
      <c r="R4208" s="30" t="str">
        <f>_xlfn._xlws.FILTER(辅助信息!D:D,辅助信息!E:E=B4208)</f>
        <v>五冶钢构龙泉东洪片区(70亩、85亩)住宅、商业及配套工程项目</v>
      </c>
    </row>
    <row r="4209" ht="22.5" hidden="1" spans="1:18">
      <c r="A4209" s="58" t="s">
        <v>234</v>
      </c>
      <c r="B4209" s="136" t="s">
        <v>229</v>
      </c>
      <c r="C4209" s="71">
        <v>45939</v>
      </c>
      <c r="D4209" s="41" t="str">
        <f>VLOOKUP(B4209,辅助信息!E:K,7,FALSE)</f>
        <v>JWDDCD2025092400212</v>
      </c>
      <c r="E4209" s="41" t="str">
        <f>VLOOKUP(F4209,辅助信息!A:B,2,FALSE)</f>
        <v>盘螺</v>
      </c>
      <c r="F4209" s="41" t="s">
        <v>41</v>
      </c>
      <c r="G4209" s="37">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1" t="str">
        <f>VLOOKUP(B4209,辅助信息!E:I,3,FALSE)</f>
        <v>(五冶钢构龙泉东洪片区85亩住宅、商业及配套工程项目三标段)成都市龙泉驿外东洪路地铁2号线惠王陵地铁C口</v>
      </c>
      <c r="J4209" s="41" t="str">
        <f>VLOOKUP(B4209,辅助信息!E:I,4,FALSE)</f>
        <v>王军宝</v>
      </c>
      <c r="K4209" s="41">
        <f>VLOOKUP(J4209,辅助信息!H:I,2,FALSE)</f>
        <v>13889142392</v>
      </c>
      <c r="L4209" s="110">
        <f>VLOOKUP(B4209,辅助信息!E:J,6,FALSE)</f>
        <v>0</v>
      </c>
      <c r="M4209" s="92">
        <v>45941</v>
      </c>
      <c r="O4209" s="63">
        <f ca="1" t="shared" si="214"/>
        <v>0</v>
      </c>
      <c r="P4209" s="63">
        <f ca="1" t="shared" si="215"/>
        <v>18</v>
      </c>
      <c r="Q4209" s="30" t="str">
        <f>VLOOKUP(B4209,辅助信息!E:M,9,FALSE)</f>
        <v>ZTWM-CDGS-XS-2025-0156-五冶钢构-2025年九月第一批次钢筋采购合同(三圣乡项目)-中铁物贸成都公司</v>
      </c>
      <c r="R4209" s="30" t="str">
        <f>_xlfn._xlws.FILTER(辅助信息!D:D,辅助信息!E:E=B4209)</f>
        <v>五冶钢构龙泉东洪片区(70亩、85亩)住宅、商业及配套工程项目</v>
      </c>
    </row>
    <row r="4210" hidden="1" spans="2:18">
      <c r="B4210" s="136" t="s">
        <v>229</v>
      </c>
      <c r="C4210" s="71">
        <v>45939</v>
      </c>
      <c r="D4210" s="41" t="str">
        <f>VLOOKUP(B4210,辅助信息!E:K,7,FALSE)</f>
        <v>JWDDCD2025092400212</v>
      </c>
      <c r="E4210" s="41" t="str">
        <f>VLOOKUP(F4210,辅助信息!A:B,2,FALSE)</f>
        <v>螺纹钢</v>
      </c>
      <c r="F4210" s="41" t="s">
        <v>27</v>
      </c>
      <c r="G4210" s="37">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1" t="str">
        <f>VLOOKUP(B4210,辅助信息!E:I,3,FALSE)</f>
        <v>(五冶钢构龙泉东洪片区85亩住宅、商业及配套工程项目三标段)成都市龙泉驿外东洪路地铁2号线惠王陵地铁C口</v>
      </c>
      <c r="J4210" s="41" t="str">
        <f>VLOOKUP(B4210,辅助信息!E:I,4,FALSE)</f>
        <v>王军宝</v>
      </c>
      <c r="K4210" s="41">
        <f>VLOOKUP(J4210,辅助信息!H:I,2,FALSE)</f>
        <v>13889142392</v>
      </c>
      <c r="L4210" s="110">
        <f>VLOOKUP(B4210,辅助信息!E:J,6,FALSE)</f>
        <v>0</v>
      </c>
      <c r="M4210" s="92">
        <v>45941</v>
      </c>
      <c r="O4210" s="63">
        <f ca="1" t="shared" si="214"/>
        <v>0</v>
      </c>
      <c r="P4210" s="63">
        <f ca="1" t="shared" si="215"/>
        <v>18</v>
      </c>
      <c r="Q4210" s="30" t="str">
        <f>VLOOKUP(B4210,辅助信息!E:M,9,FALSE)</f>
        <v>ZTWM-CDGS-XS-2025-0156-五冶钢构-2025年九月第一批次钢筋采购合同(三圣乡项目)-中铁物贸成都公司</v>
      </c>
      <c r="R4210" s="30" t="str">
        <f>_xlfn._xlws.FILTER(辅助信息!D:D,辅助信息!E:E=B4210)</f>
        <v>五冶钢构龙泉东洪片区(70亩、85亩)住宅、商业及配套工程项目</v>
      </c>
    </row>
    <row r="4211" hidden="1" spans="2:18">
      <c r="B4211" s="136" t="s">
        <v>229</v>
      </c>
      <c r="C4211" s="71">
        <v>45939</v>
      </c>
      <c r="D4211" s="41" t="str">
        <f>VLOOKUP(B4211,辅助信息!E:K,7,FALSE)</f>
        <v>JWDDCD2025092400212</v>
      </c>
      <c r="E4211" s="41" t="str">
        <f>VLOOKUP(F4211,辅助信息!A:B,2,FALSE)</f>
        <v>螺纹钢</v>
      </c>
      <c r="F4211" s="41" t="s">
        <v>19</v>
      </c>
      <c r="G4211" s="37">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1" t="str">
        <f>VLOOKUP(B4211,辅助信息!E:I,3,FALSE)</f>
        <v>(五冶钢构龙泉东洪片区85亩住宅、商业及配套工程项目三标段)成都市龙泉驿外东洪路地铁2号线惠王陵地铁C口</v>
      </c>
      <c r="J4211" s="41" t="str">
        <f>VLOOKUP(B4211,辅助信息!E:I,4,FALSE)</f>
        <v>王军宝</v>
      </c>
      <c r="K4211" s="41">
        <f>VLOOKUP(J4211,辅助信息!H:I,2,FALSE)</f>
        <v>13889142392</v>
      </c>
      <c r="L4211" s="110">
        <f>VLOOKUP(B4211,辅助信息!E:J,6,FALSE)</f>
        <v>0</v>
      </c>
      <c r="M4211" s="92">
        <v>45941</v>
      </c>
      <c r="O4211" s="63">
        <f ca="1" t="shared" si="214"/>
        <v>0</v>
      </c>
      <c r="P4211" s="63">
        <f ca="1" t="shared" si="215"/>
        <v>18</v>
      </c>
      <c r="Q4211" s="30" t="str">
        <f>VLOOKUP(B4211,辅助信息!E:M,9,FALSE)</f>
        <v>ZTWM-CDGS-XS-2025-0156-五冶钢构-2025年九月第一批次钢筋采购合同(三圣乡项目)-中铁物贸成都公司</v>
      </c>
      <c r="R4211" s="30" t="str">
        <f>_xlfn._xlws.FILTER(辅助信息!D:D,辅助信息!E:E=B4211)</f>
        <v>五冶钢构龙泉东洪片区(70亩、85亩)住宅、商业及配套工程项目</v>
      </c>
    </row>
    <row r="4212" hidden="1" spans="2:18">
      <c r="B4212" s="136" t="s">
        <v>229</v>
      </c>
      <c r="C4212" s="71">
        <v>45939</v>
      </c>
      <c r="D4212" s="41" t="str">
        <f>VLOOKUP(B4212,辅助信息!E:K,7,FALSE)</f>
        <v>JWDDCD2025092400212</v>
      </c>
      <c r="E4212" s="41" t="str">
        <f>VLOOKUP(F4212,辅助信息!A:B,2,FALSE)</f>
        <v>螺纹钢</v>
      </c>
      <c r="F4212" s="41" t="s">
        <v>32</v>
      </c>
      <c r="G4212" s="37">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1" t="str">
        <f>VLOOKUP(B4212,辅助信息!E:I,3,FALSE)</f>
        <v>(五冶钢构龙泉东洪片区85亩住宅、商业及配套工程项目三标段)成都市龙泉驿外东洪路地铁2号线惠王陵地铁C口</v>
      </c>
      <c r="J4212" s="41" t="str">
        <f>VLOOKUP(B4212,辅助信息!E:I,4,FALSE)</f>
        <v>王军宝</v>
      </c>
      <c r="K4212" s="41">
        <f>VLOOKUP(J4212,辅助信息!H:I,2,FALSE)</f>
        <v>13889142392</v>
      </c>
      <c r="L4212" s="110">
        <f>VLOOKUP(B4212,辅助信息!E:J,6,FALSE)</f>
        <v>0</v>
      </c>
      <c r="M4212" s="92">
        <v>45941</v>
      </c>
      <c r="O4212" s="63">
        <f ca="1" t="shared" si="214"/>
        <v>0</v>
      </c>
      <c r="P4212" s="63">
        <f ca="1" t="shared" si="215"/>
        <v>18</v>
      </c>
      <c r="Q4212" s="30" t="str">
        <f>VLOOKUP(B4212,辅助信息!E:M,9,FALSE)</f>
        <v>ZTWM-CDGS-XS-2025-0156-五冶钢构-2025年九月第一批次钢筋采购合同(三圣乡项目)-中铁物贸成都公司</v>
      </c>
      <c r="R4212" s="30" t="str">
        <f>_xlfn._xlws.FILTER(辅助信息!D:D,辅助信息!E:E=B4212)</f>
        <v>五冶钢构龙泉东洪片区(70亩、85亩)住宅、商业及配套工程项目</v>
      </c>
    </row>
    <row r="4213" hidden="1" spans="2:18">
      <c r="B4213" s="136" t="s">
        <v>229</v>
      </c>
      <c r="C4213" s="71">
        <v>45939</v>
      </c>
      <c r="D4213" s="41" t="str">
        <f>VLOOKUP(B4213,辅助信息!E:K,7,FALSE)</f>
        <v>JWDDCD2025092400212</v>
      </c>
      <c r="E4213" s="41" t="str">
        <f>VLOOKUP(F4213,辅助信息!A:B,2,FALSE)</f>
        <v>螺纹钢</v>
      </c>
      <c r="F4213" s="41" t="s">
        <v>30</v>
      </c>
      <c r="G4213" s="37">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1" t="str">
        <f>VLOOKUP(B4213,辅助信息!E:I,3,FALSE)</f>
        <v>(五冶钢构龙泉东洪片区85亩住宅、商业及配套工程项目三标段)成都市龙泉驿外东洪路地铁2号线惠王陵地铁C口</v>
      </c>
      <c r="J4213" s="41" t="str">
        <f>VLOOKUP(B4213,辅助信息!E:I,4,FALSE)</f>
        <v>王军宝</v>
      </c>
      <c r="K4213" s="41">
        <f>VLOOKUP(J4213,辅助信息!H:I,2,FALSE)</f>
        <v>13889142392</v>
      </c>
      <c r="L4213" s="110">
        <f>VLOOKUP(B4213,辅助信息!E:J,6,FALSE)</f>
        <v>0</v>
      </c>
      <c r="M4213" s="92">
        <v>45941</v>
      </c>
      <c r="O4213" s="63">
        <f ca="1" t="shared" si="214"/>
        <v>0</v>
      </c>
      <c r="P4213" s="63">
        <f ca="1" t="shared" si="215"/>
        <v>18</v>
      </c>
      <c r="Q4213" s="30" t="str">
        <f>VLOOKUP(B4213,辅助信息!E:M,9,FALSE)</f>
        <v>ZTWM-CDGS-XS-2025-0156-五冶钢构-2025年九月第一批次钢筋采购合同(三圣乡项目)-中铁物贸成都公司</v>
      </c>
      <c r="R4213" s="30" t="str">
        <f>_xlfn._xlws.FILTER(辅助信息!D:D,辅助信息!E:E=B4213)</f>
        <v>五冶钢构龙泉东洪片区(70亩、85亩)住宅、商业及配套工程项目</v>
      </c>
    </row>
    <row r="4214" hidden="1" spans="2:18">
      <c r="B4214" s="136" t="s">
        <v>229</v>
      </c>
      <c r="C4214" s="71">
        <v>45939</v>
      </c>
      <c r="D4214" s="41" t="str">
        <f>VLOOKUP(B4214,辅助信息!E:K,7,FALSE)</f>
        <v>JWDDCD2025092400212</v>
      </c>
      <c r="E4214" s="41" t="str">
        <f>VLOOKUP(F4214,辅助信息!A:B,2,FALSE)</f>
        <v>螺纹钢</v>
      </c>
      <c r="F4214" s="41" t="s">
        <v>33</v>
      </c>
      <c r="G4214" s="37">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1" t="str">
        <f>VLOOKUP(B4214,辅助信息!E:I,3,FALSE)</f>
        <v>(五冶钢构龙泉东洪片区85亩住宅、商业及配套工程项目三标段)成都市龙泉驿外东洪路地铁2号线惠王陵地铁C口</v>
      </c>
      <c r="J4214" s="41" t="str">
        <f>VLOOKUP(B4214,辅助信息!E:I,4,FALSE)</f>
        <v>王军宝</v>
      </c>
      <c r="K4214" s="41">
        <f>VLOOKUP(J4214,辅助信息!H:I,2,FALSE)</f>
        <v>13889142392</v>
      </c>
      <c r="L4214" s="110">
        <f>VLOOKUP(B4214,辅助信息!E:J,6,FALSE)</f>
        <v>0</v>
      </c>
      <c r="M4214" s="92">
        <v>45941</v>
      </c>
      <c r="O4214" s="63">
        <f ca="1" t="shared" si="214"/>
        <v>0</v>
      </c>
      <c r="P4214" s="63">
        <f ca="1" t="shared" si="215"/>
        <v>18</v>
      </c>
      <c r="Q4214" s="30" t="str">
        <f>VLOOKUP(B4214,辅助信息!E:M,9,FALSE)</f>
        <v>ZTWM-CDGS-XS-2025-0156-五冶钢构-2025年九月第一批次钢筋采购合同(三圣乡项目)-中铁物贸成都公司</v>
      </c>
      <c r="R4214" s="30" t="str">
        <f>_xlfn._xlws.FILTER(辅助信息!D:D,辅助信息!E:E=B4214)</f>
        <v>五冶钢构龙泉东洪片区(70亩、85亩)住宅、商业及配套工程项目</v>
      </c>
    </row>
    <row r="4215" hidden="1" spans="2:18">
      <c r="B4215" s="136" t="s">
        <v>229</v>
      </c>
      <c r="C4215" s="71">
        <v>45939</v>
      </c>
      <c r="D4215" s="41" t="str">
        <f>VLOOKUP(B4215,辅助信息!E:K,7,FALSE)</f>
        <v>JWDDCD2025092400212</v>
      </c>
      <c r="E4215" s="41" t="str">
        <f>VLOOKUP(F4215,辅助信息!A:B,2,FALSE)</f>
        <v>螺纹钢</v>
      </c>
      <c r="F4215" s="41" t="s">
        <v>28</v>
      </c>
      <c r="G4215" s="37">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1" t="str">
        <f>VLOOKUP(B4215,辅助信息!E:I,3,FALSE)</f>
        <v>(五冶钢构龙泉东洪片区85亩住宅、商业及配套工程项目三标段)成都市龙泉驿外东洪路地铁2号线惠王陵地铁C口</v>
      </c>
      <c r="J4215" s="41" t="str">
        <f>VLOOKUP(B4215,辅助信息!E:I,4,FALSE)</f>
        <v>王军宝</v>
      </c>
      <c r="K4215" s="41">
        <f>VLOOKUP(J4215,辅助信息!H:I,2,FALSE)</f>
        <v>13889142392</v>
      </c>
      <c r="L4215" s="110">
        <f>VLOOKUP(B4215,辅助信息!E:J,6,FALSE)</f>
        <v>0</v>
      </c>
      <c r="M4215" s="92">
        <v>45941</v>
      </c>
      <c r="O4215" s="63">
        <f ca="1" t="shared" si="214"/>
        <v>0</v>
      </c>
      <c r="P4215" s="63">
        <f ca="1" t="shared" si="215"/>
        <v>18</v>
      </c>
      <c r="Q4215" s="30" t="str">
        <f>VLOOKUP(B4215,辅助信息!E:M,9,FALSE)</f>
        <v>ZTWM-CDGS-XS-2025-0156-五冶钢构-2025年九月第一批次钢筋采购合同(三圣乡项目)-中铁物贸成都公司</v>
      </c>
      <c r="R4215" s="30" t="str">
        <f>_xlfn._xlws.FILTER(辅助信息!D:D,辅助信息!E:E=B4215)</f>
        <v>五冶钢构龙泉东洪片区(70亩、85亩)住宅、商业及配套工程项目</v>
      </c>
    </row>
    <row r="4216" hidden="1" spans="2:18">
      <c r="B4216" s="136" t="s">
        <v>229</v>
      </c>
      <c r="C4216" s="71">
        <v>45939</v>
      </c>
      <c r="D4216" s="41" t="str">
        <f>VLOOKUP(B4216,辅助信息!E:K,7,FALSE)</f>
        <v>JWDDCD2025092400212</v>
      </c>
      <c r="E4216" s="41" t="str">
        <f>VLOOKUP(F4216,辅助信息!A:B,2,FALSE)</f>
        <v>螺纹钢</v>
      </c>
      <c r="F4216" s="41" t="s">
        <v>18</v>
      </c>
      <c r="G4216" s="37">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1" t="str">
        <f>VLOOKUP(B4216,辅助信息!E:I,3,FALSE)</f>
        <v>(五冶钢构龙泉东洪片区85亩住宅、商业及配套工程项目三标段)成都市龙泉驿外东洪路地铁2号线惠王陵地铁C口</v>
      </c>
      <c r="J4216" s="41" t="str">
        <f>VLOOKUP(B4216,辅助信息!E:I,4,FALSE)</f>
        <v>王军宝</v>
      </c>
      <c r="K4216" s="41">
        <f>VLOOKUP(J4216,辅助信息!H:I,2,FALSE)</f>
        <v>13889142392</v>
      </c>
      <c r="L4216" s="110">
        <f>VLOOKUP(B4216,辅助信息!E:J,6,FALSE)</f>
        <v>0</v>
      </c>
      <c r="M4216" s="92">
        <v>45941</v>
      </c>
      <c r="O4216" s="63">
        <f ca="1" t="shared" si="214"/>
        <v>0</v>
      </c>
      <c r="P4216" s="63">
        <f ca="1" t="shared" si="215"/>
        <v>18</v>
      </c>
      <c r="Q4216" s="30" t="str">
        <f>VLOOKUP(B4216,辅助信息!E:M,9,FALSE)</f>
        <v>ZTWM-CDGS-XS-2025-0156-五冶钢构-2025年九月第一批次钢筋采购合同(三圣乡项目)-中铁物贸成都公司</v>
      </c>
      <c r="R4216" s="30" t="str">
        <f>_xlfn._xlws.FILTER(辅助信息!D:D,辅助信息!E:E=B4216)</f>
        <v>五冶钢构龙泉东洪片区(70亩、85亩)住宅、商业及配套工程项目</v>
      </c>
    </row>
    <row r="4217" hidden="1" spans="2:18">
      <c r="B4217" s="136" t="s">
        <v>228</v>
      </c>
      <c r="C4217" s="71">
        <v>45939</v>
      </c>
      <c r="D4217" s="41" t="str">
        <f>VLOOKUP(B4217,辅助信息!E:K,7,FALSE)</f>
        <v>JWDDCD2025092400190</v>
      </c>
      <c r="E4217" s="41" t="str">
        <f>VLOOKUP(F4217,辅助信息!A:B,2,FALSE)</f>
        <v>盘螺</v>
      </c>
      <c r="F4217" s="41" t="s">
        <v>40</v>
      </c>
      <c r="G4217" s="37">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1" t="str">
        <f>VLOOKUP(B4217,辅助信息!E:I,3,FALSE)</f>
        <v>(五冶钢构龙泉东洪片区70亩住宅、商业及配套工程项目二标段)成都市龙泉驿外东洪路地铁2号线惠王陵地铁C口</v>
      </c>
      <c r="J4217" s="41" t="str">
        <f>VLOOKUP(B4217,辅助信息!E:I,4,FALSE)</f>
        <v>蒋嗣伟</v>
      </c>
      <c r="K4217" s="41">
        <f>VLOOKUP(J4217,辅助信息!H:I,2,FALSE)</f>
        <v>15014331252</v>
      </c>
      <c r="L4217" s="110">
        <f>VLOOKUP(B4217,辅助信息!E:J,6,FALSE)</f>
        <v>0</v>
      </c>
      <c r="M4217" s="92">
        <v>45941</v>
      </c>
      <c r="O4217" s="63">
        <f ca="1" t="shared" si="214"/>
        <v>0</v>
      </c>
      <c r="P4217" s="63">
        <f ca="1" t="shared" si="215"/>
        <v>18</v>
      </c>
      <c r="Q4217" s="30" t="str">
        <f>VLOOKUP(B4217,辅助信息!E:M,9,FALSE)</f>
        <v>ZTWM-CDGS-XS-2025-0156-五冶钢构-2025年九月第一批次钢筋采购合同(三圣乡项目)-中铁物贸成都公司</v>
      </c>
      <c r="R4217" s="30" t="str">
        <f>_xlfn._xlws.FILTER(辅助信息!D:D,辅助信息!E:E=B4217)</f>
        <v>五冶钢构龙泉东洪片区(70亩、85亩)住宅、商业及配套工程项目</v>
      </c>
    </row>
    <row r="4218" hidden="1" spans="2:18">
      <c r="B4218" s="136" t="s">
        <v>228</v>
      </c>
      <c r="C4218" s="71">
        <v>45939</v>
      </c>
      <c r="D4218" s="41" t="str">
        <f>VLOOKUP(B4218,辅助信息!E:K,7,FALSE)</f>
        <v>JWDDCD2025092400190</v>
      </c>
      <c r="E4218" s="41" t="str">
        <f>VLOOKUP(F4218,辅助信息!A:B,2,FALSE)</f>
        <v>盘螺</v>
      </c>
      <c r="F4218" s="41" t="s">
        <v>41</v>
      </c>
      <c r="G4218" s="37">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1" t="str">
        <f>VLOOKUP(B4218,辅助信息!E:I,3,FALSE)</f>
        <v>(五冶钢构龙泉东洪片区70亩住宅、商业及配套工程项目二标段)成都市龙泉驿外东洪路地铁2号线惠王陵地铁C口</v>
      </c>
      <c r="J4218" s="41" t="str">
        <f>VLOOKUP(B4218,辅助信息!E:I,4,FALSE)</f>
        <v>蒋嗣伟</v>
      </c>
      <c r="K4218" s="41">
        <f>VLOOKUP(J4218,辅助信息!H:I,2,FALSE)</f>
        <v>15014331252</v>
      </c>
      <c r="L4218" s="110">
        <f>VLOOKUP(B4218,辅助信息!E:J,6,FALSE)</f>
        <v>0</v>
      </c>
      <c r="M4218" s="92">
        <v>45941</v>
      </c>
      <c r="O4218" s="63">
        <f ca="1" t="shared" si="214"/>
        <v>0</v>
      </c>
      <c r="P4218" s="63">
        <f ca="1" t="shared" si="215"/>
        <v>18</v>
      </c>
      <c r="Q4218" s="30" t="str">
        <f>VLOOKUP(B4218,辅助信息!E:M,9,FALSE)</f>
        <v>ZTWM-CDGS-XS-2025-0156-五冶钢构-2025年九月第一批次钢筋采购合同(三圣乡项目)-中铁物贸成都公司</v>
      </c>
      <c r="R4218" s="30" t="str">
        <f>_xlfn._xlws.FILTER(辅助信息!D:D,辅助信息!E:E=B4218)</f>
        <v>五冶钢构龙泉东洪片区(70亩、85亩)住宅、商业及配套工程项目</v>
      </c>
    </row>
    <row r="4219" hidden="1" spans="2:18">
      <c r="B4219" s="136" t="s">
        <v>228</v>
      </c>
      <c r="C4219" s="71">
        <v>45939</v>
      </c>
      <c r="D4219" s="41" t="str">
        <f>VLOOKUP(B4219,辅助信息!E:K,7,FALSE)</f>
        <v>JWDDCD2025092400190</v>
      </c>
      <c r="E4219" s="41" t="str">
        <f>VLOOKUP(F4219,辅助信息!A:B,2,FALSE)</f>
        <v>盘螺</v>
      </c>
      <c r="F4219" s="41" t="s">
        <v>26</v>
      </c>
      <c r="G4219" s="37">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1" t="str">
        <f>VLOOKUP(B4219,辅助信息!E:I,3,FALSE)</f>
        <v>(五冶钢构龙泉东洪片区70亩住宅、商业及配套工程项目二标段)成都市龙泉驿外东洪路地铁2号线惠王陵地铁C口</v>
      </c>
      <c r="J4219" s="41" t="str">
        <f>VLOOKUP(B4219,辅助信息!E:I,4,FALSE)</f>
        <v>蒋嗣伟</v>
      </c>
      <c r="K4219" s="41">
        <f>VLOOKUP(J4219,辅助信息!H:I,2,FALSE)</f>
        <v>15014331252</v>
      </c>
      <c r="L4219" s="110">
        <f>VLOOKUP(B4219,辅助信息!E:J,6,FALSE)</f>
        <v>0</v>
      </c>
      <c r="M4219" s="92">
        <v>45941</v>
      </c>
      <c r="O4219" s="63">
        <f ca="1" t="shared" si="214"/>
        <v>0</v>
      </c>
      <c r="P4219" s="63">
        <f ca="1" t="shared" si="215"/>
        <v>18</v>
      </c>
      <c r="Q4219" s="30" t="str">
        <f>VLOOKUP(B4219,辅助信息!E:M,9,FALSE)</f>
        <v>ZTWM-CDGS-XS-2025-0156-五冶钢构-2025年九月第一批次钢筋采购合同(三圣乡项目)-中铁物贸成都公司</v>
      </c>
      <c r="R4219" s="30"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1" t="str">
        <f>VLOOKUP(B4220,辅助信息!E:I,3,FALSE)</f>
        <v>(武汉电气化局成达万高铁强电项目-达州主城区-达州南站)四川省达州市达川区达州南站</v>
      </c>
      <c r="J4220" s="41" t="str">
        <f>VLOOKUP(B4220,辅助信息!E:I,4,FALSE)</f>
        <v>杨人志</v>
      </c>
      <c r="K4220" s="41">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18</v>
      </c>
      <c r="Q4220" s="30" t="str">
        <f>VLOOKUP(B4220,辅助信息!E:M,9,FALSE)</f>
        <v>ZTWM-CDGS-XS-2025-0033-中铁武汉电气化局集团有限公司成达万高速铁路强电工程项目</v>
      </c>
      <c r="R4220" s="30"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1" t="str">
        <f>VLOOKUP(B4221,辅助信息!E:I,3,FALSE)</f>
        <v>(武汉电气化局成达万高铁强电项目-达州主城区-达州南站)四川省达州市达川区达州南站</v>
      </c>
      <c r="J4221" s="41" t="str">
        <f>VLOOKUP(B4221,辅助信息!E:I,4,FALSE)</f>
        <v>杨人志</v>
      </c>
      <c r="K4221" s="41">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18</v>
      </c>
      <c r="Q4221" s="30" t="str">
        <f>VLOOKUP(B4221,辅助信息!E:M,9,FALSE)</f>
        <v>ZTWM-CDGS-XS-2025-0033-中铁武汉电气化局集团有限公司成达万高速铁路强电工程项目</v>
      </c>
      <c r="R4221" s="30" t="str">
        <f>_xlfn._xlws.FILTER(辅助信息!D:D,辅助信息!E:E=B4221)</f>
        <v>武汉电气化局成达万高铁强电项目</v>
      </c>
    </row>
    <row r="4222" hidden="1" spans="2:18">
      <c r="B4222" s="136" t="s">
        <v>177</v>
      </c>
      <c r="C4222" s="71">
        <v>45939</v>
      </c>
      <c r="D4222" s="41" t="str">
        <f>VLOOKUP(B4222,辅助信息!E:K,7,FALSE)</f>
        <v>JWDDCD2025062200016</v>
      </c>
      <c r="E4222" s="41" t="str">
        <f>VLOOKUP(F4222,辅助信息!A:B,2,FALSE)</f>
        <v>螺纹钢</v>
      </c>
      <c r="F4222" s="41" t="s">
        <v>30</v>
      </c>
      <c r="G4222" s="37">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1" t="str">
        <f>VLOOKUP(B4222,辅助信息!E:I,3,FALSE)</f>
        <v>(武汉电气化局成达万高铁强电项目-南充营山)四川省南充市营山县保真路景阳名城南50米(保真路东)</v>
      </c>
      <c r="J4222" s="41" t="str">
        <f>VLOOKUP(B4222,辅助信息!E:I,4,FALSE)</f>
        <v>周开亮</v>
      </c>
      <c r="K4222" s="41">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18</v>
      </c>
      <c r="Q4222" s="30" t="str">
        <f>VLOOKUP(B4222,辅助信息!E:M,9,FALSE)</f>
        <v>ZTWM-CDGS-XS-2025-0033-中铁武汉电气化局集团有限公司成达万高速铁路强电工程项目</v>
      </c>
      <c r="R4222" s="30" t="str">
        <f>_xlfn._xlws.FILTER(辅助信息!D:D,辅助信息!E:E=B4222)</f>
        <v>武汉电气化局成达万高铁强电项目</v>
      </c>
    </row>
    <row r="4223" hidden="1" spans="2:18">
      <c r="B4223" s="136" t="s">
        <v>177</v>
      </c>
      <c r="C4223" s="71">
        <v>45939</v>
      </c>
      <c r="D4223" s="41" t="str">
        <f>VLOOKUP(B4223,辅助信息!E:K,7,FALSE)</f>
        <v>JWDDCD2025062200016</v>
      </c>
      <c r="E4223" s="41" t="str">
        <f>VLOOKUP(F4223,辅助信息!A:B,2,FALSE)</f>
        <v>螺纹钢</v>
      </c>
      <c r="F4223" s="41" t="s">
        <v>33</v>
      </c>
      <c r="G4223" s="37">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1" t="str">
        <f>VLOOKUP(B4223,辅助信息!E:I,3,FALSE)</f>
        <v>(武汉电气化局成达万高铁强电项目-南充营山)四川省南充市营山县保真路景阳名城南50米(保真路东)</v>
      </c>
      <c r="J4223" s="41" t="str">
        <f>VLOOKUP(B4223,辅助信息!E:I,4,FALSE)</f>
        <v>周开亮</v>
      </c>
      <c r="K4223" s="41">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18</v>
      </c>
      <c r="Q4223" s="30" t="str">
        <f>VLOOKUP(B4223,辅助信息!E:M,9,FALSE)</f>
        <v>ZTWM-CDGS-XS-2025-0033-中铁武汉电气化局集团有限公司成达万高速铁路强电工程项目</v>
      </c>
      <c r="R4223" s="30" t="str">
        <f>_xlfn._xlws.FILTER(辅助信息!D:D,辅助信息!E:E=B4223)</f>
        <v>武汉电气化局成达万高铁强电项目</v>
      </c>
    </row>
    <row r="4224" hidden="1" spans="2:18">
      <c r="B4224" s="136" t="s">
        <v>177</v>
      </c>
      <c r="C4224" s="71">
        <v>45939</v>
      </c>
      <c r="D4224" s="41" t="str">
        <f>VLOOKUP(B4224,辅助信息!E:K,7,FALSE)</f>
        <v>JWDDCD2025062200016</v>
      </c>
      <c r="E4224" s="41" t="str">
        <f>VLOOKUP(F4224,辅助信息!A:B,2,FALSE)</f>
        <v>螺纹钢</v>
      </c>
      <c r="F4224" s="41" t="s">
        <v>18</v>
      </c>
      <c r="G4224" s="37">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1" t="str">
        <f>VLOOKUP(B4224,辅助信息!E:I,3,FALSE)</f>
        <v>(武汉电气化局成达万高铁强电项目-南充营山)四川省南充市营山县保真路景阳名城南50米(保真路东)</v>
      </c>
      <c r="J4224" s="41" t="str">
        <f>VLOOKUP(B4224,辅助信息!E:I,4,FALSE)</f>
        <v>周开亮</v>
      </c>
      <c r="K4224" s="41">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18</v>
      </c>
      <c r="Q4224" s="30" t="str">
        <f>VLOOKUP(B4224,辅助信息!E:M,9,FALSE)</f>
        <v>ZTWM-CDGS-XS-2025-0033-中铁武汉电气化局集团有限公司成达万高速铁路强电工程项目</v>
      </c>
      <c r="R4224" s="30" t="str">
        <f>_xlfn._xlws.FILTER(辅助信息!D:D,辅助信息!E:E=B4224)</f>
        <v>武汉电气化局成达万高铁强电项目</v>
      </c>
    </row>
    <row r="4225" hidden="1" spans="2:18">
      <c r="B4225" s="136" t="s">
        <v>203</v>
      </c>
      <c r="C4225" s="71">
        <v>45939</v>
      </c>
      <c r="D4225" s="41" t="str">
        <f>VLOOKUP(B4225,辅助信息!E:K,7,FALSE)</f>
        <v>JWDDCD2025102100479</v>
      </c>
      <c r="E4225" s="41" t="str">
        <f>VLOOKUP(F4225,辅助信息!A:B,2,FALSE)</f>
        <v>盘螺</v>
      </c>
      <c r="F4225" s="41" t="s">
        <v>40</v>
      </c>
      <c r="G4225" s="37">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1" t="str">
        <f>VLOOKUP(B4225,辅助信息!E:I,3,FALSE)</f>
        <v>(五冶建设空港兴城怡心街道83亩项目)成都市双流区怡心街道高峰社区一组剑和路一段空港兴城怡心街道83亩项目中国五冶项目部</v>
      </c>
      <c r="J4225" s="41" t="str">
        <f>VLOOKUP(B4225,辅助信息!E:I,4,FALSE)</f>
        <v>王刚</v>
      </c>
      <c r="K4225" s="41">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18</v>
      </c>
      <c r="Q4225" s="30" t="str">
        <f>VLOOKUP(B4225,辅助信息!E:M,9,FALSE)</f>
        <v>ZTWM-CDGS-XS-2025-0073-五冶天府-成都怡心湖片区及龙泉驿医院等项目</v>
      </c>
      <c r="R4225" s="30" t="str">
        <f>_xlfn._xlws.FILTER(辅助信息!D:D,辅助信息!E:E=B4225)</f>
        <v>五冶建设空港兴城怡心街道83亩项目</v>
      </c>
    </row>
    <row r="4226" hidden="1" spans="2:18">
      <c r="B4226" s="136" t="s">
        <v>203</v>
      </c>
      <c r="C4226" s="71">
        <v>45939</v>
      </c>
      <c r="D4226" s="41" t="str">
        <f>VLOOKUP(B4226,辅助信息!E:K,7,FALSE)</f>
        <v>JWDDCD2025102100479</v>
      </c>
      <c r="E4226" s="41" t="str">
        <f>VLOOKUP(F4226,辅助信息!A:B,2,FALSE)</f>
        <v>盘螺</v>
      </c>
      <c r="F4226" s="41" t="s">
        <v>41</v>
      </c>
      <c r="G4226" s="37">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1" t="str">
        <f>VLOOKUP(B4226,辅助信息!E:I,3,FALSE)</f>
        <v>(五冶建设空港兴城怡心街道83亩项目)成都市双流区怡心街道高峰社区一组剑和路一段空港兴城怡心街道83亩项目中国五冶项目部</v>
      </c>
      <c r="J4226" s="41" t="str">
        <f>VLOOKUP(B4226,辅助信息!E:I,4,FALSE)</f>
        <v>王刚</v>
      </c>
      <c r="K4226" s="41">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18</v>
      </c>
      <c r="Q4226" s="30" t="str">
        <f>VLOOKUP(B4226,辅助信息!E:M,9,FALSE)</f>
        <v>ZTWM-CDGS-XS-2025-0073-五冶天府-成都怡心湖片区及龙泉驿医院等项目</v>
      </c>
      <c r="R4226" s="30" t="str">
        <f>_xlfn._xlws.FILTER(辅助信息!D:D,辅助信息!E:E=B4226)</f>
        <v>五冶建设空港兴城怡心街道83亩项目</v>
      </c>
    </row>
    <row r="4227" hidden="1" spans="2:18">
      <c r="B4227" s="136" t="s">
        <v>203</v>
      </c>
      <c r="C4227" s="71">
        <v>45939</v>
      </c>
      <c r="D4227" s="41" t="str">
        <f>VLOOKUP(B4227,辅助信息!E:K,7,FALSE)</f>
        <v>JWDDCD2025102100479</v>
      </c>
      <c r="E4227" s="41" t="str">
        <f>VLOOKUP(F4227,辅助信息!A:B,2,FALSE)</f>
        <v>螺纹钢</v>
      </c>
      <c r="F4227" s="41" t="s">
        <v>66</v>
      </c>
      <c r="G4227" s="37">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1" t="str">
        <f>VLOOKUP(B4227,辅助信息!E:I,3,FALSE)</f>
        <v>(五冶建设空港兴城怡心街道83亩项目)成都市双流区怡心街道高峰社区一组剑和路一段空港兴城怡心街道83亩项目中国五冶项目部</v>
      </c>
      <c r="J4227" s="41" t="str">
        <f>VLOOKUP(B4227,辅助信息!E:I,4,FALSE)</f>
        <v>王刚</v>
      </c>
      <c r="K4227" s="41">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18</v>
      </c>
      <c r="Q4227" s="30" t="str">
        <f>VLOOKUP(B4227,辅助信息!E:M,9,FALSE)</f>
        <v>ZTWM-CDGS-XS-2025-0073-五冶天府-成都怡心湖片区及龙泉驿医院等项目</v>
      </c>
      <c r="R4227" s="30" t="str">
        <f>_xlfn._xlws.FILTER(辅助信息!D:D,辅助信息!E:E=B4227)</f>
        <v>五冶建设空港兴城怡心街道83亩项目</v>
      </c>
    </row>
    <row r="4228" ht="22.5" hidden="1" spans="1:18">
      <c r="A4228" s="72" t="s">
        <v>235</v>
      </c>
      <c r="B4228" s="136" t="s">
        <v>169</v>
      </c>
      <c r="C4228" s="71">
        <v>45939</v>
      </c>
      <c r="D4228" s="41" t="str">
        <f>VLOOKUP(B4228,辅助信息!E:K,7,FALSE)</f>
        <v>JWDDCD2025051800044</v>
      </c>
      <c r="E4228" s="41" t="str">
        <f>VLOOKUP(F4228,辅助信息!A:B,2,FALSE)</f>
        <v>高线</v>
      </c>
      <c r="F4228" s="41" t="s">
        <v>51</v>
      </c>
      <c r="G4228" s="37">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1" t="str">
        <f>VLOOKUP(B4228,辅助信息!E:I,3,FALSE)</f>
        <v>(五冶建设龙泉芙蓉花语项目-1,3地块)龙泉驿区北川路双堰塘钓鱼东100米(北川路)</v>
      </c>
      <c r="J4228" s="41" t="str">
        <f>VLOOKUP(B4228,辅助信息!E:I,4,FALSE)</f>
        <v>祝斯阳</v>
      </c>
      <c r="K4228" s="41">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18</v>
      </c>
      <c r="Q4228" s="30" t="str">
        <f>VLOOKUP(B4228,辅助信息!E:M,9,FALSE)</f>
        <v>ZTWM-CDGS-XS-2025-0073-五冶天府-成都怡心湖片区及龙泉驿医院等项目</v>
      </c>
      <c r="R4228" s="30" t="str">
        <f>_xlfn._xlws.FILTER(辅助信息!D:D,辅助信息!E:E=B4228)</f>
        <v>五冶建设龙泉芙蓉花语项目</v>
      </c>
    </row>
    <row r="4229" ht="22.5" hidden="1" spans="1:18">
      <c r="A4229" s="72" t="s">
        <v>236</v>
      </c>
      <c r="B4229" s="136" t="s">
        <v>169</v>
      </c>
      <c r="C4229" s="71">
        <v>45939</v>
      </c>
      <c r="D4229" s="41" t="str">
        <f>VLOOKUP(B4229,辅助信息!E:K,7,FALSE)</f>
        <v>JWDDCD2025051800044</v>
      </c>
      <c r="E4229" s="41" t="str">
        <f>VLOOKUP(F4229,辅助信息!A:B,2,FALSE)</f>
        <v>螺纹钢</v>
      </c>
      <c r="F4229" s="41" t="s">
        <v>28</v>
      </c>
      <c r="G4229" s="37">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1" t="str">
        <f>VLOOKUP(B4229,辅助信息!E:I,3,FALSE)</f>
        <v>(五冶建设龙泉芙蓉花语项目-1,3地块)龙泉驿区北川路双堰塘钓鱼东100米(北川路)</v>
      </c>
      <c r="J4229" s="41" t="str">
        <f>VLOOKUP(B4229,辅助信息!E:I,4,FALSE)</f>
        <v>祝斯阳</v>
      </c>
      <c r="K4229" s="41">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18</v>
      </c>
      <c r="Q4229" s="30" t="str">
        <f>VLOOKUP(B4229,辅助信息!E:M,9,FALSE)</f>
        <v>ZTWM-CDGS-XS-2025-0073-五冶天府-成都怡心湖片区及龙泉驿医院等项目</v>
      </c>
      <c r="R4229" s="30" t="str">
        <f>_xlfn._xlws.FILTER(辅助信息!D:D,辅助信息!E:E=B4229)</f>
        <v>五冶建设龙泉芙蓉花语项目</v>
      </c>
    </row>
    <row r="4230" ht="22.5" hidden="1" spans="1:18">
      <c r="A4230" s="72" t="s">
        <v>237</v>
      </c>
      <c r="B4230" s="136" t="s">
        <v>169</v>
      </c>
      <c r="C4230" s="71">
        <v>45939</v>
      </c>
      <c r="D4230" s="41" t="str">
        <f>VLOOKUP(B4230,辅助信息!E:K,7,FALSE)</f>
        <v>JWDDCD2025051800044</v>
      </c>
      <c r="E4230" s="41" t="str">
        <f>VLOOKUP(F4230,辅助信息!A:B,2,FALSE)</f>
        <v>螺纹钢</v>
      </c>
      <c r="F4230" s="41" t="s">
        <v>28</v>
      </c>
      <c r="G4230" s="37">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1" t="str">
        <f>VLOOKUP(B4230,辅助信息!E:I,3,FALSE)</f>
        <v>(五冶建设龙泉芙蓉花语项目-1,3地块)龙泉驿区北川路双堰塘钓鱼东100米(北川路)</v>
      </c>
      <c r="J4230" s="41" t="str">
        <f>VLOOKUP(B4230,辅助信息!E:I,4,FALSE)</f>
        <v>祝斯阳</v>
      </c>
      <c r="K4230" s="41">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18</v>
      </c>
      <c r="Q4230" s="30" t="str">
        <f>VLOOKUP(B4230,辅助信息!E:M,9,FALSE)</f>
        <v>ZTWM-CDGS-XS-2025-0073-五冶天府-成都怡心湖片区及龙泉驿医院等项目</v>
      </c>
      <c r="R4230" s="30" t="str">
        <f>_xlfn._xlws.FILTER(辅助信息!D:D,辅助信息!E:E=B4230)</f>
        <v>五冶建设龙泉芙蓉花语项目</v>
      </c>
    </row>
    <row r="4231" hidden="1" spans="2:18">
      <c r="B4231" s="136" t="s">
        <v>192</v>
      </c>
      <c r="C4231" s="71">
        <v>45939</v>
      </c>
      <c r="D4231" s="41" t="str">
        <f>VLOOKUP(B4231,辅助信息!E:K,7,FALSE)</f>
        <v>JWDDCD2025102100475</v>
      </c>
      <c r="E4231" s="41" t="str">
        <f>VLOOKUP(F4231,辅助信息!A:B,2,FALSE)</f>
        <v>盘螺</v>
      </c>
      <c r="F4231" s="41" t="s">
        <v>40</v>
      </c>
      <c r="G4231" s="37">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1" t="str">
        <f>VLOOKUP(B4231,辅助信息!E:I,3,FALSE)</f>
        <v>(五冶建设成都国际铁路港多式联项目)四川省成都市青白江区桂平大道成都中远海运陆港多式联运有限公司</v>
      </c>
      <c r="J4231" s="41" t="str">
        <f>VLOOKUP(B4231,辅助信息!E:I,4,FALSE)</f>
        <v>黄勇杰</v>
      </c>
      <c r="K4231" s="41">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18</v>
      </c>
      <c r="Q4231" s="30" t="str">
        <f>VLOOKUP(B4231,辅助信息!E:M,9,FALSE)</f>
        <v>ZTWM-CDGS-XS-2025-0073-五冶天府-成都怡心湖片区及龙泉驿医院等项目</v>
      </c>
      <c r="R4231" s="30" t="str">
        <f>_xlfn._xlws.FILTER(辅助信息!D:D,辅助信息!E:E=B4231)</f>
        <v>五冶建设成都国际铁路港多式联项目</v>
      </c>
    </row>
    <row r="4232" hidden="1" spans="2:18">
      <c r="B4232" s="136" t="s">
        <v>192</v>
      </c>
      <c r="C4232" s="71">
        <v>45939</v>
      </c>
      <c r="D4232" s="41" t="str">
        <f>VLOOKUP(B4232,辅助信息!E:K,7,FALSE)</f>
        <v>JWDDCD2025102100475</v>
      </c>
      <c r="E4232" s="41" t="str">
        <f>VLOOKUP(F4232,辅助信息!A:B,2,FALSE)</f>
        <v>盘螺</v>
      </c>
      <c r="F4232" s="41" t="s">
        <v>26</v>
      </c>
      <c r="G4232" s="37">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1" t="str">
        <f>VLOOKUP(B4232,辅助信息!E:I,3,FALSE)</f>
        <v>(五冶建设成都国际铁路港多式联项目)四川省成都市青白江区桂平大道成都中远海运陆港多式联运有限公司</v>
      </c>
      <c r="J4232" s="41" t="str">
        <f>VLOOKUP(B4232,辅助信息!E:I,4,FALSE)</f>
        <v>黄勇杰</v>
      </c>
      <c r="K4232" s="41">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18</v>
      </c>
      <c r="Q4232" s="30" t="str">
        <f>VLOOKUP(B4232,辅助信息!E:M,9,FALSE)</f>
        <v>ZTWM-CDGS-XS-2025-0073-五冶天府-成都怡心湖片区及龙泉驿医院等项目</v>
      </c>
      <c r="R4232" s="30" t="str">
        <f>_xlfn._xlws.FILTER(辅助信息!D:D,辅助信息!E:E=B4232)</f>
        <v>五冶建设成都国际铁路港多式联项目</v>
      </c>
    </row>
    <row r="4233" hidden="1" spans="2:18">
      <c r="B4233" s="136" t="s">
        <v>192</v>
      </c>
      <c r="C4233" s="71">
        <v>45939</v>
      </c>
      <c r="D4233" s="41" t="str">
        <f>VLOOKUP(B4233,辅助信息!E:K,7,FALSE)</f>
        <v>JWDDCD2025102100475</v>
      </c>
      <c r="E4233" s="41" t="str">
        <f>VLOOKUP(F4233,辅助信息!A:B,2,FALSE)</f>
        <v>螺纹钢</v>
      </c>
      <c r="F4233" s="41" t="s">
        <v>65</v>
      </c>
      <c r="G4233" s="37">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1" t="str">
        <f>VLOOKUP(B4233,辅助信息!E:I,3,FALSE)</f>
        <v>(五冶建设成都国际铁路港多式联项目)四川省成都市青白江区桂平大道成都中远海运陆港多式联运有限公司</v>
      </c>
      <c r="J4233" s="41" t="str">
        <f>VLOOKUP(B4233,辅助信息!E:I,4,FALSE)</f>
        <v>黄勇杰</v>
      </c>
      <c r="K4233" s="41">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18</v>
      </c>
      <c r="Q4233" s="30" t="str">
        <f>VLOOKUP(B4233,辅助信息!E:M,9,FALSE)</f>
        <v>ZTWM-CDGS-XS-2025-0073-五冶天府-成都怡心湖片区及龙泉驿医院等项目</v>
      </c>
      <c r="R4233" s="30" t="str">
        <f>_xlfn._xlws.FILTER(辅助信息!D:D,辅助信息!E:E=B4233)</f>
        <v>五冶建设成都国际铁路港多式联项目</v>
      </c>
    </row>
    <row r="4234" hidden="1" spans="2:18">
      <c r="B4234" s="136" t="s">
        <v>231</v>
      </c>
      <c r="C4234" s="71">
        <v>45939</v>
      </c>
      <c r="D4234" s="41" t="str">
        <f>VLOOKUP(B4234,辅助信息!E:K,7,FALSE)</f>
        <v>JWDDCD2025102100481</v>
      </c>
      <c r="E4234" s="41" t="str">
        <f>VLOOKUP(F4234,辅助信息!A:B,2,FALSE)</f>
        <v>盘螺</v>
      </c>
      <c r="F4234" s="41" t="s">
        <v>40</v>
      </c>
      <c r="G4234" s="37">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1" t="str">
        <f>VLOOKUP(B4234,辅助信息!E:I,3,FALSE)</f>
        <v>(五冶建设成都盐道街中学初中部改扩建工程-一标)四川省成都市锦江区春熙路街道盐道街4号（盐道街中学初中部）</v>
      </c>
      <c r="J4234" s="41" t="str">
        <f>VLOOKUP(B4234,辅助信息!E:I,4,FALSE)</f>
        <v>谢鑫</v>
      </c>
      <c r="K4234" s="41">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30" t="str">
        <f>VLOOKUP(B4234,辅助信息!E:M,9,FALSE)</f>
        <v>ZTWM-CDGS-XS-2025-0073-五冶天府-成都怡心湖片区及龙泉驿医院等项目</v>
      </c>
      <c r="R4234" s="30" t="str">
        <f>_xlfn._xlws.FILTER(辅助信息!D:D,辅助信息!E:E=B4234)</f>
        <v>五冶建设成都盐道街中学初中部改扩建工程</v>
      </c>
    </row>
    <row r="4235" hidden="1" spans="2:18">
      <c r="B4235" s="136" t="s">
        <v>231</v>
      </c>
      <c r="C4235" s="71">
        <v>45939</v>
      </c>
      <c r="D4235" s="41" t="str">
        <f>VLOOKUP(B4235,辅助信息!E:K,7,FALSE)</f>
        <v>JWDDCD2025102100481</v>
      </c>
      <c r="E4235" s="41" t="str">
        <f>VLOOKUP(F4235,辅助信息!A:B,2,FALSE)</f>
        <v>盘螺</v>
      </c>
      <c r="F4235" s="41" t="s">
        <v>26</v>
      </c>
      <c r="G4235" s="37">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1" t="str">
        <f>VLOOKUP(B4235,辅助信息!E:I,3,FALSE)</f>
        <v>(五冶建设成都盐道街中学初中部改扩建工程-一标)四川省成都市锦江区春熙路街道盐道街4号（盐道街中学初中部）</v>
      </c>
      <c r="J4235" s="41" t="str">
        <f>VLOOKUP(B4235,辅助信息!E:I,4,FALSE)</f>
        <v>谢鑫</v>
      </c>
      <c r="K4235" s="41">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30" t="str">
        <f>VLOOKUP(B4235,辅助信息!E:M,9,FALSE)</f>
        <v>ZTWM-CDGS-XS-2025-0073-五冶天府-成都怡心湖片区及龙泉驿医院等项目</v>
      </c>
      <c r="R4235" s="30" t="str">
        <f>_xlfn._xlws.FILTER(辅助信息!D:D,辅助信息!E:E=B4235)</f>
        <v>五冶建设成都盐道街中学初中部改扩建工程</v>
      </c>
    </row>
    <row r="4236" hidden="1" spans="2:18">
      <c r="B4236" s="136" t="s">
        <v>231</v>
      </c>
      <c r="C4236" s="71">
        <v>45939</v>
      </c>
      <c r="D4236" s="41" t="str">
        <f>VLOOKUP(B4236,辅助信息!E:K,7,FALSE)</f>
        <v>JWDDCD2025102100481</v>
      </c>
      <c r="E4236" s="41" t="str">
        <f>VLOOKUP(F4236,辅助信息!A:B,2,FALSE)</f>
        <v>螺纹钢</v>
      </c>
      <c r="F4236" s="41" t="s">
        <v>30</v>
      </c>
      <c r="G4236" s="37">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1" t="str">
        <f>VLOOKUP(B4236,辅助信息!E:I,3,FALSE)</f>
        <v>(五冶建设成都盐道街中学初中部改扩建工程-一标)四川省成都市锦江区春熙路街道盐道街4号（盐道街中学初中部）</v>
      </c>
      <c r="J4236" s="41" t="str">
        <f>VLOOKUP(B4236,辅助信息!E:I,4,FALSE)</f>
        <v>谢鑫</v>
      </c>
      <c r="K4236" s="41">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30" t="str">
        <f>VLOOKUP(B4236,辅助信息!E:M,9,FALSE)</f>
        <v>ZTWM-CDGS-XS-2025-0073-五冶天府-成都怡心湖片区及龙泉驿医院等项目</v>
      </c>
      <c r="R4236" s="30" t="str">
        <f>_xlfn._xlws.FILTER(辅助信息!D:D,辅助信息!E:E=B4236)</f>
        <v>五冶建设成都盐道街中学初中部改扩建工程</v>
      </c>
    </row>
    <row r="4237" hidden="1" spans="2:18">
      <c r="B4237" s="136" t="s">
        <v>231</v>
      </c>
      <c r="C4237" s="71">
        <v>45939</v>
      </c>
      <c r="D4237" s="41" t="str">
        <f>VLOOKUP(B4237,辅助信息!E:K,7,FALSE)</f>
        <v>JWDDCD2025102100481</v>
      </c>
      <c r="E4237" s="41" t="str">
        <f>VLOOKUP(F4237,辅助信息!A:B,2,FALSE)</f>
        <v>螺纹钢</v>
      </c>
      <c r="F4237" s="41" t="s">
        <v>28</v>
      </c>
      <c r="G4237" s="37">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1" t="str">
        <f>VLOOKUP(B4237,辅助信息!E:I,3,FALSE)</f>
        <v>(五冶建设成都盐道街中学初中部改扩建工程-一标)四川省成都市锦江区春熙路街道盐道街4号（盐道街中学初中部）</v>
      </c>
      <c r="J4237" s="41" t="str">
        <f>VLOOKUP(B4237,辅助信息!E:I,4,FALSE)</f>
        <v>谢鑫</v>
      </c>
      <c r="K4237" s="41">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30" t="str">
        <f>VLOOKUP(B4237,辅助信息!E:M,9,FALSE)</f>
        <v>ZTWM-CDGS-XS-2025-0073-五冶天府-成都怡心湖片区及龙泉驿医院等项目</v>
      </c>
      <c r="R4237" s="30" t="str">
        <f>_xlfn._xlws.FILTER(辅助信息!D:D,辅助信息!E:E=B4237)</f>
        <v>五冶建设成都盐道街中学初中部改扩建工程</v>
      </c>
    </row>
    <row r="4238" hidden="1" spans="2:18">
      <c r="B4238" s="136" t="s">
        <v>231</v>
      </c>
      <c r="C4238" s="71">
        <v>45939</v>
      </c>
      <c r="D4238" s="41" t="str">
        <f>VLOOKUP(B4238,辅助信息!E:K,7,FALSE)</f>
        <v>JWDDCD2025102100481</v>
      </c>
      <c r="E4238" s="41" t="str">
        <f>VLOOKUP(F4238,辅助信息!A:B,2,FALSE)</f>
        <v>螺纹钢</v>
      </c>
      <c r="F4238" s="41" t="s">
        <v>65</v>
      </c>
      <c r="G4238" s="37">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1" t="str">
        <f>VLOOKUP(B4238,辅助信息!E:I,3,FALSE)</f>
        <v>(五冶建设成都盐道街中学初中部改扩建工程-一标)四川省成都市锦江区春熙路街道盐道街4号（盐道街中学初中部）</v>
      </c>
      <c r="J4238" s="41" t="str">
        <f>VLOOKUP(B4238,辅助信息!E:I,4,FALSE)</f>
        <v>谢鑫</v>
      </c>
      <c r="K4238" s="41">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30" t="str">
        <f>VLOOKUP(B4238,辅助信息!E:M,9,FALSE)</f>
        <v>ZTWM-CDGS-XS-2025-0073-五冶天府-成都怡心湖片区及龙泉驿医院等项目</v>
      </c>
      <c r="R4238" s="30" t="str">
        <f>_xlfn._xlws.FILTER(辅助信息!D:D,辅助信息!E:E=B4238)</f>
        <v>五冶建设成都盐道街中学初中部改扩建工程</v>
      </c>
    </row>
    <row r="4239" hidden="1" spans="2:18">
      <c r="B4239" s="136" t="s">
        <v>112</v>
      </c>
      <c r="C4239" s="71">
        <v>45939</v>
      </c>
      <c r="D4239" s="41" t="str">
        <f>VLOOKUP(B4239,辅助信息!E:K,7,FALSE)</f>
        <v>JWDDCD2025052800131</v>
      </c>
      <c r="E4239" s="41" t="str">
        <f>VLOOKUP(F4239,辅助信息!A:B,2,FALSE)</f>
        <v>盘螺</v>
      </c>
      <c r="F4239" s="41" t="s">
        <v>49</v>
      </c>
      <c r="G4239" s="37">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1" t="str">
        <f>VLOOKUP(B4239,辅助信息!E:I,3,FALSE)</f>
        <v>（商投建工达州中医药科技园-4工区-10号楼）达州市通川区达州中医药职业学院犀牛大道北段</v>
      </c>
      <c r="J4239" s="41" t="str">
        <f>VLOOKUP(B4239,辅助信息!E:I,4,FALSE)</f>
        <v>张扬</v>
      </c>
      <c r="K4239" s="41">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30" t="str">
        <f>VLOOKUP(B4239,辅助信息!E:M,9,FALSE)</f>
        <v>ZTWM-CDGS-XS-2024-0134-商投建工达州中医药科技成果示范园项目</v>
      </c>
      <c r="R4239" s="30" t="str">
        <f>_xlfn._xlws.FILTER(辅助信息!D:D,辅助信息!E:E=B4239)</f>
        <v>商投建工达州中医药科技园</v>
      </c>
    </row>
    <row r="4240" hidden="1" spans="2:18">
      <c r="B4240" s="136" t="s">
        <v>112</v>
      </c>
      <c r="C4240" s="71">
        <v>45939</v>
      </c>
      <c r="D4240" s="41" t="str">
        <f>VLOOKUP(B4240,辅助信息!E:K,7,FALSE)</f>
        <v>JWDDCD2025052800131</v>
      </c>
      <c r="E4240" s="41" t="str">
        <f>VLOOKUP(F4240,辅助信息!A:B,2,FALSE)</f>
        <v>盘螺</v>
      </c>
      <c r="F4240" s="41" t="s">
        <v>40</v>
      </c>
      <c r="G4240" s="37">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1" t="str">
        <f>VLOOKUP(B4240,辅助信息!E:I,3,FALSE)</f>
        <v>（商投建工达州中医药科技园-4工区-10号楼）达州市通川区达州中医药职业学院犀牛大道北段</v>
      </c>
      <c r="J4240" s="41" t="str">
        <f>VLOOKUP(B4240,辅助信息!E:I,4,FALSE)</f>
        <v>张扬</v>
      </c>
      <c r="K4240" s="41">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30" t="str">
        <f>VLOOKUP(B4240,辅助信息!E:M,9,FALSE)</f>
        <v>ZTWM-CDGS-XS-2024-0134-商投建工达州中医药科技成果示范园项目</v>
      </c>
      <c r="R4240" s="30" t="str">
        <f>_xlfn._xlws.FILTER(辅助信息!D:D,辅助信息!E:E=B4240)</f>
        <v>商投建工达州中医药科技园</v>
      </c>
    </row>
    <row r="4241" hidden="1" spans="2:18">
      <c r="B4241" s="136" t="s">
        <v>112</v>
      </c>
      <c r="C4241" s="71">
        <v>45939</v>
      </c>
      <c r="D4241" s="41" t="str">
        <f>VLOOKUP(B4241,辅助信息!E:K,7,FALSE)</f>
        <v>JWDDCD2025052800131</v>
      </c>
      <c r="E4241" s="41" t="str">
        <f>VLOOKUP(F4241,辅助信息!A:B,2,FALSE)</f>
        <v>螺纹钢</v>
      </c>
      <c r="F4241" s="41" t="s">
        <v>32</v>
      </c>
      <c r="G4241" s="37">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1" t="str">
        <f>VLOOKUP(B4241,辅助信息!E:I,3,FALSE)</f>
        <v>（商投建工达州中医药科技园-4工区-10号楼）达州市通川区达州中医药职业学院犀牛大道北段</v>
      </c>
      <c r="J4241" s="41" t="str">
        <f>VLOOKUP(B4241,辅助信息!E:I,4,FALSE)</f>
        <v>张扬</v>
      </c>
      <c r="K4241" s="41">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30" t="str">
        <f>VLOOKUP(B4241,辅助信息!E:M,9,FALSE)</f>
        <v>ZTWM-CDGS-XS-2024-0134-商投建工达州中医药科技成果示范园项目</v>
      </c>
      <c r="R4241" s="30" t="str">
        <f>_xlfn._xlws.FILTER(辅助信息!D:D,辅助信息!E:E=B4241)</f>
        <v>商投建工达州中医药科技园</v>
      </c>
    </row>
    <row r="4242" hidden="1" spans="2:18">
      <c r="B4242" s="136" t="s">
        <v>112</v>
      </c>
      <c r="C4242" s="71">
        <v>45939</v>
      </c>
      <c r="D4242" s="41" t="str">
        <f>VLOOKUP(B4242,辅助信息!E:K,7,FALSE)</f>
        <v>JWDDCD2025052800131</v>
      </c>
      <c r="E4242" s="41" t="str">
        <f>VLOOKUP(F4242,辅助信息!A:B,2,FALSE)</f>
        <v>螺纹钢</v>
      </c>
      <c r="F4242" s="41" t="s">
        <v>18</v>
      </c>
      <c r="G4242" s="37">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1" t="str">
        <f>VLOOKUP(B4242,辅助信息!E:I,3,FALSE)</f>
        <v>（商投建工达州中医药科技园-4工区-10号楼）达州市通川区达州中医药职业学院犀牛大道北段</v>
      </c>
      <c r="J4242" s="41" t="str">
        <f>VLOOKUP(B4242,辅助信息!E:I,4,FALSE)</f>
        <v>张扬</v>
      </c>
      <c r="K4242" s="41">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30" t="str">
        <f>VLOOKUP(B4242,辅助信息!E:M,9,FALSE)</f>
        <v>ZTWM-CDGS-XS-2024-0134-商投建工达州中医药科技成果示范园项目</v>
      </c>
      <c r="R4242" s="30" t="str">
        <f>_xlfn._xlws.FILTER(辅助信息!D:D,辅助信息!E:E=B4242)</f>
        <v>商投建工达州中医药科技园</v>
      </c>
    </row>
    <row r="4243" hidden="1" spans="2:18">
      <c r="B4243" s="136" t="s">
        <v>112</v>
      </c>
      <c r="C4243" s="71">
        <v>45939</v>
      </c>
      <c r="D4243" s="41" t="str">
        <f>VLOOKUP(B4243,辅助信息!E:K,7,FALSE)</f>
        <v>JWDDCD2025052800131</v>
      </c>
      <c r="E4243" s="41" t="str">
        <f>VLOOKUP(F4243,辅助信息!A:B,2,FALSE)</f>
        <v>螺纹钢</v>
      </c>
      <c r="F4243" s="41" t="s">
        <v>21</v>
      </c>
      <c r="G4243" s="37">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1" t="str">
        <f>VLOOKUP(B4243,辅助信息!E:I,3,FALSE)</f>
        <v>（商投建工达州中医药科技园-4工区-10号楼）达州市通川区达州中医药职业学院犀牛大道北段</v>
      </c>
      <c r="J4243" s="41" t="str">
        <f>VLOOKUP(B4243,辅助信息!E:I,4,FALSE)</f>
        <v>张扬</v>
      </c>
      <c r="K4243" s="41">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30" t="str">
        <f>VLOOKUP(B4243,辅助信息!E:M,9,FALSE)</f>
        <v>ZTWM-CDGS-XS-2024-0134-商投建工达州中医药科技成果示范园项目</v>
      </c>
      <c r="R4243" s="30" t="str">
        <f>_xlfn._xlws.FILTER(辅助信息!D:D,辅助信息!E:E=B4243)</f>
        <v>商投建工达州中医药科技园</v>
      </c>
    </row>
    <row r="4244" hidden="1" spans="2:18">
      <c r="B4244" s="136" t="s">
        <v>112</v>
      </c>
      <c r="C4244" s="71">
        <v>45939</v>
      </c>
      <c r="D4244" s="41" t="str">
        <f>VLOOKUP(B4244,辅助信息!E:K,7,FALSE)</f>
        <v>JWDDCD2025052800131</v>
      </c>
      <c r="E4244" s="41" t="str">
        <f>VLOOKUP(F4244,辅助信息!A:B,2,FALSE)</f>
        <v>螺纹钢</v>
      </c>
      <c r="F4244" s="41" t="s">
        <v>58</v>
      </c>
      <c r="G4244" s="37">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1" t="str">
        <f>VLOOKUP(B4244,辅助信息!E:I,3,FALSE)</f>
        <v>（商投建工达州中医药科技园-4工区-10号楼）达州市通川区达州中医药职业学院犀牛大道北段</v>
      </c>
      <c r="J4244" s="41" t="str">
        <f>VLOOKUP(B4244,辅助信息!E:I,4,FALSE)</f>
        <v>张扬</v>
      </c>
      <c r="K4244" s="41">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30" t="str">
        <f>VLOOKUP(B4244,辅助信息!E:M,9,FALSE)</f>
        <v>ZTWM-CDGS-XS-2024-0134-商投建工达州中医药科技成果示范园项目</v>
      </c>
      <c r="R4244" s="30" t="str">
        <f>_xlfn._xlws.FILTER(辅助信息!D:D,辅助信息!E:E=B4244)</f>
        <v>商投建工达州中医药科技园</v>
      </c>
    </row>
    <row r="4245" hidden="1" spans="2:18">
      <c r="B4245" s="136" t="s">
        <v>112</v>
      </c>
      <c r="C4245" s="71">
        <v>45939</v>
      </c>
      <c r="D4245" s="41" t="str">
        <f>VLOOKUP(B4245,辅助信息!E:K,7,FALSE)</f>
        <v>JWDDCD2025052800131</v>
      </c>
      <c r="E4245" s="41" t="str">
        <f>VLOOKUP(F4245,辅助信息!A:B,2,FALSE)</f>
        <v>螺纹钢</v>
      </c>
      <c r="F4245" s="41" t="s">
        <v>22</v>
      </c>
      <c r="G4245" s="37">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1" t="str">
        <f>VLOOKUP(B4245,辅助信息!E:I,3,FALSE)</f>
        <v>（商投建工达州中医药科技园-4工区-10号楼）达州市通川区达州中医药职业学院犀牛大道北段</v>
      </c>
      <c r="J4245" s="41" t="str">
        <f>VLOOKUP(B4245,辅助信息!E:I,4,FALSE)</f>
        <v>张扬</v>
      </c>
      <c r="K4245" s="41">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30" t="str">
        <f>VLOOKUP(B4245,辅助信息!E:M,9,FALSE)</f>
        <v>ZTWM-CDGS-XS-2024-0134-商投建工达州中医药科技成果示范园项目</v>
      </c>
      <c r="R4245" s="30"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30" t="str">
        <f>VLOOKUP(B4246,辅助信息!E:M,9,FALSE)</f>
        <v>ZTWM-CDGS-XS-2025-0073-五冶天府-成都怡心湖片区及龙泉驿医院等项目</v>
      </c>
      <c r="R4246" s="30"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30" t="str">
        <f>VLOOKUP(B4247,辅助信息!E:M,9,FALSE)</f>
        <v>ZTWM-CDGS-XS-2025-0073-五冶天府-成都怡心湖片区及龙泉驿医院等项目</v>
      </c>
      <c r="R4247" s="30"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30" t="str">
        <f>VLOOKUP(B4248,辅助信息!E:M,9,FALSE)</f>
        <v>ZTWM-CDGS-XS-2025-0073-五冶天府-成都怡心湖片区及龙泉驿医院等项目</v>
      </c>
      <c r="R4248" s="30"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19</v>
      </c>
      <c r="Q4249" s="30" t="str">
        <f>VLOOKUP(B4249,辅助信息!E:M,9,FALSE)</f>
        <v>ZTWM-CDGS-XS-2025-0073-五冶天府-成都怡心湖片区及龙泉驿医院等项目</v>
      </c>
      <c r="R4249" s="30"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19</v>
      </c>
      <c r="Q4250" s="30" t="str">
        <f>VLOOKUP(B4250,辅助信息!E:M,9,FALSE)</f>
        <v>ZTWM-CDGS-XS-2025-0073-五冶天府-成都怡心湖片区及龙泉驿医院等项目</v>
      </c>
      <c r="R4250" s="30"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19</v>
      </c>
      <c r="Q4251" s="30" t="str">
        <f>VLOOKUP(B4251,辅助信息!E:M,9,FALSE)</f>
        <v>ZTWM-CDGS-XS-2025-0073-五冶天府-成都怡心湖片区及龙泉驿医院等项目</v>
      </c>
      <c r="R4251" s="30"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19</v>
      </c>
      <c r="Q4252" s="30" t="str">
        <f>VLOOKUP(B4252,辅助信息!E:M,9,FALSE)</f>
        <v>ZTWM-CDGS-XS-2025-0073-五冶天府-成都怡心湖片区及龙泉驿医院等项目</v>
      </c>
      <c r="R4252" s="30"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19</v>
      </c>
      <c r="Q4253" s="30" t="str">
        <f>VLOOKUP(B4253,辅助信息!E:M,9,FALSE)</f>
        <v>ZTWM-CDGS-XS-2025-0073-五冶天府-成都怡心湖片区及龙泉驿医院等项目</v>
      </c>
      <c r="R4253" s="30"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19</v>
      </c>
      <c r="Q4254" s="30" t="str">
        <f>VLOOKUP(B4254,辅助信息!E:M,9,FALSE)</f>
        <v>ZTWM-CDGS-XS-2025-0073-五冶天府-成都怡心湖片区及龙泉驿医院等项目</v>
      </c>
      <c r="R4254" s="30"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19</v>
      </c>
      <c r="Q4255" s="30" t="str">
        <f>VLOOKUP(B4255,辅助信息!E:M,9,FALSE)</f>
        <v>ZTWM-CDGS-XS-2025-0073-五冶天府-成都怡心湖片区及龙泉驿医院等项目</v>
      </c>
      <c r="R4255" s="30"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30" t="str">
        <f>VLOOKUP(B4256,辅助信息!E:M,9,FALSE)</f>
        <v>ZTWM-CDGS-XS-2025-0126-四川机司-乐山市校地共建产教融合基地配套设施项目施工二标段钢筋采购合同</v>
      </c>
      <c r="R4256" s="30"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17</v>
      </c>
      <c r="Q4257" s="30" t="str">
        <f>VLOOKUP(B4257,辅助信息!E:M,9,FALSE)</f>
        <v>ZTWM-CDGS-XS-2024-0092-华西-萌海科创农业生态谷</v>
      </c>
      <c r="R4257" s="30"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17</v>
      </c>
      <c r="Q4258" s="30" t="str">
        <f>VLOOKUP(B4258,辅助信息!E:M,9,FALSE)</f>
        <v>ZTWM-CDGS-XS-2024-0092-华西-萌海科创农业生态谷</v>
      </c>
      <c r="R4258" s="30"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17</v>
      </c>
      <c r="Q4259" s="30" t="str">
        <f>VLOOKUP(B4259,辅助信息!E:M,9,FALSE)</f>
        <v>ZTWM-CDGS-XS-2024-0092-华西-萌海科创农业生态谷</v>
      </c>
      <c r="R4259" s="30"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17</v>
      </c>
      <c r="Q4260" s="30" t="str">
        <f>VLOOKUP(B4260,辅助信息!E:M,9,FALSE)</f>
        <v>ZTWM-CDGS-XS-2024-0092-华西-萌海科创农业生态谷</v>
      </c>
      <c r="R4260" s="30"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17</v>
      </c>
      <c r="Q4261" s="30" t="str">
        <f>VLOOKUP(B4261,辅助信息!E:M,9,FALSE)</f>
        <v>ZTWM-CDGS-XS-2024-0092-华西-萌海科创农业生态谷</v>
      </c>
      <c r="R4261" s="30"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17</v>
      </c>
      <c r="Q4262" s="30" t="str">
        <f>VLOOKUP(B4262,辅助信息!E:M,9,FALSE)</f>
        <v>ZTWM-CDGS-XS-2024-0092-华西-萌海科创农业生态谷</v>
      </c>
      <c r="R4262" s="30"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17</v>
      </c>
      <c r="Q4263" s="30" t="str">
        <f>VLOOKUP(B4263,辅助信息!E:M,9,FALSE)</f>
        <v>ZTWM-CDGS-XS-2024-0092-华西-萌海科创农业生态谷</v>
      </c>
      <c r="R4263" s="30"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17</v>
      </c>
      <c r="Q4264" s="30" t="str">
        <f>VLOOKUP(B4264,辅助信息!E:M,9,FALSE)</f>
        <v>ZTWM-CDGS-XS-2024-0092-华西-萌海科创农业生态谷</v>
      </c>
      <c r="R4264" s="30"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17</v>
      </c>
      <c r="Q4265" s="30" t="str">
        <f>VLOOKUP(B4265,辅助信息!E:M,9,FALSE)</f>
        <v>ZTWM-CDGS-XS-2024-0092-华西-萌海科创农业生态谷</v>
      </c>
      <c r="R4265" s="30"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18</v>
      </c>
      <c r="Q4266" s="30" t="str">
        <f>VLOOKUP(B4266,辅助信息!E:M,9,FALSE)</f>
        <v>ZTWM-CDGS-XS-2025-0156-五冶钢构-2025年九月第一批次钢筋采购合同(三圣乡项目)-中铁物贸成都公司</v>
      </c>
      <c r="R4266" s="30"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18</v>
      </c>
      <c r="Q4267" s="30" t="str">
        <f>VLOOKUP(B4267,辅助信息!E:M,9,FALSE)</f>
        <v>ZTWM-CDGS-XS-2025-0156-五冶钢构-2025年九月第一批次钢筋采购合同(三圣乡项目)-中铁物贸成都公司</v>
      </c>
      <c r="R4267" s="30"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18</v>
      </c>
      <c r="Q4268" s="30" t="str">
        <f>VLOOKUP(B4268,辅助信息!E:M,9,FALSE)</f>
        <v>ZTWM-CDGS-XS-2025-0156-五冶钢构-2025年九月第一批次钢筋采购合同(三圣乡项目)-中铁物贸成都公司</v>
      </c>
      <c r="R4268" s="30"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18</v>
      </c>
      <c r="Q4269" s="30" t="str">
        <f>VLOOKUP(B4269,辅助信息!E:M,9,FALSE)</f>
        <v>ZTWM-CDGS-XS-2025-0156-五冶钢构-2025年九月第一批次钢筋采购合同(三圣乡项目)-中铁物贸成都公司</v>
      </c>
      <c r="R4269" s="30"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18</v>
      </c>
      <c r="Q4270" s="30" t="str">
        <f>VLOOKUP(B4270,辅助信息!E:M,9,FALSE)</f>
        <v>ZTWM-CDGS-XS-2025-0156-五冶钢构-2025年九月第一批次钢筋采购合同(三圣乡项目)-中铁物贸成都公司</v>
      </c>
      <c r="R4270" s="30"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18</v>
      </c>
      <c r="Q4271" s="30" t="str">
        <f>VLOOKUP(B4271,辅助信息!E:M,9,FALSE)</f>
        <v>ZTWM-CDGS-XS-2025-0156-五冶钢构-2025年九月第一批次钢筋采购合同(三圣乡项目)-中铁物贸成都公司</v>
      </c>
      <c r="R4271" s="30"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18</v>
      </c>
      <c r="Q4272" s="30" t="str">
        <f>VLOOKUP(B4272,辅助信息!E:M,9,FALSE)</f>
        <v>ZTWM-CDGS-XS-2025-0156-五冶钢构-2025年九月第一批次钢筋采购合同(三圣乡项目)-中铁物贸成都公司</v>
      </c>
      <c r="R4272" s="30"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18</v>
      </c>
      <c r="Q4273" s="30" t="str">
        <f>VLOOKUP(B4273,辅助信息!E:M,9,FALSE)</f>
        <v>ZTWM-CDGS-XS-2025-0156-五冶钢构-2025年九月第一批次钢筋采购合同(三圣乡项目)-中铁物贸成都公司</v>
      </c>
      <c r="R4273" s="30"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18</v>
      </c>
      <c r="Q4274" s="30" t="str">
        <f>VLOOKUP(B4274,辅助信息!E:M,9,FALSE)</f>
        <v>ZTWM-CDGS-XS-2025-0156-五冶钢构-2025年九月第一批次钢筋采购合同(三圣乡项目)-中铁物贸成都公司</v>
      </c>
      <c r="R4274" s="30"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18</v>
      </c>
      <c r="Q4275" s="30" t="str">
        <f>VLOOKUP(B4275,辅助信息!E:M,9,FALSE)</f>
        <v>ZTWM-CDGS-XS-2025-0156-五冶钢构-2025年九月第一批次钢筋采购合同(三圣乡项目)-中铁物贸成都公司</v>
      </c>
      <c r="R4275" s="30"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18</v>
      </c>
      <c r="Q4276" s="30" t="str">
        <f>VLOOKUP(B4276,辅助信息!E:M,9,FALSE)</f>
        <v>ZTWM-CDGS-XS-2025-0156-五冶钢构-2025年九月第一批次钢筋采购合同(三圣乡项目)-中铁物贸成都公司</v>
      </c>
      <c r="R4276" s="30"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18</v>
      </c>
      <c r="Q4277" s="30" t="str">
        <f>VLOOKUP(B4277,辅助信息!E:M,9,FALSE)</f>
        <v>ZTWM-CDGS-XS-2025-0156-五冶钢构-2025年九月第一批次钢筋采购合同(三圣乡项目)-中铁物贸成都公司</v>
      </c>
      <c r="R4277" s="30"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18</v>
      </c>
      <c r="Q4278" s="30" t="str">
        <f>VLOOKUP(B4278,辅助信息!E:M,9,FALSE)</f>
        <v>ZTWM-CDGS-XS-2025-0156-五冶钢构-2025年九月第一批次钢筋采购合同(三圣乡项目)-中铁物贸成都公司</v>
      </c>
      <c r="R4278" s="30"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18</v>
      </c>
      <c r="Q4279" s="30" t="str">
        <f>VLOOKUP(B4279,辅助信息!E:M,9,FALSE)</f>
        <v>ZTWM-CDGS-XS-2025-0156-五冶钢构-2025年九月第一批次钢筋采购合同(三圣乡项目)-中铁物贸成都公司</v>
      </c>
      <c r="R4279" s="30"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18</v>
      </c>
      <c r="Q4280" s="30" t="str">
        <f>VLOOKUP(B4280,辅助信息!E:M,9,FALSE)</f>
        <v>ZTWM-CDGS-XS-2025-0156-五冶钢构-2025年九月第一批次钢筋采购合同(三圣乡项目)-中铁物贸成都公司</v>
      </c>
      <c r="R4280" s="30"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18</v>
      </c>
      <c r="Q4281" s="30" t="str">
        <f>VLOOKUP(B4281,辅助信息!E:M,9,FALSE)</f>
        <v>ZTWM-CDGS-XS-2025-0156-五冶钢构-2025年九月第一批次钢筋采购合同(三圣乡项目)-中铁物贸成都公司</v>
      </c>
      <c r="R4281" s="30"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18</v>
      </c>
      <c r="Q4282" s="30" t="str">
        <f>VLOOKUP(B4282,辅助信息!E:M,9,FALSE)</f>
        <v>ZTWM-CDGS-XS-2025-0156-五冶钢构-2025年九月第一批次钢筋采购合同(三圣乡项目)-中铁物贸成都公司</v>
      </c>
      <c r="R4282" s="30"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18</v>
      </c>
      <c r="Q4283" s="30" t="str">
        <f>VLOOKUP(B4283,辅助信息!E:M,9,FALSE)</f>
        <v>ZTWM-CDGS-XS-2025-0156-五冶钢构-2025年九月第一批次钢筋采购合同(三圣乡项目)-中铁物贸成都公司</v>
      </c>
      <c r="R4283" s="30"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18</v>
      </c>
      <c r="Q4284" s="30" t="str">
        <f>VLOOKUP(B4284,辅助信息!E:M,9,FALSE)</f>
        <v>ZTWM-CDGS-XS-2025-0156-五冶钢构-2025年九月第一批次钢筋采购合同(三圣乡项目)-中铁物贸成都公司</v>
      </c>
      <c r="R4284" s="30"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18</v>
      </c>
      <c r="Q4285" s="30" t="str">
        <f>VLOOKUP(B4285,辅助信息!E:M,9,FALSE)</f>
        <v>ZTWM-CDGS-XS-2025-0156-五冶钢构-2025年九月第一批次钢筋采购合同(三圣乡项目)-中铁物贸成都公司</v>
      </c>
      <c r="R4285" s="30"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18</v>
      </c>
      <c r="Q4286" s="30" t="str">
        <f>VLOOKUP(B4286,辅助信息!E:M,9,FALSE)</f>
        <v>ZTWM-CDGS-XS-2025-0156-五冶钢构-2025年九月第一批次钢筋采购合同(三圣乡项目)-中铁物贸成都公司</v>
      </c>
      <c r="R4286" s="30"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18</v>
      </c>
      <c r="Q4287" s="30" t="str">
        <f>VLOOKUP(B4287,辅助信息!E:M,9,FALSE)</f>
        <v>ZTWM-CDGS-XS-2025-0156-五冶钢构-2025年九月第一批次钢筋采购合同(三圣乡项目)-中铁物贸成都公司</v>
      </c>
      <c r="R4287" s="30"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18</v>
      </c>
      <c r="Q4288" s="30" t="str">
        <f>VLOOKUP(B4288,辅助信息!E:M,9,FALSE)</f>
        <v>ZTWM-CDGS-XS-2025-0156-五冶钢构-2025年九月第一批次钢筋采购合同(三圣乡项目)-中铁物贸成都公司</v>
      </c>
      <c r="R4288" s="30"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18</v>
      </c>
      <c r="Q4289" s="30" t="str">
        <f>VLOOKUP(B4289,辅助信息!E:M,9,FALSE)</f>
        <v>ZTWM-CDGS-XS-2025-0156-五冶钢构-2025年九月第一批次钢筋采购合同(三圣乡项目)-中铁物贸成都公司</v>
      </c>
      <c r="R4289" s="30"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18</v>
      </c>
      <c r="Q4290" s="30" t="str">
        <f>VLOOKUP(B4290,辅助信息!E:M,9,FALSE)</f>
        <v>ZTWM-CDGS-XS-2025-0156-五冶钢构-2025年九月第一批次钢筋采购合同(三圣乡项目)-中铁物贸成都公司</v>
      </c>
      <c r="R4290" s="30"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18</v>
      </c>
      <c r="Q4291" s="30" t="str">
        <f>VLOOKUP(B4291,辅助信息!E:M,9,FALSE)</f>
        <v>ZTWM-CDGS-XS-2025-0156-五冶钢构-2025年九月第一批次钢筋采购合同(三圣乡项目)-中铁物贸成都公司</v>
      </c>
      <c r="R4291" s="30"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18</v>
      </c>
      <c r="Q4292" s="30" t="str">
        <f>VLOOKUP(B4292,辅助信息!E:M,9,FALSE)</f>
        <v>ZTWM-CDGS-XS-2025-0156-五冶钢构-2025年九月第一批次钢筋采购合同(三圣乡项目)-中铁物贸成都公司</v>
      </c>
      <c r="R4292" s="30"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18</v>
      </c>
      <c r="Q4293" s="30" t="str">
        <f>VLOOKUP(B4293,辅助信息!E:M,9,FALSE)</f>
        <v>ZTWM-CDGS-XS-2025-0156-五冶钢构-2025年九月第一批次钢筋采购合同(三圣乡项目)-中铁物贸成都公司</v>
      </c>
      <c r="R4293" s="30"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18</v>
      </c>
      <c r="Q4294" s="30" t="str">
        <f>VLOOKUP(B4294,辅助信息!E:M,9,FALSE)</f>
        <v>ZTWM-CDGS-XS-2025-0156-五冶钢构-2025年九月第一批次钢筋采购合同(三圣乡项目)-中铁物贸成都公司</v>
      </c>
      <c r="R4294" s="30"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18</v>
      </c>
      <c r="Q4295" s="30" t="str">
        <f>VLOOKUP(B4295,辅助信息!E:M,9,FALSE)</f>
        <v>ZTWM-CDGS-XS-2025-0156-五冶钢构-2025年九月第一批次钢筋采购合同(三圣乡项目)-中铁物贸成都公司</v>
      </c>
      <c r="R4295" s="30"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18</v>
      </c>
      <c r="Q4296" s="30" t="str">
        <f>VLOOKUP(B4296,辅助信息!E:M,9,FALSE)</f>
        <v>ZTWM-CDGS-XS-2025-0156-五冶钢构-2025年九月第一批次钢筋采购合同(三圣乡项目)-中铁物贸成都公司</v>
      </c>
      <c r="R4296" s="30"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18</v>
      </c>
      <c r="Q4297" s="30" t="str">
        <f>VLOOKUP(B4297,辅助信息!E:M,9,FALSE)</f>
        <v>ZTWM-CDGS-XS-2025-0156-五冶钢构-2025年九月第一批次钢筋采购合同(三圣乡项目)-中铁物贸成都公司</v>
      </c>
      <c r="R4297" s="30"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18</v>
      </c>
      <c r="Q4298" s="30" t="str">
        <f>VLOOKUP(B4298,辅助信息!E:M,9,FALSE)</f>
        <v>ZTWM-CDGS-XS-2025-0156-五冶钢构-2025年九月第一批次钢筋采购合同(三圣乡项目)-中铁物贸成都公司</v>
      </c>
      <c r="R4298" s="30"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18</v>
      </c>
      <c r="Q4299" s="30" t="str">
        <f>VLOOKUP(B4299,辅助信息!E:M,9,FALSE)</f>
        <v>ZTWM-CDGS-XS-2025-0156-五冶钢构-2025年九月第一批次钢筋采购合同(三圣乡项目)-中铁物贸成都公司</v>
      </c>
      <c r="R4299" s="30"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18</v>
      </c>
      <c r="Q4300" s="30" t="str">
        <f>VLOOKUP(B4300,辅助信息!E:M,9,FALSE)</f>
        <v>ZTWM-CDGS-XS-2025-0073-五冶天府-成都怡心湖片区及龙泉驿医院等项目</v>
      </c>
      <c r="R4300" s="30"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18</v>
      </c>
      <c r="Q4301" s="30" t="str">
        <f>VLOOKUP(B4301,辅助信息!E:M,9,FALSE)</f>
        <v>ZTWM-CDGS-XS-2025-0073-五冶天府-成都怡心湖片区及龙泉驿医院等项目</v>
      </c>
      <c r="R4301" s="30"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18</v>
      </c>
      <c r="Q4302" s="30" t="str">
        <f>VLOOKUP(B4302,辅助信息!E:M,9,FALSE)</f>
        <v>ZTWM-CDGS-XS-2025-0073-五冶天府-成都怡心湖片区及龙泉驿医院等项目</v>
      </c>
      <c r="R4302" s="30"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18</v>
      </c>
      <c r="Q4303" s="30" t="str">
        <f>VLOOKUP(B4303,辅助信息!E:M,9,FALSE)</f>
        <v>ZTWM-CDGS-XS-2025-0073-五冶天府-成都怡心湖片区及龙泉驿医院等项目</v>
      </c>
      <c r="R4303" s="30"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18</v>
      </c>
      <c r="Q4304" s="30" t="str">
        <f>VLOOKUP(B4304,辅助信息!E:M,9,FALSE)</f>
        <v>ZTWM-CDGS-XS-2025-0073-五冶天府-成都怡心湖片区及龙泉驿医院等项目</v>
      </c>
      <c r="R4304" s="30"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18</v>
      </c>
      <c r="Q4305" s="30" t="str">
        <f>VLOOKUP(B4305,辅助信息!E:M,9,FALSE)</f>
        <v>ZTWM-CDGS-XS-2025-0073-五冶天府-成都怡心湖片区及龙泉驿医院等项目</v>
      </c>
      <c r="R4305" s="30"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30" t="str">
        <f>VLOOKUP(B4306,辅助信息!E:M,9,FALSE)</f>
        <v>ZTWM-CDGS-XS-2025-0073-五冶天府-成都怡心湖片区及龙泉驿医院等项目</v>
      </c>
      <c r="R4306" s="30"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30" t="str">
        <f>VLOOKUP(B4307,辅助信息!E:M,9,FALSE)</f>
        <v>ZTWM-CDGS-XS-2025-0073-五冶天府-成都怡心湖片区及龙泉驿医院等项目</v>
      </c>
      <c r="R4307" s="30"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30" t="str">
        <f>VLOOKUP(B4308,辅助信息!E:M,9,FALSE)</f>
        <v>ZTWM-CDGS-XS-2025-0073-五冶天府-成都怡心湖片区及龙泉驿医院等项目</v>
      </c>
      <c r="R4308" s="30"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30" t="str">
        <f>VLOOKUP(B4309,辅助信息!E:M,9,FALSE)</f>
        <v>ZTWM-CDGS-XS-2025-0073-五冶天府-成都怡心湖片区及龙泉驿医院等项目</v>
      </c>
      <c r="R4309" s="30"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30" t="str">
        <f>VLOOKUP(B4310,辅助信息!E:M,9,FALSE)</f>
        <v>ZTWM-CDGS-XS-2025-0073-五冶天府-成都怡心湖片区及龙泉驿医院等项目</v>
      </c>
      <c r="R4310" s="30"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30" t="str">
        <f>VLOOKUP(B4311,辅助信息!E:M,9,FALSE)</f>
        <v>ZTWM-CDGS-XS-2024-0134-商投建工达州中医药科技成果示范园项目</v>
      </c>
      <c r="R4311" s="30"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30" t="str">
        <f>VLOOKUP(B4312,辅助信息!E:M,9,FALSE)</f>
        <v>ZTWM-CDGS-XS-2024-0134-商投建工达州中医药科技成果示范园项目</v>
      </c>
      <c r="R4312" s="30"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30" t="str">
        <f>VLOOKUP(B4313,辅助信息!E:M,9,FALSE)</f>
        <v>ZTWM-CDGS-XS-2024-0134-商投建工达州中医药科技成果示范园项目</v>
      </c>
      <c r="R4313" s="30"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30" t="str">
        <f>VLOOKUP(B4314,辅助信息!E:M,9,FALSE)</f>
        <v>ZTWM-CDGS-XS-2024-0134-商投建工达州中医药科技成果示范园项目</v>
      </c>
      <c r="R4314" s="30"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30" t="str">
        <f>VLOOKUP(B4315,辅助信息!E:M,9,FALSE)</f>
        <v>ZTWM-CDGS-XS-2024-0134-商投建工达州中医药科技成果示范园项目</v>
      </c>
      <c r="R4315" s="30"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30" t="str">
        <f>VLOOKUP(B4316,辅助信息!E:M,9,FALSE)</f>
        <v>ZTWM-CDGS-XS-2024-0134-商投建工达州中医药科技成果示范园项目</v>
      </c>
      <c r="R4316" s="30"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30" t="str">
        <f>VLOOKUP(B4317,辅助信息!E:M,9,FALSE)</f>
        <v>ZTWM-CDGS-XS-2024-0134-商投建工达州中医药科技成果示范园项目</v>
      </c>
      <c r="R4317" s="30" t="str">
        <f>_xlfn._xlws.FILTER(辅助信息!D:D,辅助信息!E:E=B4317)</f>
        <v>商投建工达州中医药科技园</v>
      </c>
    </row>
    <row r="4318" hidden="1" spans="2:18">
      <c r="B4318" s="136" t="s">
        <v>187</v>
      </c>
      <c r="C4318" s="71">
        <v>45940</v>
      </c>
      <c r="D4318" s="41" t="str">
        <f>VLOOKUP(B4318,辅助信息!E:K,7,FALSE)</f>
        <v>JWDDCD2025072900121</v>
      </c>
      <c r="E4318" s="41" t="str">
        <f>VLOOKUP(F4318,辅助信息!A:B,2,FALSE)</f>
        <v>盘螺</v>
      </c>
      <c r="F4318" s="41" t="s">
        <v>40</v>
      </c>
      <c r="G4318" s="37">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1" t="str">
        <f>VLOOKUP(B4318,辅助信息!E:I,3,FALSE)</f>
        <v>(乐山市校地共建产教融合基地建设项目一标段)四川省乐山市市中区苏稽镇周山嘴</v>
      </c>
      <c r="J4318" s="41" t="str">
        <f>VLOOKUP(B4318,辅助信息!E:I,4,FALSE)</f>
        <v>范增云</v>
      </c>
      <c r="K4318" s="41">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30" t="str">
        <f>VLOOKUP(B4318,辅助信息!E:M,9,FALSE)</f>
        <v>ZTWM-CDGS-XS-2025-0125-四川机司-乐山市校地共建产教融合基地配套设施项目施工一标段钢筋采购合同</v>
      </c>
      <c r="R4318" s="30" t="str">
        <f>_xlfn._xlws.FILTER(辅助信息!D:D,辅助信息!E:E=B4318)</f>
        <v>乐山市校地共建产教融合基地建设项目</v>
      </c>
    </row>
    <row r="4319" hidden="1" spans="2:18">
      <c r="B4319" s="136" t="s">
        <v>187</v>
      </c>
      <c r="C4319" s="71">
        <v>45940</v>
      </c>
      <c r="D4319" s="41" t="str">
        <f>VLOOKUP(B4319,辅助信息!E:K,7,FALSE)</f>
        <v>JWDDCD2025072900121</v>
      </c>
      <c r="E4319" s="41" t="str">
        <f>VLOOKUP(F4319,辅助信息!A:B,2,FALSE)</f>
        <v>盘螺</v>
      </c>
      <c r="F4319" s="41" t="s">
        <v>41</v>
      </c>
      <c r="G4319" s="37">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1" t="str">
        <f>VLOOKUP(B4319,辅助信息!E:I,3,FALSE)</f>
        <v>(乐山市校地共建产教融合基地建设项目一标段)四川省乐山市市中区苏稽镇周山嘴</v>
      </c>
      <c r="J4319" s="41" t="str">
        <f>VLOOKUP(B4319,辅助信息!E:I,4,FALSE)</f>
        <v>范增云</v>
      </c>
      <c r="K4319" s="41">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30" t="str">
        <f>VLOOKUP(B4319,辅助信息!E:M,9,FALSE)</f>
        <v>ZTWM-CDGS-XS-2025-0125-四川机司-乐山市校地共建产教融合基地配套设施项目施工一标段钢筋采购合同</v>
      </c>
      <c r="R4319" s="30" t="str">
        <f>_xlfn._xlws.FILTER(辅助信息!D:D,辅助信息!E:E=B4319)</f>
        <v>乐山市校地共建产教融合基地建设项目</v>
      </c>
    </row>
    <row r="4320" hidden="1" spans="2:18">
      <c r="B4320" s="136" t="s">
        <v>187</v>
      </c>
      <c r="C4320" s="71">
        <v>45940</v>
      </c>
      <c r="D4320" s="41" t="str">
        <f>VLOOKUP(B4320,辅助信息!E:K,7,FALSE)</f>
        <v>JWDDCD2025072900121</v>
      </c>
      <c r="E4320" s="41" t="str">
        <f>VLOOKUP(F4320,辅助信息!A:B,2,FALSE)</f>
        <v>螺纹钢</v>
      </c>
      <c r="F4320" s="41" t="s">
        <v>22</v>
      </c>
      <c r="G4320" s="37">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1" t="str">
        <f>VLOOKUP(B4320,辅助信息!E:I,3,FALSE)</f>
        <v>(乐山市校地共建产教融合基地建设项目一标段)四川省乐山市市中区苏稽镇周山嘴</v>
      </c>
      <c r="J4320" s="41" t="str">
        <f>VLOOKUP(B4320,辅助信息!E:I,4,FALSE)</f>
        <v>范增云</v>
      </c>
      <c r="K4320" s="41">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30" t="str">
        <f>VLOOKUP(B4320,辅助信息!E:M,9,FALSE)</f>
        <v>ZTWM-CDGS-XS-2025-0125-四川机司-乐山市校地共建产教融合基地配套设施项目施工一标段钢筋采购合同</v>
      </c>
      <c r="R4320" s="30" t="str">
        <f>_xlfn._xlws.FILTER(辅助信息!D:D,辅助信息!E:E=B4320)</f>
        <v>乐山市校地共建产教融合基地建设项目</v>
      </c>
    </row>
    <row r="4321" hidden="1" spans="2:18">
      <c r="B4321" s="136" t="s">
        <v>187</v>
      </c>
      <c r="C4321" s="71">
        <v>45940</v>
      </c>
      <c r="D4321" s="41" t="str">
        <f>VLOOKUP(B4321,辅助信息!E:K,7,FALSE)</f>
        <v>JWDDCD2025072900121</v>
      </c>
      <c r="E4321" s="41" t="str">
        <f>VLOOKUP(F4321,辅助信息!A:B,2,FALSE)</f>
        <v>螺纹钢</v>
      </c>
      <c r="F4321" s="41" t="s">
        <v>182</v>
      </c>
      <c r="G4321" s="37">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1" t="str">
        <f>VLOOKUP(B4321,辅助信息!E:I,3,FALSE)</f>
        <v>(乐山市校地共建产教融合基地建设项目一标段)四川省乐山市市中区苏稽镇周山嘴</v>
      </c>
      <c r="J4321" s="41" t="str">
        <f>VLOOKUP(B4321,辅助信息!E:I,4,FALSE)</f>
        <v>范增云</v>
      </c>
      <c r="K4321" s="41">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30" t="str">
        <f>VLOOKUP(B4321,辅助信息!E:M,9,FALSE)</f>
        <v>ZTWM-CDGS-XS-2025-0125-四川机司-乐山市校地共建产教融合基地配套设施项目施工一标段钢筋采购合同</v>
      </c>
      <c r="R4321" s="30" t="str">
        <f>_xlfn._xlws.FILTER(辅助信息!D:D,辅助信息!E:E=B4321)</f>
        <v>乐山市校地共建产教融合基地建设项目</v>
      </c>
    </row>
    <row r="4322" hidden="1" spans="2:18">
      <c r="B4322" s="136" t="s">
        <v>187</v>
      </c>
      <c r="C4322" s="71">
        <v>45940</v>
      </c>
      <c r="D4322" s="41" t="str">
        <f>VLOOKUP(B4322,辅助信息!E:K,7,FALSE)</f>
        <v>JWDDCD2025072900121</v>
      </c>
      <c r="E4322" s="41" t="str">
        <f>VLOOKUP(F4322,辅助信息!A:B,2,FALSE)</f>
        <v>螺纹钢</v>
      </c>
      <c r="F4322" s="41" t="s">
        <v>199</v>
      </c>
      <c r="G4322" s="37">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1" t="str">
        <f>VLOOKUP(B4322,辅助信息!E:I,3,FALSE)</f>
        <v>(乐山市校地共建产教融合基地建设项目一标段)四川省乐山市市中区苏稽镇周山嘴</v>
      </c>
      <c r="J4322" s="41" t="str">
        <f>VLOOKUP(B4322,辅助信息!E:I,4,FALSE)</f>
        <v>范增云</v>
      </c>
      <c r="K4322" s="41">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30" t="str">
        <f>VLOOKUP(B4322,辅助信息!E:M,9,FALSE)</f>
        <v>ZTWM-CDGS-XS-2025-0125-四川机司-乐山市校地共建产教融合基地配套设施项目施工一标段钢筋采购合同</v>
      </c>
      <c r="R4322" s="30" t="str">
        <f>_xlfn._xlws.FILTER(辅助信息!D:D,辅助信息!E:E=B4322)</f>
        <v>乐山市校地共建产教融合基地建设项目</v>
      </c>
    </row>
    <row r="4323" hidden="1" spans="2:18">
      <c r="B4323" s="136" t="s">
        <v>187</v>
      </c>
      <c r="C4323" s="71">
        <v>45940</v>
      </c>
      <c r="D4323" s="41" t="str">
        <f>VLOOKUP(B4323,辅助信息!E:K,7,FALSE)</f>
        <v>JWDDCD2025072900121</v>
      </c>
      <c r="E4323" s="41" t="str">
        <f>VLOOKUP(F4323,辅助信息!A:B,2,FALSE)</f>
        <v>螺纹钢</v>
      </c>
      <c r="F4323" s="41" t="s">
        <v>142</v>
      </c>
      <c r="G4323" s="37">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1" t="str">
        <f>VLOOKUP(B4323,辅助信息!E:I,3,FALSE)</f>
        <v>(乐山市校地共建产教融合基地建设项目一标段)四川省乐山市市中区苏稽镇周山嘴</v>
      </c>
      <c r="J4323" s="41" t="str">
        <f>VLOOKUP(B4323,辅助信息!E:I,4,FALSE)</f>
        <v>范增云</v>
      </c>
      <c r="K4323" s="41">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30" t="str">
        <f>VLOOKUP(B4323,辅助信息!E:M,9,FALSE)</f>
        <v>ZTWM-CDGS-XS-2025-0125-四川机司-乐山市校地共建产教融合基地配套设施项目施工一标段钢筋采购合同</v>
      </c>
      <c r="R4323" s="30" t="str">
        <f>_xlfn._xlws.FILTER(辅助信息!D:D,辅助信息!E:E=B4323)</f>
        <v>乐山市校地共建产教融合基地建设项目</v>
      </c>
    </row>
    <row r="4324" hidden="1" spans="2:18">
      <c r="B4324" s="136" t="s">
        <v>187</v>
      </c>
      <c r="C4324" s="71">
        <v>45940</v>
      </c>
      <c r="D4324" s="41" t="str">
        <f>VLOOKUP(B4324,辅助信息!E:K,7,FALSE)</f>
        <v>JWDDCD2025072900121</v>
      </c>
      <c r="E4324" s="41" t="str">
        <f>VLOOKUP(F4324,辅助信息!A:B,2,FALSE)</f>
        <v>螺纹钢</v>
      </c>
      <c r="F4324" s="41" t="s">
        <v>201</v>
      </c>
      <c r="G4324" s="37">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1" t="str">
        <f>VLOOKUP(B4324,辅助信息!E:I,3,FALSE)</f>
        <v>(乐山市校地共建产教融合基地建设项目一标段)四川省乐山市市中区苏稽镇周山嘴</v>
      </c>
      <c r="J4324" s="41" t="str">
        <f>VLOOKUP(B4324,辅助信息!E:I,4,FALSE)</f>
        <v>范增云</v>
      </c>
      <c r="K4324" s="41">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30" t="str">
        <f>VLOOKUP(B4324,辅助信息!E:M,9,FALSE)</f>
        <v>ZTWM-CDGS-XS-2025-0125-四川机司-乐山市校地共建产教融合基地配套设施项目施工一标段钢筋采购合同</v>
      </c>
      <c r="R4324" s="30" t="str">
        <f>_xlfn._xlws.FILTER(辅助信息!D:D,辅助信息!E:E=B4324)</f>
        <v>乐山市校地共建产教融合基地建设项目</v>
      </c>
    </row>
    <row r="4325" hidden="1" spans="2:18">
      <c r="B4325" s="136" t="s">
        <v>203</v>
      </c>
      <c r="C4325" s="71">
        <v>45940</v>
      </c>
      <c r="D4325" s="41" t="str">
        <f>VLOOKUP(B4325,辅助信息!E:K,7,FALSE)</f>
        <v>JWDDCD2025102100479</v>
      </c>
      <c r="E4325" s="41" t="str">
        <f>VLOOKUP(F4325,辅助信息!A:B,2,FALSE)</f>
        <v>盘螺</v>
      </c>
      <c r="F4325" s="41" t="s">
        <v>40</v>
      </c>
      <c r="G4325" s="37">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1" t="str">
        <f>VLOOKUP(B4325,辅助信息!E:I,3,FALSE)</f>
        <v>(五冶建设空港兴城怡心街道83亩项目)成都市双流区怡心街道高峰社区一组剑和路一段空港兴城怡心街道83亩项目中国五冶项目部</v>
      </c>
      <c r="J4325" s="41" t="str">
        <f>VLOOKUP(B4325,辅助信息!E:I,4,FALSE)</f>
        <v>王刚</v>
      </c>
      <c r="K4325" s="41">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30" t="str">
        <f>VLOOKUP(B4325,辅助信息!E:M,9,FALSE)</f>
        <v>ZTWM-CDGS-XS-2025-0073-五冶天府-成都怡心湖片区及龙泉驿医院等项目</v>
      </c>
      <c r="R4325" s="30" t="str">
        <f>_xlfn._xlws.FILTER(辅助信息!D:D,辅助信息!E:E=B4325)</f>
        <v>五冶建设空港兴城怡心街道83亩项目</v>
      </c>
    </row>
    <row r="4326" hidden="1" spans="2:18">
      <c r="B4326" s="136" t="s">
        <v>203</v>
      </c>
      <c r="C4326" s="71">
        <v>45940</v>
      </c>
      <c r="D4326" s="41" t="str">
        <f>VLOOKUP(B4326,辅助信息!E:K,7,FALSE)</f>
        <v>JWDDCD2025102100479</v>
      </c>
      <c r="E4326" s="41" t="str">
        <f>VLOOKUP(F4326,辅助信息!A:B,2,FALSE)</f>
        <v>盘螺</v>
      </c>
      <c r="F4326" s="41" t="s">
        <v>41</v>
      </c>
      <c r="G4326" s="37">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1" t="str">
        <f>VLOOKUP(B4326,辅助信息!E:I,3,FALSE)</f>
        <v>(五冶建设空港兴城怡心街道83亩项目)成都市双流区怡心街道高峰社区一组剑和路一段空港兴城怡心街道83亩项目中国五冶项目部</v>
      </c>
      <c r="J4326" s="41" t="str">
        <f>VLOOKUP(B4326,辅助信息!E:I,4,FALSE)</f>
        <v>王刚</v>
      </c>
      <c r="K4326" s="41">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30" t="str">
        <f>VLOOKUP(B4326,辅助信息!E:M,9,FALSE)</f>
        <v>ZTWM-CDGS-XS-2025-0073-五冶天府-成都怡心湖片区及龙泉驿医院等项目</v>
      </c>
      <c r="R4326" s="30" t="str">
        <f>_xlfn._xlws.FILTER(辅助信息!D:D,辅助信息!E:E=B4326)</f>
        <v>五冶建设空港兴城怡心街道83亩项目</v>
      </c>
    </row>
    <row r="4327" hidden="1" spans="2:18">
      <c r="B4327" s="136" t="s">
        <v>203</v>
      </c>
      <c r="C4327" s="71">
        <v>45940</v>
      </c>
      <c r="D4327" s="41" t="str">
        <f>VLOOKUP(B4327,辅助信息!E:K,7,FALSE)</f>
        <v>JWDDCD2025102100479</v>
      </c>
      <c r="E4327" s="41" t="str">
        <f>VLOOKUP(F4327,辅助信息!A:B,2,FALSE)</f>
        <v>螺纹钢</v>
      </c>
      <c r="F4327" s="41" t="s">
        <v>27</v>
      </c>
      <c r="G4327" s="37">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1" t="str">
        <f>VLOOKUP(B4327,辅助信息!E:I,3,FALSE)</f>
        <v>(五冶建设空港兴城怡心街道83亩项目)成都市双流区怡心街道高峰社区一组剑和路一段空港兴城怡心街道83亩项目中国五冶项目部</v>
      </c>
      <c r="J4327" s="41" t="str">
        <f>VLOOKUP(B4327,辅助信息!E:I,4,FALSE)</f>
        <v>王刚</v>
      </c>
      <c r="K4327" s="41">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30" t="str">
        <f>VLOOKUP(B4327,辅助信息!E:M,9,FALSE)</f>
        <v>ZTWM-CDGS-XS-2025-0073-五冶天府-成都怡心湖片区及龙泉驿医院等项目</v>
      </c>
      <c r="R4327" s="30" t="str">
        <f>_xlfn._xlws.FILTER(辅助信息!D:D,辅助信息!E:E=B4327)</f>
        <v>五冶建设空港兴城怡心街道83亩项目</v>
      </c>
    </row>
    <row r="4328" hidden="1" spans="2:18">
      <c r="B4328" s="136" t="s">
        <v>203</v>
      </c>
      <c r="C4328" s="71">
        <v>45940</v>
      </c>
      <c r="D4328" s="41" t="str">
        <f>VLOOKUP(B4328,辅助信息!E:K,7,FALSE)</f>
        <v>JWDDCD2025102100479</v>
      </c>
      <c r="E4328" s="41" t="str">
        <f>VLOOKUP(F4328,辅助信息!A:B,2,FALSE)</f>
        <v>螺纹钢</v>
      </c>
      <c r="F4328" s="41" t="s">
        <v>19</v>
      </c>
      <c r="G4328" s="37">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1" t="str">
        <f>VLOOKUP(B4328,辅助信息!E:I,3,FALSE)</f>
        <v>(五冶建设空港兴城怡心街道83亩项目)成都市双流区怡心街道高峰社区一组剑和路一段空港兴城怡心街道83亩项目中国五冶项目部</v>
      </c>
      <c r="J4328" s="41" t="str">
        <f>VLOOKUP(B4328,辅助信息!E:I,4,FALSE)</f>
        <v>王刚</v>
      </c>
      <c r="K4328" s="41">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30" t="str">
        <f>VLOOKUP(B4328,辅助信息!E:M,9,FALSE)</f>
        <v>ZTWM-CDGS-XS-2025-0073-五冶天府-成都怡心湖片区及龙泉驿医院等项目</v>
      </c>
      <c r="R4328" s="30" t="str">
        <f>_xlfn._xlws.FILTER(辅助信息!D:D,辅助信息!E:E=B4328)</f>
        <v>五冶建设空港兴城怡心街道83亩项目</v>
      </c>
    </row>
    <row r="4329" hidden="1" spans="2:18">
      <c r="B4329" s="136" t="s">
        <v>203</v>
      </c>
      <c r="C4329" s="71">
        <v>45940</v>
      </c>
      <c r="D4329" s="41" t="str">
        <f>VLOOKUP(B4329,辅助信息!E:K,7,FALSE)</f>
        <v>JWDDCD2025102100479</v>
      </c>
      <c r="E4329" s="41" t="str">
        <f>VLOOKUP(F4329,辅助信息!A:B,2,FALSE)</f>
        <v>螺纹钢</v>
      </c>
      <c r="F4329" s="41" t="s">
        <v>32</v>
      </c>
      <c r="G4329" s="37">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1" t="str">
        <f>VLOOKUP(B4329,辅助信息!E:I,3,FALSE)</f>
        <v>(五冶建设空港兴城怡心街道83亩项目)成都市双流区怡心街道高峰社区一组剑和路一段空港兴城怡心街道83亩项目中国五冶项目部</v>
      </c>
      <c r="J4329" s="41" t="str">
        <f>VLOOKUP(B4329,辅助信息!E:I,4,FALSE)</f>
        <v>王刚</v>
      </c>
      <c r="K4329" s="41">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30" t="str">
        <f>VLOOKUP(B4329,辅助信息!E:M,9,FALSE)</f>
        <v>ZTWM-CDGS-XS-2025-0073-五冶天府-成都怡心湖片区及龙泉驿医院等项目</v>
      </c>
      <c r="R4329" s="30" t="str">
        <f>_xlfn._xlws.FILTER(辅助信息!D:D,辅助信息!E:E=B4329)</f>
        <v>五冶建设空港兴城怡心街道83亩项目</v>
      </c>
    </row>
    <row r="4330" hidden="1" spans="2:18">
      <c r="B4330" s="136" t="s">
        <v>203</v>
      </c>
      <c r="C4330" s="71">
        <v>45940</v>
      </c>
      <c r="D4330" s="41" t="str">
        <f>VLOOKUP(B4330,辅助信息!E:K,7,FALSE)</f>
        <v>JWDDCD2025102100479</v>
      </c>
      <c r="E4330" s="41" t="str">
        <f>VLOOKUP(F4330,辅助信息!A:B,2,FALSE)</f>
        <v>螺纹钢</v>
      </c>
      <c r="F4330" s="41" t="s">
        <v>30</v>
      </c>
      <c r="G4330" s="37">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1" t="str">
        <f>VLOOKUP(B4330,辅助信息!E:I,3,FALSE)</f>
        <v>(五冶建设空港兴城怡心街道83亩项目)成都市双流区怡心街道高峰社区一组剑和路一段空港兴城怡心街道83亩项目中国五冶项目部</v>
      </c>
      <c r="J4330" s="41" t="str">
        <f>VLOOKUP(B4330,辅助信息!E:I,4,FALSE)</f>
        <v>王刚</v>
      </c>
      <c r="K4330" s="41">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30" t="str">
        <f>VLOOKUP(B4330,辅助信息!E:M,9,FALSE)</f>
        <v>ZTWM-CDGS-XS-2025-0073-五冶天府-成都怡心湖片区及龙泉驿医院等项目</v>
      </c>
      <c r="R4330" s="30" t="str">
        <f>_xlfn._xlws.FILTER(辅助信息!D:D,辅助信息!E:E=B4330)</f>
        <v>五冶建设空港兴城怡心街道83亩项目</v>
      </c>
    </row>
    <row r="4331" hidden="1" spans="2:18">
      <c r="B4331" s="136" t="s">
        <v>203</v>
      </c>
      <c r="C4331" s="71">
        <v>45940</v>
      </c>
      <c r="D4331" s="41" t="str">
        <f>VLOOKUP(B4331,辅助信息!E:K,7,FALSE)</f>
        <v>JWDDCD2025102100479</v>
      </c>
      <c r="E4331" s="41" t="str">
        <f>VLOOKUP(F4331,辅助信息!A:B,2,FALSE)</f>
        <v>螺纹钢</v>
      </c>
      <c r="F4331" s="41" t="s">
        <v>33</v>
      </c>
      <c r="G4331" s="37">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1" t="str">
        <f>VLOOKUP(B4331,辅助信息!E:I,3,FALSE)</f>
        <v>(五冶建设空港兴城怡心街道83亩项目)成都市双流区怡心街道高峰社区一组剑和路一段空港兴城怡心街道83亩项目中国五冶项目部</v>
      </c>
      <c r="J4331" s="41" t="str">
        <f>VLOOKUP(B4331,辅助信息!E:I,4,FALSE)</f>
        <v>王刚</v>
      </c>
      <c r="K4331" s="41">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30" t="str">
        <f>VLOOKUP(B4331,辅助信息!E:M,9,FALSE)</f>
        <v>ZTWM-CDGS-XS-2025-0073-五冶天府-成都怡心湖片区及龙泉驿医院等项目</v>
      </c>
      <c r="R4331" s="30" t="str">
        <f>_xlfn._xlws.FILTER(辅助信息!D:D,辅助信息!E:E=B4331)</f>
        <v>五冶建设空港兴城怡心街道83亩项目</v>
      </c>
    </row>
    <row r="4332" hidden="1" spans="2:18">
      <c r="B4332" s="136" t="s">
        <v>203</v>
      </c>
      <c r="C4332" s="71">
        <v>45940</v>
      </c>
      <c r="D4332" s="41" t="str">
        <f>VLOOKUP(B4332,辅助信息!E:K,7,FALSE)</f>
        <v>JWDDCD2025102100479</v>
      </c>
      <c r="E4332" s="41" t="str">
        <f>VLOOKUP(F4332,辅助信息!A:B,2,FALSE)</f>
        <v>螺纹钢</v>
      </c>
      <c r="F4332" s="41" t="s">
        <v>28</v>
      </c>
      <c r="G4332" s="37">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1" t="str">
        <f>VLOOKUP(B4332,辅助信息!E:I,3,FALSE)</f>
        <v>(五冶建设空港兴城怡心街道83亩项目)成都市双流区怡心街道高峰社区一组剑和路一段空港兴城怡心街道83亩项目中国五冶项目部</v>
      </c>
      <c r="J4332" s="41" t="str">
        <f>VLOOKUP(B4332,辅助信息!E:I,4,FALSE)</f>
        <v>王刚</v>
      </c>
      <c r="K4332" s="41">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30" t="str">
        <f>VLOOKUP(B4332,辅助信息!E:M,9,FALSE)</f>
        <v>ZTWM-CDGS-XS-2025-0073-五冶天府-成都怡心湖片区及龙泉驿医院等项目</v>
      </c>
      <c r="R4332" s="30" t="str">
        <f>_xlfn._xlws.FILTER(辅助信息!D:D,辅助信息!E:E=B4332)</f>
        <v>五冶建设空港兴城怡心街道83亩项目</v>
      </c>
    </row>
    <row r="4333" hidden="1" spans="2:18">
      <c r="B4333" s="136" t="s">
        <v>203</v>
      </c>
      <c r="C4333" s="71">
        <v>45940</v>
      </c>
      <c r="D4333" s="41" t="str">
        <f>VLOOKUP(B4333,辅助信息!E:K,7,FALSE)</f>
        <v>JWDDCD2025102100479</v>
      </c>
      <c r="E4333" s="41" t="str">
        <f>VLOOKUP(F4333,辅助信息!A:B,2,FALSE)</f>
        <v>螺纹钢</v>
      </c>
      <c r="F4333" s="41" t="s">
        <v>82</v>
      </c>
      <c r="G4333" s="37">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1" t="str">
        <f>VLOOKUP(B4333,辅助信息!E:I,3,FALSE)</f>
        <v>(五冶建设空港兴城怡心街道83亩项目)成都市双流区怡心街道高峰社区一组剑和路一段空港兴城怡心街道83亩项目中国五冶项目部</v>
      </c>
      <c r="J4333" s="41" t="str">
        <f>VLOOKUP(B4333,辅助信息!E:I,4,FALSE)</f>
        <v>王刚</v>
      </c>
      <c r="K4333" s="41">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30" t="str">
        <f>VLOOKUP(B4333,辅助信息!E:M,9,FALSE)</f>
        <v>ZTWM-CDGS-XS-2025-0073-五冶天府-成都怡心湖片区及龙泉驿医院等项目</v>
      </c>
      <c r="R4333" s="30" t="str">
        <f>_xlfn._xlws.FILTER(辅助信息!D:D,辅助信息!E:E=B4333)</f>
        <v>五冶建设空港兴城怡心街道83亩项目</v>
      </c>
    </row>
    <row r="4334" hidden="1" spans="2:18">
      <c r="B4334" s="136" t="s">
        <v>203</v>
      </c>
      <c r="C4334" s="71">
        <v>45940</v>
      </c>
      <c r="D4334" s="41" t="str">
        <f>VLOOKUP(B4334,辅助信息!E:K,7,FALSE)</f>
        <v>JWDDCD2025102100479</v>
      </c>
      <c r="E4334" s="41" t="str">
        <f>VLOOKUP(F4334,辅助信息!A:B,2,FALSE)</f>
        <v>螺纹钢</v>
      </c>
      <c r="F4334" s="41" t="s">
        <v>21</v>
      </c>
      <c r="G4334" s="37">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1" t="str">
        <f>VLOOKUP(B4334,辅助信息!E:I,3,FALSE)</f>
        <v>(五冶建设空港兴城怡心街道83亩项目)成都市双流区怡心街道高峰社区一组剑和路一段空港兴城怡心街道83亩项目中国五冶项目部</v>
      </c>
      <c r="J4334" s="41" t="str">
        <f>VLOOKUP(B4334,辅助信息!E:I,4,FALSE)</f>
        <v>王刚</v>
      </c>
      <c r="K4334" s="41">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30" t="str">
        <f>VLOOKUP(B4334,辅助信息!E:M,9,FALSE)</f>
        <v>ZTWM-CDGS-XS-2025-0073-五冶天府-成都怡心湖片区及龙泉驿医院等项目</v>
      </c>
      <c r="R4334" s="30" t="str">
        <f>_xlfn._xlws.FILTER(辅助信息!D:D,辅助信息!E:E=B4334)</f>
        <v>五冶建设空港兴城怡心街道83亩项目</v>
      </c>
    </row>
    <row r="4335" hidden="1" spans="2:18">
      <c r="B4335" s="136" t="s">
        <v>203</v>
      </c>
      <c r="C4335" s="71">
        <v>45940</v>
      </c>
      <c r="D4335" s="41" t="str">
        <f>VLOOKUP(B4335,辅助信息!E:K,7,FALSE)</f>
        <v>JWDDCD2025102100479</v>
      </c>
      <c r="E4335" s="41" t="str">
        <f>VLOOKUP(F4335,辅助信息!A:B,2,FALSE)</f>
        <v>螺纹钢</v>
      </c>
      <c r="F4335" s="41" t="s">
        <v>58</v>
      </c>
      <c r="G4335" s="37">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1" t="str">
        <f>VLOOKUP(B4335,辅助信息!E:I,3,FALSE)</f>
        <v>(五冶建设空港兴城怡心街道83亩项目)成都市双流区怡心街道高峰社区一组剑和路一段空港兴城怡心街道83亩项目中国五冶项目部</v>
      </c>
      <c r="J4335" s="41" t="str">
        <f>VLOOKUP(B4335,辅助信息!E:I,4,FALSE)</f>
        <v>王刚</v>
      </c>
      <c r="K4335" s="41">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30" t="str">
        <f>VLOOKUP(B4335,辅助信息!E:M,9,FALSE)</f>
        <v>ZTWM-CDGS-XS-2025-0073-五冶天府-成都怡心湖片区及龙泉驿医院等项目</v>
      </c>
      <c r="R4335" s="30" t="str">
        <f>_xlfn._xlws.FILTER(辅助信息!D:D,辅助信息!E:E=B4335)</f>
        <v>五冶建设空港兴城怡心街道83亩项目</v>
      </c>
    </row>
    <row r="4336" hidden="1" spans="2:18">
      <c r="B4336" s="136" t="s">
        <v>203</v>
      </c>
      <c r="C4336" s="71">
        <v>45940</v>
      </c>
      <c r="D4336" s="41" t="str">
        <f>VLOOKUP(B4336,辅助信息!E:K,7,FALSE)</f>
        <v>JWDDCD2025102100479</v>
      </c>
      <c r="E4336" s="41" t="str">
        <f>VLOOKUP(F4336,辅助信息!A:B,2,FALSE)</f>
        <v>螺纹钢</v>
      </c>
      <c r="F4336" s="41" t="s">
        <v>46</v>
      </c>
      <c r="G4336" s="37">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1" t="str">
        <f>VLOOKUP(B4336,辅助信息!E:I,3,FALSE)</f>
        <v>(五冶建设空港兴城怡心街道83亩项目)成都市双流区怡心街道高峰社区一组剑和路一段空港兴城怡心街道83亩项目中国五冶项目部</v>
      </c>
      <c r="J4336" s="41" t="str">
        <f>VLOOKUP(B4336,辅助信息!E:I,4,FALSE)</f>
        <v>王刚</v>
      </c>
      <c r="K4336" s="41">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30" t="str">
        <f>VLOOKUP(B4336,辅助信息!E:M,9,FALSE)</f>
        <v>ZTWM-CDGS-XS-2025-0073-五冶天府-成都怡心湖片区及龙泉驿医院等项目</v>
      </c>
      <c r="R4336" s="30" t="str">
        <f>_xlfn._xlws.FILTER(辅助信息!D:D,辅助信息!E:E=B4336)</f>
        <v>五冶建设空港兴城怡心街道83亩项目</v>
      </c>
    </row>
    <row r="4337" hidden="1" spans="2:18">
      <c r="B4337" s="136" t="s">
        <v>203</v>
      </c>
      <c r="C4337" s="71">
        <v>45940</v>
      </c>
      <c r="D4337" s="41" t="str">
        <f>VLOOKUP(B4337,辅助信息!E:K,7,FALSE)</f>
        <v>JWDDCD2025102100479</v>
      </c>
      <c r="E4337" s="41" t="str">
        <f>VLOOKUP(F4337,辅助信息!A:B,2,FALSE)</f>
        <v>螺纹钢</v>
      </c>
      <c r="F4337" s="41" t="s">
        <v>22</v>
      </c>
      <c r="G4337" s="37">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1" t="str">
        <f>VLOOKUP(B4337,辅助信息!E:I,3,FALSE)</f>
        <v>(五冶建设空港兴城怡心街道83亩项目)成都市双流区怡心街道高峰社区一组剑和路一段空港兴城怡心街道83亩项目中国五冶项目部</v>
      </c>
      <c r="J4337" s="41" t="str">
        <f>VLOOKUP(B4337,辅助信息!E:I,4,FALSE)</f>
        <v>王刚</v>
      </c>
      <c r="K4337" s="41">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30" t="str">
        <f>VLOOKUP(B4337,辅助信息!E:M,9,FALSE)</f>
        <v>ZTWM-CDGS-XS-2025-0073-五冶天府-成都怡心湖片区及龙泉驿医院等项目</v>
      </c>
      <c r="R4337" s="30"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17</v>
      </c>
      <c r="Q4338" s="30" t="str">
        <f>VLOOKUP(B4338,辅助信息!E:M,9,FALSE)</f>
        <v>ZTWM-CDGS-XS-2024-0092-华西-萌海科创农业生态谷</v>
      </c>
      <c r="R4338" s="30"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17</v>
      </c>
      <c r="Q4339" s="30" t="str">
        <f>VLOOKUP(B4339,辅助信息!E:M,9,FALSE)</f>
        <v>ZTWM-CDGS-XS-2024-0092-华西-萌海科创农业生态谷</v>
      </c>
      <c r="R4339" s="30"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17</v>
      </c>
      <c r="Q4340" s="30" t="str">
        <f>VLOOKUP(B4340,辅助信息!E:M,9,FALSE)</f>
        <v>ZTWM-CDGS-XS-2024-0092-华西-萌海科创农业生态谷</v>
      </c>
      <c r="R4340" s="30"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18</v>
      </c>
      <c r="Q4341" s="30" t="str">
        <f>VLOOKUP(B4341,辅助信息!E:M,9,FALSE)</f>
        <v>ZTWM-CDGS-XS-2025-0156-五冶钢构-2025年九月第一批次钢筋采购合同(三圣乡项目)-中铁物贸成都公司</v>
      </c>
      <c r="R4341" s="30"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18</v>
      </c>
      <c r="Q4342" s="30" t="str">
        <f>VLOOKUP(B4342,辅助信息!E:M,9,FALSE)</f>
        <v>ZTWM-CDGS-XS-2025-0156-五冶钢构-2025年九月第一批次钢筋采购合同(三圣乡项目)-中铁物贸成都公司</v>
      </c>
      <c r="R4342" s="30"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18</v>
      </c>
      <c r="Q4343" s="30" t="str">
        <f>VLOOKUP(B4343,辅助信息!E:M,9,FALSE)</f>
        <v>ZTWM-CDGS-XS-2025-0156-五冶钢构-2025年九月第一批次钢筋采购合同(三圣乡项目)-中铁物贸成都公司</v>
      </c>
      <c r="R4343" s="30"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18</v>
      </c>
      <c r="Q4344" s="30" t="str">
        <f>VLOOKUP(B4344,辅助信息!E:M,9,FALSE)</f>
        <v>ZTWM-CDGS-XS-2025-0156-五冶钢构-2025年九月第一批次钢筋采购合同(三圣乡项目)-中铁物贸成都公司</v>
      </c>
      <c r="R4344" s="30"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18</v>
      </c>
      <c r="Q4345" s="30" t="str">
        <f>VLOOKUP(B4345,辅助信息!E:M,9,FALSE)</f>
        <v>ZTWM-CDGS-XS-2025-0156-五冶钢构-2025年九月第一批次钢筋采购合同(三圣乡项目)-中铁物贸成都公司</v>
      </c>
      <c r="R4345" s="30"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18</v>
      </c>
      <c r="Q4346" s="30" t="str">
        <f>VLOOKUP(B4346,辅助信息!E:M,9,FALSE)</f>
        <v>ZTWM-CDGS-XS-2025-0156-五冶钢构-2025年九月第一批次钢筋采购合同(三圣乡项目)-中铁物贸成都公司</v>
      </c>
      <c r="R4346" s="30"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18</v>
      </c>
      <c r="Q4347" s="30" t="str">
        <f>VLOOKUP(B4347,辅助信息!E:M,9,FALSE)</f>
        <v>ZTWM-CDGS-XS-2025-0156-五冶钢构-2025年九月第一批次钢筋采购合同(三圣乡项目)-中铁物贸成都公司</v>
      </c>
      <c r="R4347" s="30"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18</v>
      </c>
      <c r="Q4348" s="30" t="str">
        <f>VLOOKUP(B4348,辅助信息!E:M,9,FALSE)</f>
        <v>ZTWM-CDGS-XS-2025-0156-五冶钢构-2025年九月第一批次钢筋采购合同(三圣乡项目)-中铁物贸成都公司</v>
      </c>
      <c r="R4348" s="30"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18</v>
      </c>
      <c r="Q4349" s="30" t="str">
        <f>VLOOKUP(B4349,辅助信息!E:M,9,FALSE)</f>
        <v>ZTWM-CDGS-XS-2025-0156-五冶钢构-2025年九月第一批次钢筋采购合同(三圣乡项目)-中铁物贸成都公司</v>
      </c>
      <c r="R4349" s="30"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18</v>
      </c>
      <c r="Q4350" s="30" t="str">
        <f>VLOOKUP(B4350,辅助信息!E:M,9,FALSE)</f>
        <v>ZTWM-CDGS-XS-2025-0156-五冶钢构-2025年九月第一批次钢筋采购合同(三圣乡项目)-中铁物贸成都公司</v>
      </c>
      <c r="R4350" s="30"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18</v>
      </c>
      <c r="Q4351" s="30" t="str">
        <f>VLOOKUP(B4351,辅助信息!E:M,9,FALSE)</f>
        <v>ZTWM-CDGS-XS-2025-0156-五冶钢构-2025年九月第一批次钢筋采购合同(三圣乡项目)-中铁物贸成都公司</v>
      </c>
      <c r="R4351" s="30"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18</v>
      </c>
      <c r="Q4352" s="30" t="str">
        <f>VLOOKUP(B4352,辅助信息!E:M,9,FALSE)</f>
        <v>ZTWM-CDGS-XS-2025-0156-五冶钢构-2025年九月第一批次钢筋采购合同(三圣乡项目)-中铁物贸成都公司</v>
      </c>
      <c r="R4352" s="30"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18</v>
      </c>
      <c r="Q4353" s="30" t="str">
        <f>VLOOKUP(B4353,辅助信息!E:M,9,FALSE)</f>
        <v>ZTWM-CDGS-XS-2025-0156-五冶钢构-2025年九月第一批次钢筋采购合同(三圣乡项目)-中铁物贸成都公司</v>
      </c>
      <c r="R4353" s="30"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18</v>
      </c>
      <c r="Q4354" s="30" t="str">
        <f>VLOOKUP(B4354,辅助信息!E:M,9,FALSE)</f>
        <v>ZTWM-CDGS-XS-2025-0156-五冶钢构-2025年九月第一批次钢筋采购合同(三圣乡项目)-中铁物贸成都公司</v>
      </c>
      <c r="R4354" s="30"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18</v>
      </c>
      <c r="Q4355" s="30" t="str">
        <f>VLOOKUP(B4355,辅助信息!E:M,9,FALSE)</f>
        <v>ZTWM-CDGS-XS-2025-0156-五冶钢构-2025年九月第一批次钢筋采购合同(三圣乡项目)-中铁物贸成都公司</v>
      </c>
      <c r="R4355" s="30"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18</v>
      </c>
      <c r="Q4356" s="30" t="str">
        <f>VLOOKUP(B4356,辅助信息!E:M,9,FALSE)</f>
        <v>ZTWM-CDGS-XS-2025-0156-五冶钢构-2025年九月第一批次钢筋采购合同(三圣乡项目)-中铁物贸成都公司</v>
      </c>
      <c r="R4356" s="30"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18</v>
      </c>
      <c r="Q4357" s="30" t="str">
        <f>VLOOKUP(B4357,辅助信息!E:M,9,FALSE)</f>
        <v>ZTWM-CDGS-XS-2025-0156-五冶钢构-2025年九月第一批次钢筋采购合同(三圣乡项目)-中铁物贸成都公司</v>
      </c>
      <c r="R4357" s="30"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18</v>
      </c>
      <c r="Q4358" s="30" t="str">
        <f>VLOOKUP(B4358,辅助信息!E:M,9,FALSE)</f>
        <v>ZTWM-CDGS-XS-2025-0156-五冶钢构-2025年九月第一批次钢筋采购合同(三圣乡项目)-中铁物贸成都公司</v>
      </c>
      <c r="R4358" s="30"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18</v>
      </c>
      <c r="Q4359" s="30" t="str">
        <f>VLOOKUP(B4359,辅助信息!E:M,9,FALSE)</f>
        <v>ZTWM-CDGS-XS-2025-0156-五冶钢构-2025年九月第一批次钢筋采购合同(三圣乡项目)-中铁物贸成都公司</v>
      </c>
      <c r="R4359" s="30"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18</v>
      </c>
      <c r="Q4360" s="30" t="str">
        <f>VLOOKUP(B4360,辅助信息!E:M,9,FALSE)</f>
        <v>ZTWM-CDGS-XS-2025-0156-五冶钢构-2025年九月第一批次钢筋采购合同(三圣乡项目)-中铁物贸成都公司</v>
      </c>
      <c r="R4360" s="30"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18</v>
      </c>
      <c r="Q4361" s="30" t="str">
        <f>VLOOKUP(B4361,辅助信息!E:M,9,FALSE)</f>
        <v>ZTWM-CDGS-XS-2025-0156-五冶钢构-2025年九月第一批次钢筋采购合同(三圣乡项目)-中铁物贸成都公司</v>
      </c>
      <c r="R4361" s="30"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18</v>
      </c>
      <c r="Q4362" s="30" t="str">
        <f>VLOOKUP(B4362,辅助信息!E:M,9,FALSE)</f>
        <v>ZTWM-CDGS-XS-2025-0156-五冶钢构-2025年九月第一批次钢筋采购合同(三圣乡项目)-中铁物贸成都公司</v>
      </c>
      <c r="R4362" s="30"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18</v>
      </c>
      <c r="Q4363" s="30" t="str">
        <f>VLOOKUP(B4363,辅助信息!E:M,9,FALSE)</f>
        <v>ZTWM-CDGS-XS-2025-0156-五冶钢构-2025年九月第一批次钢筋采购合同(三圣乡项目)-中铁物贸成都公司</v>
      </c>
      <c r="R4363" s="30"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18</v>
      </c>
      <c r="Q4364" s="30" t="str">
        <f>VLOOKUP(B4364,辅助信息!E:M,9,FALSE)</f>
        <v>ZTWM-CDGS-XS-2025-0156-五冶钢构-2025年九月第一批次钢筋采购合同(三圣乡项目)-中铁物贸成都公司</v>
      </c>
      <c r="R4364" s="30"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18</v>
      </c>
      <c r="Q4365" s="30" t="str">
        <f>VLOOKUP(B4365,辅助信息!E:M,9,FALSE)</f>
        <v>ZTWM-CDGS-XS-2025-0156-五冶钢构-2025年九月第一批次钢筋采购合同(三圣乡项目)-中铁物贸成都公司</v>
      </c>
      <c r="R4365" s="30"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18</v>
      </c>
      <c r="Q4366" s="30" t="str">
        <f>VLOOKUP(B4366,辅助信息!E:M,9,FALSE)</f>
        <v>ZTWM-CDGS-XS-2025-0156-五冶钢构-2025年九月第一批次钢筋采购合同(三圣乡项目)-中铁物贸成都公司</v>
      </c>
      <c r="R4366" s="30"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18</v>
      </c>
      <c r="Q4367" s="30" t="str">
        <f>VLOOKUP(B4367,辅助信息!E:M,9,FALSE)</f>
        <v>ZTWM-CDGS-XS-2025-0156-五冶钢构-2025年九月第一批次钢筋采购合同(三圣乡项目)-中铁物贸成都公司</v>
      </c>
      <c r="R4367" s="30"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18</v>
      </c>
      <c r="Q4368" s="30" t="str">
        <f>VLOOKUP(B4368,辅助信息!E:M,9,FALSE)</f>
        <v>ZTWM-CDGS-XS-2025-0156-五冶钢构-2025年九月第一批次钢筋采购合同(三圣乡项目)-中铁物贸成都公司</v>
      </c>
      <c r="R4368" s="30"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18</v>
      </c>
      <c r="Q4369" s="30" t="str">
        <f>VLOOKUP(B4369,辅助信息!E:M,9,FALSE)</f>
        <v>ZTWM-CDGS-XS-2025-0156-五冶钢构-2025年九月第一批次钢筋采购合同(三圣乡项目)-中铁物贸成都公司</v>
      </c>
      <c r="R4369" s="30"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18</v>
      </c>
      <c r="Q4370" s="30" t="str">
        <f>VLOOKUP(B4370,辅助信息!E:M,9,FALSE)</f>
        <v>ZTWM-CDGS-XS-2025-0156-五冶钢构-2025年九月第一批次钢筋采购合同(三圣乡项目)-中铁物贸成都公司</v>
      </c>
      <c r="R4370" s="30"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18</v>
      </c>
      <c r="Q4371" s="30" t="str">
        <f>VLOOKUP(B4371,辅助信息!E:M,9,FALSE)</f>
        <v>ZTWM-CDGS-XS-2025-0156-五冶钢构-2025年九月第一批次钢筋采购合同(三圣乡项目)-中铁物贸成都公司</v>
      </c>
      <c r="R4371" s="30"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18</v>
      </c>
      <c r="Q4372" s="30" t="str">
        <f>VLOOKUP(B4372,辅助信息!E:M,9,FALSE)</f>
        <v>ZTWM-CDGS-XS-2025-0156-五冶钢构-2025年九月第一批次钢筋采购合同(三圣乡项目)-中铁物贸成都公司</v>
      </c>
      <c r="R4372" s="30"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18</v>
      </c>
      <c r="Q4373" s="30" t="str">
        <f>VLOOKUP(B4373,辅助信息!E:M,9,FALSE)</f>
        <v>ZTWM-CDGS-XS-2025-0156-五冶钢构-2025年九月第一批次钢筋采购合同(三圣乡项目)-中铁物贸成都公司</v>
      </c>
      <c r="R4373" s="30"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30" t="str">
        <f>VLOOKUP(B4374,辅助信息!E:M,9,FALSE)</f>
        <v>ZTWM-CDGS-XS-2024-0134-商投建工达州中医药科技成果示范园项目</v>
      </c>
      <c r="R4374" s="30"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30" t="str">
        <f>VLOOKUP(B4375,辅助信息!E:M,9,FALSE)</f>
        <v>ZTWM-CDGS-XS-2024-0134-商投建工达州中医药科技成果示范园项目</v>
      </c>
      <c r="R4375" s="30"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30" t="str">
        <f>VLOOKUP(B4376,辅助信息!E:M,9,FALSE)</f>
        <v>ZTWM-CDGS-XS-2024-0134-商投建工达州中医药科技成果示范园项目</v>
      </c>
      <c r="R4376" s="30"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30" t="str">
        <f>VLOOKUP(B4377,辅助信息!E:M,9,FALSE)</f>
        <v>ZTWM-CDGS-XS-2024-0134-商投建工达州中医药科技成果示范园项目</v>
      </c>
      <c r="R4377" s="30"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30" t="str">
        <f>VLOOKUP(B4378,辅助信息!E:M,9,FALSE)</f>
        <v>ZTWM-CDGS-XS-2024-0134-商投建工达州中医药科技成果示范园项目</v>
      </c>
      <c r="R4378" s="30"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30" t="str">
        <f>VLOOKUP(B4379,辅助信息!E:M,9,FALSE)</f>
        <v>ZTWM-CDGS-XS-2024-0134-商投建工达州中医药科技成果示范园项目</v>
      </c>
      <c r="R4379" s="30"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30" t="str">
        <f>VLOOKUP(B4380,辅助信息!E:M,9,FALSE)</f>
        <v>ZTWM-CDGS-XS-2024-0134-商投建工达州中医药科技成果示范园项目</v>
      </c>
      <c r="R4380" s="30"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30" t="str">
        <f>VLOOKUP(B4381,辅助信息!E:M,9,FALSE)</f>
        <v>ZTWM-CDGS-XS-2025-0125-四川机司-乐山市校地共建产教融合基地配套设施项目施工一标段钢筋采购合同</v>
      </c>
      <c r="R4381" s="30"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30" t="str">
        <f>VLOOKUP(B4382,辅助信息!E:M,9,FALSE)</f>
        <v>ZTWM-CDGS-XS-2025-0125-四川机司-乐山市校地共建产教融合基地配套设施项目施工一标段钢筋采购合同</v>
      </c>
      <c r="R4382" s="30"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30" t="str">
        <f>VLOOKUP(B4383,辅助信息!E:M,9,FALSE)</f>
        <v>ZTWM-CDGS-XS-2025-0073-五冶天府-成都怡心湖片区及龙泉驿医院等项目</v>
      </c>
      <c r="R4383" s="30"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30" t="str">
        <f>VLOOKUP(B4384,辅助信息!E:M,9,FALSE)</f>
        <v>ZTWM-CDGS-XS-2025-0073-五冶天府-成都怡心湖片区及龙泉驿医院等项目</v>
      </c>
      <c r="R4384" s="30"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30" t="str">
        <f>VLOOKUP(B4385,辅助信息!E:M,9,FALSE)</f>
        <v>ZTWM-CDGS-XS-2025-0073-五冶天府-成都怡心湖片区及龙泉驿医院等项目</v>
      </c>
      <c r="R4385" s="30"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30" t="str">
        <f>VLOOKUP(B4386,辅助信息!E:M,9,FALSE)</f>
        <v>ZTWM-CDGS-XS-2025-0073-五冶天府-成都怡心湖片区及龙泉驿医院等项目</v>
      </c>
      <c r="R4386" s="30"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30" t="str">
        <f>VLOOKUP(B4387,辅助信息!E:M,9,FALSE)</f>
        <v>ZTWM-CDGS-XS-2025-0073-五冶天府-成都怡心湖片区及龙泉驿医院等项目</v>
      </c>
      <c r="R4387" s="30"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30" t="str">
        <f>VLOOKUP(B4388,辅助信息!E:M,9,FALSE)</f>
        <v>ZTWM-CDGS-XS-2025-0073-五冶天府-成都怡心湖片区及龙泉驿医院等项目</v>
      </c>
      <c r="R4388" s="30"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30" t="str">
        <f>VLOOKUP(B4389,辅助信息!E:M,9,FALSE)</f>
        <v>ZTWM-CDGS-XS-2025-0073-五冶天府-成都怡心湖片区及龙泉驿医院等项目</v>
      </c>
      <c r="R4389" s="30"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30" t="str">
        <f>VLOOKUP(B4390,辅助信息!E:M,9,FALSE)</f>
        <v>ZTWM-CDGS-XS-2025-0073-五冶天府-成都怡心湖片区及龙泉驿医院等项目</v>
      </c>
      <c r="R4390" s="30"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30" t="str">
        <f>VLOOKUP(B4391,辅助信息!E:M,9,FALSE)</f>
        <v>ZTWM-CDGS-XS-2025-0073-五冶天府-成都怡心湖片区及龙泉驿医院等项目</v>
      </c>
      <c r="R4391" s="30"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30" t="str">
        <f>VLOOKUP(B4392,辅助信息!E:M,9,FALSE)</f>
        <v>ZTWM-CDGS-XS-2025-0073-五冶天府-成都怡心湖片区及龙泉驿医院等项目</v>
      </c>
      <c r="R4392" s="30"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30" t="str">
        <f>VLOOKUP(B4393,辅助信息!E:M,9,FALSE)</f>
        <v>ZTWM-CDGS-XS-2025-0073-五冶天府-成都怡心湖片区及龙泉驿医院等项目</v>
      </c>
      <c r="R4393" s="30"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30" t="str">
        <f>VLOOKUP(B4394,辅助信息!E:M,9,FALSE)</f>
        <v>ZTWM-CDGS-XS-2025-0073-五冶天府-成都怡心湖片区及龙泉驿医院等项目</v>
      </c>
      <c r="R4394" s="30"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30" t="str">
        <f>VLOOKUP(B4395,辅助信息!E:M,9,FALSE)</f>
        <v>ZTWM-CDGS-XS-2025-0073-五冶天府-成都怡心湖片区及龙泉驿医院等项目</v>
      </c>
      <c r="R4395" s="30" t="str">
        <f>_xlfn._xlws.FILTER(辅助信息!D:D,辅助信息!E:E=B4395)</f>
        <v>五冶建设空港兴城怡心街道83亩项目</v>
      </c>
    </row>
    <row r="4396" hidden="1" spans="1:18">
      <c r="A4396" s="58" t="s">
        <v>238</v>
      </c>
      <c r="B4396" s="136" t="s">
        <v>44</v>
      </c>
      <c r="C4396" s="71">
        <v>45941</v>
      </c>
      <c r="D4396" s="41" t="str">
        <f>VLOOKUP(B4396,辅助信息!E:K,7,FALSE)</f>
        <v>JWDDCD2025060600053</v>
      </c>
      <c r="E4396" s="41" t="str">
        <f>VLOOKUP(F4396,辅助信息!A:B,2,FALSE)</f>
        <v>盘螺</v>
      </c>
      <c r="F4396" s="41" t="s">
        <v>49</v>
      </c>
      <c r="G4396" s="37">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1" t="str">
        <f>VLOOKUP(B4396,辅助信息!E:I,3,FALSE)</f>
        <v>（华西酒城南）成都市武侯区火车南站西路8号酒城南项目</v>
      </c>
      <c r="J4396" s="41" t="str">
        <f>VLOOKUP(B4396,辅助信息!E:I,4,FALSE)</f>
        <v>龙耀宇</v>
      </c>
      <c r="K4396" s="41">
        <f>VLOOKUP(J4396,辅助信息!H:I,2,FALSE)</f>
        <v>18384145895</v>
      </c>
      <c r="L4396" s="110" t="str">
        <f>VLOOKUP(B4396,辅助信息!E:J,6,FALSE)</f>
        <v>对方卸车</v>
      </c>
      <c r="O4396" s="63" t="str">
        <f ca="1" t="shared" si="220"/>
        <v/>
      </c>
      <c r="P4396" s="63" t="str">
        <f ca="1" t="shared" si="221"/>
        <v/>
      </c>
      <c r="Q4396" s="30" t="str">
        <f>VLOOKUP(B4396,辅助信息!E:M,9,FALSE)</f>
        <v>ZTWM-CDGS-XS-2024-0189-华西集采-酒城南项目</v>
      </c>
      <c r="R4396" s="30" t="str">
        <f>_xlfn._xlws.FILTER(辅助信息!D:D,辅助信息!E:E=B4396)</f>
        <v>华西酒城南</v>
      </c>
    </row>
    <row r="4397" hidden="1" spans="2:18">
      <c r="B4397" s="136" t="s">
        <v>44</v>
      </c>
      <c r="C4397" s="71">
        <v>45941</v>
      </c>
      <c r="D4397" s="41" t="str">
        <f>VLOOKUP(B4397,辅助信息!E:K,7,FALSE)</f>
        <v>JWDDCD2025060600053</v>
      </c>
      <c r="E4397" s="41" t="str">
        <f>VLOOKUP(F4397,辅助信息!A:B,2,FALSE)</f>
        <v>盘螺</v>
      </c>
      <c r="F4397" s="41" t="s">
        <v>40</v>
      </c>
      <c r="G4397" s="37">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1" t="str">
        <f>VLOOKUP(B4397,辅助信息!E:I,3,FALSE)</f>
        <v>（华西酒城南）成都市武侯区火车南站西路8号酒城南项目</v>
      </c>
      <c r="J4397" s="41" t="str">
        <f>VLOOKUP(B4397,辅助信息!E:I,4,FALSE)</f>
        <v>龙耀宇</v>
      </c>
      <c r="K4397" s="41">
        <f>VLOOKUP(J4397,辅助信息!H:I,2,FALSE)</f>
        <v>18384145895</v>
      </c>
      <c r="L4397" s="110" t="str">
        <f>VLOOKUP(B4397,辅助信息!E:J,6,FALSE)</f>
        <v>对方卸车</v>
      </c>
      <c r="O4397" s="63" t="str">
        <f ca="1" t="shared" si="220"/>
        <v/>
      </c>
      <c r="P4397" s="63" t="str">
        <f ca="1" t="shared" si="221"/>
        <v/>
      </c>
      <c r="Q4397" s="30" t="str">
        <f>VLOOKUP(B4397,辅助信息!E:M,9,FALSE)</f>
        <v>ZTWM-CDGS-XS-2024-0189-华西集采-酒城南项目</v>
      </c>
      <c r="R4397" s="30" t="str">
        <f>_xlfn._xlws.FILTER(辅助信息!D:D,辅助信息!E:E=B4397)</f>
        <v>华西酒城南</v>
      </c>
    </row>
    <row r="4398" hidden="1" spans="2:18">
      <c r="B4398" s="136" t="s">
        <v>44</v>
      </c>
      <c r="C4398" s="71">
        <v>45941</v>
      </c>
      <c r="D4398" s="41" t="str">
        <f>VLOOKUP(B4398,辅助信息!E:K,7,FALSE)</f>
        <v>JWDDCD2025060600053</v>
      </c>
      <c r="E4398" s="41" t="str">
        <f>VLOOKUP(F4398,辅助信息!A:B,2,FALSE)</f>
        <v>盘螺</v>
      </c>
      <c r="F4398" s="41" t="s">
        <v>26</v>
      </c>
      <c r="G4398" s="37">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1" t="str">
        <f>VLOOKUP(B4398,辅助信息!E:I,3,FALSE)</f>
        <v>（华西酒城南）成都市武侯区火车南站西路8号酒城南项目</v>
      </c>
      <c r="J4398" s="41" t="str">
        <f>VLOOKUP(B4398,辅助信息!E:I,4,FALSE)</f>
        <v>龙耀宇</v>
      </c>
      <c r="K4398" s="41">
        <f>VLOOKUP(J4398,辅助信息!H:I,2,FALSE)</f>
        <v>18384145895</v>
      </c>
      <c r="L4398" s="110" t="str">
        <f>VLOOKUP(B4398,辅助信息!E:J,6,FALSE)</f>
        <v>对方卸车</v>
      </c>
      <c r="O4398" s="63" t="str">
        <f ca="1" t="shared" si="220"/>
        <v/>
      </c>
      <c r="P4398" s="63" t="str">
        <f ca="1" t="shared" si="221"/>
        <v/>
      </c>
      <c r="Q4398" s="30" t="str">
        <f>VLOOKUP(B4398,辅助信息!E:M,9,FALSE)</f>
        <v>ZTWM-CDGS-XS-2024-0189-华西集采-酒城南项目</v>
      </c>
      <c r="R4398" s="30" t="str">
        <f>_xlfn._xlws.FILTER(辅助信息!D:D,辅助信息!E:E=B4398)</f>
        <v>华西酒城南</v>
      </c>
    </row>
    <row r="4399" hidden="1" spans="2:18">
      <c r="B4399" s="136" t="s">
        <v>194</v>
      </c>
      <c r="C4399" s="71">
        <v>45941</v>
      </c>
      <c r="D4399" s="41" t="str">
        <f>VLOOKUP(B4399,辅助信息!E:K,7,FALSE)</f>
        <v>JWDD2025071500089</v>
      </c>
      <c r="E4399" s="41" t="str">
        <f>VLOOKUP(F4399,辅助信息!A:B,2,FALSE)</f>
        <v>盘螺</v>
      </c>
      <c r="F4399" s="41" t="s">
        <v>41</v>
      </c>
      <c r="G4399" s="37">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1" t="str">
        <f>VLOOKUP(B4399,辅助信息!E:I,3,FALSE)</f>
        <v>(宜宾兴港三江新区长江工业园保障性租赁住房建设项目-土建)四川省宜宾市翠屏区永善路南段宜宾市三江新区长江工业园区</v>
      </c>
      <c r="J4399" s="41" t="str">
        <f>VLOOKUP(B4399,辅助信息!E:I,4,FALSE)</f>
        <v>赵元虎</v>
      </c>
      <c r="K4399" s="41">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30" t="str">
        <f>VLOOKUP(B4399,辅助信息!E:M,9,FALSE)</f>
        <v>ZTWM-CDYXGS-XS-2025-0014-宜宾兴港建材-三江新区长江工业园片区保障性租赁住房建设项目</v>
      </c>
      <c r="R4399" s="30" t="str">
        <f>_xlfn._xlws.FILTER(辅助信息!D:D,辅助信息!E:E=B4399)</f>
        <v>宜宾兴港三江新区长江工业园建设项目</v>
      </c>
    </row>
    <row r="4400" hidden="1" spans="2:18">
      <c r="B4400" s="136" t="s">
        <v>194</v>
      </c>
      <c r="C4400" s="71">
        <v>45941</v>
      </c>
      <c r="D4400" s="41" t="str">
        <f>VLOOKUP(B4400,辅助信息!E:K,7,FALSE)</f>
        <v>JWDD2025071500089</v>
      </c>
      <c r="E4400" s="41" t="str">
        <f>VLOOKUP(F4400,辅助信息!A:B,2,FALSE)</f>
        <v>盘螺</v>
      </c>
      <c r="F4400" s="41" t="s">
        <v>26</v>
      </c>
      <c r="G4400" s="37">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1" t="str">
        <f>VLOOKUP(B4400,辅助信息!E:I,3,FALSE)</f>
        <v>(宜宾兴港三江新区长江工业园保障性租赁住房建设项目-土建)四川省宜宾市翠屏区永善路南段宜宾市三江新区长江工业园区</v>
      </c>
      <c r="J4400" s="41" t="str">
        <f>VLOOKUP(B4400,辅助信息!E:I,4,FALSE)</f>
        <v>赵元虎</v>
      </c>
      <c r="K4400" s="41">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30" t="str">
        <f>VLOOKUP(B4400,辅助信息!E:M,9,FALSE)</f>
        <v>ZTWM-CDYXGS-XS-2025-0014-宜宾兴港建材-三江新区长江工业园片区保障性租赁住房建设项目</v>
      </c>
      <c r="R4400" s="30" t="str">
        <f>_xlfn._xlws.FILTER(辅助信息!D:D,辅助信息!E:E=B4400)</f>
        <v>宜宾兴港三江新区长江工业园建设项目</v>
      </c>
    </row>
    <row r="4401" hidden="1" spans="2:18">
      <c r="B4401" s="136" t="s">
        <v>232</v>
      </c>
      <c r="C4401" s="71">
        <v>45941</v>
      </c>
      <c r="D4401" s="41" t="str">
        <f>VLOOKUP(B4401,辅助信息!E:K,7,FALSE)</f>
        <v>JWDDCD2025052800131</v>
      </c>
      <c r="E4401" s="41" t="str">
        <f>VLOOKUP(F4401,辅助信息!A:B,2,FALSE)</f>
        <v>螺纹钢</v>
      </c>
      <c r="F4401" s="41" t="s">
        <v>91</v>
      </c>
      <c r="G4401" s="37">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1" t="str">
        <f>VLOOKUP(B4401,辅助信息!E:I,3,FALSE)</f>
        <v>（商投建工达州中医药科技园-2工区-2号桥）达州市通川区达州中医药职业学院犀牛大道北段</v>
      </c>
      <c r="J4401" s="41" t="str">
        <f>VLOOKUP(B4401,辅助信息!E:I,4,FALSE)</f>
        <v>李波</v>
      </c>
      <c r="K4401" s="41">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30" t="str">
        <f>VLOOKUP(B4401,辅助信息!E:M,9,FALSE)</f>
        <v>ZTWM-CDGS-XS-2024-0134-商投建工达州中医药科技成果示范园项目</v>
      </c>
      <c r="R4401" s="30" t="str">
        <f>_xlfn._xlws.FILTER(辅助信息!D:D,辅助信息!E:E=B4401)</f>
        <v>商投建工达州中医药科技园</v>
      </c>
    </row>
    <row r="4402" hidden="1" spans="1:18">
      <c r="A4402" s="93" t="s">
        <v>239</v>
      </c>
      <c r="B4402" s="136" t="s">
        <v>44</v>
      </c>
      <c r="C4402" s="71">
        <v>45944</v>
      </c>
      <c r="D4402" s="41" t="str">
        <f>VLOOKUP(B4402,辅助信息!E:K,7,FALSE)</f>
        <v>JWDDCD2025060600053</v>
      </c>
      <c r="E4402" s="41" t="str">
        <f>VLOOKUP(F4402,辅助信息!A:B,2,FALSE)</f>
        <v>盘螺</v>
      </c>
      <c r="F4402" s="41" t="s">
        <v>40</v>
      </c>
      <c r="G4402" s="37">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1" t="str">
        <f>VLOOKUP(B4402,辅助信息!E:I,3,FALSE)</f>
        <v>（华西酒城南）成都市武侯区火车南站西路8号酒城南项目</v>
      </c>
      <c r="J4402" s="41" t="str">
        <f>VLOOKUP(B4402,辅助信息!E:I,4,FALSE)</f>
        <v>龙耀宇</v>
      </c>
      <c r="K4402" s="41">
        <f>VLOOKUP(J4402,辅助信息!H:I,2,FALSE)</f>
        <v>18384145895</v>
      </c>
      <c r="L4402" s="110" t="str">
        <f>VLOOKUP(B4402,辅助信息!E:J,6,FALSE)</f>
        <v>对方卸车</v>
      </c>
      <c r="O4402" s="63" t="str">
        <f ca="1" t="shared" si="220"/>
        <v/>
      </c>
      <c r="P4402" s="63" t="str">
        <f ca="1" t="shared" si="221"/>
        <v/>
      </c>
      <c r="Q4402" s="30" t="str">
        <f>VLOOKUP(B4402,辅助信息!E:M,9,FALSE)</f>
        <v>ZTWM-CDGS-XS-2024-0189-华西集采-酒城南项目</v>
      </c>
      <c r="R4402" s="30" t="str">
        <f>_xlfn._xlws.FILTER(辅助信息!D:D,辅助信息!E:E=B4402)</f>
        <v>华西酒城南</v>
      </c>
    </row>
    <row r="4403" hidden="1" spans="1:18">
      <c r="A4403" s="93"/>
      <c r="B4403" s="136" t="s">
        <v>44</v>
      </c>
      <c r="C4403" s="71">
        <v>45944</v>
      </c>
      <c r="D4403" s="41" t="str">
        <f>VLOOKUP(B4403,辅助信息!E:K,7,FALSE)</f>
        <v>JWDDCD2025060600053</v>
      </c>
      <c r="E4403" s="41" t="str">
        <f>VLOOKUP(F4403,辅助信息!A:B,2,FALSE)</f>
        <v>盘螺</v>
      </c>
      <c r="F4403" s="41" t="s">
        <v>26</v>
      </c>
      <c r="G4403" s="37">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1" t="str">
        <f>VLOOKUP(B4403,辅助信息!E:I,3,FALSE)</f>
        <v>（华西酒城南）成都市武侯区火车南站西路8号酒城南项目</v>
      </c>
      <c r="J4403" s="41" t="str">
        <f>VLOOKUP(B4403,辅助信息!E:I,4,FALSE)</f>
        <v>龙耀宇</v>
      </c>
      <c r="K4403" s="41">
        <f>VLOOKUP(J4403,辅助信息!H:I,2,FALSE)</f>
        <v>18384145895</v>
      </c>
      <c r="L4403" s="110" t="str">
        <f>VLOOKUP(B4403,辅助信息!E:J,6,FALSE)</f>
        <v>对方卸车</v>
      </c>
      <c r="O4403" s="63" t="str">
        <f ca="1" t="shared" si="220"/>
        <v/>
      </c>
      <c r="P4403" s="63" t="str">
        <f ca="1" t="shared" si="221"/>
        <v/>
      </c>
      <c r="Q4403" s="30" t="str">
        <f>VLOOKUP(B4403,辅助信息!E:M,9,FALSE)</f>
        <v>ZTWM-CDGS-XS-2024-0189-华西集采-酒城南项目</v>
      </c>
      <c r="R4403" s="30" t="str">
        <f>_xlfn._xlws.FILTER(辅助信息!D:D,辅助信息!E:E=B4403)</f>
        <v>华西酒城南</v>
      </c>
    </row>
    <row r="4404" hidden="1" spans="2:18">
      <c r="B4404" s="136" t="s">
        <v>81</v>
      </c>
      <c r="C4404" s="71">
        <v>45944</v>
      </c>
      <c r="D4404" s="41" t="str">
        <f>VLOOKUP(B4404,辅助信息!E:K,7,FALSE)</f>
        <v>JWDDCD2025060900080</v>
      </c>
      <c r="E4404" s="41" t="str">
        <f>VLOOKUP(F4404,辅助信息!A:B,2,FALSE)</f>
        <v>螺纹钢</v>
      </c>
      <c r="F4404" s="41" t="s">
        <v>19</v>
      </c>
      <c r="G4404" s="37">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1" t="str">
        <f>VLOOKUP(B4404,辅助信息!E:I,3,FALSE)</f>
        <v>（华西简阳西城嘉苑）四川省成都市简阳市简城街道高屋村</v>
      </c>
      <c r="J4404" s="41" t="str">
        <f>VLOOKUP(B4404,辅助信息!E:I,4,FALSE)</f>
        <v>张瀚镭</v>
      </c>
      <c r="K4404" s="41">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30" t="str">
        <f>VLOOKUP(B4404,辅助信息!E:M,9,FALSE)</f>
        <v>ZTWM-CDGS-XS-2024-0030-华西集采-简州大道</v>
      </c>
      <c r="R4404" s="30" t="str">
        <f>_xlfn._xlws.FILTER(辅助信息!D:D,辅助信息!E:E=B4404)</f>
        <v>华西简阳西城嘉苑</v>
      </c>
    </row>
    <row r="4405" hidden="1" spans="2:18">
      <c r="B4405" s="136" t="s">
        <v>81</v>
      </c>
      <c r="C4405" s="71">
        <v>45944</v>
      </c>
      <c r="D4405" s="41" t="str">
        <f>VLOOKUP(B4405,辅助信息!E:K,7,FALSE)</f>
        <v>JWDDCD2025060900080</v>
      </c>
      <c r="E4405" s="41" t="str">
        <f>VLOOKUP(F4405,辅助信息!A:B,2,FALSE)</f>
        <v>螺纹钢</v>
      </c>
      <c r="F4405" s="41" t="s">
        <v>32</v>
      </c>
      <c r="G4405" s="37">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1" t="str">
        <f>VLOOKUP(B4405,辅助信息!E:I,3,FALSE)</f>
        <v>（华西简阳西城嘉苑）四川省成都市简阳市简城街道高屋村</v>
      </c>
      <c r="J4405" s="41" t="str">
        <f>VLOOKUP(B4405,辅助信息!E:I,4,FALSE)</f>
        <v>张瀚镭</v>
      </c>
      <c r="K4405" s="41">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30" t="str">
        <f>VLOOKUP(B4405,辅助信息!E:M,9,FALSE)</f>
        <v>ZTWM-CDGS-XS-2024-0030-华西集采-简州大道</v>
      </c>
      <c r="R4405" s="30" t="str">
        <f>_xlfn._xlws.FILTER(辅助信息!D:D,辅助信息!E:E=B4405)</f>
        <v>华西简阳西城嘉苑</v>
      </c>
    </row>
    <row r="4406" hidden="1" spans="2:18">
      <c r="B4406" s="136" t="s">
        <v>81</v>
      </c>
      <c r="C4406" s="71">
        <v>45944</v>
      </c>
      <c r="D4406" s="41" t="str">
        <f>VLOOKUP(B4406,辅助信息!E:K,7,FALSE)</f>
        <v>JWDDCD2025060900080</v>
      </c>
      <c r="E4406" s="41" t="str">
        <f>VLOOKUP(F4406,辅助信息!A:B,2,FALSE)</f>
        <v>螺纹钢</v>
      </c>
      <c r="F4406" s="41" t="s">
        <v>30</v>
      </c>
      <c r="G4406" s="37">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1" t="str">
        <f>VLOOKUP(B4406,辅助信息!E:I,3,FALSE)</f>
        <v>（华西简阳西城嘉苑）四川省成都市简阳市简城街道高屋村</v>
      </c>
      <c r="J4406" s="41" t="str">
        <f>VLOOKUP(B4406,辅助信息!E:I,4,FALSE)</f>
        <v>张瀚镭</v>
      </c>
      <c r="K4406" s="41">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30" t="str">
        <f>VLOOKUP(B4406,辅助信息!E:M,9,FALSE)</f>
        <v>ZTWM-CDGS-XS-2024-0030-华西集采-简州大道</v>
      </c>
      <c r="R4406" s="30" t="str">
        <f>_xlfn._xlws.FILTER(辅助信息!D:D,辅助信息!E:E=B4406)</f>
        <v>华西简阳西城嘉苑</v>
      </c>
    </row>
    <row r="4407" hidden="1" spans="2:18">
      <c r="B4407" s="136" t="s">
        <v>81</v>
      </c>
      <c r="C4407" s="71">
        <v>45944</v>
      </c>
      <c r="D4407" s="41" t="str">
        <f>VLOOKUP(B4407,辅助信息!E:K,7,FALSE)</f>
        <v>JWDDCD2025060900080</v>
      </c>
      <c r="E4407" s="41" t="str">
        <f>VLOOKUP(F4407,辅助信息!A:B,2,FALSE)</f>
        <v>螺纹钢</v>
      </c>
      <c r="F4407" s="41" t="s">
        <v>33</v>
      </c>
      <c r="G4407" s="37">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1" t="str">
        <f>VLOOKUP(B4407,辅助信息!E:I,3,FALSE)</f>
        <v>（华西简阳西城嘉苑）四川省成都市简阳市简城街道高屋村</v>
      </c>
      <c r="J4407" s="41" t="str">
        <f>VLOOKUP(B4407,辅助信息!E:I,4,FALSE)</f>
        <v>张瀚镭</v>
      </c>
      <c r="K4407" s="41">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30" t="str">
        <f>VLOOKUP(B4407,辅助信息!E:M,9,FALSE)</f>
        <v>ZTWM-CDGS-XS-2024-0030-华西集采-简州大道</v>
      </c>
      <c r="R4407" s="30" t="str">
        <f>_xlfn._xlws.FILTER(辅助信息!D:D,辅助信息!E:E=B4407)</f>
        <v>华西简阳西城嘉苑</v>
      </c>
    </row>
    <row r="4408" hidden="1" spans="2:18">
      <c r="B4408" s="136" t="s">
        <v>81</v>
      </c>
      <c r="C4408" s="71">
        <v>45944</v>
      </c>
      <c r="D4408" s="41" t="str">
        <f>VLOOKUP(B4408,辅助信息!E:K,7,FALSE)</f>
        <v>JWDDCD2025060900080</v>
      </c>
      <c r="E4408" s="41" t="str">
        <f>VLOOKUP(F4408,辅助信息!A:B,2,FALSE)</f>
        <v>螺纹钢</v>
      </c>
      <c r="F4408" s="41" t="s">
        <v>28</v>
      </c>
      <c r="G4408" s="37">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1" t="str">
        <f>VLOOKUP(B4408,辅助信息!E:I,3,FALSE)</f>
        <v>（华西简阳西城嘉苑）四川省成都市简阳市简城街道高屋村</v>
      </c>
      <c r="J4408" s="41" t="str">
        <f>VLOOKUP(B4408,辅助信息!E:I,4,FALSE)</f>
        <v>张瀚镭</v>
      </c>
      <c r="K4408" s="41">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30" t="str">
        <f>VLOOKUP(B4408,辅助信息!E:M,9,FALSE)</f>
        <v>ZTWM-CDGS-XS-2024-0030-华西集采-简州大道</v>
      </c>
      <c r="R4408" s="30" t="str">
        <f>_xlfn._xlws.FILTER(辅助信息!D:D,辅助信息!E:E=B4408)</f>
        <v>华西简阳西城嘉苑</v>
      </c>
    </row>
    <row r="4409" hidden="1" spans="2:18">
      <c r="B4409" s="136" t="s">
        <v>81</v>
      </c>
      <c r="C4409" s="71">
        <v>45944</v>
      </c>
      <c r="D4409" s="41" t="str">
        <f>VLOOKUP(B4409,辅助信息!E:K,7,FALSE)</f>
        <v>JWDDCD2025060900080</v>
      </c>
      <c r="E4409" s="41" t="str">
        <f>VLOOKUP(F4409,辅助信息!A:B,2,FALSE)</f>
        <v>螺纹钢</v>
      </c>
      <c r="F4409" s="41" t="s">
        <v>21</v>
      </c>
      <c r="G4409" s="37">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1" t="str">
        <f>VLOOKUP(B4409,辅助信息!E:I,3,FALSE)</f>
        <v>（华西简阳西城嘉苑）四川省成都市简阳市简城街道高屋村</v>
      </c>
      <c r="J4409" s="41" t="str">
        <f>VLOOKUP(B4409,辅助信息!E:I,4,FALSE)</f>
        <v>张瀚镭</v>
      </c>
      <c r="K4409" s="41">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30" t="str">
        <f>VLOOKUP(B4409,辅助信息!E:M,9,FALSE)</f>
        <v>ZTWM-CDGS-XS-2024-0030-华西集采-简州大道</v>
      </c>
      <c r="R4409" s="30" t="str">
        <f>_xlfn._xlws.FILTER(辅助信息!D:D,辅助信息!E:E=B4409)</f>
        <v>华西简阳西城嘉苑</v>
      </c>
    </row>
    <row r="4410" hidden="1" spans="2:18">
      <c r="B4410" s="136" t="s">
        <v>81</v>
      </c>
      <c r="C4410" s="71">
        <v>45944</v>
      </c>
      <c r="D4410" s="41" t="str">
        <f>VLOOKUP(B4410,辅助信息!E:K,7,FALSE)</f>
        <v>JWDDCD2025060900080</v>
      </c>
      <c r="E4410" s="41" t="str">
        <f>VLOOKUP(F4410,辅助信息!A:B,2,FALSE)</f>
        <v>螺纹钢</v>
      </c>
      <c r="F4410" s="41" t="s">
        <v>58</v>
      </c>
      <c r="G4410" s="37">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1" t="str">
        <f>VLOOKUP(B4410,辅助信息!E:I,3,FALSE)</f>
        <v>（华西简阳西城嘉苑）四川省成都市简阳市简城街道高屋村</v>
      </c>
      <c r="J4410" s="41" t="str">
        <f>VLOOKUP(B4410,辅助信息!E:I,4,FALSE)</f>
        <v>张瀚镭</v>
      </c>
      <c r="K4410" s="41">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30" t="str">
        <f>VLOOKUP(B4410,辅助信息!E:M,9,FALSE)</f>
        <v>ZTWM-CDGS-XS-2024-0030-华西集采-简州大道</v>
      </c>
      <c r="R4410" s="30" t="str">
        <f>_xlfn._xlws.FILTER(辅助信息!D:D,辅助信息!E:E=B4410)</f>
        <v>华西简阳西城嘉苑</v>
      </c>
    </row>
    <row r="4411" hidden="1" spans="2:18">
      <c r="B4411" s="136" t="s">
        <v>81</v>
      </c>
      <c r="C4411" s="71">
        <v>45944</v>
      </c>
      <c r="D4411" s="41" t="str">
        <f>VLOOKUP(B4411,辅助信息!E:K,7,FALSE)</f>
        <v>JWDDCD2025060900080</v>
      </c>
      <c r="E4411" s="41" t="str">
        <f>VLOOKUP(F4411,辅助信息!A:B,2,FALSE)</f>
        <v>螺纹钢</v>
      </c>
      <c r="F4411" s="41" t="s">
        <v>46</v>
      </c>
      <c r="G4411" s="37">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1" t="str">
        <f>VLOOKUP(B4411,辅助信息!E:I,3,FALSE)</f>
        <v>（华西简阳西城嘉苑）四川省成都市简阳市简城街道高屋村</v>
      </c>
      <c r="J4411" s="41" t="str">
        <f>VLOOKUP(B4411,辅助信息!E:I,4,FALSE)</f>
        <v>张瀚镭</v>
      </c>
      <c r="K4411" s="41">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30" t="str">
        <f>VLOOKUP(B4411,辅助信息!E:M,9,FALSE)</f>
        <v>ZTWM-CDGS-XS-2024-0030-华西集采-简州大道</v>
      </c>
      <c r="R4411" s="30" t="str">
        <f>_xlfn._xlws.FILTER(辅助信息!D:D,辅助信息!E:E=B4411)</f>
        <v>华西简阳西城嘉苑</v>
      </c>
    </row>
    <row r="4412" hidden="1" spans="2:18">
      <c r="B4412" s="136" t="s">
        <v>81</v>
      </c>
      <c r="C4412" s="71">
        <v>45944</v>
      </c>
      <c r="D4412" s="41" t="str">
        <f>VLOOKUP(B4412,辅助信息!E:K,7,FALSE)</f>
        <v>JWDDCD2025060900080</v>
      </c>
      <c r="E4412" s="41" t="str">
        <f>VLOOKUP(F4412,辅助信息!A:B,2,FALSE)</f>
        <v>盘螺</v>
      </c>
      <c r="F4412" s="41" t="s">
        <v>41</v>
      </c>
      <c r="G4412" s="37">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1" t="str">
        <f>VLOOKUP(B4412,辅助信息!E:I,3,FALSE)</f>
        <v>（华西简阳西城嘉苑）四川省成都市简阳市简城街道高屋村</v>
      </c>
      <c r="J4412" s="41" t="str">
        <f>VLOOKUP(B4412,辅助信息!E:I,4,FALSE)</f>
        <v>张瀚镭</v>
      </c>
      <c r="K4412" s="41">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30" t="str">
        <f>VLOOKUP(B4412,辅助信息!E:M,9,FALSE)</f>
        <v>ZTWM-CDGS-XS-2024-0030-华西集采-简州大道</v>
      </c>
      <c r="R4412" s="30" t="str">
        <f>_xlfn._xlws.FILTER(辅助信息!D:D,辅助信息!E:E=B4412)</f>
        <v>华西简阳西城嘉苑</v>
      </c>
    </row>
    <row r="4413" hidden="1" spans="2:18">
      <c r="B4413" s="136" t="s">
        <v>81</v>
      </c>
      <c r="C4413" s="71">
        <v>45944</v>
      </c>
      <c r="D4413" s="41" t="str">
        <f>VLOOKUP(B4413,辅助信息!E:K,7,FALSE)</f>
        <v>JWDDCD2025060900080</v>
      </c>
      <c r="E4413" s="41" t="str">
        <f>VLOOKUP(F4413,辅助信息!A:B,2,FALSE)</f>
        <v>盘螺</v>
      </c>
      <c r="F4413" s="41" t="s">
        <v>26</v>
      </c>
      <c r="G4413" s="37">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1" t="str">
        <f>VLOOKUP(B4413,辅助信息!E:I,3,FALSE)</f>
        <v>（华西简阳西城嘉苑）四川省成都市简阳市简城街道高屋村</v>
      </c>
      <c r="J4413" s="41" t="str">
        <f>VLOOKUP(B4413,辅助信息!E:I,4,FALSE)</f>
        <v>张瀚镭</v>
      </c>
      <c r="K4413" s="41">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30" t="str">
        <f>VLOOKUP(B4413,辅助信息!E:M,9,FALSE)</f>
        <v>ZTWM-CDGS-XS-2024-0030-华西集采-简州大道</v>
      </c>
      <c r="R4413" s="30" t="str">
        <f>_xlfn._xlws.FILTER(辅助信息!D:D,辅助信息!E:E=B4413)</f>
        <v>华西简阳西城嘉苑</v>
      </c>
    </row>
    <row r="4414" hidden="1" spans="2:18">
      <c r="B4414" s="136" t="s">
        <v>81</v>
      </c>
      <c r="C4414" s="71">
        <v>45944</v>
      </c>
      <c r="D4414" s="41" t="str">
        <f>VLOOKUP(B4414,辅助信息!E:K,7,FALSE)</f>
        <v>JWDDCD2025060900080</v>
      </c>
      <c r="E4414" s="41" t="str">
        <f>VLOOKUP(F4414,辅助信息!A:B,2,FALSE)</f>
        <v>盘螺</v>
      </c>
      <c r="F4414" s="41" t="s">
        <v>49</v>
      </c>
      <c r="G4414" s="37">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1" t="str">
        <f>VLOOKUP(B4414,辅助信息!E:I,3,FALSE)</f>
        <v>（华西简阳西城嘉苑）四川省成都市简阳市简城街道高屋村</v>
      </c>
      <c r="J4414" s="41" t="str">
        <f>VLOOKUP(B4414,辅助信息!E:I,4,FALSE)</f>
        <v>张瀚镭</v>
      </c>
      <c r="K4414" s="41">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30" t="str">
        <f>VLOOKUP(B4414,辅助信息!E:M,9,FALSE)</f>
        <v>ZTWM-CDGS-XS-2024-0030-华西集采-简州大道</v>
      </c>
      <c r="R4414" s="30" t="str">
        <f>_xlfn._xlws.FILTER(辅助信息!D:D,辅助信息!E:E=B4414)</f>
        <v>华西简阳西城嘉苑</v>
      </c>
    </row>
    <row r="4415" hidden="1" spans="2:18">
      <c r="B4415" s="136" t="s">
        <v>81</v>
      </c>
      <c r="C4415" s="71">
        <v>45944</v>
      </c>
      <c r="D4415" s="41" t="str">
        <f>VLOOKUP(B4415,辅助信息!E:K,7,FALSE)</f>
        <v>JWDDCD2025060900080</v>
      </c>
      <c r="E4415" s="41" t="str">
        <f>VLOOKUP(F4415,辅助信息!A:B,2,FALSE)</f>
        <v>盘螺</v>
      </c>
      <c r="F4415" s="41" t="s">
        <v>40</v>
      </c>
      <c r="G4415" s="37">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1" t="str">
        <f>VLOOKUP(B4415,辅助信息!E:I,3,FALSE)</f>
        <v>（华西简阳西城嘉苑）四川省成都市简阳市简城街道高屋村</v>
      </c>
      <c r="J4415" s="41" t="str">
        <f>VLOOKUP(B4415,辅助信息!E:I,4,FALSE)</f>
        <v>张瀚镭</v>
      </c>
      <c r="K4415" s="41">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30" t="str">
        <f>VLOOKUP(B4415,辅助信息!E:M,9,FALSE)</f>
        <v>ZTWM-CDGS-XS-2024-0030-华西集采-简州大道</v>
      </c>
      <c r="R4415" s="30" t="str">
        <f>_xlfn._xlws.FILTER(辅助信息!D:D,辅助信息!E:E=B4415)</f>
        <v>华西简阳西城嘉苑</v>
      </c>
    </row>
    <row r="4416" hidden="1" spans="2:18">
      <c r="B4416" s="136" t="s">
        <v>92</v>
      </c>
      <c r="C4416" s="71">
        <v>45944</v>
      </c>
      <c r="D4416" s="41" t="str">
        <f>VLOOKUP(B4416,辅助信息!E:K,7,FALSE)</f>
        <v>JWDDCD2025051800046</v>
      </c>
      <c r="E4416" s="41" t="str">
        <f>VLOOKUP(F4416,辅助信息!A:B,2,FALSE)</f>
        <v>盘螺</v>
      </c>
      <c r="F4416" s="41" t="s">
        <v>26</v>
      </c>
      <c r="G4416" s="37">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1" t="str">
        <f>VLOOKUP(B4416,辅助信息!E:I,3,FALSE)</f>
        <v>（华西萌海科创农业生态谷）成都市简阳市白金山水库</v>
      </c>
      <c r="J4416" s="41" t="str">
        <f>VLOOKUP(B4416,辅助信息!E:I,4,FALSE)</f>
        <v>石清国</v>
      </c>
      <c r="K4416" s="41">
        <f>VLOOKUP(J4416,辅助信息!H:I,2,FALSE)</f>
        <v>13458642015</v>
      </c>
      <c r="L4416" s="110" t="str">
        <f>VLOOKUP(B4416,辅助信息!E:J,6,FALSE)</f>
        <v>优先威钢,我方卸车,新老国标钢厂不加价可直发</v>
      </c>
      <c r="O4416" s="63" t="str">
        <f ca="1" t="shared" si="220"/>
        <v/>
      </c>
      <c r="P4416" s="63" t="str">
        <f ca="1" t="shared" si="221"/>
        <v/>
      </c>
      <c r="Q4416" s="30" t="str">
        <f>VLOOKUP(B4416,辅助信息!E:M,9,FALSE)</f>
        <v>ZTWM-CDGS-XS-2024-0092-华西-萌海科创农业生态谷</v>
      </c>
      <c r="R4416" s="30" t="str">
        <f>_xlfn._xlws.FILTER(辅助信息!D:D,辅助信息!E:E=B4416)</f>
        <v>华西萌海-科创农业生态谷</v>
      </c>
    </row>
    <row r="4417" hidden="1" spans="2:18">
      <c r="B4417" s="136" t="s">
        <v>92</v>
      </c>
      <c r="C4417" s="71">
        <v>45944</v>
      </c>
      <c r="D4417" s="41" t="str">
        <f>VLOOKUP(B4417,辅助信息!E:K,7,FALSE)</f>
        <v>JWDDCD2025051800046</v>
      </c>
      <c r="E4417" s="41" t="str">
        <f>VLOOKUP(F4417,辅助信息!A:B,2,FALSE)</f>
        <v>盘螺</v>
      </c>
      <c r="F4417" s="41" t="s">
        <v>49</v>
      </c>
      <c r="G4417" s="37">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1" t="str">
        <f>VLOOKUP(B4417,辅助信息!E:I,3,FALSE)</f>
        <v>（华西萌海科创农业生态谷）成都市简阳市白金山水库</v>
      </c>
      <c r="J4417" s="41" t="str">
        <f>VLOOKUP(B4417,辅助信息!E:I,4,FALSE)</f>
        <v>石清国</v>
      </c>
      <c r="K4417" s="41">
        <f>VLOOKUP(J4417,辅助信息!H:I,2,FALSE)</f>
        <v>13458642015</v>
      </c>
      <c r="L4417" s="110" t="str">
        <f>VLOOKUP(B4417,辅助信息!E:J,6,FALSE)</f>
        <v>优先威钢,我方卸车,新老国标钢厂不加价可直发</v>
      </c>
      <c r="O4417" s="63" t="str">
        <f ca="1" t="shared" si="220"/>
        <v/>
      </c>
      <c r="P4417" s="63" t="str">
        <f ca="1" t="shared" si="221"/>
        <v/>
      </c>
      <c r="Q4417" s="30" t="str">
        <f>VLOOKUP(B4417,辅助信息!E:M,9,FALSE)</f>
        <v>ZTWM-CDGS-XS-2024-0092-华西-萌海科创农业生态谷</v>
      </c>
      <c r="R4417" s="30" t="str">
        <f>_xlfn._xlws.FILTER(辅助信息!D:D,辅助信息!E:E=B4417)</f>
        <v>华西萌海-科创农业生态谷</v>
      </c>
    </row>
    <row r="4418" hidden="1" spans="2:18">
      <c r="B4418" s="136" t="s">
        <v>92</v>
      </c>
      <c r="C4418" s="71">
        <v>45944</v>
      </c>
      <c r="D4418" s="41" t="str">
        <f>VLOOKUP(B4418,辅助信息!E:K,7,FALSE)</f>
        <v>JWDDCD2025051800046</v>
      </c>
      <c r="E4418" s="41" t="str">
        <f>VLOOKUP(F4418,辅助信息!A:B,2,FALSE)</f>
        <v>盘螺</v>
      </c>
      <c r="F4418" s="41" t="s">
        <v>40</v>
      </c>
      <c r="G4418" s="37">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1" t="str">
        <f>VLOOKUP(B4418,辅助信息!E:I,3,FALSE)</f>
        <v>（华西萌海科创农业生态谷）成都市简阳市白金山水库</v>
      </c>
      <c r="J4418" s="41" t="str">
        <f>VLOOKUP(B4418,辅助信息!E:I,4,FALSE)</f>
        <v>石清国</v>
      </c>
      <c r="K4418" s="41">
        <f>VLOOKUP(J4418,辅助信息!H:I,2,FALSE)</f>
        <v>13458642015</v>
      </c>
      <c r="L4418" s="110" t="str">
        <f>VLOOKUP(B4418,辅助信息!E:J,6,FALSE)</f>
        <v>优先威钢,我方卸车,新老国标钢厂不加价可直发</v>
      </c>
      <c r="O4418" s="63" t="str">
        <f ca="1" t="shared" si="220"/>
        <v/>
      </c>
      <c r="P4418" s="63" t="str">
        <f ca="1" t="shared" si="221"/>
        <v/>
      </c>
      <c r="Q4418" s="30" t="str">
        <f>VLOOKUP(B4418,辅助信息!E:M,9,FALSE)</f>
        <v>ZTWM-CDGS-XS-2024-0092-华西-萌海科创农业生态谷</v>
      </c>
      <c r="R4418" s="30" t="str">
        <f>_xlfn._xlws.FILTER(辅助信息!D:D,辅助信息!E:E=B4418)</f>
        <v>华西萌海-科创农业生态谷</v>
      </c>
    </row>
    <row r="4419" hidden="1" spans="2:18">
      <c r="B4419" s="136" t="s">
        <v>187</v>
      </c>
      <c r="C4419" s="71">
        <v>45944</v>
      </c>
      <c r="D4419" s="41" t="str">
        <f>VLOOKUP(B4419,辅助信息!E:K,7,FALSE)</f>
        <v>JWDDCD2025072900121</v>
      </c>
      <c r="E4419" s="41" t="str">
        <f>VLOOKUP(F4419,辅助信息!A:B,2,FALSE)</f>
        <v>螺纹钢</v>
      </c>
      <c r="F4419" s="41" t="s">
        <v>66</v>
      </c>
      <c r="G4419" s="37">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1" t="str">
        <f>VLOOKUP(B4419,辅助信息!E:I,3,FALSE)</f>
        <v>(乐山市校地共建产教融合基地建设项目一标段)四川省乐山市市中区苏稽镇周山嘴</v>
      </c>
      <c r="J4419" s="41" t="str">
        <f>VLOOKUP(B4419,辅助信息!E:I,4,FALSE)</f>
        <v>范增云</v>
      </c>
      <c r="K4419" s="41">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30" t="str">
        <f>VLOOKUP(B4419,辅助信息!E:M,9,FALSE)</f>
        <v>ZTWM-CDGS-XS-2025-0125-四川机司-乐山市校地共建产教融合基地配套设施项目施工一标段钢筋采购合同</v>
      </c>
      <c r="R4419" s="30" t="str">
        <f>_xlfn._xlws.FILTER(辅助信息!D:D,辅助信息!E:E=B4419)</f>
        <v>乐山市校地共建产教融合基地建设项目</v>
      </c>
    </row>
    <row r="4420" hidden="1" spans="2:18">
      <c r="B4420" s="136" t="s">
        <v>187</v>
      </c>
      <c r="C4420" s="71">
        <v>45944</v>
      </c>
      <c r="D4420" s="41" t="str">
        <f>VLOOKUP(B4420,辅助信息!E:K,7,FALSE)</f>
        <v>JWDDCD2025072900121</v>
      </c>
      <c r="E4420" s="41" t="str">
        <f>VLOOKUP(F4420,辅助信息!A:B,2,FALSE)</f>
        <v>螺纹钢</v>
      </c>
      <c r="F4420" s="41" t="s">
        <v>82</v>
      </c>
      <c r="G4420" s="37">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1" t="str">
        <f>VLOOKUP(B4420,辅助信息!E:I,3,FALSE)</f>
        <v>(乐山市校地共建产教融合基地建设项目一标段)四川省乐山市市中区苏稽镇周山嘴</v>
      </c>
      <c r="J4420" s="41" t="str">
        <f>VLOOKUP(B4420,辅助信息!E:I,4,FALSE)</f>
        <v>范增云</v>
      </c>
      <c r="K4420" s="41">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30" t="str">
        <f>VLOOKUP(B4420,辅助信息!E:M,9,FALSE)</f>
        <v>ZTWM-CDGS-XS-2025-0125-四川机司-乐山市校地共建产教融合基地配套设施项目施工一标段钢筋采购合同</v>
      </c>
      <c r="R4420" s="30" t="str">
        <f>_xlfn._xlws.FILTER(辅助信息!D:D,辅助信息!E:E=B4420)</f>
        <v>乐山市校地共建产教融合基地建设项目</v>
      </c>
    </row>
    <row r="4421" hidden="1" spans="2:18">
      <c r="B4421" s="136" t="s">
        <v>187</v>
      </c>
      <c r="C4421" s="71">
        <v>45944</v>
      </c>
      <c r="D4421" s="41" t="str">
        <f>VLOOKUP(B4421,辅助信息!E:K,7,FALSE)</f>
        <v>JWDDCD2025072900121</v>
      </c>
      <c r="E4421" s="41" t="str">
        <f>VLOOKUP(F4421,辅助信息!A:B,2,FALSE)</f>
        <v>螺纹钢</v>
      </c>
      <c r="F4421" s="41" t="s">
        <v>45</v>
      </c>
      <c r="G4421" s="37">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1" t="str">
        <f>VLOOKUP(B4421,辅助信息!E:I,3,FALSE)</f>
        <v>(乐山市校地共建产教融合基地建设项目一标段)四川省乐山市市中区苏稽镇周山嘴</v>
      </c>
      <c r="J4421" s="41" t="str">
        <f>VLOOKUP(B4421,辅助信息!E:I,4,FALSE)</f>
        <v>范增云</v>
      </c>
      <c r="K4421" s="41">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30" t="str">
        <f>VLOOKUP(B4421,辅助信息!E:M,9,FALSE)</f>
        <v>ZTWM-CDGS-XS-2025-0125-四川机司-乐山市校地共建产教融合基地配套设施项目施工一标段钢筋采购合同</v>
      </c>
      <c r="R4421" s="30" t="str">
        <f>_xlfn._xlws.FILTER(辅助信息!D:D,辅助信息!E:E=B4421)</f>
        <v>乐山市校地共建产教融合基地建设项目</v>
      </c>
    </row>
    <row r="4422" hidden="1" spans="2:18">
      <c r="B4422" s="136" t="s">
        <v>187</v>
      </c>
      <c r="C4422" s="71">
        <v>45944</v>
      </c>
      <c r="D4422" s="41" t="str">
        <f>VLOOKUP(B4422,辅助信息!E:K,7,FALSE)</f>
        <v>JWDDCD2025072900121</v>
      </c>
      <c r="E4422" s="41" t="str">
        <f>VLOOKUP(F4422,辅助信息!A:B,2,FALSE)</f>
        <v>螺纹钢</v>
      </c>
      <c r="F4422" s="41" t="s">
        <v>21</v>
      </c>
      <c r="G4422" s="37">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1" t="str">
        <f>VLOOKUP(B4422,辅助信息!E:I,3,FALSE)</f>
        <v>(乐山市校地共建产教融合基地建设项目一标段)四川省乐山市市中区苏稽镇周山嘴</v>
      </c>
      <c r="J4422" s="41" t="str">
        <f>VLOOKUP(B4422,辅助信息!E:I,4,FALSE)</f>
        <v>范增云</v>
      </c>
      <c r="K4422" s="41">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30" t="str">
        <f>VLOOKUP(B4422,辅助信息!E:M,9,FALSE)</f>
        <v>ZTWM-CDGS-XS-2025-0125-四川机司-乐山市校地共建产教融合基地配套设施项目施工一标段钢筋采购合同</v>
      </c>
      <c r="R4422" s="30" t="str">
        <f>_xlfn._xlws.FILTER(辅助信息!D:D,辅助信息!E:E=B4422)</f>
        <v>乐山市校地共建产教融合基地建设项目</v>
      </c>
    </row>
    <row r="4423" hidden="1" spans="2:18">
      <c r="B4423" s="136" t="s">
        <v>187</v>
      </c>
      <c r="C4423" s="71">
        <v>45944</v>
      </c>
      <c r="D4423" s="41" t="str">
        <f>VLOOKUP(B4423,辅助信息!E:K,7,FALSE)</f>
        <v>JWDDCD2025072900121</v>
      </c>
      <c r="E4423" s="41" t="str">
        <f>VLOOKUP(F4423,辅助信息!A:B,2,FALSE)</f>
        <v>螺纹钢</v>
      </c>
      <c r="F4423" s="41" t="s">
        <v>198</v>
      </c>
      <c r="G4423" s="37">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1" t="str">
        <f>VLOOKUP(B4423,辅助信息!E:I,3,FALSE)</f>
        <v>(乐山市校地共建产教融合基地建设项目一标段)四川省乐山市市中区苏稽镇周山嘴</v>
      </c>
      <c r="J4423" s="41" t="str">
        <f>VLOOKUP(B4423,辅助信息!E:I,4,FALSE)</f>
        <v>范增云</v>
      </c>
      <c r="K4423" s="41">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30" t="str">
        <f>VLOOKUP(B4423,辅助信息!E:M,9,FALSE)</f>
        <v>ZTWM-CDGS-XS-2025-0125-四川机司-乐山市校地共建产教融合基地配套设施项目施工一标段钢筋采购合同</v>
      </c>
      <c r="R4423" s="30" t="str">
        <f>_xlfn._xlws.FILTER(辅助信息!D:D,辅助信息!E:E=B4423)</f>
        <v>乐山市校地共建产教融合基地建设项目</v>
      </c>
    </row>
    <row r="4424" hidden="1" spans="2:18">
      <c r="B4424" s="136" t="s">
        <v>187</v>
      </c>
      <c r="C4424" s="71">
        <v>45944</v>
      </c>
      <c r="D4424" s="41" t="str">
        <f>VLOOKUP(B4424,辅助信息!E:K,7,FALSE)</f>
        <v>JWDDCD2025072900121</v>
      </c>
      <c r="E4424" s="41" t="str">
        <f>VLOOKUP(F4424,辅助信息!A:B,2,FALSE)</f>
        <v>螺纹钢</v>
      </c>
      <c r="F4424" s="41" t="s">
        <v>58</v>
      </c>
      <c r="G4424" s="37">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1" t="str">
        <f>VLOOKUP(B4424,辅助信息!E:I,3,FALSE)</f>
        <v>(乐山市校地共建产教融合基地建设项目一标段)四川省乐山市市中区苏稽镇周山嘴</v>
      </c>
      <c r="J4424" s="41" t="str">
        <f>VLOOKUP(B4424,辅助信息!E:I,4,FALSE)</f>
        <v>范增云</v>
      </c>
      <c r="K4424" s="41">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30" t="str">
        <f>VLOOKUP(B4424,辅助信息!E:M,9,FALSE)</f>
        <v>ZTWM-CDGS-XS-2025-0125-四川机司-乐山市校地共建产教融合基地配套设施项目施工一标段钢筋采购合同</v>
      </c>
      <c r="R4424" s="30" t="str">
        <f>_xlfn._xlws.FILTER(辅助信息!D:D,辅助信息!E:E=B4424)</f>
        <v>乐山市校地共建产教融合基地建设项目</v>
      </c>
    </row>
    <row r="4425" hidden="1" spans="2:18">
      <c r="B4425" s="136" t="s">
        <v>187</v>
      </c>
      <c r="C4425" s="71">
        <v>45944</v>
      </c>
      <c r="D4425" s="41" t="str">
        <f>VLOOKUP(B4425,辅助信息!E:K,7,FALSE)</f>
        <v>JWDDCD2025072900121</v>
      </c>
      <c r="E4425" s="41" t="str">
        <f>VLOOKUP(F4425,辅助信息!A:B,2,FALSE)</f>
        <v>螺纹钢</v>
      </c>
      <c r="F4425" s="41" t="s">
        <v>199</v>
      </c>
      <c r="G4425" s="37">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1" t="str">
        <f>VLOOKUP(B4425,辅助信息!E:I,3,FALSE)</f>
        <v>(乐山市校地共建产教融合基地建设项目一标段)四川省乐山市市中区苏稽镇周山嘴</v>
      </c>
      <c r="J4425" s="41" t="str">
        <f>VLOOKUP(B4425,辅助信息!E:I,4,FALSE)</f>
        <v>范增云</v>
      </c>
      <c r="K4425" s="41">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30" t="str">
        <f>VLOOKUP(B4425,辅助信息!E:M,9,FALSE)</f>
        <v>ZTWM-CDGS-XS-2025-0125-四川机司-乐山市校地共建产教融合基地配套设施项目施工一标段钢筋采购合同</v>
      </c>
      <c r="R4425" s="30" t="str">
        <f>_xlfn._xlws.FILTER(辅助信息!D:D,辅助信息!E:E=B4425)</f>
        <v>乐山市校地共建产教融合基地建设项目</v>
      </c>
    </row>
    <row r="4426" hidden="1" spans="2:18">
      <c r="B4426" s="136" t="s">
        <v>187</v>
      </c>
      <c r="C4426" s="71">
        <v>45944</v>
      </c>
      <c r="D4426" s="41" t="str">
        <f>VLOOKUP(B4426,辅助信息!E:K,7,FALSE)</f>
        <v>JWDDCD2025072900121</v>
      </c>
      <c r="E4426" s="41" t="str">
        <f>VLOOKUP(F4426,辅助信息!A:B,2,FALSE)</f>
        <v>螺纹钢</v>
      </c>
      <c r="F4426" s="41" t="s">
        <v>141</v>
      </c>
      <c r="G4426" s="37">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1" t="str">
        <f>VLOOKUP(B4426,辅助信息!E:I,3,FALSE)</f>
        <v>(乐山市校地共建产教融合基地建设项目一标段)四川省乐山市市中区苏稽镇周山嘴</v>
      </c>
      <c r="J4426" s="41" t="str">
        <f>VLOOKUP(B4426,辅助信息!E:I,4,FALSE)</f>
        <v>范增云</v>
      </c>
      <c r="K4426" s="41">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30" t="str">
        <f>VLOOKUP(B4426,辅助信息!E:M,9,FALSE)</f>
        <v>ZTWM-CDGS-XS-2025-0125-四川机司-乐山市校地共建产教融合基地配套设施项目施工一标段钢筋采购合同</v>
      </c>
      <c r="R4426" s="30" t="str">
        <f>_xlfn._xlws.FILTER(辅助信息!D:D,辅助信息!E:E=B4426)</f>
        <v>乐山市校地共建产教融合基地建设项目</v>
      </c>
    </row>
    <row r="4427" hidden="1" spans="2:18">
      <c r="B4427" s="136" t="s">
        <v>187</v>
      </c>
      <c r="C4427" s="71">
        <v>45944</v>
      </c>
      <c r="D4427" s="41" t="str">
        <f>VLOOKUP(B4427,辅助信息!E:K,7,FALSE)</f>
        <v>JWDDCD2025072900121</v>
      </c>
      <c r="E4427" s="41" t="str">
        <f>VLOOKUP(F4427,辅助信息!A:B,2,FALSE)</f>
        <v>螺纹钢</v>
      </c>
      <c r="F4427" s="41" t="s">
        <v>22</v>
      </c>
      <c r="G4427" s="37">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1" t="str">
        <f>VLOOKUP(B4427,辅助信息!E:I,3,FALSE)</f>
        <v>(乐山市校地共建产教融合基地建设项目一标段)四川省乐山市市中区苏稽镇周山嘴</v>
      </c>
      <c r="J4427" s="41" t="str">
        <f>VLOOKUP(B4427,辅助信息!E:I,4,FALSE)</f>
        <v>范增云</v>
      </c>
      <c r="K4427" s="41">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30" t="str">
        <f>VLOOKUP(B4427,辅助信息!E:M,9,FALSE)</f>
        <v>ZTWM-CDGS-XS-2025-0125-四川机司-乐山市校地共建产教融合基地配套设施项目施工一标段钢筋采购合同</v>
      </c>
      <c r="R4427" s="30" t="str">
        <f>_xlfn._xlws.FILTER(辅助信息!D:D,辅助信息!E:E=B4427)</f>
        <v>乐山市校地共建产教融合基地建设项目</v>
      </c>
    </row>
    <row r="4428" hidden="1" spans="2:18">
      <c r="B4428" s="136" t="s">
        <v>187</v>
      </c>
      <c r="C4428" s="71">
        <v>45944</v>
      </c>
      <c r="D4428" s="41" t="str">
        <f>VLOOKUP(B4428,辅助信息!E:K,7,FALSE)</f>
        <v>JWDDCD2025072900121</v>
      </c>
      <c r="E4428" s="41" t="str">
        <f>VLOOKUP(F4428,辅助信息!A:B,2,FALSE)</f>
        <v>螺纹钢</v>
      </c>
      <c r="F4428" s="41" t="s">
        <v>142</v>
      </c>
      <c r="G4428" s="37">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1" t="str">
        <f>VLOOKUP(B4428,辅助信息!E:I,3,FALSE)</f>
        <v>(乐山市校地共建产教融合基地建设项目一标段)四川省乐山市市中区苏稽镇周山嘴</v>
      </c>
      <c r="J4428" s="41" t="str">
        <f>VLOOKUP(B4428,辅助信息!E:I,4,FALSE)</f>
        <v>范增云</v>
      </c>
      <c r="K4428" s="41">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30" t="str">
        <f>VLOOKUP(B4428,辅助信息!E:M,9,FALSE)</f>
        <v>ZTWM-CDGS-XS-2025-0125-四川机司-乐山市校地共建产教融合基地配套设施项目施工一标段钢筋采购合同</v>
      </c>
      <c r="R4428" s="30" t="str">
        <f>_xlfn._xlws.FILTER(辅助信息!D:D,辅助信息!E:E=B4428)</f>
        <v>乐山市校地共建产教融合基地建设项目</v>
      </c>
    </row>
    <row r="4429" hidden="1" spans="2:18">
      <c r="B4429" s="136" t="s">
        <v>187</v>
      </c>
      <c r="C4429" s="71">
        <v>45944</v>
      </c>
      <c r="D4429" s="41" t="str">
        <f>VLOOKUP(B4429,辅助信息!E:K,7,FALSE)</f>
        <v>JWDDCD2025072900121</v>
      </c>
      <c r="E4429" s="41" t="str">
        <f>VLOOKUP(F4429,辅助信息!A:B,2,FALSE)</f>
        <v>螺纹钢</v>
      </c>
      <c r="F4429" s="41" t="s">
        <v>181</v>
      </c>
      <c r="G4429" s="37">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1" t="str">
        <f>VLOOKUP(B4429,辅助信息!E:I,3,FALSE)</f>
        <v>(乐山市校地共建产教融合基地建设项目一标段)四川省乐山市市中区苏稽镇周山嘴</v>
      </c>
      <c r="J4429" s="41" t="str">
        <f>VLOOKUP(B4429,辅助信息!E:I,4,FALSE)</f>
        <v>范增云</v>
      </c>
      <c r="K4429" s="41">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30" t="str">
        <f>VLOOKUP(B4429,辅助信息!E:M,9,FALSE)</f>
        <v>ZTWM-CDGS-XS-2025-0125-四川机司-乐山市校地共建产教融合基地配套设施项目施工一标段钢筋采购合同</v>
      </c>
      <c r="R4429" s="30" t="str">
        <f>_xlfn._xlws.FILTER(辅助信息!D:D,辅助信息!E:E=B4429)</f>
        <v>乐山市校地共建产教融合基地建设项目</v>
      </c>
    </row>
    <row r="4430" hidden="1" spans="2:18">
      <c r="B4430" s="136" t="s">
        <v>187</v>
      </c>
      <c r="C4430" s="71">
        <v>45944</v>
      </c>
      <c r="D4430" s="41" t="str">
        <f>VLOOKUP(B4430,辅助信息!E:K,7,FALSE)</f>
        <v>JWDDCD2025072900121</v>
      </c>
      <c r="E4430" s="41" t="str">
        <f>VLOOKUP(F4430,辅助信息!A:B,2,FALSE)</f>
        <v>螺纹钢</v>
      </c>
      <c r="F4430" s="41" t="s">
        <v>200</v>
      </c>
      <c r="G4430" s="37">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1" t="str">
        <f>VLOOKUP(B4430,辅助信息!E:I,3,FALSE)</f>
        <v>(乐山市校地共建产教融合基地建设项目一标段)四川省乐山市市中区苏稽镇周山嘴</v>
      </c>
      <c r="J4430" s="41" t="str">
        <f>VLOOKUP(B4430,辅助信息!E:I,4,FALSE)</f>
        <v>范增云</v>
      </c>
      <c r="K4430" s="41">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30" t="str">
        <f>VLOOKUP(B4430,辅助信息!E:M,9,FALSE)</f>
        <v>ZTWM-CDGS-XS-2025-0125-四川机司-乐山市校地共建产教融合基地配套设施项目施工一标段钢筋采购合同</v>
      </c>
      <c r="R4430" s="30" t="str">
        <f>_xlfn._xlws.FILTER(辅助信息!D:D,辅助信息!E:E=B4430)</f>
        <v>乐山市校地共建产教融合基地建设项目</v>
      </c>
    </row>
    <row r="4431" hidden="1" spans="2:18">
      <c r="B4431" s="136" t="s">
        <v>187</v>
      </c>
      <c r="C4431" s="71">
        <v>45944</v>
      </c>
      <c r="D4431" s="41" t="str">
        <f>VLOOKUP(B4431,辅助信息!E:K,7,FALSE)</f>
        <v>JWDDCD2025072900121</v>
      </c>
      <c r="E4431" s="41" t="str">
        <f>VLOOKUP(F4431,辅助信息!A:B,2,FALSE)</f>
        <v>螺纹钢</v>
      </c>
      <c r="F4431" s="41" t="s">
        <v>182</v>
      </c>
      <c r="G4431" s="37">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1" t="str">
        <f>VLOOKUP(B4431,辅助信息!E:I,3,FALSE)</f>
        <v>(乐山市校地共建产教融合基地建设项目一标段)四川省乐山市市中区苏稽镇周山嘴</v>
      </c>
      <c r="J4431" s="41" t="str">
        <f>VLOOKUP(B4431,辅助信息!E:I,4,FALSE)</f>
        <v>范增云</v>
      </c>
      <c r="K4431" s="41">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30" t="str">
        <f>VLOOKUP(B4431,辅助信息!E:M,9,FALSE)</f>
        <v>ZTWM-CDGS-XS-2025-0125-四川机司-乐山市校地共建产教融合基地配套设施项目施工一标段钢筋采购合同</v>
      </c>
      <c r="R4431" s="30" t="str">
        <f>_xlfn._xlws.FILTER(辅助信息!D:D,辅助信息!E:E=B4431)</f>
        <v>乐山市校地共建产教融合基地建设项目</v>
      </c>
    </row>
    <row r="4432" hidden="1" spans="2:18">
      <c r="B4432" s="136" t="s">
        <v>187</v>
      </c>
      <c r="C4432" s="71">
        <v>45944</v>
      </c>
      <c r="D4432" s="41" t="str">
        <f>VLOOKUP(B4432,辅助信息!E:K,7,FALSE)</f>
        <v>JWDDCD2025072900121</v>
      </c>
      <c r="E4432" s="41" t="str">
        <f>VLOOKUP(F4432,辅助信息!A:B,2,FALSE)</f>
        <v>螺纹钢</v>
      </c>
      <c r="F4432" s="41" t="s">
        <v>201</v>
      </c>
      <c r="G4432" s="37">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1" t="str">
        <f>VLOOKUP(B4432,辅助信息!E:I,3,FALSE)</f>
        <v>(乐山市校地共建产教融合基地建设项目一标段)四川省乐山市市中区苏稽镇周山嘴</v>
      </c>
      <c r="J4432" s="41" t="str">
        <f>VLOOKUP(B4432,辅助信息!E:I,4,FALSE)</f>
        <v>范增云</v>
      </c>
      <c r="K4432" s="41">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30" t="str">
        <f>VLOOKUP(B4432,辅助信息!E:M,9,FALSE)</f>
        <v>ZTWM-CDGS-XS-2025-0125-四川机司-乐山市校地共建产教融合基地配套设施项目施工一标段钢筋采购合同</v>
      </c>
      <c r="R4432" s="30" t="str">
        <f>_xlfn._xlws.FILTER(辅助信息!D:D,辅助信息!E:E=B4432)</f>
        <v>乐山市校地共建产教融合基地建设项目</v>
      </c>
    </row>
    <row r="4433" hidden="1" spans="2:18">
      <c r="B4433" s="136" t="s">
        <v>187</v>
      </c>
      <c r="C4433" s="71">
        <v>45944</v>
      </c>
      <c r="D4433" s="41" t="str">
        <f>VLOOKUP(B4433,辅助信息!E:K,7,FALSE)</f>
        <v>JWDDCD2025072900121</v>
      </c>
      <c r="E4433" s="41" t="str">
        <f>VLOOKUP(F4433,辅助信息!A:B,2,FALSE)</f>
        <v>盘螺</v>
      </c>
      <c r="F4433" s="41" t="s">
        <v>41</v>
      </c>
      <c r="G4433" s="37">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1" t="str">
        <f>VLOOKUP(B4433,辅助信息!E:I,3,FALSE)</f>
        <v>(乐山市校地共建产教融合基地建设项目一标段)四川省乐山市市中区苏稽镇周山嘴</v>
      </c>
      <c r="J4433" s="41" t="str">
        <f>VLOOKUP(B4433,辅助信息!E:I,4,FALSE)</f>
        <v>范增云</v>
      </c>
      <c r="K4433" s="41">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30" t="str">
        <f>VLOOKUP(B4433,辅助信息!E:M,9,FALSE)</f>
        <v>ZTWM-CDGS-XS-2025-0125-四川机司-乐山市校地共建产教融合基地配套设施项目施工一标段钢筋采购合同</v>
      </c>
      <c r="R4433" s="30" t="str">
        <f>_xlfn._xlws.FILTER(辅助信息!D:D,辅助信息!E:E=B4433)</f>
        <v>乐山市校地共建产教融合基地建设项目</v>
      </c>
    </row>
    <row r="4434" hidden="1" spans="2:18">
      <c r="B4434" s="136" t="s">
        <v>187</v>
      </c>
      <c r="C4434" s="71">
        <v>45944</v>
      </c>
      <c r="D4434" s="41" t="str">
        <f>VLOOKUP(B4434,辅助信息!E:K,7,FALSE)</f>
        <v>JWDDCD2025072900121</v>
      </c>
      <c r="E4434" s="41" t="str">
        <f>VLOOKUP(F4434,辅助信息!A:B,2,FALSE)</f>
        <v>盘螺</v>
      </c>
      <c r="F4434" s="41" t="s">
        <v>26</v>
      </c>
      <c r="G4434" s="37">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1" t="str">
        <f>VLOOKUP(B4434,辅助信息!E:I,3,FALSE)</f>
        <v>(乐山市校地共建产教融合基地建设项目一标段)四川省乐山市市中区苏稽镇周山嘴</v>
      </c>
      <c r="J4434" s="41" t="str">
        <f>VLOOKUP(B4434,辅助信息!E:I,4,FALSE)</f>
        <v>范增云</v>
      </c>
      <c r="K4434" s="41">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30" t="str">
        <f>VLOOKUP(B4434,辅助信息!E:M,9,FALSE)</f>
        <v>ZTWM-CDGS-XS-2025-0125-四川机司-乐山市校地共建产教融合基地配套设施项目施工一标段钢筋采购合同</v>
      </c>
      <c r="R4434" s="30" t="str">
        <f>_xlfn._xlws.FILTER(辅助信息!D:D,辅助信息!E:E=B4434)</f>
        <v>乐山市校地共建产教融合基地建设项目</v>
      </c>
    </row>
    <row r="4435" hidden="1" spans="2:18">
      <c r="B4435" s="136" t="s">
        <v>187</v>
      </c>
      <c r="C4435" s="71">
        <v>45944</v>
      </c>
      <c r="D4435" s="41" t="str">
        <f>VLOOKUP(B4435,辅助信息!E:K,7,FALSE)</f>
        <v>JWDDCD2025072900121</v>
      </c>
      <c r="E4435" s="41" t="str">
        <f>VLOOKUP(F4435,辅助信息!A:B,2,FALSE)</f>
        <v>盘螺</v>
      </c>
      <c r="F4435" s="41" t="s">
        <v>40</v>
      </c>
      <c r="G4435" s="37">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1" t="str">
        <f>VLOOKUP(B4435,辅助信息!E:I,3,FALSE)</f>
        <v>(乐山市校地共建产教融合基地建设项目一标段)四川省乐山市市中区苏稽镇周山嘴</v>
      </c>
      <c r="J4435" s="41" t="str">
        <f>VLOOKUP(B4435,辅助信息!E:I,4,FALSE)</f>
        <v>范增云</v>
      </c>
      <c r="K4435" s="41">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30" t="str">
        <f>VLOOKUP(B4435,辅助信息!E:M,9,FALSE)</f>
        <v>ZTWM-CDGS-XS-2025-0125-四川机司-乐山市校地共建产教融合基地配套设施项目施工一标段钢筋采购合同</v>
      </c>
      <c r="R4435" s="30" t="str">
        <f>_xlfn._xlws.FILTER(辅助信息!D:D,辅助信息!E:E=B4435)</f>
        <v>乐山市校地共建产教融合基地建设项目</v>
      </c>
    </row>
    <row r="4436" hidden="1" spans="2:18">
      <c r="B4436" s="136" t="s">
        <v>47</v>
      </c>
      <c r="C4436" s="71">
        <v>45944</v>
      </c>
      <c r="D4436" s="41" t="str">
        <f>VLOOKUP(B4436,辅助信息!E:K,7,FALSE)</f>
        <v>JWDDCD2025052800131</v>
      </c>
      <c r="E4436" s="41" t="str">
        <f>VLOOKUP(F4436,辅助信息!A:B,2,FALSE)</f>
        <v>螺纹钢</v>
      </c>
      <c r="F4436" s="41" t="s">
        <v>27</v>
      </c>
      <c r="G4436" s="37">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1" t="str">
        <f>VLOOKUP(B4436,辅助信息!E:I,3,FALSE)</f>
        <v>（商投建工达州中医药科技园-1工区）达州市通川区达州中医药职业学院犀牛大道北段</v>
      </c>
      <c r="J4436" s="41" t="str">
        <f>VLOOKUP(B4436,辅助信息!E:I,4,FALSE)</f>
        <v>程黄刚</v>
      </c>
      <c r="K4436" s="41">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30" t="str">
        <f>VLOOKUP(B4436,辅助信息!E:M,9,FALSE)</f>
        <v>ZTWM-CDGS-XS-2024-0134-商投建工达州中医药科技成果示范园项目</v>
      </c>
      <c r="R4436" s="30" t="str">
        <f>_xlfn._xlws.FILTER(辅助信息!D:D,辅助信息!E:E=B4436)</f>
        <v>商投建工达州中医药科技园</v>
      </c>
    </row>
    <row r="4437" hidden="1" spans="2:18">
      <c r="B4437" s="136" t="s">
        <v>47</v>
      </c>
      <c r="C4437" s="71">
        <v>45944</v>
      </c>
      <c r="D4437" s="41" t="str">
        <f>VLOOKUP(B4437,辅助信息!E:K,7,FALSE)</f>
        <v>JWDDCD2025052800131</v>
      </c>
      <c r="E4437" s="41" t="str">
        <f>VLOOKUP(F4437,辅助信息!A:B,2,FALSE)</f>
        <v>螺纹钢</v>
      </c>
      <c r="F4437" s="41" t="s">
        <v>30</v>
      </c>
      <c r="G4437" s="37">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1" t="str">
        <f>VLOOKUP(B4437,辅助信息!E:I,3,FALSE)</f>
        <v>（商投建工达州中医药科技园-1工区）达州市通川区达州中医药职业学院犀牛大道北段</v>
      </c>
      <c r="J4437" s="41" t="str">
        <f>VLOOKUP(B4437,辅助信息!E:I,4,FALSE)</f>
        <v>程黄刚</v>
      </c>
      <c r="K4437" s="41">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30" t="str">
        <f>VLOOKUP(B4437,辅助信息!E:M,9,FALSE)</f>
        <v>ZTWM-CDGS-XS-2024-0134-商投建工达州中医药科技成果示范园项目</v>
      </c>
      <c r="R4437" s="30" t="str">
        <f>_xlfn._xlws.FILTER(辅助信息!D:D,辅助信息!E:E=B4437)</f>
        <v>商投建工达州中医药科技园</v>
      </c>
    </row>
    <row r="4438" hidden="1" spans="2:18">
      <c r="B4438" s="136" t="s">
        <v>47</v>
      </c>
      <c r="C4438" s="71">
        <v>45944</v>
      </c>
      <c r="D4438" s="41" t="str">
        <f>VLOOKUP(B4438,辅助信息!E:K,7,FALSE)</f>
        <v>JWDDCD2025052800131</v>
      </c>
      <c r="E4438" s="41" t="str">
        <f>VLOOKUP(F4438,辅助信息!A:B,2,FALSE)</f>
        <v>螺纹钢</v>
      </c>
      <c r="F4438" s="41" t="s">
        <v>33</v>
      </c>
      <c r="G4438" s="37">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1" t="str">
        <f>VLOOKUP(B4438,辅助信息!E:I,3,FALSE)</f>
        <v>（商投建工达州中医药科技园-1工区）达州市通川区达州中医药职业学院犀牛大道北段</v>
      </c>
      <c r="J4438" s="41" t="str">
        <f>VLOOKUP(B4438,辅助信息!E:I,4,FALSE)</f>
        <v>程黄刚</v>
      </c>
      <c r="K4438" s="41">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30" t="str">
        <f>VLOOKUP(B4438,辅助信息!E:M,9,FALSE)</f>
        <v>ZTWM-CDGS-XS-2024-0134-商投建工达州中医药科技成果示范园项目</v>
      </c>
      <c r="R4438" s="30" t="str">
        <f>_xlfn._xlws.FILTER(辅助信息!D:D,辅助信息!E:E=B4438)</f>
        <v>商投建工达州中医药科技园</v>
      </c>
    </row>
    <row r="4439" hidden="1" spans="2:18">
      <c r="B4439" s="136" t="s">
        <v>47</v>
      </c>
      <c r="C4439" s="71">
        <v>45944</v>
      </c>
      <c r="D4439" s="41" t="str">
        <f>VLOOKUP(B4439,辅助信息!E:K,7,FALSE)</f>
        <v>JWDDCD2025052800131</v>
      </c>
      <c r="E4439" s="41" t="str">
        <f>VLOOKUP(F4439,辅助信息!A:B,2,FALSE)</f>
        <v>螺纹钢</v>
      </c>
      <c r="F4439" s="41" t="s">
        <v>18</v>
      </c>
      <c r="G4439" s="37">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1" t="str">
        <f>VLOOKUP(B4439,辅助信息!E:I,3,FALSE)</f>
        <v>（商投建工达州中医药科技园-1工区）达州市通川区达州中医药职业学院犀牛大道北段</v>
      </c>
      <c r="J4439" s="41" t="str">
        <f>VLOOKUP(B4439,辅助信息!E:I,4,FALSE)</f>
        <v>程黄刚</v>
      </c>
      <c r="K4439" s="41">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30" t="str">
        <f>VLOOKUP(B4439,辅助信息!E:M,9,FALSE)</f>
        <v>ZTWM-CDGS-XS-2024-0134-商投建工达州中医药科技成果示范园项目</v>
      </c>
      <c r="R4439" s="30" t="str">
        <f>_xlfn._xlws.FILTER(辅助信息!D:D,辅助信息!E:E=B4439)</f>
        <v>商投建工达州中医药科技园</v>
      </c>
    </row>
    <row r="4440" hidden="1" spans="2:18">
      <c r="B4440" s="136" t="s">
        <v>47</v>
      </c>
      <c r="C4440" s="71">
        <v>45944</v>
      </c>
      <c r="D4440" s="41" t="str">
        <f>VLOOKUP(B4440,辅助信息!E:K,7,FALSE)</f>
        <v>JWDDCD2025052800131</v>
      </c>
      <c r="E4440" s="41" t="str">
        <f>VLOOKUP(F4440,辅助信息!A:B,2,FALSE)</f>
        <v>盘螺</v>
      </c>
      <c r="F4440" s="41" t="s">
        <v>40</v>
      </c>
      <c r="G4440" s="37">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1" t="str">
        <f>VLOOKUP(B4440,辅助信息!E:I,3,FALSE)</f>
        <v>（商投建工达州中医药科技园-1工区）达州市通川区达州中医药职业学院犀牛大道北段</v>
      </c>
      <c r="J4440" s="41" t="str">
        <f>VLOOKUP(B4440,辅助信息!E:I,4,FALSE)</f>
        <v>程黄刚</v>
      </c>
      <c r="K4440" s="41">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30" t="str">
        <f>VLOOKUP(B4440,辅助信息!E:M,9,FALSE)</f>
        <v>ZTWM-CDGS-XS-2024-0134-商投建工达州中医药科技成果示范园项目</v>
      </c>
      <c r="R4440" s="30" t="str">
        <f>_xlfn._xlws.FILTER(辅助信息!D:D,辅助信息!E:E=B4440)</f>
        <v>商投建工达州中医药科技园</v>
      </c>
    </row>
    <row r="4441" hidden="1" spans="2:18">
      <c r="B4441" s="136" t="s">
        <v>232</v>
      </c>
      <c r="C4441" s="71">
        <v>45944</v>
      </c>
      <c r="D4441" s="41" t="str">
        <f>VLOOKUP(B4441,辅助信息!E:K,7,FALSE)</f>
        <v>JWDDCD2025052800131</v>
      </c>
      <c r="E4441" s="41" t="str">
        <f>VLOOKUP(F4441,辅助信息!A:B,2,FALSE)</f>
        <v>螺纹钢</v>
      </c>
      <c r="F4441" s="41" t="s">
        <v>27</v>
      </c>
      <c r="G4441" s="37">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1" t="str">
        <f>VLOOKUP(B4441,辅助信息!E:I,3,FALSE)</f>
        <v>（商投建工达州中医药科技园-2工区-2号桥）达州市通川区达州中医药职业学院犀牛大道北段</v>
      </c>
      <c r="J4441" s="41" t="str">
        <f>VLOOKUP(B4441,辅助信息!E:I,4,FALSE)</f>
        <v>李波</v>
      </c>
      <c r="K4441" s="41">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30" t="str">
        <f>VLOOKUP(B4441,辅助信息!E:M,9,FALSE)</f>
        <v>ZTWM-CDGS-XS-2024-0134-商投建工达州中医药科技成果示范园项目</v>
      </c>
      <c r="R4441" s="30" t="str">
        <f>_xlfn._xlws.FILTER(辅助信息!D:D,辅助信息!E:E=B4441)</f>
        <v>商投建工达州中医药科技园</v>
      </c>
    </row>
    <row r="4442" hidden="1" spans="2:18">
      <c r="B4442" s="136" t="s">
        <v>232</v>
      </c>
      <c r="C4442" s="71">
        <v>45944</v>
      </c>
      <c r="D4442" s="41" t="str">
        <f>VLOOKUP(B4442,辅助信息!E:K,7,FALSE)</f>
        <v>JWDDCD2025052800131</v>
      </c>
      <c r="E4442" s="41" t="str">
        <f>VLOOKUP(F4442,辅助信息!A:B,2,FALSE)</f>
        <v>螺纹钢</v>
      </c>
      <c r="F4442" s="41" t="s">
        <v>19</v>
      </c>
      <c r="G4442" s="37">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1" t="str">
        <f>VLOOKUP(B4442,辅助信息!E:I,3,FALSE)</f>
        <v>（商投建工达州中医药科技园-2工区-2号桥）达州市通川区达州中医药职业学院犀牛大道北段</v>
      </c>
      <c r="J4442" s="41" t="str">
        <f>VLOOKUP(B4442,辅助信息!E:I,4,FALSE)</f>
        <v>李波</v>
      </c>
      <c r="K4442" s="41">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30" t="str">
        <f>VLOOKUP(B4442,辅助信息!E:M,9,FALSE)</f>
        <v>ZTWM-CDGS-XS-2024-0134-商投建工达州中医药科技成果示范园项目</v>
      </c>
      <c r="R4442" s="30" t="str">
        <f>_xlfn._xlws.FILTER(辅助信息!D:D,辅助信息!E:E=B4442)</f>
        <v>商投建工达州中医药科技园</v>
      </c>
    </row>
    <row r="4443" hidden="1" spans="2:18">
      <c r="B4443" s="136" t="s">
        <v>232</v>
      </c>
      <c r="C4443" s="71">
        <v>45944</v>
      </c>
      <c r="D4443" s="41" t="str">
        <f>VLOOKUP(B4443,辅助信息!E:K,7,FALSE)</f>
        <v>JWDDCD2025052800131</v>
      </c>
      <c r="E4443" s="41" t="str">
        <f>VLOOKUP(F4443,辅助信息!A:B,2,FALSE)</f>
        <v>螺纹钢</v>
      </c>
      <c r="F4443" s="41" t="s">
        <v>66</v>
      </c>
      <c r="G4443" s="37">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1" t="str">
        <f>VLOOKUP(B4443,辅助信息!E:I,3,FALSE)</f>
        <v>（商投建工达州中医药科技园-2工区-2号桥）达州市通川区达州中医药职业学院犀牛大道北段</v>
      </c>
      <c r="J4443" s="41" t="str">
        <f>VLOOKUP(B4443,辅助信息!E:I,4,FALSE)</f>
        <v>李波</v>
      </c>
      <c r="K4443" s="41">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30" t="str">
        <f>VLOOKUP(B4443,辅助信息!E:M,9,FALSE)</f>
        <v>ZTWM-CDGS-XS-2024-0134-商投建工达州中医药科技成果示范园项目</v>
      </c>
      <c r="R4443" s="30" t="str">
        <f>_xlfn._xlws.FILTER(辅助信息!D:D,辅助信息!E:E=B4443)</f>
        <v>商投建工达州中医药科技园</v>
      </c>
    </row>
    <row r="4444" hidden="1" spans="2:18">
      <c r="B4444" s="136" t="s">
        <v>232</v>
      </c>
      <c r="C4444" s="71">
        <v>45944</v>
      </c>
      <c r="D4444" s="41" t="str">
        <f>VLOOKUP(B4444,辅助信息!E:K,7,FALSE)</f>
        <v>JWDDCD2025052800131</v>
      </c>
      <c r="E4444" s="41" t="str">
        <f>VLOOKUP(F4444,辅助信息!A:B,2,FALSE)</f>
        <v>螺纹钢</v>
      </c>
      <c r="F4444" s="41" t="s">
        <v>82</v>
      </c>
      <c r="G4444" s="37">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1" t="str">
        <f>VLOOKUP(B4444,辅助信息!E:I,3,FALSE)</f>
        <v>（商投建工达州中医药科技园-2工区-2号桥）达州市通川区达州中医药职业学院犀牛大道北段</v>
      </c>
      <c r="J4444" s="41" t="str">
        <f>VLOOKUP(B4444,辅助信息!E:I,4,FALSE)</f>
        <v>李波</v>
      </c>
      <c r="K4444" s="41">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30" t="str">
        <f>VLOOKUP(B4444,辅助信息!E:M,9,FALSE)</f>
        <v>ZTWM-CDGS-XS-2024-0134-商投建工达州中医药科技成果示范园项目</v>
      </c>
      <c r="R4444" s="30" t="str">
        <f>_xlfn._xlws.FILTER(辅助信息!D:D,辅助信息!E:E=B4444)</f>
        <v>商投建工达州中医药科技园</v>
      </c>
    </row>
    <row r="4445" hidden="1" spans="2:18">
      <c r="B4445" s="136" t="s">
        <v>232</v>
      </c>
      <c r="C4445" s="71">
        <v>45944</v>
      </c>
      <c r="D4445" s="41" t="str">
        <f>VLOOKUP(B4445,辅助信息!E:K,7,FALSE)</f>
        <v>JWDDCD2025052800131</v>
      </c>
      <c r="E4445" s="41" t="str">
        <f>VLOOKUP(F4445,辅助信息!A:B,2,FALSE)</f>
        <v>螺纹钢</v>
      </c>
      <c r="F4445" s="41" t="s">
        <v>45</v>
      </c>
      <c r="G4445" s="37">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1" t="str">
        <f>VLOOKUP(B4445,辅助信息!E:I,3,FALSE)</f>
        <v>（商投建工达州中医药科技园-2工区-2号桥）达州市通川区达州中医药职业学院犀牛大道北段</v>
      </c>
      <c r="J4445" s="41" t="str">
        <f>VLOOKUP(B4445,辅助信息!E:I,4,FALSE)</f>
        <v>李波</v>
      </c>
      <c r="K4445" s="41">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30" t="str">
        <f>VLOOKUP(B4445,辅助信息!E:M,9,FALSE)</f>
        <v>ZTWM-CDGS-XS-2024-0134-商投建工达州中医药科技成果示范园项目</v>
      </c>
      <c r="R4445" s="30" t="str">
        <f>_xlfn._xlws.FILTER(辅助信息!D:D,辅助信息!E:E=B4445)</f>
        <v>商投建工达州中医药科技园</v>
      </c>
    </row>
    <row r="4446" hidden="1" spans="2:18">
      <c r="B4446" s="136" t="s">
        <v>232</v>
      </c>
      <c r="C4446" s="71">
        <v>45944</v>
      </c>
      <c r="D4446" s="41" t="str">
        <f>VLOOKUP(B4446,辅助信息!E:K,7,FALSE)</f>
        <v>JWDDCD2025052800131</v>
      </c>
      <c r="E4446" s="41" t="str">
        <f>VLOOKUP(F4446,辅助信息!A:B,2,FALSE)</f>
        <v>螺纹钢</v>
      </c>
      <c r="F4446" s="41" t="s">
        <v>21</v>
      </c>
      <c r="G4446" s="37">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1" t="str">
        <f>VLOOKUP(B4446,辅助信息!E:I,3,FALSE)</f>
        <v>（商投建工达州中医药科技园-2工区-2号桥）达州市通川区达州中医药职业学院犀牛大道北段</v>
      </c>
      <c r="J4446" s="41" t="str">
        <f>VLOOKUP(B4446,辅助信息!E:I,4,FALSE)</f>
        <v>李波</v>
      </c>
      <c r="K4446" s="41">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30" t="str">
        <f>VLOOKUP(B4446,辅助信息!E:M,9,FALSE)</f>
        <v>ZTWM-CDGS-XS-2024-0134-商投建工达州中医药科技成果示范园项目</v>
      </c>
      <c r="R4446" s="30" t="str">
        <f>_xlfn._xlws.FILTER(辅助信息!D:D,辅助信息!E:E=B4446)</f>
        <v>商投建工达州中医药科技园</v>
      </c>
    </row>
    <row r="4447" hidden="1" spans="2:18">
      <c r="B4447" s="136" t="s">
        <v>232</v>
      </c>
      <c r="C4447" s="71">
        <v>45944</v>
      </c>
      <c r="D4447" s="41" t="str">
        <f>VLOOKUP(B4447,辅助信息!E:K,7,FALSE)</f>
        <v>JWDDCD2025052800131</v>
      </c>
      <c r="E4447" s="41" t="str">
        <f>VLOOKUP(F4447,辅助信息!A:B,2,FALSE)</f>
        <v>螺纹钢</v>
      </c>
      <c r="F4447" s="41" t="s">
        <v>58</v>
      </c>
      <c r="G4447" s="37">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1" t="str">
        <f>VLOOKUP(B4447,辅助信息!E:I,3,FALSE)</f>
        <v>（商投建工达州中医药科技园-2工区-2号桥）达州市通川区达州中医药职业学院犀牛大道北段</v>
      </c>
      <c r="J4447" s="41" t="str">
        <f>VLOOKUP(B4447,辅助信息!E:I,4,FALSE)</f>
        <v>李波</v>
      </c>
      <c r="K4447" s="41">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30" t="str">
        <f>VLOOKUP(B4447,辅助信息!E:M,9,FALSE)</f>
        <v>ZTWM-CDGS-XS-2024-0134-商投建工达州中医药科技成果示范园项目</v>
      </c>
      <c r="R4447" s="30" t="str">
        <f>_xlfn._xlws.FILTER(辅助信息!D:D,辅助信息!E:E=B4447)</f>
        <v>商投建工达州中医药科技园</v>
      </c>
    </row>
    <row r="4448" hidden="1" spans="2:18">
      <c r="B4448" s="136" t="s">
        <v>232</v>
      </c>
      <c r="C4448" s="71">
        <v>45944</v>
      </c>
      <c r="D4448" s="41" t="str">
        <f>VLOOKUP(B4448,辅助信息!E:K,7,FALSE)</f>
        <v>JWDDCD2025052800131</v>
      </c>
      <c r="E4448" s="41" t="str">
        <f>VLOOKUP(F4448,辅助信息!A:B,2,FALSE)</f>
        <v>螺纹钢</v>
      </c>
      <c r="F4448" s="41" t="s">
        <v>46</v>
      </c>
      <c r="G4448" s="37">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1" t="str">
        <f>VLOOKUP(B4448,辅助信息!E:I,3,FALSE)</f>
        <v>（商投建工达州中医药科技园-2工区-2号桥）达州市通川区达州中医药职业学院犀牛大道北段</v>
      </c>
      <c r="J4448" s="41" t="str">
        <f>VLOOKUP(B4448,辅助信息!E:I,4,FALSE)</f>
        <v>李波</v>
      </c>
      <c r="K4448" s="41">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30" t="str">
        <f>VLOOKUP(B4448,辅助信息!E:M,9,FALSE)</f>
        <v>ZTWM-CDGS-XS-2024-0134-商投建工达州中医药科技成果示范园项目</v>
      </c>
      <c r="R4448" s="30" t="str">
        <f>_xlfn._xlws.FILTER(辅助信息!D:D,辅助信息!E:E=B4448)</f>
        <v>商投建工达州中医药科技园</v>
      </c>
    </row>
    <row r="4449" hidden="1" spans="2:18">
      <c r="B4449" s="136" t="s">
        <v>232</v>
      </c>
      <c r="C4449" s="71">
        <v>45944</v>
      </c>
      <c r="D4449" s="41" t="str">
        <f>VLOOKUP(B4449,辅助信息!E:K,7,FALSE)</f>
        <v>JWDDCD2025052800131</v>
      </c>
      <c r="E4449" s="41" t="str">
        <f>VLOOKUP(F4449,辅助信息!A:B,2,FALSE)</f>
        <v>螺纹钢</v>
      </c>
      <c r="F4449" s="41" t="s">
        <v>22</v>
      </c>
      <c r="G4449" s="37">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1" t="str">
        <f>VLOOKUP(B4449,辅助信息!E:I,3,FALSE)</f>
        <v>（商投建工达州中医药科技园-2工区-2号桥）达州市通川区达州中医药职业学院犀牛大道北段</v>
      </c>
      <c r="J4449" s="41" t="str">
        <f>VLOOKUP(B4449,辅助信息!E:I,4,FALSE)</f>
        <v>李波</v>
      </c>
      <c r="K4449" s="41">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30" t="str">
        <f>VLOOKUP(B4449,辅助信息!E:M,9,FALSE)</f>
        <v>ZTWM-CDGS-XS-2024-0134-商投建工达州中医药科技成果示范园项目</v>
      </c>
      <c r="R4449" s="30" t="str">
        <f>_xlfn._xlws.FILTER(辅助信息!D:D,辅助信息!E:E=B4449)</f>
        <v>商投建工达州中医药科技园</v>
      </c>
    </row>
    <row r="4450" hidden="1" spans="2:18">
      <c r="B4450" s="136" t="s">
        <v>232</v>
      </c>
      <c r="C4450" s="71">
        <v>45944</v>
      </c>
      <c r="D4450" s="41" t="str">
        <f>VLOOKUP(B4450,辅助信息!E:K,7,FALSE)</f>
        <v>JWDDCD2025052800131</v>
      </c>
      <c r="E4450" s="41" t="str">
        <f>VLOOKUP(F4450,辅助信息!A:B,2,FALSE)</f>
        <v>螺纹钢</v>
      </c>
      <c r="F4450" s="41" t="s">
        <v>142</v>
      </c>
      <c r="G4450" s="37">
        <v>100</v>
      </c>
      <c r="H4450" s="135">
        <v>150</v>
      </c>
      <c r="I4450" s="41" t="str">
        <f>VLOOKUP(B4450,辅助信息!E:I,3,FALSE)</f>
        <v>（商投建工达州中医药科技园-2工区-2号桥）达州市通川区达州中医药职业学院犀牛大道北段</v>
      </c>
      <c r="J4450" s="41" t="str">
        <f>VLOOKUP(B4450,辅助信息!E:I,4,FALSE)</f>
        <v>李波</v>
      </c>
      <c r="K4450" s="41">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30" t="str">
        <f>VLOOKUP(B4450,辅助信息!E:M,9,FALSE)</f>
        <v>ZTWM-CDGS-XS-2024-0134-商投建工达州中医药科技成果示范园项目</v>
      </c>
      <c r="R4450" s="30" t="str">
        <f>_xlfn._xlws.FILTER(辅助信息!D:D,辅助信息!E:E=B4450)</f>
        <v>商投建工达州中医药科技园</v>
      </c>
    </row>
    <row r="4451" hidden="1" spans="2:18">
      <c r="B4451" s="136" t="s">
        <v>68</v>
      </c>
      <c r="C4451" s="71">
        <v>45944</v>
      </c>
      <c r="D4451" s="41" t="str">
        <f>VLOOKUP(B4451,辅助信息!E:K,7,FALSE)</f>
        <v>JWDDCD2025052800131</v>
      </c>
      <c r="E4451" s="41" t="str">
        <f>VLOOKUP(F4451,辅助信息!A:B,2,FALSE)</f>
        <v>螺纹钢</v>
      </c>
      <c r="F4451" s="41" t="s">
        <v>30</v>
      </c>
      <c r="G4451" s="37">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1" t="str">
        <f>VLOOKUP(B4451,辅助信息!E:I,3,FALSE)</f>
        <v>（商投建工达州中医药科技园-2工区-景观桥）达州市通川区达州中医药职业学院犀牛大道北段</v>
      </c>
      <c r="J4451" s="41" t="str">
        <f>VLOOKUP(B4451,辅助信息!E:I,4,FALSE)</f>
        <v>李波</v>
      </c>
      <c r="K4451" s="41">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30" t="str">
        <f>VLOOKUP(B4451,辅助信息!E:M,9,FALSE)</f>
        <v>ZTWM-CDGS-XS-2024-0134-商投建工达州中医药科技成果示范园项目</v>
      </c>
      <c r="R4451" s="30" t="str">
        <f>_xlfn._xlws.FILTER(辅助信息!D:D,辅助信息!E:E=B4451)</f>
        <v>商投建工达州中医药科技园</v>
      </c>
    </row>
    <row r="4452" hidden="1" spans="2:18">
      <c r="B4452" s="136" t="s">
        <v>68</v>
      </c>
      <c r="C4452" s="71">
        <v>45944</v>
      </c>
      <c r="D4452" s="41" t="str">
        <f>VLOOKUP(B4452,辅助信息!E:K,7,FALSE)</f>
        <v>JWDDCD2025052800131</v>
      </c>
      <c r="E4452" s="41" t="str">
        <f>VLOOKUP(F4452,辅助信息!A:B,2,FALSE)</f>
        <v>螺纹钢</v>
      </c>
      <c r="F4452" s="41" t="s">
        <v>33</v>
      </c>
      <c r="G4452" s="37">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1" t="str">
        <f>VLOOKUP(B4452,辅助信息!E:I,3,FALSE)</f>
        <v>（商投建工达州中医药科技园-2工区-景观桥）达州市通川区达州中医药职业学院犀牛大道北段</v>
      </c>
      <c r="J4452" s="41" t="str">
        <f>VLOOKUP(B4452,辅助信息!E:I,4,FALSE)</f>
        <v>李波</v>
      </c>
      <c r="K4452" s="41">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30" t="str">
        <f>VLOOKUP(B4452,辅助信息!E:M,9,FALSE)</f>
        <v>ZTWM-CDGS-XS-2024-0134-商投建工达州中医药科技成果示范园项目</v>
      </c>
      <c r="R4452" s="30" t="str">
        <f>_xlfn._xlws.FILTER(辅助信息!D:D,辅助信息!E:E=B4452)</f>
        <v>商投建工达州中医药科技园</v>
      </c>
    </row>
    <row r="4453" hidden="1" spans="2:18">
      <c r="B4453" s="136" t="s">
        <v>68</v>
      </c>
      <c r="C4453" s="71">
        <v>45944</v>
      </c>
      <c r="D4453" s="41" t="str">
        <f>VLOOKUP(B4453,辅助信息!E:K,7,FALSE)</f>
        <v>JWDDCD2025052800131</v>
      </c>
      <c r="E4453" s="41" t="str">
        <f>VLOOKUP(F4453,辅助信息!A:B,2,FALSE)</f>
        <v>螺纹钢</v>
      </c>
      <c r="F4453" s="41" t="s">
        <v>18</v>
      </c>
      <c r="G4453" s="37">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1" t="str">
        <f>VLOOKUP(B4453,辅助信息!E:I,3,FALSE)</f>
        <v>（商投建工达州中医药科技园-2工区-景观桥）达州市通川区达州中医药职业学院犀牛大道北段</v>
      </c>
      <c r="J4453" s="41" t="str">
        <f>VLOOKUP(B4453,辅助信息!E:I,4,FALSE)</f>
        <v>李波</v>
      </c>
      <c r="K4453" s="41">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30" t="str">
        <f>VLOOKUP(B4453,辅助信息!E:M,9,FALSE)</f>
        <v>ZTWM-CDGS-XS-2024-0134-商投建工达州中医药科技成果示范园项目</v>
      </c>
      <c r="R4453" s="30" t="str">
        <f>_xlfn._xlws.FILTER(辅助信息!D:D,辅助信息!E:E=B4453)</f>
        <v>商投建工达州中医药科技园</v>
      </c>
    </row>
    <row r="4454" hidden="1" spans="2:18">
      <c r="B4454" s="136" t="s">
        <v>112</v>
      </c>
      <c r="C4454" s="71">
        <v>45944</v>
      </c>
      <c r="D4454" s="41" t="str">
        <f>VLOOKUP(B4454,辅助信息!E:K,7,FALSE)</f>
        <v>JWDDCD2025052800131</v>
      </c>
      <c r="E4454" s="41" t="str">
        <f>VLOOKUP(F4454,辅助信息!A:B,2,FALSE)</f>
        <v>螺纹钢</v>
      </c>
      <c r="F4454" s="41" t="s">
        <v>32</v>
      </c>
      <c r="G4454" s="37">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1" t="str">
        <f>VLOOKUP(B4454,辅助信息!E:I,3,FALSE)</f>
        <v>（商投建工达州中医药科技园-4工区-10号楼）达州市通川区达州中医药职业学院犀牛大道北段</v>
      </c>
      <c r="J4454" s="41" t="str">
        <f>VLOOKUP(B4454,辅助信息!E:I,4,FALSE)</f>
        <v>张扬</v>
      </c>
      <c r="K4454" s="41">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30" t="str">
        <f>VLOOKUP(B4454,辅助信息!E:M,9,FALSE)</f>
        <v>ZTWM-CDGS-XS-2024-0134-商投建工达州中医药科技成果示范园项目</v>
      </c>
      <c r="R4454" s="30" t="str">
        <f>_xlfn._xlws.FILTER(辅助信息!D:D,辅助信息!E:E=B4454)</f>
        <v>商投建工达州中医药科技园</v>
      </c>
    </row>
    <row r="4455" hidden="1" spans="2:18">
      <c r="B4455" s="136" t="s">
        <v>112</v>
      </c>
      <c r="C4455" s="71">
        <v>45944</v>
      </c>
      <c r="D4455" s="41" t="str">
        <f>VLOOKUP(B4455,辅助信息!E:K,7,FALSE)</f>
        <v>JWDDCD2025052800131</v>
      </c>
      <c r="E4455" s="41" t="str">
        <f>VLOOKUP(F4455,辅助信息!A:B,2,FALSE)</f>
        <v>螺纹钢</v>
      </c>
      <c r="F4455" s="41" t="s">
        <v>21</v>
      </c>
      <c r="G4455" s="37">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1" t="str">
        <f>VLOOKUP(B4455,辅助信息!E:I,3,FALSE)</f>
        <v>（商投建工达州中医药科技园-4工区-10号楼）达州市通川区达州中医药职业学院犀牛大道北段</v>
      </c>
      <c r="J4455" s="41" t="str">
        <f>VLOOKUP(B4455,辅助信息!E:I,4,FALSE)</f>
        <v>张扬</v>
      </c>
      <c r="K4455" s="41">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30" t="str">
        <f>VLOOKUP(B4455,辅助信息!E:M,9,FALSE)</f>
        <v>ZTWM-CDGS-XS-2024-0134-商投建工达州中医药科技成果示范园项目</v>
      </c>
      <c r="R4455" s="30" t="str">
        <f>_xlfn._xlws.FILTER(辅助信息!D:D,辅助信息!E:E=B4455)</f>
        <v>商投建工达州中医药科技园</v>
      </c>
    </row>
    <row r="4456" hidden="1" spans="2:18">
      <c r="B4456" s="136" t="s">
        <v>112</v>
      </c>
      <c r="C4456" s="71">
        <v>45944</v>
      </c>
      <c r="D4456" s="41" t="str">
        <f>VLOOKUP(B4456,辅助信息!E:K,7,FALSE)</f>
        <v>JWDDCD2025052800131</v>
      </c>
      <c r="E4456" s="41" t="str">
        <f>VLOOKUP(F4456,辅助信息!A:B,2,FALSE)</f>
        <v>螺纹钢</v>
      </c>
      <c r="F4456" s="41" t="s">
        <v>58</v>
      </c>
      <c r="G4456" s="37">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1" t="str">
        <f>VLOOKUP(B4456,辅助信息!E:I,3,FALSE)</f>
        <v>（商投建工达州中医药科技园-4工区-10号楼）达州市通川区达州中医药职业学院犀牛大道北段</v>
      </c>
      <c r="J4456" s="41" t="str">
        <f>VLOOKUP(B4456,辅助信息!E:I,4,FALSE)</f>
        <v>张扬</v>
      </c>
      <c r="K4456" s="41">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30" t="str">
        <f>VLOOKUP(B4456,辅助信息!E:M,9,FALSE)</f>
        <v>ZTWM-CDGS-XS-2024-0134-商投建工达州中医药科技成果示范园项目</v>
      </c>
      <c r="R4456" s="30" t="str">
        <f>_xlfn._xlws.FILTER(辅助信息!D:D,辅助信息!E:E=B4456)</f>
        <v>商投建工达州中医药科技园</v>
      </c>
    </row>
    <row r="4457" hidden="1" spans="2:18">
      <c r="B4457" s="136" t="s">
        <v>112</v>
      </c>
      <c r="C4457" s="71">
        <v>45944</v>
      </c>
      <c r="D4457" s="41" t="str">
        <f>VLOOKUP(B4457,辅助信息!E:K,7,FALSE)</f>
        <v>JWDDCD2025052800131</v>
      </c>
      <c r="E4457" s="41" t="str">
        <f>VLOOKUP(F4457,辅助信息!A:B,2,FALSE)</f>
        <v>盘螺</v>
      </c>
      <c r="F4457" s="41" t="s">
        <v>49</v>
      </c>
      <c r="G4457" s="37">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1" t="str">
        <f>VLOOKUP(B4457,辅助信息!E:I,3,FALSE)</f>
        <v>（商投建工达州中医药科技园-4工区-10号楼）达州市通川区达州中医药职业学院犀牛大道北段</v>
      </c>
      <c r="J4457" s="41" t="str">
        <f>VLOOKUP(B4457,辅助信息!E:I,4,FALSE)</f>
        <v>张扬</v>
      </c>
      <c r="K4457" s="41">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30" t="str">
        <f>VLOOKUP(B4457,辅助信息!E:M,9,FALSE)</f>
        <v>ZTWM-CDGS-XS-2024-0134-商投建工达州中医药科技成果示范园项目</v>
      </c>
      <c r="R4457" s="30" t="str">
        <f>_xlfn._xlws.FILTER(辅助信息!D:D,辅助信息!E:E=B4457)</f>
        <v>商投建工达州中医药科技园</v>
      </c>
    </row>
    <row r="4458" hidden="1" spans="2:18">
      <c r="B4458" s="136" t="s">
        <v>228</v>
      </c>
      <c r="C4458" s="71">
        <v>45944</v>
      </c>
      <c r="D4458" s="41" t="str">
        <f>VLOOKUP(B4458,辅助信息!E:K,7,FALSE)</f>
        <v>JWDDCD2025092400190</v>
      </c>
      <c r="E4458" s="41" t="str">
        <f>VLOOKUP(F4458,辅助信息!A:B,2,FALSE)</f>
        <v>盘螺</v>
      </c>
      <c r="F4458" s="41" t="s">
        <v>26</v>
      </c>
      <c r="G4458" s="37">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1" t="str">
        <f>VLOOKUP(B4458,辅助信息!E:I,3,FALSE)</f>
        <v>(五冶钢构龙泉东洪片区70亩住宅、商业及配套工程项目二标段)成都市龙泉驿外东洪路地铁2号线惠王陵地铁C口</v>
      </c>
      <c r="J4458" s="41" t="str">
        <f>VLOOKUP(B4458,辅助信息!E:I,4,FALSE)</f>
        <v>蒋嗣伟</v>
      </c>
      <c r="K4458" s="41">
        <f>VLOOKUP(J4458,辅助信息!H:I,2,FALSE)</f>
        <v>15014331252</v>
      </c>
      <c r="L4458" s="110">
        <f>VLOOKUP(B4458,辅助信息!E:J,6,FALSE)</f>
        <v>0</v>
      </c>
      <c r="O4458" s="63" t="str">
        <f ca="1" t="shared" si="222"/>
        <v/>
      </c>
      <c r="P4458" s="63" t="str">
        <f ca="1" t="shared" si="223"/>
        <v/>
      </c>
      <c r="Q4458" s="30" t="str">
        <f>VLOOKUP(B4458,辅助信息!E:M,9,FALSE)</f>
        <v>ZTWM-CDGS-XS-2025-0156-五冶钢构-2025年九月第一批次钢筋采购合同(三圣乡项目)-中铁物贸成都公司</v>
      </c>
      <c r="R4458" s="30" t="str">
        <f>_xlfn._xlws.FILTER(辅助信息!D:D,辅助信息!E:E=B4458)</f>
        <v>五冶钢构龙泉东洪片区(70亩、85亩)住宅、商业及配套工程项目</v>
      </c>
    </row>
    <row r="4459" hidden="1" spans="2:18">
      <c r="B4459" s="136" t="s">
        <v>228</v>
      </c>
      <c r="C4459" s="71">
        <v>45944</v>
      </c>
      <c r="D4459" s="41" t="str">
        <f>VLOOKUP(B4459,辅助信息!E:K,7,FALSE)</f>
        <v>JWDDCD2025092400190</v>
      </c>
      <c r="E4459" s="41" t="str">
        <f>VLOOKUP(F4459,辅助信息!A:B,2,FALSE)</f>
        <v>盘螺</v>
      </c>
      <c r="F4459" s="41" t="s">
        <v>40</v>
      </c>
      <c r="G4459" s="37">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1" t="str">
        <f>VLOOKUP(B4459,辅助信息!E:I,3,FALSE)</f>
        <v>(五冶钢构龙泉东洪片区70亩住宅、商业及配套工程项目二标段)成都市龙泉驿外东洪路地铁2号线惠王陵地铁C口</v>
      </c>
      <c r="J4459" s="41" t="str">
        <f>VLOOKUP(B4459,辅助信息!E:I,4,FALSE)</f>
        <v>蒋嗣伟</v>
      </c>
      <c r="K4459" s="41">
        <f>VLOOKUP(J4459,辅助信息!H:I,2,FALSE)</f>
        <v>15014331252</v>
      </c>
      <c r="L4459" s="110">
        <f>VLOOKUP(B4459,辅助信息!E:J,6,FALSE)</f>
        <v>0</v>
      </c>
      <c r="O4459" s="63" t="str">
        <f ca="1" t="shared" si="222"/>
        <v/>
      </c>
      <c r="P4459" s="63" t="str">
        <f ca="1" t="shared" si="223"/>
        <v/>
      </c>
      <c r="Q4459" s="30" t="str">
        <f>VLOOKUP(B4459,辅助信息!E:M,9,FALSE)</f>
        <v>ZTWM-CDGS-XS-2025-0156-五冶钢构-2025年九月第一批次钢筋采购合同(三圣乡项目)-中铁物贸成都公司</v>
      </c>
      <c r="R4459" s="30" t="str">
        <f>_xlfn._xlws.FILTER(辅助信息!D:D,辅助信息!E:E=B4459)</f>
        <v>五冶钢构龙泉东洪片区(70亩、85亩)住宅、商业及配套工程项目</v>
      </c>
    </row>
    <row r="4460" hidden="1" spans="2:18">
      <c r="B4460" s="136" t="s">
        <v>240</v>
      </c>
      <c r="C4460" s="71">
        <v>45944</v>
      </c>
      <c r="D4460" s="41" t="str">
        <f>VLOOKUP(B4460,辅助信息!E:K,7,FALSE)</f>
        <v>JWDDCD2025092400204</v>
      </c>
      <c r="E4460" s="41" t="str">
        <f>VLOOKUP(F4460,辅助信息!A:B,2,FALSE)</f>
        <v>高线</v>
      </c>
      <c r="F4460" s="41" t="s">
        <v>53</v>
      </c>
      <c r="G4460" s="37">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1" t="str">
        <f>VLOOKUP(B4460,辅助信息!E:I,3,FALSE)</f>
        <v>(五冶钢构龙泉东洪片区70亩住宅、商业及配套工程项目三标段)成都市龙泉驿外东洪路地铁2号线惠王陵地铁C口</v>
      </c>
      <c r="J4460" s="41" t="str">
        <f>VLOOKUP(B4460,辅助信息!E:I,4,FALSE)</f>
        <v>蒋嗣伟</v>
      </c>
      <c r="K4460" s="41">
        <f>VLOOKUP(J4460,辅助信息!H:I,2,FALSE)</f>
        <v>15014331252</v>
      </c>
      <c r="L4460" s="110">
        <f>VLOOKUP(B4460,辅助信息!E:J,6,FALSE)</f>
        <v>0</v>
      </c>
      <c r="O4460" s="63" t="str">
        <f ca="1" t="shared" si="222"/>
        <v/>
      </c>
      <c r="P4460" s="63" t="str">
        <f ca="1" t="shared" si="223"/>
        <v/>
      </c>
      <c r="Q4460" s="30" t="str">
        <f>VLOOKUP(B4460,辅助信息!E:M,9,FALSE)</f>
        <v>ZTWM-CDGS-XS-2025-0156-五冶钢构-2025年九月第一批次钢筋采购合同(三圣乡项目)-中铁物贸成都公司</v>
      </c>
      <c r="R4460" s="30" t="str">
        <f>_xlfn._xlws.FILTER(辅助信息!D:D,辅助信息!E:E=B4460)</f>
        <v>五冶钢构龙泉东洪片区(70亩、85亩)住宅、商业及配套工程项目</v>
      </c>
    </row>
    <row r="4461" hidden="1" spans="2:18">
      <c r="B4461" s="136" t="s">
        <v>240</v>
      </c>
      <c r="C4461" s="71">
        <v>45944</v>
      </c>
      <c r="D4461" s="41" t="str">
        <f>VLOOKUP(B4461,辅助信息!E:K,7,FALSE)</f>
        <v>JWDDCD2025092400204</v>
      </c>
      <c r="E4461" s="41" t="str">
        <f>VLOOKUP(F4461,辅助信息!A:B,2,FALSE)</f>
        <v>螺纹钢</v>
      </c>
      <c r="F4461" s="41" t="s">
        <v>27</v>
      </c>
      <c r="G4461" s="37">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1" t="str">
        <f>VLOOKUP(B4461,辅助信息!E:I,3,FALSE)</f>
        <v>(五冶钢构龙泉东洪片区70亩住宅、商业及配套工程项目三标段)成都市龙泉驿外东洪路地铁2号线惠王陵地铁C口</v>
      </c>
      <c r="J4461" s="41" t="str">
        <f>VLOOKUP(B4461,辅助信息!E:I,4,FALSE)</f>
        <v>蒋嗣伟</v>
      </c>
      <c r="K4461" s="41">
        <f>VLOOKUP(J4461,辅助信息!H:I,2,FALSE)</f>
        <v>15014331252</v>
      </c>
      <c r="L4461" s="110">
        <f>VLOOKUP(B4461,辅助信息!E:J,6,FALSE)</f>
        <v>0</v>
      </c>
      <c r="O4461" s="63" t="str">
        <f ca="1" t="shared" si="222"/>
        <v/>
      </c>
      <c r="P4461" s="63" t="str">
        <f ca="1" t="shared" si="223"/>
        <v/>
      </c>
      <c r="Q4461" s="30" t="str">
        <f>VLOOKUP(B4461,辅助信息!E:M,9,FALSE)</f>
        <v>ZTWM-CDGS-XS-2025-0156-五冶钢构-2025年九月第一批次钢筋采购合同(三圣乡项目)-中铁物贸成都公司</v>
      </c>
      <c r="R4461" s="30" t="str">
        <f>_xlfn._xlws.FILTER(辅助信息!D:D,辅助信息!E:E=B4461)</f>
        <v>五冶钢构龙泉东洪片区(70亩、85亩)住宅、商业及配套工程项目</v>
      </c>
    </row>
    <row r="4462" hidden="1" spans="2:18">
      <c r="B4462" s="136" t="s">
        <v>240</v>
      </c>
      <c r="C4462" s="71">
        <v>45944</v>
      </c>
      <c r="D4462" s="41" t="str">
        <f>VLOOKUP(B4462,辅助信息!E:K,7,FALSE)</f>
        <v>JWDDCD2025092400204</v>
      </c>
      <c r="E4462" s="41" t="str">
        <f>VLOOKUP(F4462,辅助信息!A:B,2,FALSE)</f>
        <v>螺纹钢</v>
      </c>
      <c r="F4462" s="41" t="s">
        <v>19</v>
      </c>
      <c r="G4462" s="37">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1" t="str">
        <f>VLOOKUP(B4462,辅助信息!E:I,3,FALSE)</f>
        <v>(五冶钢构龙泉东洪片区70亩住宅、商业及配套工程项目三标段)成都市龙泉驿外东洪路地铁2号线惠王陵地铁C口</v>
      </c>
      <c r="J4462" s="41" t="str">
        <f>VLOOKUP(B4462,辅助信息!E:I,4,FALSE)</f>
        <v>蒋嗣伟</v>
      </c>
      <c r="K4462" s="41">
        <f>VLOOKUP(J4462,辅助信息!H:I,2,FALSE)</f>
        <v>15014331252</v>
      </c>
      <c r="L4462" s="110">
        <f>VLOOKUP(B4462,辅助信息!E:J,6,FALSE)</f>
        <v>0</v>
      </c>
      <c r="O4462" s="63" t="str">
        <f ca="1" t="shared" si="222"/>
        <v/>
      </c>
      <c r="P4462" s="63" t="str">
        <f ca="1" t="shared" si="223"/>
        <v/>
      </c>
      <c r="Q4462" s="30" t="str">
        <f>VLOOKUP(B4462,辅助信息!E:M,9,FALSE)</f>
        <v>ZTWM-CDGS-XS-2025-0156-五冶钢构-2025年九月第一批次钢筋采购合同(三圣乡项目)-中铁物贸成都公司</v>
      </c>
      <c r="R4462" s="30" t="str">
        <f>_xlfn._xlws.FILTER(辅助信息!D:D,辅助信息!E:E=B4462)</f>
        <v>五冶钢构龙泉东洪片区(70亩、85亩)住宅、商业及配套工程项目</v>
      </c>
    </row>
    <row r="4463" hidden="1" spans="2:18">
      <c r="B4463" s="136" t="s">
        <v>240</v>
      </c>
      <c r="C4463" s="71">
        <v>45944</v>
      </c>
      <c r="D4463" s="41" t="str">
        <f>VLOOKUP(B4463,辅助信息!E:K,7,FALSE)</f>
        <v>JWDDCD2025092400204</v>
      </c>
      <c r="E4463" s="41" t="str">
        <f>VLOOKUP(F4463,辅助信息!A:B,2,FALSE)</f>
        <v>螺纹钢</v>
      </c>
      <c r="F4463" s="41" t="s">
        <v>32</v>
      </c>
      <c r="G4463" s="37">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1" t="str">
        <f>VLOOKUP(B4463,辅助信息!E:I,3,FALSE)</f>
        <v>(五冶钢构龙泉东洪片区70亩住宅、商业及配套工程项目三标段)成都市龙泉驿外东洪路地铁2号线惠王陵地铁C口</v>
      </c>
      <c r="J4463" s="41" t="str">
        <f>VLOOKUP(B4463,辅助信息!E:I,4,FALSE)</f>
        <v>蒋嗣伟</v>
      </c>
      <c r="K4463" s="41">
        <f>VLOOKUP(J4463,辅助信息!H:I,2,FALSE)</f>
        <v>15014331252</v>
      </c>
      <c r="L4463" s="110">
        <f>VLOOKUP(B4463,辅助信息!E:J,6,FALSE)</f>
        <v>0</v>
      </c>
      <c r="O4463" s="63" t="str">
        <f ca="1" t="shared" si="222"/>
        <v/>
      </c>
      <c r="P4463" s="63" t="str">
        <f ca="1" t="shared" si="223"/>
        <v/>
      </c>
      <c r="Q4463" s="30" t="str">
        <f>VLOOKUP(B4463,辅助信息!E:M,9,FALSE)</f>
        <v>ZTWM-CDGS-XS-2025-0156-五冶钢构-2025年九月第一批次钢筋采购合同(三圣乡项目)-中铁物贸成都公司</v>
      </c>
      <c r="R4463" s="30" t="str">
        <f>_xlfn._xlws.FILTER(辅助信息!D:D,辅助信息!E:E=B4463)</f>
        <v>五冶钢构龙泉东洪片区(70亩、85亩)住宅、商业及配套工程项目</v>
      </c>
    </row>
    <row r="4464" hidden="1" spans="2:18">
      <c r="B4464" s="136" t="s">
        <v>240</v>
      </c>
      <c r="C4464" s="71">
        <v>45944</v>
      </c>
      <c r="D4464" s="41" t="str">
        <f>VLOOKUP(B4464,辅助信息!E:K,7,FALSE)</f>
        <v>JWDDCD2025092400204</v>
      </c>
      <c r="E4464" s="41" t="str">
        <f>VLOOKUP(F4464,辅助信息!A:B,2,FALSE)</f>
        <v>螺纹钢</v>
      </c>
      <c r="F4464" s="41" t="s">
        <v>30</v>
      </c>
      <c r="G4464" s="37">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1" t="str">
        <f>VLOOKUP(B4464,辅助信息!E:I,3,FALSE)</f>
        <v>(五冶钢构龙泉东洪片区70亩住宅、商业及配套工程项目三标段)成都市龙泉驿外东洪路地铁2号线惠王陵地铁C口</v>
      </c>
      <c r="J4464" s="41" t="str">
        <f>VLOOKUP(B4464,辅助信息!E:I,4,FALSE)</f>
        <v>蒋嗣伟</v>
      </c>
      <c r="K4464" s="41">
        <f>VLOOKUP(J4464,辅助信息!H:I,2,FALSE)</f>
        <v>15014331252</v>
      </c>
      <c r="L4464" s="110">
        <f>VLOOKUP(B4464,辅助信息!E:J,6,FALSE)</f>
        <v>0</v>
      </c>
      <c r="O4464" s="63" t="str">
        <f ca="1" t="shared" si="222"/>
        <v/>
      </c>
      <c r="P4464" s="63" t="str">
        <f ca="1" t="shared" si="223"/>
        <v/>
      </c>
      <c r="Q4464" s="30" t="str">
        <f>VLOOKUP(B4464,辅助信息!E:M,9,FALSE)</f>
        <v>ZTWM-CDGS-XS-2025-0156-五冶钢构-2025年九月第一批次钢筋采购合同(三圣乡项目)-中铁物贸成都公司</v>
      </c>
      <c r="R4464" s="30" t="str">
        <f>_xlfn._xlws.FILTER(辅助信息!D:D,辅助信息!E:E=B4464)</f>
        <v>五冶钢构龙泉东洪片区(70亩、85亩)住宅、商业及配套工程项目</v>
      </c>
    </row>
    <row r="4465" hidden="1" spans="2:18">
      <c r="B4465" s="136" t="s">
        <v>240</v>
      </c>
      <c r="C4465" s="71">
        <v>45944</v>
      </c>
      <c r="D4465" s="41" t="str">
        <f>VLOOKUP(B4465,辅助信息!E:K,7,FALSE)</f>
        <v>JWDDCD2025092400204</v>
      </c>
      <c r="E4465" s="41" t="str">
        <f>VLOOKUP(F4465,辅助信息!A:B,2,FALSE)</f>
        <v>螺纹钢</v>
      </c>
      <c r="F4465" s="41" t="s">
        <v>33</v>
      </c>
      <c r="G4465" s="37">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1" t="str">
        <f>VLOOKUP(B4465,辅助信息!E:I,3,FALSE)</f>
        <v>(五冶钢构龙泉东洪片区70亩住宅、商业及配套工程项目三标段)成都市龙泉驿外东洪路地铁2号线惠王陵地铁C口</v>
      </c>
      <c r="J4465" s="41" t="str">
        <f>VLOOKUP(B4465,辅助信息!E:I,4,FALSE)</f>
        <v>蒋嗣伟</v>
      </c>
      <c r="K4465" s="41">
        <f>VLOOKUP(J4465,辅助信息!H:I,2,FALSE)</f>
        <v>15014331252</v>
      </c>
      <c r="L4465" s="110">
        <f>VLOOKUP(B4465,辅助信息!E:J,6,FALSE)</f>
        <v>0</v>
      </c>
      <c r="O4465" s="63" t="str">
        <f ca="1" t="shared" si="222"/>
        <v/>
      </c>
      <c r="P4465" s="63" t="str">
        <f ca="1" t="shared" si="223"/>
        <v/>
      </c>
      <c r="Q4465" s="30" t="str">
        <f>VLOOKUP(B4465,辅助信息!E:M,9,FALSE)</f>
        <v>ZTWM-CDGS-XS-2025-0156-五冶钢构-2025年九月第一批次钢筋采购合同(三圣乡项目)-中铁物贸成都公司</v>
      </c>
      <c r="R4465" s="30" t="str">
        <f>_xlfn._xlws.FILTER(辅助信息!D:D,辅助信息!E:E=B4465)</f>
        <v>五冶钢构龙泉东洪片区(70亩、85亩)住宅、商业及配套工程项目</v>
      </c>
    </row>
    <row r="4466" hidden="1" spans="2:18">
      <c r="B4466" s="136" t="s">
        <v>240</v>
      </c>
      <c r="C4466" s="71">
        <v>45944</v>
      </c>
      <c r="D4466" s="41" t="str">
        <f>VLOOKUP(B4466,辅助信息!E:K,7,FALSE)</f>
        <v>JWDDCD2025092400204</v>
      </c>
      <c r="E4466" s="41" t="str">
        <f>VLOOKUP(F4466,辅助信息!A:B,2,FALSE)</f>
        <v>螺纹钢</v>
      </c>
      <c r="F4466" s="41" t="s">
        <v>28</v>
      </c>
      <c r="G4466" s="37">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1" t="str">
        <f>VLOOKUP(B4466,辅助信息!E:I,3,FALSE)</f>
        <v>(五冶钢构龙泉东洪片区70亩住宅、商业及配套工程项目三标段)成都市龙泉驿外东洪路地铁2号线惠王陵地铁C口</v>
      </c>
      <c r="J4466" s="41" t="str">
        <f>VLOOKUP(B4466,辅助信息!E:I,4,FALSE)</f>
        <v>蒋嗣伟</v>
      </c>
      <c r="K4466" s="41">
        <f>VLOOKUP(J4466,辅助信息!H:I,2,FALSE)</f>
        <v>15014331252</v>
      </c>
      <c r="L4466" s="110">
        <f>VLOOKUP(B4466,辅助信息!E:J,6,FALSE)</f>
        <v>0</v>
      </c>
      <c r="O4466" s="63" t="str">
        <f ca="1" t="shared" si="222"/>
        <v/>
      </c>
      <c r="P4466" s="63" t="str">
        <f ca="1" t="shared" si="223"/>
        <v/>
      </c>
      <c r="Q4466" s="30" t="str">
        <f>VLOOKUP(B4466,辅助信息!E:M,9,FALSE)</f>
        <v>ZTWM-CDGS-XS-2025-0156-五冶钢构-2025年九月第一批次钢筋采购合同(三圣乡项目)-中铁物贸成都公司</v>
      </c>
      <c r="R4466" s="30" t="str">
        <f>_xlfn._xlws.FILTER(辅助信息!D:D,辅助信息!E:E=B4466)</f>
        <v>五冶钢构龙泉东洪片区(70亩、85亩)住宅、商业及配套工程项目</v>
      </c>
    </row>
    <row r="4467" hidden="1" spans="2:18">
      <c r="B4467" s="136" t="s">
        <v>240</v>
      </c>
      <c r="C4467" s="71">
        <v>45944</v>
      </c>
      <c r="D4467" s="41" t="str">
        <f>VLOOKUP(B4467,辅助信息!E:K,7,FALSE)</f>
        <v>JWDDCD2025092400204</v>
      </c>
      <c r="E4467" s="41" t="str">
        <f>VLOOKUP(F4467,辅助信息!A:B,2,FALSE)</f>
        <v>螺纹钢</v>
      </c>
      <c r="F4467" s="41" t="s">
        <v>18</v>
      </c>
      <c r="G4467" s="37">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1" t="str">
        <f>VLOOKUP(B4467,辅助信息!E:I,3,FALSE)</f>
        <v>(五冶钢构龙泉东洪片区70亩住宅、商业及配套工程项目三标段)成都市龙泉驿外东洪路地铁2号线惠王陵地铁C口</v>
      </c>
      <c r="J4467" s="41" t="str">
        <f>VLOOKUP(B4467,辅助信息!E:I,4,FALSE)</f>
        <v>蒋嗣伟</v>
      </c>
      <c r="K4467" s="41">
        <f>VLOOKUP(J4467,辅助信息!H:I,2,FALSE)</f>
        <v>15014331252</v>
      </c>
      <c r="L4467" s="110">
        <f>VLOOKUP(B4467,辅助信息!E:J,6,FALSE)</f>
        <v>0</v>
      </c>
      <c r="O4467" s="63" t="str">
        <f ca="1" t="shared" si="222"/>
        <v/>
      </c>
      <c r="P4467" s="63" t="str">
        <f ca="1" t="shared" si="223"/>
        <v/>
      </c>
      <c r="Q4467" s="30" t="str">
        <f>VLOOKUP(B4467,辅助信息!E:M,9,FALSE)</f>
        <v>ZTWM-CDGS-XS-2025-0156-五冶钢构-2025年九月第一批次钢筋采购合同(三圣乡项目)-中铁物贸成都公司</v>
      </c>
      <c r="R4467" s="30" t="str">
        <f>_xlfn._xlws.FILTER(辅助信息!D:D,辅助信息!E:E=B4467)</f>
        <v>五冶钢构龙泉东洪片区(70亩、85亩)住宅、商业及配套工程项目</v>
      </c>
    </row>
    <row r="4468" hidden="1" spans="2:18">
      <c r="B4468" s="136" t="s">
        <v>240</v>
      </c>
      <c r="C4468" s="71">
        <v>45944</v>
      </c>
      <c r="D4468" s="41" t="str">
        <f>VLOOKUP(B4468,辅助信息!E:K,7,FALSE)</f>
        <v>JWDDCD2025092400204</v>
      </c>
      <c r="E4468" s="41" t="str">
        <f>VLOOKUP(F4468,辅助信息!A:B,2,FALSE)</f>
        <v>盘螺</v>
      </c>
      <c r="F4468" s="41" t="s">
        <v>41</v>
      </c>
      <c r="G4468" s="37">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1" t="str">
        <f>VLOOKUP(B4468,辅助信息!E:I,3,FALSE)</f>
        <v>(五冶钢构龙泉东洪片区70亩住宅、商业及配套工程项目三标段)成都市龙泉驿外东洪路地铁2号线惠王陵地铁C口</v>
      </c>
      <c r="J4468" s="41" t="str">
        <f>VLOOKUP(B4468,辅助信息!E:I,4,FALSE)</f>
        <v>蒋嗣伟</v>
      </c>
      <c r="K4468" s="41">
        <f>VLOOKUP(J4468,辅助信息!H:I,2,FALSE)</f>
        <v>15014331252</v>
      </c>
      <c r="L4468" s="110">
        <f>VLOOKUP(B4468,辅助信息!E:J,6,FALSE)</f>
        <v>0</v>
      </c>
      <c r="O4468" s="63" t="str">
        <f ca="1" t="shared" si="222"/>
        <v/>
      </c>
      <c r="P4468" s="63" t="str">
        <f ca="1" t="shared" si="223"/>
        <v/>
      </c>
      <c r="Q4468" s="30" t="str">
        <f>VLOOKUP(B4468,辅助信息!E:M,9,FALSE)</f>
        <v>ZTWM-CDGS-XS-2025-0156-五冶钢构-2025年九月第一批次钢筋采购合同(三圣乡项目)-中铁物贸成都公司</v>
      </c>
      <c r="R4468" s="30" t="str">
        <f>_xlfn._xlws.FILTER(辅助信息!D:D,辅助信息!E:E=B4468)</f>
        <v>五冶钢构龙泉东洪片区(70亩、85亩)住宅、商业及配套工程项目</v>
      </c>
    </row>
    <row r="4469" hidden="1" spans="2:18">
      <c r="B4469" s="136" t="s">
        <v>240</v>
      </c>
      <c r="C4469" s="71">
        <v>45944</v>
      </c>
      <c r="D4469" s="41" t="str">
        <f>VLOOKUP(B4469,辅助信息!E:K,7,FALSE)</f>
        <v>JWDDCD2025092400204</v>
      </c>
      <c r="E4469" s="41" t="str">
        <f>VLOOKUP(F4469,辅助信息!A:B,2,FALSE)</f>
        <v>盘螺</v>
      </c>
      <c r="F4469" s="41" t="s">
        <v>49</v>
      </c>
      <c r="G4469" s="37">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1" t="str">
        <f>VLOOKUP(B4469,辅助信息!E:I,3,FALSE)</f>
        <v>(五冶钢构龙泉东洪片区70亩住宅、商业及配套工程项目三标段)成都市龙泉驿外东洪路地铁2号线惠王陵地铁C口</v>
      </c>
      <c r="J4469" s="41" t="str">
        <f>VLOOKUP(B4469,辅助信息!E:I,4,FALSE)</f>
        <v>蒋嗣伟</v>
      </c>
      <c r="K4469" s="41">
        <f>VLOOKUP(J4469,辅助信息!H:I,2,FALSE)</f>
        <v>15014331252</v>
      </c>
      <c r="L4469" s="110">
        <f>VLOOKUP(B4469,辅助信息!E:J,6,FALSE)</f>
        <v>0</v>
      </c>
      <c r="O4469" s="63" t="str">
        <f ca="1" t="shared" si="222"/>
        <v/>
      </c>
      <c r="P4469" s="63" t="str">
        <f ca="1" t="shared" si="223"/>
        <v/>
      </c>
      <c r="Q4469" s="30" t="str">
        <f>VLOOKUP(B4469,辅助信息!E:M,9,FALSE)</f>
        <v>ZTWM-CDGS-XS-2025-0156-五冶钢构-2025年九月第一批次钢筋采购合同(三圣乡项目)-中铁物贸成都公司</v>
      </c>
      <c r="R4469" s="30" t="str">
        <f>_xlfn._xlws.FILTER(辅助信息!D:D,辅助信息!E:E=B4469)</f>
        <v>五冶钢构龙泉东洪片区(70亩、85亩)住宅、商业及配套工程项目</v>
      </c>
    </row>
    <row r="4470" hidden="1" spans="2:18">
      <c r="B4470" s="136" t="s">
        <v>240</v>
      </c>
      <c r="C4470" s="71">
        <v>45944</v>
      </c>
      <c r="D4470" s="41" t="str">
        <f>VLOOKUP(B4470,辅助信息!E:K,7,FALSE)</f>
        <v>JWDDCD2025092400204</v>
      </c>
      <c r="E4470" s="41" t="str">
        <f>VLOOKUP(F4470,辅助信息!A:B,2,FALSE)</f>
        <v>盘螺</v>
      </c>
      <c r="F4470" s="41" t="s">
        <v>40</v>
      </c>
      <c r="G4470" s="37">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1" t="str">
        <f>VLOOKUP(B4470,辅助信息!E:I,3,FALSE)</f>
        <v>(五冶钢构龙泉东洪片区70亩住宅、商业及配套工程项目三标段)成都市龙泉驿外东洪路地铁2号线惠王陵地铁C口</v>
      </c>
      <c r="J4470" s="41" t="str">
        <f>VLOOKUP(B4470,辅助信息!E:I,4,FALSE)</f>
        <v>蒋嗣伟</v>
      </c>
      <c r="K4470" s="41">
        <f>VLOOKUP(J4470,辅助信息!H:I,2,FALSE)</f>
        <v>15014331252</v>
      </c>
      <c r="L4470" s="110">
        <f>VLOOKUP(B4470,辅助信息!E:J,6,FALSE)</f>
        <v>0</v>
      </c>
      <c r="O4470" s="63" t="str">
        <f ca="1" t="shared" si="222"/>
        <v/>
      </c>
      <c r="P4470" s="63" t="str">
        <f ca="1" t="shared" si="223"/>
        <v/>
      </c>
      <c r="Q4470" s="30" t="str">
        <f>VLOOKUP(B4470,辅助信息!E:M,9,FALSE)</f>
        <v>ZTWM-CDGS-XS-2025-0156-五冶钢构-2025年九月第一批次钢筋采购合同(三圣乡项目)-中铁物贸成都公司</v>
      </c>
      <c r="R4470" s="30" t="str">
        <f>_xlfn._xlws.FILTER(辅助信息!D:D,辅助信息!E:E=B4470)</f>
        <v>五冶钢构龙泉东洪片区(70亩、85亩)住宅、商业及配套工程项目</v>
      </c>
    </row>
    <row r="4471" hidden="1" spans="2:18">
      <c r="B4471" s="136" t="s">
        <v>224</v>
      </c>
      <c r="C4471" s="71">
        <v>45944</v>
      </c>
      <c r="D4471" s="41" t="str">
        <f>VLOOKUP(B4471,辅助信息!E:K,7,FALSE)</f>
        <v>JWDDCD2025092400188</v>
      </c>
      <c r="E4471" s="41" t="str">
        <f>VLOOKUP(F4471,辅助信息!A:B,2,FALSE)</f>
        <v>盘螺</v>
      </c>
      <c r="F4471" s="41" t="s">
        <v>40</v>
      </c>
      <c r="G4471" s="37">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1" t="str">
        <f>VLOOKUP(B4471,辅助信息!E:I,3,FALSE)</f>
        <v>(五冶钢构龙泉东洪片区70亩住宅、商业及配套工程项目一标段)成都市龙泉驿外东洪路地铁2号线惠王陵地铁C口</v>
      </c>
      <c r="J4471" s="41" t="str">
        <f>VLOOKUP(B4471,辅助信息!E:I,4,FALSE)</f>
        <v>邹爱国</v>
      </c>
      <c r="K4471" s="41">
        <f>VLOOKUP(J4471,辅助信息!H:I,2,FALSE)</f>
        <v>13540231225</v>
      </c>
      <c r="L4471" s="110">
        <f>VLOOKUP(B4471,辅助信息!E:J,6,FALSE)</f>
        <v>0</v>
      </c>
      <c r="O4471" s="63" t="str">
        <f ca="1" t="shared" si="222"/>
        <v/>
      </c>
      <c r="P4471" s="63" t="str">
        <f ca="1" t="shared" si="223"/>
        <v/>
      </c>
      <c r="Q4471" s="30" t="str">
        <f>VLOOKUP(B4471,辅助信息!E:M,9,FALSE)</f>
        <v>ZTWM-CDGS-XS-2025-0156-五冶钢构-2025年九月第一批次钢筋采购合同(三圣乡项目)-中铁物贸成都公司</v>
      </c>
      <c r="R4471" s="30" t="str">
        <f>_xlfn._xlws.FILTER(辅助信息!D:D,辅助信息!E:E=B4471)</f>
        <v>五冶钢构龙泉东洪片区(70亩、85亩)住宅、商业及配套工程项目</v>
      </c>
    </row>
    <row r="4472" hidden="1" spans="2:18">
      <c r="B4472" s="136" t="s">
        <v>226</v>
      </c>
      <c r="C4472" s="71">
        <v>45944</v>
      </c>
      <c r="D4472" s="41" t="str">
        <f>VLOOKUP(B4472,辅助信息!E:K,7,FALSE)</f>
        <v>JWDDCD2025092400211</v>
      </c>
      <c r="E4472" s="41" t="str">
        <f>VLOOKUP(F4472,辅助信息!A:B,2,FALSE)</f>
        <v>盘螺</v>
      </c>
      <c r="F4472" s="41" t="s">
        <v>26</v>
      </c>
      <c r="G4472" s="37">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1" t="str">
        <f>VLOOKUP(B4472,辅助信息!E:I,3,FALSE)</f>
        <v>(五冶钢构龙泉东洪片区85亩住宅、商业及配套工程项目二标段)成都市龙泉驿外东洪路地铁2号线惠王陵地铁C口</v>
      </c>
      <c r="J4472" s="41" t="str">
        <f>VLOOKUP(B4472,辅助信息!E:I,4,FALSE)</f>
        <v>李渊</v>
      </c>
      <c r="K4472" s="41">
        <f>VLOOKUP(J4472,辅助信息!H:I,2,FALSE)</f>
        <v>18381013849</v>
      </c>
      <c r="L4472" s="110">
        <f>VLOOKUP(B4472,辅助信息!E:J,6,FALSE)</f>
        <v>0</v>
      </c>
      <c r="O4472" s="63" t="str">
        <f ca="1" t="shared" si="222"/>
        <v/>
      </c>
      <c r="P4472" s="63" t="str">
        <f ca="1" t="shared" si="223"/>
        <v/>
      </c>
      <c r="Q4472" s="30" t="str">
        <f>VLOOKUP(B4472,辅助信息!E:M,9,FALSE)</f>
        <v>ZTWM-CDGS-XS-2025-0156-五冶钢构-2025年九月第一批次钢筋采购合同(三圣乡项目)-中铁物贸成都公司</v>
      </c>
      <c r="R4472" s="30" t="str">
        <f>_xlfn._xlws.FILTER(辅助信息!D:D,辅助信息!E:E=B4472)</f>
        <v>五冶钢构龙泉东洪片区(70亩、85亩)住宅、商业及配套工程项目</v>
      </c>
    </row>
    <row r="4473" hidden="1" spans="2:18">
      <c r="B4473" s="136" t="s">
        <v>226</v>
      </c>
      <c r="C4473" s="71">
        <v>45944</v>
      </c>
      <c r="D4473" s="41" t="str">
        <f>VLOOKUP(B4473,辅助信息!E:K,7,FALSE)</f>
        <v>JWDDCD2025092400211</v>
      </c>
      <c r="E4473" s="41" t="str">
        <f>VLOOKUP(F4473,辅助信息!A:B,2,FALSE)</f>
        <v>盘螺</v>
      </c>
      <c r="F4473" s="41" t="s">
        <v>40</v>
      </c>
      <c r="G4473" s="37">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1" t="str">
        <f>VLOOKUP(B4473,辅助信息!E:I,3,FALSE)</f>
        <v>(五冶钢构龙泉东洪片区85亩住宅、商业及配套工程项目二标段)成都市龙泉驿外东洪路地铁2号线惠王陵地铁C口</v>
      </c>
      <c r="J4473" s="41" t="str">
        <f>VLOOKUP(B4473,辅助信息!E:I,4,FALSE)</f>
        <v>李渊</v>
      </c>
      <c r="K4473" s="41">
        <f>VLOOKUP(J4473,辅助信息!H:I,2,FALSE)</f>
        <v>18381013849</v>
      </c>
      <c r="L4473" s="110">
        <f>VLOOKUP(B4473,辅助信息!E:J,6,FALSE)</f>
        <v>0</v>
      </c>
      <c r="O4473" s="63" t="str">
        <f ca="1" t="shared" si="222"/>
        <v/>
      </c>
      <c r="P4473" s="63" t="str">
        <f ca="1" t="shared" si="223"/>
        <v/>
      </c>
      <c r="Q4473" s="30" t="str">
        <f>VLOOKUP(B4473,辅助信息!E:M,9,FALSE)</f>
        <v>ZTWM-CDGS-XS-2025-0156-五冶钢构-2025年九月第一批次钢筋采购合同(三圣乡项目)-中铁物贸成都公司</v>
      </c>
      <c r="R4473" s="30" t="str">
        <f>_xlfn._xlws.FILTER(辅助信息!D:D,辅助信息!E:E=B4473)</f>
        <v>五冶钢构龙泉东洪片区(70亩、85亩)住宅、商业及配套工程项目</v>
      </c>
    </row>
    <row r="4474" hidden="1" spans="2:18">
      <c r="B4474" s="136" t="s">
        <v>229</v>
      </c>
      <c r="C4474" s="71">
        <v>45944</v>
      </c>
      <c r="D4474" s="41" t="str">
        <f>VLOOKUP(B4474,辅助信息!E:K,7,FALSE)</f>
        <v>JWDDCD2025092400212</v>
      </c>
      <c r="E4474" s="41" t="str">
        <f>VLOOKUP(F4474,辅助信息!A:B,2,FALSE)</f>
        <v>螺纹钢</v>
      </c>
      <c r="F4474" s="41" t="s">
        <v>27</v>
      </c>
      <c r="G4474" s="37">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1" t="str">
        <f>VLOOKUP(B4474,辅助信息!E:I,3,FALSE)</f>
        <v>(五冶钢构龙泉东洪片区85亩住宅、商业及配套工程项目三标段)成都市龙泉驿外东洪路地铁2号线惠王陵地铁C口</v>
      </c>
      <c r="J4474" s="41" t="str">
        <f>VLOOKUP(B4474,辅助信息!E:I,4,FALSE)</f>
        <v>王军宝</v>
      </c>
      <c r="K4474" s="41">
        <f>VLOOKUP(J4474,辅助信息!H:I,2,FALSE)</f>
        <v>13889142392</v>
      </c>
      <c r="L4474" s="110">
        <f>VLOOKUP(B4474,辅助信息!E:J,6,FALSE)</f>
        <v>0</v>
      </c>
      <c r="O4474" s="63" t="str">
        <f ca="1" t="shared" si="222"/>
        <v/>
      </c>
      <c r="P4474" s="63" t="str">
        <f ca="1" t="shared" si="223"/>
        <v/>
      </c>
      <c r="Q4474" s="30" t="str">
        <f>VLOOKUP(B4474,辅助信息!E:M,9,FALSE)</f>
        <v>ZTWM-CDGS-XS-2025-0156-五冶钢构-2025年九月第一批次钢筋采购合同(三圣乡项目)-中铁物贸成都公司</v>
      </c>
      <c r="R4474" s="30" t="str">
        <f>_xlfn._xlws.FILTER(辅助信息!D:D,辅助信息!E:E=B4474)</f>
        <v>五冶钢构龙泉东洪片区(70亩、85亩)住宅、商业及配套工程项目</v>
      </c>
    </row>
    <row r="4475" hidden="1" spans="2:18">
      <c r="B4475" s="136" t="s">
        <v>229</v>
      </c>
      <c r="C4475" s="71">
        <v>45944</v>
      </c>
      <c r="D4475" s="41" t="str">
        <f>VLOOKUP(B4475,辅助信息!E:K,7,FALSE)</f>
        <v>JWDDCD2025092400212</v>
      </c>
      <c r="E4475" s="41" t="str">
        <f>VLOOKUP(F4475,辅助信息!A:B,2,FALSE)</f>
        <v>螺纹钢</v>
      </c>
      <c r="F4475" s="41" t="s">
        <v>19</v>
      </c>
      <c r="G4475" s="37">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1" t="str">
        <f>VLOOKUP(B4475,辅助信息!E:I,3,FALSE)</f>
        <v>(五冶钢构龙泉东洪片区85亩住宅、商业及配套工程项目三标段)成都市龙泉驿外东洪路地铁2号线惠王陵地铁C口</v>
      </c>
      <c r="J4475" s="41" t="str">
        <f>VLOOKUP(B4475,辅助信息!E:I,4,FALSE)</f>
        <v>王军宝</v>
      </c>
      <c r="K4475" s="41">
        <f>VLOOKUP(J4475,辅助信息!H:I,2,FALSE)</f>
        <v>13889142392</v>
      </c>
      <c r="L4475" s="110">
        <f>VLOOKUP(B4475,辅助信息!E:J,6,FALSE)</f>
        <v>0</v>
      </c>
      <c r="O4475" s="63" t="str">
        <f ca="1" t="shared" si="222"/>
        <v/>
      </c>
      <c r="P4475" s="63" t="str">
        <f ca="1" t="shared" si="223"/>
        <v/>
      </c>
      <c r="Q4475" s="30" t="str">
        <f>VLOOKUP(B4475,辅助信息!E:M,9,FALSE)</f>
        <v>ZTWM-CDGS-XS-2025-0156-五冶钢构-2025年九月第一批次钢筋采购合同(三圣乡项目)-中铁物贸成都公司</v>
      </c>
      <c r="R4475" s="30" t="str">
        <f>_xlfn._xlws.FILTER(辅助信息!D:D,辅助信息!E:E=B4475)</f>
        <v>五冶钢构龙泉东洪片区(70亩、85亩)住宅、商业及配套工程项目</v>
      </c>
    </row>
    <row r="4476" hidden="1" spans="2:18">
      <c r="B4476" s="136" t="s">
        <v>229</v>
      </c>
      <c r="C4476" s="71">
        <v>45944</v>
      </c>
      <c r="D4476" s="41" t="str">
        <f>VLOOKUP(B4476,辅助信息!E:K,7,FALSE)</f>
        <v>JWDDCD2025092400212</v>
      </c>
      <c r="E4476" s="41" t="str">
        <f>VLOOKUP(F4476,辅助信息!A:B,2,FALSE)</f>
        <v>螺纹钢</v>
      </c>
      <c r="F4476" s="41" t="s">
        <v>32</v>
      </c>
      <c r="G4476" s="37">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1" t="str">
        <f>VLOOKUP(B4476,辅助信息!E:I,3,FALSE)</f>
        <v>(五冶钢构龙泉东洪片区85亩住宅、商业及配套工程项目三标段)成都市龙泉驿外东洪路地铁2号线惠王陵地铁C口</v>
      </c>
      <c r="J4476" s="41" t="str">
        <f>VLOOKUP(B4476,辅助信息!E:I,4,FALSE)</f>
        <v>王军宝</v>
      </c>
      <c r="K4476" s="41">
        <f>VLOOKUP(J4476,辅助信息!H:I,2,FALSE)</f>
        <v>13889142392</v>
      </c>
      <c r="L4476" s="110">
        <f>VLOOKUP(B4476,辅助信息!E:J,6,FALSE)</f>
        <v>0</v>
      </c>
      <c r="O4476" s="63" t="str">
        <f ca="1" t="shared" si="222"/>
        <v/>
      </c>
      <c r="P4476" s="63" t="str">
        <f ca="1" t="shared" si="223"/>
        <v/>
      </c>
      <c r="Q4476" s="30" t="str">
        <f>VLOOKUP(B4476,辅助信息!E:M,9,FALSE)</f>
        <v>ZTWM-CDGS-XS-2025-0156-五冶钢构-2025年九月第一批次钢筋采购合同(三圣乡项目)-中铁物贸成都公司</v>
      </c>
      <c r="R4476" s="30" t="str">
        <f>_xlfn._xlws.FILTER(辅助信息!D:D,辅助信息!E:E=B4476)</f>
        <v>五冶钢构龙泉东洪片区(70亩、85亩)住宅、商业及配套工程项目</v>
      </c>
    </row>
    <row r="4477" hidden="1" spans="2:18">
      <c r="B4477" s="136" t="s">
        <v>229</v>
      </c>
      <c r="C4477" s="71">
        <v>45944</v>
      </c>
      <c r="D4477" s="41" t="str">
        <f>VLOOKUP(B4477,辅助信息!E:K,7,FALSE)</f>
        <v>JWDDCD2025092400212</v>
      </c>
      <c r="E4477" s="41" t="str">
        <f>VLOOKUP(F4477,辅助信息!A:B,2,FALSE)</f>
        <v>螺纹钢</v>
      </c>
      <c r="F4477" s="41" t="s">
        <v>30</v>
      </c>
      <c r="G4477" s="37">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1" t="str">
        <f>VLOOKUP(B4477,辅助信息!E:I,3,FALSE)</f>
        <v>(五冶钢构龙泉东洪片区85亩住宅、商业及配套工程项目三标段)成都市龙泉驿外东洪路地铁2号线惠王陵地铁C口</v>
      </c>
      <c r="J4477" s="41" t="str">
        <f>VLOOKUP(B4477,辅助信息!E:I,4,FALSE)</f>
        <v>王军宝</v>
      </c>
      <c r="K4477" s="41">
        <f>VLOOKUP(J4477,辅助信息!H:I,2,FALSE)</f>
        <v>13889142392</v>
      </c>
      <c r="L4477" s="110">
        <f>VLOOKUP(B4477,辅助信息!E:J,6,FALSE)</f>
        <v>0</v>
      </c>
      <c r="O4477" s="63" t="str">
        <f ca="1" t="shared" si="222"/>
        <v/>
      </c>
      <c r="P4477" s="63" t="str">
        <f ca="1" t="shared" si="223"/>
        <v/>
      </c>
      <c r="Q4477" s="30" t="str">
        <f>VLOOKUP(B4477,辅助信息!E:M,9,FALSE)</f>
        <v>ZTWM-CDGS-XS-2025-0156-五冶钢构-2025年九月第一批次钢筋采购合同(三圣乡项目)-中铁物贸成都公司</v>
      </c>
      <c r="R4477" s="30" t="str">
        <f>_xlfn._xlws.FILTER(辅助信息!D:D,辅助信息!E:E=B4477)</f>
        <v>五冶钢构龙泉东洪片区(70亩、85亩)住宅、商业及配套工程项目</v>
      </c>
    </row>
    <row r="4478" hidden="1" spans="2:18">
      <c r="B4478" s="136" t="s">
        <v>229</v>
      </c>
      <c r="C4478" s="71">
        <v>45944</v>
      </c>
      <c r="D4478" s="41" t="str">
        <f>VLOOKUP(B4478,辅助信息!E:K,7,FALSE)</f>
        <v>JWDDCD2025092400212</v>
      </c>
      <c r="E4478" s="41" t="str">
        <f>VLOOKUP(F4478,辅助信息!A:B,2,FALSE)</f>
        <v>螺纹钢</v>
      </c>
      <c r="F4478" s="41" t="s">
        <v>33</v>
      </c>
      <c r="G4478" s="37">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1" t="str">
        <f>VLOOKUP(B4478,辅助信息!E:I,3,FALSE)</f>
        <v>(五冶钢构龙泉东洪片区85亩住宅、商业及配套工程项目三标段)成都市龙泉驿外东洪路地铁2号线惠王陵地铁C口</v>
      </c>
      <c r="J4478" s="41" t="str">
        <f>VLOOKUP(B4478,辅助信息!E:I,4,FALSE)</f>
        <v>王军宝</v>
      </c>
      <c r="K4478" s="41">
        <f>VLOOKUP(J4478,辅助信息!H:I,2,FALSE)</f>
        <v>13889142392</v>
      </c>
      <c r="L4478" s="110">
        <f>VLOOKUP(B4478,辅助信息!E:J,6,FALSE)</f>
        <v>0</v>
      </c>
      <c r="O4478" s="63" t="str">
        <f ca="1" t="shared" si="222"/>
        <v/>
      </c>
      <c r="P4478" s="63" t="str">
        <f ca="1" t="shared" si="223"/>
        <v/>
      </c>
      <c r="Q4478" s="30" t="str">
        <f>VLOOKUP(B4478,辅助信息!E:M,9,FALSE)</f>
        <v>ZTWM-CDGS-XS-2025-0156-五冶钢构-2025年九月第一批次钢筋采购合同(三圣乡项目)-中铁物贸成都公司</v>
      </c>
      <c r="R4478" s="30" t="str">
        <f>_xlfn._xlws.FILTER(辅助信息!D:D,辅助信息!E:E=B4478)</f>
        <v>五冶钢构龙泉东洪片区(70亩、85亩)住宅、商业及配套工程项目</v>
      </c>
    </row>
    <row r="4479" hidden="1" spans="2:18">
      <c r="B4479" s="136" t="s">
        <v>229</v>
      </c>
      <c r="C4479" s="71">
        <v>45944</v>
      </c>
      <c r="D4479" s="41" t="str">
        <f>VLOOKUP(B4479,辅助信息!E:K,7,FALSE)</f>
        <v>JWDDCD2025092400212</v>
      </c>
      <c r="E4479" s="41" t="str">
        <f>VLOOKUP(F4479,辅助信息!A:B,2,FALSE)</f>
        <v>螺纹钢</v>
      </c>
      <c r="F4479" s="41" t="s">
        <v>28</v>
      </c>
      <c r="G4479" s="37">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1" t="str">
        <f>VLOOKUP(B4479,辅助信息!E:I,3,FALSE)</f>
        <v>(五冶钢构龙泉东洪片区85亩住宅、商业及配套工程项目三标段)成都市龙泉驿外东洪路地铁2号线惠王陵地铁C口</v>
      </c>
      <c r="J4479" s="41" t="str">
        <f>VLOOKUP(B4479,辅助信息!E:I,4,FALSE)</f>
        <v>王军宝</v>
      </c>
      <c r="K4479" s="41">
        <f>VLOOKUP(J4479,辅助信息!H:I,2,FALSE)</f>
        <v>13889142392</v>
      </c>
      <c r="L4479" s="110">
        <f>VLOOKUP(B4479,辅助信息!E:J,6,FALSE)</f>
        <v>0</v>
      </c>
      <c r="O4479" s="63" t="str">
        <f ca="1" t="shared" si="222"/>
        <v/>
      </c>
      <c r="P4479" s="63" t="str">
        <f ca="1" t="shared" si="223"/>
        <v/>
      </c>
      <c r="Q4479" s="30" t="str">
        <f>VLOOKUP(B4479,辅助信息!E:M,9,FALSE)</f>
        <v>ZTWM-CDGS-XS-2025-0156-五冶钢构-2025年九月第一批次钢筋采购合同(三圣乡项目)-中铁物贸成都公司</v>
      </c>
      <c r="R4479" s="30" t="str">
        <f>_xlfn._xlws.FILTER(辅助信息!D:D,辅助信息!E:E=B4479)</f>
        <v>五冶钢构龙泉东洪片区(70亩、85亩)住宅、商业及配套工程项目</v>
      </c>
    </row>
    <row r="4480" hidden="1" spans="2:18">
      <c r="B4480" s="136" t="s">
        <v>229</v>
      </c>
      <c r="C4480" s="71">
        <v>45944</v>
      </c>
      <c r="D4480" s="41" t="str">
        <f>VLOOKUP(B4480,辅助信息!E:K,7,FALSE)</f>
        <v>JWDDCD2025092400212</v>
      </c>
      <c r="E4480" s="41" t="str">
        <f>VLOOKUP(F4480,辅助信息!A:B,2,FALSE)</f>
        <v>螺纹钢</v>
      </c>
      <c r="F4480" s="41" t="s">
        <v>18</v>
      </c>
      <c r="G4480" s="37">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1" t="str">
        <f>VLOOKUP(B4480,辅助信息!E:I,3,FALSE)</f>
        <v>(五冶钢构龙泉东洪片区85亩住宅、商业及配套工程项目三标段)成都市龙泉驿外东洪路地铁2号线惠王陵地铁C口</v>
      </c>
      <c r="J4480" s="41" t="str">
        <f>VLOOKUP(B4480,辅助信息!E:I,4,FALSE)</f>
        <v>王军宝</v>
      </c>
      <c r="K4480" s="41">
        <f>VLOOKUP(J4480,辅助信息!H:I,2,FALSE)</f>
        <v>13889142392</v>
      </c>
      <c r="L4480" s="110">
        <f>VLOOKUP(B4480,辅助信息!E:J,6,FALSE)</f>
        <v>0</v>
      </c>
      <c r="O4480" s="63" t="str">
        <f ca="1" t="shared" si="222"/>
        <v/>
      </c>
      <c r="P4480" s="63" t="str">
        <f ca="1" t="shared" si="223"/>
        <v/>
      </c>
      <c r="Q4480" s="30" t="str">
        <f>VLOOKUP(B4480,辅助信息!E:M,9,FALSE)</f>
        <v>ZTWM-CDGS-XS-2025-0156-五冶钢构-2025年九月第一批次钢筋采购合同(三圣乡项目)-中铁物贸成都公司</v>
      </c>
      <c r="R4480" s="30" t="str">
        <f>_xlfn._xlws.FILTER(辅助信息!D:D,辅助信息!E:E=B4480)</f>
        <v>五冶钢构龙泉东洪片区(70亩、85亩)住宅、商业及配套工程项目</v>
      </c>
    </row>
    <row r="4481" hidden="1" spans="2:18">
      <c r="B4481" s="136" t="s">
        <v>229</v>
      </c>
      <c r="C4481" s="71">
        <v>45944</v>
      </c>
      <c r="D4481" s="41" t="str">
        <f>VLOOKUP(B4481,辅助信息!E:K,7,FALSE)</f>
        <v>JWDDCD2025092400212</v>
      </c>
      <c r="E4481" s="41" t="str">
        <f>VLOOKUP(F4481,辅助信息!A:B,2,FALSE)</f>
        <v>盘螺</v>
      </c>
      <c r="F4481" s="41" t="s">
        <v>41</v>
      </c>
      <c r="G4481" s="37">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1" t="str">
        <f>VLOOKUP(B4481,辅助信息!E:I,3,FALSE)</f>
        <v>(五冶钢构龙泉东洪片区85亩住宅、商业及配套工程项目三标段)成都市龙泉驿外东洪路地铁2号线惠王陵地铁C口</v>
      </c>
      <c r="J4481" s="41" t="str">
        <f>VLOOKUP(B4481,辅助信息!E:I,4,FALSE)</f>
        <v>王军宝</v>
      </c>
      <c r="K4481" s="41">
        <f>VLOOKUP(J4481,辅助信息!H:I,2,FALSE)</f>
        <v>13889142392</v>
      </c>
      <c r="L4481" s="110">
        <f>VLOOKUP(B4481,辅助信息!E:J,6,FALSE)</f>
        <v>0</v>
      </c>
      <c r="O4481" s="63" t="str">
        <f ca="1" t="shared" si="222"/>
        <v/>
      </c>
      <c r="P4481" s="63" t="str">
        <f ca="1" t="shared" si="223"/>
        <v/>
      </c>
      <c r="Q4481" s="30" t="str">
        <f>VLOOKUP(B4481,辅助信息!E:M,9,FALSE)</f>
        <v>ZTWM-CDGS-XS-2025-0156-五冶钢构-2025年九月第一批次钢筋采购合同(三圣乡项目)-中铁物贸成都公司</v>
      </c>
      <c r="R4481" s="30" t="str">
        <f>_xlfn._xlws.FILTER(辅助信息!D:D,辅助信息!E:E=B4481)</f>
        <v>五冶钢构龙泉东洪片区(70亩、85亩)住宅、商业及配套工程项目</v>
      </c>
    </row>
    <row r="4482" hidden="1" spans="2:18">
      <c r="B4482" s="136" t="s">
        <v>229</v>
      </c>
      <c r="C4482" s="71">
        <v>45944</v>
      </c>
      <c r="D4482" s="41" t="str">
        <f>VLOOKUP(B4482,辅助信息!E:K,7,FALSE)</f>
        <v>JWDDCD2025092400212</v>
      </c>
      <c r="E4482" s="41" t="str">
        <f>VLOOKUP(F4482,辅助信息!A:B,2,FALSE)</f>
        <v>盘螺</v>
      </c>
      <c r="F4482" s="41" t="s">
        <v>49</v>
      </c>
      <c r="G4482" s="37">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1" t="str">
        <f>VLOOKUP(B4482,辅助信息!E:I,3,FALSE)</f>
        <v>(五冶钢构龙泉东洪片区85亩住宅、商业及配套工程项目三标段)成都市龙泉驿外东洪路地铁2号线惠王陵地铁C口</v>
      </c>
      <c r="J4482" s="41" t="str">
        <f>VLOOKUP(B4482,辅助信息!E:I,4,FALSE)</f>
        <v>王军宝</v>
      </c>
      <c r="K4482" s="41">
        <f>VLOOKUP(J4482,辅助信息!H:I,2,FALSE)</f>
        <v>13889142392</v>
      </c>
      <c r="L4482" s="110">
        <f>VLOOKUP(B4482,辅助信息!E:J,6,FALSE)</f>
        <v>0</v>
      </c>
      <c r="O4482" s="63" t="str">
        <f ca="1" t="shared" si="222"/>
        <v/>
      </c>
      <c r="P4482" s="63" t="str">
        <f ca="1" t="shared" si="223"/>
        <v/>
      </c>
      <c r="Q4482" s="30" t="str">
        <f>VLOOKUP(B4482,辅助信息!E:M,9,FALSE)</f>
        <v>ZTWM-CDGS-XS-2025-0156-五冶钢构-2025年九月第一批次钢筋采购合同(三圣乡项目)-中铁物贸成都公司</v>
      </c>
      <c r="R4482" s="30" t="str">
        <f>_xlfn._xlws.FILTER(辅助信息!D:D,辅助信息!E:E=B4482)</f>
        <v>五冶钢构龙泉东洪片区(70亩、85亩)住宅、商业及配套工程项目</v>
      </c>
    </row>
    <row r="4483" hidden="1" spans="2:18">
      <c r="B4483" s="136" t="s">
        <v>229</v>
      </c>
      <c r="C4483" s="71">
        <v>45944</v>
      </c>
      <c r="D4483" s="41" t="str">
        <f>VLOOKUP(B4483,辅助信息!E:K,7,FALSE)</f>
        <v>JWDDCD2025092400212</v>
      </c>
      <c r="E4483" s="41" t="str">
        <f>VLOOKUP(F4483,辅助信息!A:B,2,FALSE)</f>
        <v>盘螺</v>
      </c>
      <c r="F4483" s="41" t="s">
        <v>40</v>
      </c>
      <c r="G4483" s="37">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1" t="str">
        <f>VLOOKUP(B4483,辅助信息!E:I,3,FALSE)</f>
        <v>(五冶钢构龙泉东洪片区85亩住宅、商业及配套工程项目三标段)成都市龙泉驿外东洪路地铁2号线惠王陵地铁C口</v>
      </c>
      <c r="J4483" s="41" t="str">
        <f>VLOOKUP(B4483,辅助信息!E:I,4,FALSE)</f>
        <v>王军宝</v>
      </c>
      <c r="K4483" s="41">
        <f>VLOOKUP(J4483,辅助信息!H:I,2,FALSE)</f>
        <v>13889142392</v>
      </c>
      <c r="L4483" s="110">
        <f>VLOOKUP(B4483,辅助信息!E:J,6,FALSE)</f>
        <v>0</v>
      </c>
      <c r="O4483" s="63" t="str">
        <f ca="1" t="shared" si="222"/>
        <v/>
      </c>
      <c r="P4483" s="63" t="str">
        <f ca="1" t="shared" si="223"/>
        <v/>
      </c>
      <c r="Q4483" s="30" t="str">
        <f>VLOOKUP(B4483,辅助信息!E:M,9,FALSE)</f>
        <v>ZTWM-CDGS-XS-2025-0156-五冶钢构-2025年九月第一批次钢筋采购合同(三圣乡项目)-中铁物贸成都公司</v>
      </c>
      <c r="R4483" s="30" t="str">
        <f>_xlfn._xlws.FILTER(辅助信息!D:D,辅助信息!E:E=B4483)</f>
        <v>五冶钢构龙泉东洪片区(70亩、85亩)住宅、商业及配套工程项目</v>
      </c>
    </row>
    <row r="4484" hidden="1" spans="2:18">
      <c r="B4484" s="136" t="s">
        <v>225</v>
      </c>
      <c r="C4484" s="71">
        <v>45944</v>
      </c>
      <c r="D4484" s="41" t="str">
        <f>VLOOKUP(B4484,辅助信息!E:K,7,FALSE)</f>
        <v>JWDDCD2025092400210</v>
      </c>
      <c r="E4484" s="41" t="str">
        <f>VLOOKUP(F4484,辅助信息!A:B,2,FALSE)</f>
        <v>螺纹钢</v>
      </c>
      <c r="F4484" s="41" t="s">
        <v>32</v>
      </c>
      <c r="G4484" s="37">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1" t="str">
        <f>VLOOKUP(B4484,辅助信息!E:I,3,FALSE)</f>
        <v>(五冶钢构龙泉东洪片区85亩住宅、商业及配套工程项目一标段)成都市龙泉驿外东洪路地铁2号线惠王陵地铁C口</v>
      </c>
      <c r="J4484" s="41" t="str">
        <f>VLOOKUP(B4484,辅助信息!E:I,4,FALSE)</f>
        <v>岳工</v>
      </c>
      <c r="K4484" s="41">
        <f>VLOOKUP(J4484,辅助信息!H:I,2,FALSE)</f>
        <v>18599951655</v>
      </c>
      <c r="L4484" s="110">
        <f>VLOOKUP(B4484,辅助信息!E:J,6,FALSE)</f>
        <v>0</v>
      </c>
      <c r="O4484" s="63" t="str">
        <f ca="1" t="shared" si="222"/>
        <v/>
      </c>
      <c r="P4484" s="63" t="str">
        <f ca="1" t="shared" si="223"/>
        <v/>
      </c>
      <c r="Q4484" s="30" t="str">
        <f>VLOOKUP(B4484,辅助信息!E:M,9,FALSE)</f>
        <v>ZTWM-CDGS-XS-2025-0156-五冶钢构-2025年九月第一批次钢筋采购合同(三圣乡项目)-中铁物贸成都公司</v>
      </c>
      <c r="R4484" s="30" t="str">
        <f>_xlfn._xlws.FILTER(辅助信息!D:D,辅助信息!E:E=B4484)</f>
        <v>五冶钢构龙泉东洪片区(70亩、85亩)住宅、商业及配套工程项目</v>
      </c>
    </row>
    <row r="4485" hidden="1" spans="2:18">
      <c r="B4485" s="136" t="s">
        <v>225</v>
      </c>
      <c r="C4485" s="71">
        <v>45944</v>
      </c>
      <c r="D4485" s="41" t="str">
        <f>VLOOKUP(B4485,辅助信息!E:K,7,FALSE)</f>
        <v>JWDDCD2025092400210</v>
      </c>
      <c r="E4485" s="41" t="str">
        <f>VLOOKUP(F4485,辅助信息!A:B,2,FALSE)</f>
        <v>螺纹钢</v>
      </c>
      <c r="F4485" s="41" t="s">
        <v>18</v>
      </c>
      <c r="G4485" s="37">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1" t="str">
        <f>VLOOKUP(B4485,辅助信息!E:I,3,FALSE)</f>
        <v>(五冶钢构龙泉东洪片区85亩住宅、商业及配套工程项目一标段)成都市龙泉驿外东洪路地铁2号线惠王陵地铁C口</v>
      </c>
      <c r="J4485" s="41" t="str">
        <f>VLOOKUP(B4485,辅助信息!E:I,4,FALSE)</f>
        <v>岳工</v>
      </c>
      <c r="K4485" s="41">
        <f>VLOOKUP(J4485,辅助信息!H:I,2,FALSE)</f>
        <v>18599951655</v>
      </c>
      <c r="L4485" s="110">
        <f>VLOOKUP(B4485,辅助信息!E:J,6,FALSE)</f>
        <v>0</v>
      </c>
      <c r="O4485" s="63" t="str">
        <f ca="1" t="shared" si="222"/>
        <v/>
      </c>
      <c r="P4485" s="63" t="str">
        <f ca="1" t="shared" si="223"/>
        <v/>
      </c>
      <c r="Q4485" s="30" t="str">
        <f>VLOOKUP(B4485,辅助信息!E:M,9,FALSE)</f>
        <v>ZTWM-CDGS-XS-2025-0156-五冶钢构-2025年九月第一批次钢筋采购合同(三圣乡项目)-中铁物贸成都公司</v>
      </c>
      <c r="R4485" s="30" t="str">
        <f>_xlfn._xlws.FILTER(辅助信息!D:D,辅助信息!E:E=B4485)</f>
        <v>五冶钢构龙泉东洪片区(70亩、85亩)住宅、商业及配套工程项目</v>
      </c>
    </row>
    <row r="4486" hidden="1" spans="2:18">
      <c r="B4486" s="136" t="s">
        <v>225</v>
      </c>
      <c r="C4486" s="71">
        <v>45944</v>
      </c>
      <c r="D4486" s="41" t="str">
        <f>VLOOKUP(B4486,辅助信息!E:K,7,FALSE)</f>
        <v>JWDDCD2025092400210</v>
      </c>
      <c r="E4486" s="41" t="str">
        <f>VLOOKUP(F4486,辅助信息!A:B,2,FALSE)</f>
        <v>螺纹钢</v>
      </c>
      <c r="F4486" s="41" t="s">
        <v>46</v>
      </c>
      <c r="G4486" s="37">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1" t="str">
        <f>VLOOKUP(B4486,辅助信息!E:I,3,FALSE)</f>
        <v>(五冶钢构龙泉东洪片区85亩住宅、商业及配套工程项目一标段)成都市龙泉驿外东洪路地铁2号线惠王陵地铁C口</v>
      </c>
      <c r="J4486" s="41" t="str">
        <f>VLOOKUP(B4486,辅助信息!E:I,4,FALSE)</f>
        <v>岳工</v>
      </c>
      <c r="K4486" s="41">
        <f>VLOOKUP(J4486,辅助信息!H:I,2,FALSE)</f>
        <v>18599951655</v>
      </c>
      <c r="L4486" s="110">
        <f>VLOOKUP(B4486,辅助信息!E:J,6,FALSE)</f>
        <v>0</v>
      </c>
      <c r="O4486" s="63" t="str">
        <f ca="1" t="shared" si="222"/>
        <v/>
      </c>
      <c r="P4486" s="63" t="str">
        <f ca="1" t="shared" si="223"/>
        <v/>
      </c>
      <c r="Q4486" s="30" t="str">
        <f>VLOOKUP(B4486,辅助信息!E:M,9,FALSE)</f>
        <v>ZTWM-CDGS-XS-2025-0156-五冶钢构-2025年九月第一批次钢筋采购合同(三圣乡项目)-中铁物贸成都公司</v>
      </c>
      <c r="R4486" s="30" t="str">
        <f>_xlfn._xlws.FILTER(辅助信息!D:D,辅助信息!E:E=B4486)</f>
        <v>五冶钢构龙泉东洪片区(70亩、85亩)住宅、商业及配套工程项目</v>
      </c>
    </row>
    <row r="4487" hidden="1" spans="2:18">
      <c r="B4487" s="136" t="s">
        <v>225</v>
      </c>
      <c r="C4487" s="71">
        <v>45944</v>
      </c>
      <c r="D4487" s="41" t="str">
        <f>VLOOKUP(B4487,辅助信息!E:K,7,FALSE)</f>
        <v>JWDDCD2025092400210</v>
      </c>
      <c r="E4487" s="41" t="str">
        <f>VLOOKUP(F4487,辅助信息!A:B,2,FALSE)</f>
        <v>盘螺</v>
      </c>
      <c r="F4487" s="41" t="s">
        <v>41</v>
      </c>
      <c r="G4487" s="37">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1" t="str">
        <f>VLOOKUP(B4487,辅助信息!E:I,3,FALSE)</f>
        <v>(五冶钢构龙泉东洪片区85亩住宅、商业及配套工程项目一标段)成都市龙泉驿外东洪路地铁2号线惠王陵地铁C口</v>
      </c>
      <c r="J4487" s="41" t="str">
        <f>VLOOKUP(B4487,辅助信息!E:I,4,FALSE)</f>
        <v>岳工</v>
      </c>
      <c r="K4487" s="41">
        <f>VLOOKUP(J4487,辅助信息!H:I,2,FALSE)</f>
        <v>18599951655</v>
      </c>
      <c r="L4487" s="110">
        <f>VLOOKUP(B4487,辅助信息!E:J,6,FALSE)</f>
        <v>0</v>
      </c>
      <c r="O4487" s="63" t="str">
        <f ca="1" t="shared" si="222"/>
        <v/>
      </c>
      <c r="P4487" s="63" t="str">
        <f ca="1" t="shared" si="223"/>
        <v/>
      </c>
      <c r="Q4487" s="30" t="str">
        <f>VLOOKUP(B4487,辅助信息!E:M,9,FALSE)</f>
        <v>ZTWM-CDGS-XS-2025-0156-五冶钢构-2025年九月第一批次钢筋采购合同(三圣乡项目)-中铁物贸成都公司</v>
      </c>
      <c r="R4487" s="30" t="str">
        <f>_xlfn._xlws.FILTER(辅助信息!D:D,辅助信息!E:E=B4487)</f>
        <v>五冶钢构龙泉东洪片区(70亩、85亩)住宅、商业及配套工程项目</v>
      </c>
    </row>
    <row r="4488" hidden="1" spans="2:18">
      <c r="B4488" s="136" t="s">
        <v>225</v>
      </c>
      <c r="C4488" s="71">
        <v>45944</v>
      </c>
      <c r="D4488" s="41" t="str">
        <f>VLOOKUP(B4488,辅助信息!E:K,7,FALSE)</f>
        <v>JWDDCD2025092400210</v>
      </c>
      <c r="E4488" s="41" t="str">
        <f>VLOOKUP(F4488,辅助信息!A:B,2,FALSE)</f>
        <v>盘螺</v>
      </c>
      <c r="F4488" s="41" t="s">
        <v>26</v>
      </c>
      <c r="G4488" s="37">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1" t="str">
        <f>VLOOKUP(B4488,辅助信息!E:I,3,FALSE)</f>
        <v>(五冶钢构龙泉东洪片区85亩住宅、商业及配套工程项目一标段)成都市龙泉驿外东洪路地铁2号线惠王陵地铁C口</v>
      </c>
      <c r="J4488" s="41" t="str">
        <f>VLOOKUP(B4488,辅助信息!E:I,4,FALSE)</f>
        <v>岳工</v>
      </c>
      <c r="K4488" s="41">
        <f>VLOOKUP(J4488,辅助信息!H:I,2,FALSE)</f>
        <v>18599951655</v>
      </c>
      <c r="L4488" s="110">
        <f>VLOOKUP(B4488,辅助信息!E:J,6,FALSE)</f>
        <v>0</v>
      </c>
      <c r="O4488" s="63" t="str">
        <f ca="1" t="shared" si="222"/>
        <v/>
      </c>
      <c r="P4488" s="63" t="str">
        <f ca="1" t="shared" si="223"/>
        <v/>
      </c>
      <c r="Q4488" s="30" t="str">
        <f>VLOOKUP(B4488,辅助信息!E:M,9,FALSE)</f>
        <v>ZTWM-CDGS-XS-2025-0156-五冶钢构-2025年九月第一批次钢筋采购合同(三圣乡项目)-中铁物贸成都公司</v>
      </c>
      <c r="R4488" s="30" t="str">
        <f>_xlfn._xlws.FILTER(辅助信息!D:D,辅助信息!E:E=B4488)</f>
        <v>五冶钢构龙泉东洪片区(70亩、85亩)住宅、商业及配套工程项目</v>
      </c>
    </row>
    <row r="4489" hidden="1" spans="2:18">
      <c r="B4489" s="136" t="s">
        <v>225</v>
      </c>
      <c r="C4489" s="71">
        <v>45944</v>
      </c>
      <c r="D4489" s="41" t="str">
        <f>VLOOKUP(B4489,辅助信息!E:K,7,FALSE)</f>
        <v>JWDDCD2025092400210</v>
      </c>
      <c r="E4489" s="41" t="str">
        <f>VLOOKUP(F4489,辅助信息!A:B,2,FALSE)</f>
        <v>盘螺</v>
      </c>
      <c r="F4489" s="41" t="s">
        <v>49</v>
      </c>
      <c r="G4489" s="37">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1" t="str">
        <f>VLOOKUP(B4489,辅助信息!E:I,3,FALSE)</f>
        <v>(五冶钢构龙泉东洪片区85亩住宅、商业及配套工程项目一标段)成都市龙泉驿外东洪路地铁2号线惠王陵地铁C口</v>
      </c>
      <c r="J4489" s="41" t="str">
        <f>VLOOKUP(B4489,辅助信息!E:I,4,FALSE)</f>
        <v>岳工</v>
      </c>
      <c r="K4489" s="41">
        <f>VLOOKUP(J4489,辅助信息!H:I,2,FALSE)</f>
        <v>18599951655</v>
      </c>
      <c r="L4489" s="110">
        <f>VLOOKUP(B4489,辅助信息!E:J,6,FALSE)</f>
        <v>0</v>
      </c>
      <c r="O4489" s="63" t="str">
        <f ca="1" t="shared" si="222"/>
        <v/>
      </c>
      <c r="P4489" s="63" t="str">
        <f ca="1" t="shared" si="223"/>
        <v/>
      </c>
      <c r="Q4489" s="30" t="str">
        <f>VLOOKUP(B4489,辅助信息!E:M,9,FALSE)</f>
        <v>ZTWM-CDGS-XS-2025-0156-五冶钢构-2025年九月第一批次钢筋采购合同(三圣乡项目)-中铁物贸成都公司</v>
      </c>
      <c r="R4489" s="30" t="str">
        <f>_xlfn._xlws.FILTER(辅助信息!D:D,辅助信息!E:E=B4489)</f>
        <v>五冶钢构龙泉东洪片区(70亩、85亩)住宅、商业及配套工程项目</v>
      </c>
    </row>
    <row r="4490" hidden="1" spans="2:18">
      <c r="B4490" s="136" t="s">
        <v>225</v>
      </c>
      <c r="C4490" s="71">
        <v>45944</v>
      </c>
      <c r="D4490" s="41" t="str">
        <f>VLOOKUP(B4490,辅助信息!E:K,7,FALSE)</f>
        <v>JWDDCD2025092400210</v>
      </c>
      <c r="E4490" s="41" t="str">
        <f>VLOOKUP(F4490,辅助信息!A:B,2,FALSE)</f>
        <v>盘螺</v>
      </c>
      <c r="F4490" s="41" t="s">
        <v>40</v>
      </c>
      <c r="G4490" s="37">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1" t="str">
        <f>VLOOKUP(B4490,辅助信息!E:I,3,FALSE)</f>
        <v>(五冶钢构龙泉东洪片区85亩住宅、商业及配套工程项目一标段)成都市龙泉驿外东洪路地铁2号线惠王陵地铁C口</v>
      </c>
      <c r="J4490" s="41" t="str">
        <f>VLOOKUP(B4490,辅助信息!E:I,4,FALSE)</f>
        <v>岳工</v>
      </c>
      <c r="K4490" s="41">
        <f>VLOOKUP(J4490,辅助信息!H:I,2,FALSE)</f>
        <v>18599951655</v>
      </c>
      <c r="L4490" s="110">
        <f>VLOOKUP(B4490,辅助信息!E:J,6,FALSE)</f>
        <v>0</v>
      </c>
      <c r="O4490" s="63" t="str">
        <f ca="1" t="shared" si="222"/>
        <v/>
      </c>
      <c r="P4490" s="63" t="str">
        <f ca="1" t="shared" si="223"/>
        <v/>
      </c>
      <c r="Q4490" s="30" t="str">
        <f>VLOOKUP(B4490,辅助信息!E:M,9,FALSE)</f>
        <v>ZTWM-CDGS-XS-2025-0156-五冶钢构-2025年九月第一批次钢筋采购合同(三圣乡项目)-中铁物贸成都公司</v>
      </c>
      <c r="R4490" s="30" t="str">
        <f>_xlfn._xlws.FILTER(辅助信息!D:D,辅助信息!E:E=B4490)</f>
        <v>五冶钢构龙泉东洪片区(70亩、85亩)住宅、商业及配套工程项目</v>
      </c>
    </row>
    <row r="4491" hidden="1" spans="2:18">
      <c r="B4491" s="136" t="s">
        <v>231</v>
      </c>
      <c r="C4491" s="71">
        <v>45944</v>
      </c>
      <c r="D4491" s="41" t="str">
        <f>VLOOKUP(B4491,辅助信息!E:K,7,FALSE)</f>
        <v>JWDDCD2025102100481</v>
      </c>
      <c r="E4491" s="41" t="str">
        <f>VLOOKUP(F4491,辅助信息!A:B,2,FALSE)</f>
        <v>螺纹钢</v>
      </c>
      <c r="F4491" s="41" t="s">
        <v>19</v>
      </c>
      <c r="G4491" s="37">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1" t="str">
        <f>VLOOKUP(B4491,辅助信息!E:I,3,FALSE)</f>
        <v>(五冶建设成都盐道街中学初中部改扩建工程-一标)四川省成都市锦江区春熙路街道盐道街4号（盐道街中学初中部）</v>
      </c>
      <c r="J4491" s="41" t="str">
        <f>VLOOKUP(B4491,辅助信息!E:I,4,FALSE)</f>
        <v>谢鑫</v>
      </c>
      <c r="K4491" s="41">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30" t="str">
        <f>VLOOKUP(B4491,辅助信息!E:M,9,FALSE)</f>
        <v>ZTWM-CDGS-XS-2025-0073-五冶天府-成都怡心湖片区及龙泉驿医院等项目</v>
      </c>
      <c r="R4491" s="30" t="str">
        <f>_xlfn._xlws.FILTER(辅助信息!D:D,辅助信息!E:E=B4491)</f>
        <v>五冶建设成都盐道街中学初中部改扩建工程</v>
      </c>
    </row>
    <row r="4492" hidden="1" spans="2:18">
      <c r="B4492" s="136" t="s">
        <v>231</v>
      </c>
      <c r="C4492" s="71">
        <v>45944</v>
      </c>
      <c r="D4492" s="41" t="str">
        <f>VLOOKUP(B4492,辅助信息!E:K,7,FALSE)</f>
        <v>JWDDCD2025102100481</v>
      </c>
      <c r="E4492" s="41" t="str">
        <f>VLOOKUP(F4492,辅助信息!A:B,2,FALSE)</f>
        <v>螺纹钢</v>
      </c>
      <c r="F4492" s="41" t="s">
        <v>30</v>
      </c>
      <c r="G4492" s="37">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1" t="str">
        <f>VLOOKUP(B4492,辅助信息!E:I,3,FALSE)</f>
        <v>(五冶建设成都盐道街中学初中部改扩建工程-一标)四川省成都市锦江区春熙路街道盐道街4号（盐道街中学初中部）</v>
      </c>
      <c r="J4492" s="41" t="str">
        <f>VLOOKUP(B4492,辅助信息!E:I,4,FALSE)</f>
        <v>谢鑫</v>
      </c>
      <c r="K4492" s="41">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30" t="str">
        <f>VLOOKUP(B4492,辅助信息!E:M,9,FALSE)</f>
        <v>ZTWM-CDGS-XS-2025-0073-五冶天府-成都怡心湖片区及龙泉驿医院等项目</v>
      </c>
      <c r="R4492" s="30" t="str">
        <f>_xlfn._xlws.FILTER(辅助信息!D:D,辅助信息!E:E=B4492)</f>
        <v>五冶建设成都盐道街中学初中部改扩建工程</v>
      </c>
    </row>
    <row r="4493" hidden="1" spans="2:18">
      <c r="B4493" s="136" t="s">
        <v>231</v>
      </c>
      <c r="C4493" s="71">
        <v>45944</v>
      </c>
      <c r="D4493" s="41" t="str">
        <f>VLOOKUP(B4493,辅助信息!E:K,7,FALSE)</f>
        <v>JWDDCD2025102100481</v>
      </c>
      <c r="E4493" s="41" t="str">
        <f>VLOOKUP(F4493,辅助信息!A:B,2,FALSE)</f>
        <v>螺纹钢</v>
      </c>
      <c r="F4493" s="41" t="s">
        <v>33</v>
      </c>
      <c r="G4493" s="37">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1" t="str">
        <f>VLOOKUP(B4493,辅助信息!E:I,3,FALSE)</f>
        <v>(五冶建设成都盐道街中学初中部改扩建工程-一标)四川省成都市锦江区春熙路街道盐道街4号（盐道街中学初中部）</v>
      </c>
      <c r="J4493" s="41" t="str">
        <f>VLOOKUP(B4493,辅助信息!E:I,4,FALSE)</f>
        <v>谢鑫</v>
      </c>
      <c r="K4493" s="41">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30" t="str">
        <f>VLOOKUP(B4493,辅助信息!E:M,9,FALSE)</f>
        <v>ZTWM-CDGS-XS-2025-0073-五冶天府-成都怡心湖片区及龙泉驿医院等项目</v>
      </c>
      <c r="R4493" s="30" t="str">
        <f>_xlfn._xlws.FILTER(辅助信息!D:D,辅助信息!E:E=B4493)</f>
        <v>五冶建设成都盐道街中学初中部改扩建工程</v>
      </c>
    </row>
    <row r="4494" hidden="1" spans="2:18">
      <c r="B4494" s="136" t="s">
        <v>231</v>
      </c>
      <c r="C4494" s="71">
        <v>45944</v>
      </c>
      <c r="D4494" s="41" t="str">
        <f>VLOOKUP(B4494,辅助信息!E:K,7,FALSE)</f>
        <v>JWDDCD2025102100481</v>
      </c>
      <c r="E4494" s="41" t="str">
        <f>VLOOKUP(F4494,辅助信息!A:B,2,FALSE)</f>
        <v>螺纹钢</v>
      </c>
      <c r="F4494" s="41" t="s">
        <v>28</v>
      </c>
      <c r="G4494" s="37">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1" t="str">
        <f>VLOOKUP(B4494,辅助信息!E:I,3,FALSE)</f>
        <v>(五冶建设成都盐道街中学初中部改扩建工程-一标)四川省成都市锦江区春熙路街道盐道街4号（盐道街中学初中部）</v>
      </c>
      <c r="J4494" s="41" t="str">
        <f>VLOOKUP(B4494,辅助信息!E:I,4,FALSE)</f>
        <v>谢鑫</v>
      </c>
      <c r="K4494" s="41">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30" t="str">
        <f>VLOOKUP(B4494,辅助信息!E:M,9,FALSE)</f>
        <v>ZTWM-CDGS-XS-2025-0073-五冶天府-成都怡心湖片区及龙泉驿医院等项目</v>
      </c>
      <c r="R4494" s="30" t="str">
        <f>_xlfn._xlws.FILTER(辅助信息!D:D,辅助信息!E:E=B4494)</f>
        <v>五冶建设成都盐道街中学初中部改扩建工程</v>
      </c>
    </row>
    <row r="4495" hidden="1" spans="2:18">
      <c r="B4495" s="136" t="s">
        <v>231</v>
      </c>
      <c r="C4495" s="71">
        <v>45944</v>
      </c>
      <c r="D4495" s="41" t="str">
        <f>VLOOKUP(B4495,辅助信息!E:K,7,FALSE)</f>
        <v>JWDDCD2025102100481</v>
      </c>
      <c r="E4495" s="41" t="str">
        <f>VLOOKUP(F4495,辅助信息!A:B,2,FALSE)</f>
        <v>盘螺</v>
      </c>
      <c r="F4495" s="41" t="s">
        <v>41</v>
      </c>
      <c r="G4495" s="37">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1" t="str">
        <f>VLOOKUP(B4495,辅助信息!E:I,3,FALSE)</f>
        <v>(五冶建设成都盐道街中学初中部改扩建工程-一标)四川省成都市锦江区春熙路街道盐道街4号（盐道街中学初中部）</v>
      </c>
      <c r="J4495" s="41" t="str">
        <f>VLOOKUP(B4495,辅助信息!E:I,4,FALSE)</f>
        <v>谢鑫</v>
      </c>
      <c r="K4495" s="41">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30" t="str">
        <f>VLOOKUP(B4495,辅助信息!E:M,9,FALSE)</f>
        <v>ZTWM-CDGS-XS-2025-0073-五冶天府-成都怡心湖片区及龙泉驿医院等项目</v>
      </c>
      <c r="R4495" s="30" t="str">
        <f>_xlfn._xlws.FILTER(辅助信息!D:D,辅助信息!E:E=B4495)</f>
        <v>五冶建设成都盐道街中学初中部改扩建工程</v>
      </c>
    </row>
    <row r="4496" hidden="1" spans="2:18">
      <c r="B4496" s="136" t="s">
        <v>167</v>
      </c>
      <c r="C4496" s="71">
        <v>45944</v>
      </c>
      <c r="D4496" s="41" t="str">
        <f>VLOOKUP(B4496,辅助信息!E:K,7,FALSE)</f>
        <v>JWDDCD2025102100473</v>
      </c>
      <c r="E4496" s="41" t="str">
        <f>VLOOKUP(F4496,辅助信息!A:B,2,FALSE)</f>
        <v>螺纹钢</v>
      </c>
      <c r="F4496" s="41" t="s">
        <v>27</v>
      </c>
      <c r="G4496" s="37">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1" t="str">
        <f>VLOOKUP(B4496,辅助信息!E:I,3,FALSE)</f>
        <v>(五冶建设扩建艺体中学二期工程)四川省成都市双流区光荣路成都艺体中学南200米</v>
      </c>
      <c r="J4496" s="41" t="str">
        <f>VLOOKUP(B4496,辅助信息!E:I,4,FALSE)</f>
        <v>谢序强</v>
      </c>
      <c r="K4496" s="41">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30" t="str">
        <f>VLOOKUP(B4496,辅助信息!E:M,9,FALSE)</f>
        <v>ZTWM-CDGS-XS-2025-0073-五冶天府-成都怡心湖片区及龙泉驿医院等项目</v>
      </c>
      <c r="R4496" s="30" t="str">
        <f>_xlfn._xlws.FILTER(辅助信息!D:D,辅助信息!E:E=B4496)</f>
        <v>五冶建设扩建艺体中学二期工程</v>
      </c>
    </row>
    <row r="4497" hidden="1" spans="2:18">
      <c r="B4497" s="136" t="s">
        <v>167</v>
      </c>
      <c r="C4497" s="71">
        <v>45944</v>
      </c>
      <c r="D4497" s="41" t="str">
        <f>VLOOKUP(B4497,辅助信息!E:K,7,FALSE)</f>
        <v>JWDDCD2025102100473</v>
      </c>
      <c r="E4497" s="41" t="str">
        <f>VLOOKUP(F4497,辅助信息!A:B,2,FALSE)</f>
        <v>螺纹钢</v>
      </c>
      <c r="F4497" s="41" t="s">
        <v>19</v>
      </c>
      <c r="G4497" s="37">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1" t="str">
        <f>VLOOKUP(B4497,辅助信息!E:I,3,FALSE)</f>
        <v>(五冶建设扩建艺体中学二期工程)四川省成都市双流区光荣路成都艺体中学南200米</v>
      </c>
      <c r="J4497" s="41" t="str">
        <f>VLOOKUP(B4497,辅助信息!E:I,4,FALSE)</f>
        <v>谢序强</v>
      </c>
      <c r="K4497" s="41">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30" t="str">
        <f>VLOOKUP(B4497,辅助信息!E:M,9,FALSE)</f>
        <v>ZTWM-CDGS-XS-2025-0073-五冶天府-成都怡心湖片区及龙泉驿医院等项目</v>
      </c>
      <c r="R4497" s="30" t="str">
        <f>_xlfn._xlws.FILTER(辅助信息!D:D,辅助信息!E:E=B4497)</f>
        <v>五冶建设扩建艺体中学二期工程</v>
      </c>
    </row>
    <row r="4498" hidden="1" spans="2:18">
      <c r="B4498" s="136" t="s">
        <v>167</v>
      </c>
      <c r="C4498" s="71">
        <v>45944</v>
      </c>
      <c r="D4498" s="41" t="str">
        <f>VLOOKUP(B4498,辅助信息!E:K,7,FALSE)</f>
        <v>JWDDCD2025102100473</v>
      </c>
      <c r="E4498" s="41" t="str">
        <f>VLOOKUP(F4498,辅助信息!A:B,2,FALSE)</f>
        <v>螺纹钢</v>
      </c>
      <c r="F4498" s="41" t="s">
        <v>32</v>
      </c>
      <c r="G4498" s="37">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1" t="str">
        <f>VLOOKUP(B4498,辅助信息!E:I,3,FALSE)</f>
        <v>(五冶建设扩建艺体中学二期工程)四川省成都市双流区光荣路成都艺体中学南200米</v>
      </c>
      <c r="J4498" s="41" t="str">
        <f>VLOOKUP(B4498,辅助信息!E:I,4,FALSE)</f>
        <v>谢序强</v>
      </c>
      <c r="K4498" s="41">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30" t="str">
        <f>VLOOKUP(B4498,辅助信息!E:M,9,FALSE)</f>
        <v>ZTWM-CDGS-XS-2025-0073-五冶天府-成都怡心湖片区及龙泉驿医院等项目</v>
      </c>
      <c r="R4498" s="30" t="str">
        <f>_xlfn._xlws.FILTER(辅助信息!D:D,辅助信息!E:E=B4498)</f>
        <v>五冶建设扩建艺体中学二期工程</v>
      </c>
    </row>
    <row r="4499" hidden="1" spans="2:18">
      <c r="B4499" s="136" t="s">
        <v>167</v>
      </c>
      <c r="C4499" s="71">
        <v>45944</v>
      </c>
      <c r="D4499" s="41" t="str">
        <f>VLOOKUP(B4499,辅助信息!E:K,7,FALSE)</f>
        <v>JWDDCD2025102100473</v>
      </c>
      <c r="E4499" s="41" t="str">
        <f>VLOOKUP(F4499,辅助信息!A:B,2,FALSE)</f>
        <v>螺纹钢</v>
      </c>
      <c r="F4499" s="41" t="s">
        <v>30</v>
      </c>
      <c r="G4499" s="37">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1" t="str">
        <f>VLOOKUP(B4499,辅助信息!E:I,3,FALSE)</f>
        <v>(五冶建设扩建艺体中学二期工程)四川省成都市双流区光荣路成都艺体中学南200米</v>
      </c>
      <c r="J4499" s="41" t="str">
        <f>VLOOKUP(B4499,辅助信息!E:I,4,FALSE)</f>
        <v>谢序强</v>
      </c>
      <c r="K4499" s="41">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30" t="str">
        <f>VLOOKUP(B4499,辅助信息!E:M,9,FALSE)</f>
        <v>ZTWM-CDGS-XS-2025-0073-五冶天府-成都怡心湖片区及龙泉驿医院等项目</v>
      </c>
      <c r="R4499" s="30" t="str">
        <f>_xlfn._xlws.FILTER(辅助信息!D:D,辅助信息!E:E=B4499)</f>
        <v>五冶建设扩建艺体中学二期工程</v>
      </c>
    </row>
    <row r="4500" hidden="1" spans="2:18">
      <c r="B4500" s="136" t="s">
        <v>167</v>
      </c>
      <c r="C4500" s="71">
        <v>45944</v>
      </c>
      <c r="D4500" s="41" t="str">
        <f>VLOOKUP(B4500,辅助信息!E:K,7,FALSE)</f>
        <v>JWDDCD2025102100473</v>
      </c>
      <c r="E4500" s="41" t="str">
        <f>VLOOKUP(F4500,辅助信息!A:B,2,FALSE)</f>
        <v>螺纹钢</v>
      </c>
      <c r="F4500" s="41" t="s">
        <v>33</v>
      </c>
      <c r="G4500" s="37">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1" t="str">
        <f>VLOOKUP(B4500,辅助信息!E:I,3,FALSE)</f>
        <v>(五冶建设扩建艺体中学二期工程)四川省成都市双流区光荣路成都艺体中学南200米</v>
      </c>
      <c r="J4500" s="41" t="str">
        <f>VLOOKUP(B4500,辅助信息!E:I,4,FALSE)</f>
        <v>谢序强</v>
      </c>
      <c r="K4500" s="41">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30" t="str">
        <f>VLOOKUP(B4500,辅助信息!E:M,9,FALSE)</f>
        <v>ZTWM-CDGS-XS-2025-0073-五冶天府-成都怡心湖片区及龙泉驿医院等项目</v>
      </c>
      <c r="R4500" s="30" t="str">
        <f>_xlfn._xlws.FILTER(辅助信息!D:D,辅助信息!E:E=B4500)</f>
        <v>五冶建设扩建艺体中学二期工程</v>
      </c>
    </row>
    <row r="4501" hidden="1" spans="2:18">
      <c r="B4501" s="136" t="s">
        <v>167</v>
      </c>
      <c r="C4501" s="71">
        <v>45944</v>
      </c>
      <c r="D4501" s="41" t="str">
        <f>VLOOKUP(B4501,辅助信息!E:K,7,FALSE)</f>
        <v>JWDDCD2025102100473</v>
      </c>
      <c r="E4501" s="41" t="str">
        <f>VLOOKUP(F4501,辅助信息!A:B,2,FALSE)</f>
        <v>螺纹钢</v>
      </c>
      <c r="F4501" s="41" t="s">
        <v>18</v>
      </c>
      <c r="G4501" s="37">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1" t="str">
        <f>VLOOKUP(B4501,辅助信息!E:I,3,FALSE)</f>
        <v>(五冶建设扩建艺体中学二期工程)四川省成都市双流区光荣路成都艺体中学南200米</v>
      </c>
      <c r="J4501" s="41" t="str">
        <f>VLOOKUP(B4501,辅助信息!E:I,4,FALSE)</f>
        <v>谢序强</v>
      </c>
      <c r="K4501" s="41">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30" t="str">
        <f>VLOOKUP(B4501,辅助信息!E:M,9,FALSE)</f>
        <v>ZTWM-CDGS-XS-2025-0073-五冶天府-成都怡心湖片区及龙泉驿医院等项目</v>
      </c>
      <c r="R4501" s="30" t="str">
        <f>_xlfn._xlws.FILTER(辅助信息!D:D,辅助信息!E:E=B4501)</f>
        <v>五冶建设扩建艺体中学二期工程</v>
      </c>
    </row>
    <row r="4502" hidden="1" spans="2:18">
      <c r="B4502" s="136" t="s">
        <v>167</v>
      </c>
      <c r="C4502" s="71">
        <v>45944</v>
      </c>
      <c r="D4502" s="41" t="str">
        <f>VLOOKUP(B4502,辅助信息!E:K,7,FALSE)</f>
        <v>JWDDCD2025102100473</v>
      </c>
      <c r="E4502" s="41" t="str">
        <f>VLOOKUP(F4502,辅助信息!A:B,2,FALSE)</f>
        <v>螺纹钢</v>
      </c>
      <c r="F4502" s="41" t="s">
        <v>22</v>
      </c>
      <c r="G4502" s="37">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1" t="str">
        <f>VLOOKUP(B4502,辅助信息!E:I,3,FALSE)</f>
        <v>(五冶建设扩建艺体中学二期工程)四川省成都市双流区光荣路成都艺体中学南200米</v>
      </c>
      <c r="J4502" s="41" t="str">
        <f>VLOOKUP(B4502,辅助信息!E:I,4,FALSE)</f>
        <v>谢序强</v>
      </c>
      <c r="K4502" s="41">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30" t="str">
        <f>VLOOKUP(B4502,辅助信息!E:M,9,FALSE)</f>
        <v>ZTWM-CDGS-XS-2025-0073-五冶天府-成都怡心湖片区及龙泉驿医院等项目</v>
      </c>
      <c r="R4502" s="30" t="str">
        <f>_xlfn._xlws.FILTER(辅助信息!D:D,辅助信息!E:E=B4502)</f>
        <v>五冶建设扩建艺体中学二期工程</v>
      </c>
    </row>
    <row r="4503" hidden="1" spans="2:18">
      <c r="B4503" s="136" t="s">
        <v>169</v>
      </c>
      <c r="C4503" s="71">
        <v>45944</v>
      </c>
      <c r="D4503" s="41" t="str">
        <f>VLOOKUP(B4503,辅助信息!E:K,7,FALSE)</f>
        <v>JWDDCD2025051800044</v>
      </c>
      <c r="E4503" s="41" t="str">
        <f>VLOOKUP(F4503,辅助信息!A:B,2,FALSE)</f>
        <v>高线</v>
      </c>
      <c r="F4503" s="41" t="s">
        <v>51</v>
      </c>
      <c r="G4503" s="37">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1" t="str">
        <f>VLOOKUP(B4503,辅助信息!E:I,3,FALSE)</f>
        <v>(五冶建设龙泉芙蓉花语项目-1,3地块)龙泉驿区北川路双堰塘钓鱼东100米(北川路)</v>
      </c>
      <c r="J4503" s="41" t="str">
        <f>VLOOKUP(B4503,辅助信息!E:I,4,FALSE)</f>
        <v>祝斯阳</v>
      </c>
      <c r="K4503" s="41">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30" t="str">
        <f>VLOOKUP(B4503,辅助信息!E:M,9,FALSE)</f>
        <v>ZTWM-CDGS-XS-2025-0073-五冶天府-成都怡心湖片区及龙泉驿医院等项目</v>
      </c>
      <c r="R4503" s="30" t="str">
        <f>_xlfn._xlws.FILTER(辅助信息!D:D,辅助信息!E:E=B4503)</f>
        <v>五冶建设龙泉芙蓉花语项目</v>
      </c>
    </row>
    <row r="4504" hidden="1" spans="2:18">
      <c r="B4504" s="136" t="s">
        <v>169</v>
      </c>
      <c r="C4504" s="71">
        <v>45944</v>
      </c>
      <c r="D4504" s="41" t="str">
        <f>VLOOKUP(B4504,辅助信息!E:K,7,FALSE)</f>
        <v>JWDDCD2025051800044</v>
      </c>
      <c r="E4504" s="41" t="str">
        <f>VLOOKUP(F4504,辅助信息!A:B,2,FALSE)</f>
        <v>螺纹钢</v>
      </c>
      <c r="F4504" s="41" t="s">
        <v>28</v>
      </c>
      <c r="G4504" s="37">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1" t="str">
        <f>VLOOKUP(B4504,辅助信息!E:I,3,FALSE)</f>
        <v>(五冶建设龙泉芙蓉花语项目-1,3地块)龙泉驿区北川路双堰塘钓鱼东100米(北川路)</v>
      </c>
      <c r="J4504" s="41" t="str">
        <f>VLOOKUP(B4504,辅助信息!E:I,4,FALSE)</f>
        <v>祝斯阳</v>
      </c>
      <c r="K4504" s="41">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30" t="str">
        <f>VLOOKUP(B4504,辅助信息!E:M,9,FALSE)</f>
        <v>ZTWM-CDGS-XS-2025-0073-五冶天府-成都怡心湖片区及龙泉驿医院等项目</v>
      </c>
      <c r="R4504" s="30" t="str">
        <f>_xlfn._xlws.FILTER(辅助信息!D:D,辅助信息!E:E=B4504)</f>
        <v>五冶建设龙泉芙蓉花语项目</v>
      </c>
    </row>
    <row r="4505" hidden="1" spans="2:18">
      <c r="B4505" s="136" t="s">
        <v>158</v>
      </c>
      <c r="C4505" s="71">
        <v>45944</v>
      </c>
      <c r="D4505" s="41" t="str">
        <f>VLOOKUP(B4505,辅助信息!E:K,7,FALSE)</f>
        <v>JWDDCD2025051800044</v>
      </c>
      <c r="E4505" s="41" t="str">
        <f>VLOOKUP(F4505,辅助信息!A:B,2,FALSE)</f>
        <v>螺纹钢</v>
      </c>
      <c r="F4505" s="41" t="s">
        <v>133</v>
      </c>
      <c r="G4505" s="37">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1" t="str">
        <f>VLOOKUP(B4505,辅助信息!E:I,3,FALSE)</f>
        <v>(五冶建设龙泉芙蓉花语项目-2地块)龙泉驿区北川路双堰塘钓鱼东100米(北川路)</v>
      </c>
      <c r="J4505" s="41" t="str">
        <f>VLOOKUP(B4505,辅助信息!E:I,4,FALSE)</f>
        <v>白燕军</v>
      </c>
      <c r="K4505" s="41">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30" t="str">
        <f>VLOOKUP(B4505,辅助信息!E:M,9,FALSE)</f>
        <v>ZTWM-CDGS-XS-2025-0073-五冶天府-成都怡心湖片区及龙泉驿医院等项目</v>
      </c>
      <c r="R4505" s="30" t="str">
        <f>_xlfn._xlws.FILTER(辅助信息!D:D,辅助信息!E:E=B4505)</f>
        <v>五冶建设龙泉芙蓉花语项目</v>
      </c>
    </row>
    <row r="4506" hidden="1" spans="2:18">
      <c r="B4506" s="136" t="s">
        <v>215</v>
      </c>
      <c r="C4506" s="71">
        <v>45944</v>
      </c>
      <c r="D4506" s="41" t="str">
        <f>VLOOKUP(B4506,辅助信息!E:K,7,FALSE)</f>
        <v>JWDDCD2025102100486</v>
      </c>
      <c r="E4506" s="41" t="str">
        <f>VLOOKUP(F4506,辅助信息!A:B,2,FALSE)</f>
        <v>螺纹钢</v>
      </c>
      <c r="F4506" s="41" t="s">
        <v>27</v>
      </c>
      <c r="G4506" s="37">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1" t="str">
        <f>VLOOKUP(B4506,辅助信息!E:I,3,FALSE)</f>
        <v>(五冶建设龙泉驿一医院配套建设工程)成都市龙泉驿区董朗路69号龙泉驿一医院5号门</v>
      </c>
      <c r="J4506" s="41" t="str">
        <f>VLOOKUP(B4506,辅助信息!E:I,4,FALSE)</f>
        <v>孙敏</v>
      </c>
      <c r="K4506" s="41">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30" t="str">
        <f>VLOOKUP(B4506,辅助信息!E:M,9,FALSE)</f>
        <v>ZTWM-CDGS-XS-2025-0073-五冶天府-成都怡心湖片区及龙泉驿医院等项目</v>
      </c>
      <c r="R4506" s="30" t="str">
        <f>_xlfn._xlws.FILTER(辅助信息!D:D,辅助信息!E:E=B4506)</f>
        <v>五冶建设龙泉驿一医院配套建设工程</v>
      </c>
    </row>
    <row r="4507" hidden="1" spans="2:18">
      <c r="B4507" s="136" t="s">
        <v>215</v>
      </c>
      <c r="C4507" s="71">
        <v>45944</v>
      </c>
      <c r="D4507" s="41" t="str">
        <f>VLOOKUP(B4507,辅助信息!E:K,7,FALSE)</f>
        <v>JWDDCD2025102100486</v>
      </c>
      <c r="E4507" s="41" t="str">
        <f>VLOOKUP(F4507,辅助信息!A:B,2,FALSE)</f>
        <v>螺纹钢</v>
      </c>
      <c r="F4507" s="41" t="s">
        <v>19</v>
      </c>
      <c r="G4507" s="37">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1" t="str">
        <f>VLOOKUP(B4507,辅助信息!E:I,3,FALSE)</f>
        <v>(五冶建设龙泉驿一医院配套建设工程)成都市龙泉驿区董朗路69号龙泉驿一医院5号门</v>
      </c>
      <c r="J4507" s="41" t="str">
        <f>VLOOKUP(B4507,辅助信息!E:I,4,FALSE)</f>
        <v>孙敏</v>
      </c>
      <c r="K4507" s="41">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30" t="str">
        <f>VLOOKUP(B4507,辅助信息!E:M,9,FALSE)</f>
        <v>ZTWM-CDGS-XS-2025-0073-五冶天府-成都怡心湖片区及龙泉驿医院等项目</v>
      </c>
      <c r="R4507" s="30" t="str">
        <f>_xlfn._xlws.FILTER(辅助信息!D:D,辅助信息!E:E=B4507)</f>
        <v>五冶建设龙泉驿一医院配套建设工程</v>
      </c>
    </row>
    <row r="4508" hidden="1" spans="2:18">
      <c r="B4508" s="136" t="s">
        <v>215</v>
      </c>
      <c r="C4508" s="71">
        <v>45944</v>
      </c>
      <c r="D4508" s="41" t="str">
        <f>VLOOKUP(B4508,辅助信息!E:K,7,FALSE)</f>
        <v>JWDDCD2025102100486</v>
      </c>
      <c r="E4508" s="41" t="str">
        <f>VLOOKUP(F4508,辅助信息!A:B,2,FALSE)</f>
        <v>螺纹钢</v>
      </c>
      <c r="F4508" s="41" t="s">
        <v>32</v>
      </c>
      <c r="G4508" s="37">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1" t="str">
        <f>VLOOKUP(B4508,辅助信息!E:I,3,FALSE)</f>
        <v>(五冶建设龙泉驿一医院配套建设工程)成都市龙泉驿区董朗路69号龙泉驿一医院5号门</v>
      </c>
      <c r="J4508" s="41" t="str">
        <f>VLOOKUP(B4508,辅助信息!E:I,4,FALSE)</f>
        <v>孙敏</v>
      </c>
      <c r="K4508" s="41">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30" t="str">
        <f>VLOOKUP(B4508,辅助信息!E:M,9,FALSE)</f>
        <v>ZTWM-CDGS-XS-2025-0073-五冶天府-成都怡心湖片区及龙泉驿医院等项目</v>
      </c>
      <c r="R4508" s="30" t="str">
        <f>_xlfn._xlws.FILTER(辅助信息!D:D,辅助信息!E:E=B4508)</f>
        <v>五冶建设龙泉驿一医院配套建设工程</v>
      </c>
    </row>
    <row r="4509" hidden="1" spans="2:18">
      <c r="B4509" s="136" t="s">
        <v>215</v>
      </c>
      <c r="C4509" s="71">
        <v>45944</v>
      </c>
      <c r="D4509" s="41" t="str">
        <f>VLOOKUP(B4509,辅助信息!E:K,7,FALSE)</f>
        <v>JWDDCD2025102100486</v>
      </c>
      <c r="E4509" s="41" t="str">
        <f>VLOOKUP(F4509,辅助信息!A:B,2,FALSE)</f>
        <v>螺纹钢</v>
      </c>
      <c r="F4509" s="41" t="s">
        <v>30</v>
      </c>
      <c r="G4509" s="37">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1" t="str">
        <f>VLOOKUP(B4509,辅助信息!E:I,3,FALSE)</f>
        <v>(五冶建设龙泉驿一医院配套建设工程)成都市龙泉驿区董朗路69号龙泉驿一医院5号门</v>
      </c>
      <c r="J4509" s="41" t="str">
        <f>VLOOKUP(B4509,辅助信息!E:I,4,FALSE)</f>
        <v>孙敏</v>
      </c>
      <c r="K4509" s="41">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30" t="str">
        <f>VLOOKUP(B4509,辅助信息!E:M,9,FALSE)</f>
        <v>ZTWM-CDGS-XS-2025-0073-五冶天府-成都怡心湖片区及龙泉驿医院等项目</v>
      </c>
      <c r="R4509" s="30" t="str">
        <f>_xlfn._xlws.FILTER(辅助信息!D:D,辅助信息!E:E=B4509)</f>
        <v>五冶建设龙泉驿一医院配套建设工程</v>
      </c>
    </row>
    <row r="4510" hidden="1" spans="2:18">
      <c r="B4510" s="136" t="s">
        <v>215</v>
      </c>
      <c r="C4510" s="71">
        <v>45944</v>
      </c>
      <c r="D4510" s="41" t="str">
        <f>VLOOKUP(B4510,辅助信息!E:K,7,FALSE)</f>
        <v>JWDDCD2025102100486</v>
      </c>
      <c r="E4510" s="41" t="str">
        <f>VLOOKUP(F4510,辅助信息!A:B,2,FALSE)</f>
        <v>螺纹钢</v>
      </c>
      <c r="F4510" s="41" t="s">
        <v>28</v>
      </c>
      <c r="G4510" s="37">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1" t="str">
        <f>VLOOKUP(B4510,辅助信息!E:I,3,FALSE)</f>
        <v>(五冶建设龙泉驿一医院配套建设工程)成都市龙泉驿区董朗路69号龙泉驿一医院5号门</v>
      </c>
      <c r="J4510" s="41" t="str">
        <f>VLOOKUP(B4510,辅助信息!E:I,4,FALSE)</f>
        <v>孙敏</v>
      </c>
      <c r="K4510" s="41">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30" t="str">
        <f>VLOOKUP(B4510,辅助信息!E:M,9,FALSE)</f>
        <v>ZTWM-CDGS-XS-2025-0073-五冶天府-成都怡心湖片区及龙泉驿医院等项目</v>
      </c>
      <c r="R4510" s="30" t="str">
        <f>_xlfn._xlws.FILTER(辅助信息!D:D,辅助信息!E:E=B4510)</f>
        <v>五冶建设龙泉驿一医院配套建设工程</v>
      </c>
    </row>
    <row r="4511" hidden="1" spans="2:18">
      <c r="B4511" s="136" t="s">
        <v>215</v>
      </c>
      <c r="C4511" s="71">
        <v>45944</v>
      </c>
      <c r="D4511" s="41" t="str">
        <f>VLOOKUP(B4511,辅助信息!E:K,7,FALSE)</f>
        <v>JWDDCD2025102100486</v>
      </c>
      <c r="E4511" s="41" t="str">
        <f>VLOOKUP(F4511,辅助信息!A:B,2,FALSE)</f>
        <v>螺纹钢</v>
      </c>
      <c r="F4511" s="41" t="s">
        <v>18</v>
      </c>
      <c r="G4511" s="37">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1" t="str">
        <f>VLOOKUP(B4511,辅助信息!E:I,3,FALSE)</f>
        <v>(五冶建设龙泉驿一医院配套建设工程)成都市龙泉驿区董朗路69号龙泉驿一医院5号门</v>
      </c>
      <c r="J4511" s="41" t="str">
        <f>VLOOKUP(B4511,辅助信息!E:I,4,FALSE)</f>
        <v>孙敏</v>
      </c>
      <c r="K4511" s="41">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30" t="str">
        <f>VLOOKUP(B4511,辅助信息!E:M,9,FALSE)</f>
        <v>ZTWM-CDGS-XS-2025-0073-五冶天府-成都怡心湖片区及龙泉驿医院等项目</v>
      </c>
      <c r="R4511" s="30" t="str">
        <f>_xlfn._xlws.FILTER(辅助信息!D:D,辅助信息!E:E=B4511)</f>
        <v>五冶建设龙泉驿一医院配套建设工程</v>
      </c>
    </row>
    <row r="4512" hidden="1" spans="2:18">
      <c r="B4512" s="136" t="s">
        <v>215</v>
      </c>
      <c r="C4512" s="71">
        <v>45944</v>
      </c>
      <c r="D4512" s="41" t="str">
        <f>VLOOKUP(B4512,辅助信息!E:K,7,FALSE)</f>
        <v>JWDDCD2025102100486</v>
      </c>
      <c r="E4512" s="41" t="str">
        <f>VLOOKUP(F4512,辅助信息!A:B,2,FALSE)</f>
        <v>螺纹钢</v>
      </c>
      <c r="F4512" s="41" t="s">
        <v>52</v>
      </c>
      <c r="G4512" s="37">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1" t="str">
        <f>VLOOKUP(B4512,辅助信息!E:I,3,FALSE)</f>
        <v>(五冶建设龙泉驿一医院配套建设工程)成都市龙泉驿区董朗路69号龙泉驿一医院5号门</v>
      </c>
      <c r="J4512" s="41" t="str">
        <f>VLOOKUP(B4512,辅助信息!E:I,4,FALSE)</f>
        <v>孙敏</v>
      </c>
      <c r="K4512" s="41">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30" t="str">
        <f>VLOOKUP(B4512,辅助信息!E:M,9,FALSE)</f>
        <v>ZTWM-CDGS-XS-2025-0073-五冶天府-成都怡心湖片区及龙泉驿医院等项目</v>
      </c>
      <c r="R4512" s="30" t="str">
        <f>_xlfn._xlws.FILTER(辅助信息!D:D,辅助信息!E:E=B4512)</f>
        <v>五冶建设龙泉驿一医院配套建设工程</v>
      </c>
    </row>
    <row r="4513" hidden="1" spans="2:18">
      <c r="B4513" s="136" t="s">
        <v>215</v>
      </c>
      <c r="C4513" s="71">
        <v>45944</v>
      </c>
      <c r="D4513" s="41" t="str">
        <f>VLOOKUP(B4513,辅助信息!E:K,7,FALSE)</f>
        <v>JWDDCD2025102100486</v>
      </c>
      <c r="E4513" s="41" t="str">
        <f>VLOOKUP(F4513,辅助信息!A:B,2,FALSE)</f>
        <v>螺纹钢</v>
      </c>
      <c r="F4513" s="41" t="s">
        <v>82</v>
      </c>
      <c r="G4513" s="37">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1" t="str">
        <f>VLOOKUP(B4513,辅助信息!E:I,3,FALSE)</f>
        <v>(五冶建设龙泉驿一医院配套建设工程)成都市龙泉驿区董朗路69号龙泉驿一医院5号门</v>
      </c>
      <c r="J4513" s="41" t="str">
        <f>VLOOKUP(B4513,辅助信息!E:I,4,FALSE)</f>
        <v>孙敏</v>
      </c>
      <c r="K4513" s="41">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30" t="str">
        <f>VLOOKUP(B4513,辅助信息!E:M,9,FALSE)</f>
        <v>ZTWM-CDGS-XS-2025-0073-五冶天府-成都怡心湖片区及龙泉驿医院等项目</v>
      </c>
      <c r="R4513" s="30" t="str">
        <f>_xlfn._xlws.FILTER(辅助信息!D:D,辅助信息!E:E=B4513)</f>
        <v>五冶建设龙泉驿一医院配套建设工程</v>
      </c>
    </row>
    <row r="4514" hidden="1" spans="2:18">
      <c r="B4514" s="136" t="s">
        <v>215</v>
      </c>
      <c r="C4514" s="71">
        <v>45944</v>
      </c>
      <c r="D4514" s="41" t="str">
        <f>VLOOKUP(B4514,辅助信息!E:K,7,FALSE)</f>
        <v>JWDDCD2025102100486</v>
      </c>
      <c r="E4514" s="41" t="str">
        <f>VLOOKUP(F4514,辅助信息!A:B,2,FALSE)</f>
        <v>螺纹钢</v>
      </c>
      <c r="F4514" s="41" t="s">
        <v>45</v>
      </c>
      <c r="G4514" s="37">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1" t="str">
        <f>VLOOKUP(B4514,辅助信息!E:I,3,FALSE)</f>
        <v>(五冶建设龙泉驿一医院配套建设工程)成都市龙泉驿区董朗路69号龙泉驿一医院5号门</v>
      </c>
      <c r="J4514" s="41" t="str">
        <f>VLOOKUP(B4514,辅助信息!E:I,4,FALSE)</f>
        <v>孙敏</v>
      </c>
      <c r="K4514" s="41">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30" t="str">
        <f>VLOOKUP(B4514,辅助信息!E:M,9,FALSE)</f>
        <v>ZTWM-CDGS-XS-2025-0073-五冶天府-成都怡心湖片区及龙泉驿医院等项目</v>
      </c>
      <c r="R4514" s="30" t="str">
        <f>_xlfn._xlws.FILTER(辅助信息!D:D,辅助信息!E:E=B4514)</f>
        <v>五冶建设龙泉驿一医院配套建设工程</v>
      </c>
    </row>
    <row r="4515" hidden="1" spans="2:18">
      <c r="B4515" s="136" t="s">
        <v>215</v>
      </c>
      <c r="C4515" s="71">
        <v>45944</v>
      </c>
      <c r="D4515" s="41" t="str">
        <f>VLOOKUP(B4515,辅助信息!E:K,7,FALSE)</f>
        <v>JWDDCD2025102100486</v>
      </c>
      <c r="E4515" s="41" t="str">
        <f>VLOOKUP(F4515,辅助信息!A:B,2,FALSE)</f>
        <v>螺纹钢</v>
      </c>
      <c r="F4515" s="41" t="s">
        <v>21</v>
      </c>
      <c r="G4515" s="37">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1" t="str">
        <f>VLOOKUP(B4515,辅助信息!E:I,3,FALSE)</f>
        <v>(五冶建设龙泉驿一医院配套建设工程)成都市龙泉驿区董朗路69号龙泉驿一医院5号门</v>
      </c>
      <c r="J4515" s="41" t="str">
        <f>VLOOKUP(B4515,辅助信息!E:I,4,FALSE)</f>
        <v>孙敏</v>
      </c>
      <c r="K4515" s="41">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30" t="str">
        <f>VLOOKUP(B4515,辅助信息!E:M,9,FALSE)</f>
        <v>ZTWM-CDGS-XS-2025-0073-五冶天府-成都怡心湖片区及龙泉驿医院等项目</v>
      </c>
      <c r="R4515" s="30" t="str">
        <f>_xlfn._xlws.FILTER(辅助信息!D:D,辅助信息!E:E=B4515)</f>
        <v>五冶建设龙泉驿一医院配套建设工程</v>
      </c>
    </row>
    <row r="4516" hidden="1" spans="2:18">
      <c r="B4516" s="136" t="s">
        <v>215</v>
      </c>
      <c r="C4516" s="71">
        <v>45944</v>
      </c>
      <c r="D4516" s="41" t="str">
        <f>VLOOKUP(B4516,辅助信息!E:K,7,FALSE)</f>
        <v>JWDDCD2025102100486</v>
      </c>
      <c r="E4516" s="41" t="str">
        <f>VLOOKUP(F4516,辅助信息!A:B,2,FALSE)</f>
        <v>螺纹钢</v>
      </c>
      <c r="F4516" s="41" t="s">
        <v>58</v>
      </c>
      <c r="G4516" s="37">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1" t="str">
        <f>VLOOKUP(B4516,辅助信息!E:I,3,FALSE)</f>
        <v>(五冶建设龙泉驿一医院配套建设工程)成都市龙泉驿区董朗路69号龙泉驿一医院5号门</v>
      </c>
      <c r="J4516" s="41" t="str">
        <f>VLOOKUP(B4516,辅助信息!E:I,4,FALSE)</f>
        <v>孙敏</v>
      </c>
      <c r="K4516" s="41">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30" t="str">
        <f>VLOOKUP(B4516,辅助信息!E:M,9,FALSE)</f>
        <v>ZTWM-CDGS-XS-2025-0073-五冶天府-成都怡心湖片区及龙泉驿医院等项目</v>
      </c>
      <c r="R4516" s="30" t="str">
        <f>_xlfn._xlws.FILTER(辅助信息!D:D,辅助信息!E:E=B4516)</f>
        <v>五冶建设龙泉驿一医院配套建设工程</v>
      </c>
    </row>
    <row r="4517" hidden="1" spans="2:18">
      <c r="B4517" s="136" t="s">
        <v>215</v>
      </c>
      <c r="C4517" s="71">
        <v>45944</v>
      </c>
      <c r="D4517" s="41" t="str">
        <f>VLOOKUP(B4517,辅助信息!E:K,7,FALSE)</f>
        <v>JWDDCD2025102100486</v>
      </c>
      <c r="E4517" s="41" t="str">
        <f>VLOOKUP(F4517,辅助信息!A:B,2,FALSE)</f>
        <v>螺纹钢</v>
      </c>
      <c r="F4517" s="41" t="s">
        <v>46</v>
      </c>
      <c r="G4517" s="37">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1" t="str">
        <f>VLOOKUP(B4517,辅助信息!E:I,3,FALSE)</f>
        <v>(五冶建设龙泉驿一医院配套建设工程)成都市龙泉驿区董朗路69号龙泉驿一医院5号门</v>
      </c>
      <c r="J4517" s="41" t="str">
        <f>VLOOKUP(B4517,辅助信息!E:I,4,FALSE)</f>
        <v>孙敏</v>
      </c>
      <c r="K4517" s="41">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30" t="str">
        <f>VLOOKUP(B4517,辅助信息!E:M,9,FALSE)</f>
        <v>ZTWM-CDGS-XS-2025-0073-五冶天府-成都怡心湖片区及龙泉驿医院等项目</v>
      </c>
      <c r="R4517" s="30" t="str">
        <f>_xlfn._xlws.FILTER(辅助信息!D:D,辅助信息!E:E=B4517)</f>
        <v>五冶建设龙泉驿一医院配套建设工程</v>
      </c>
    </row>
    <row r="4518" hidden="1" spans="2:18">
      <c r="B4518" s="136" t="s">
        <v>215</v>
      </c>
      <c r="C4518" s="71">
        <v>45944</v>
      </c>
      <c r="D4518" s="41" t="str">
        <f>VLOOKUP(B4518,辅助信息!E:K,7,FALSE)</f>
        <v>JWDDCD2025102100486</v>
      </c>
      <c r="E4518" s="41" t="str">
        <f>VLOOKUP(F4518,辅助信息!A:B,2,FALSE)</f>
        <v>螺纹钢</v>
      </c>
      <c r="F4518" s="41" t="s">
        <v>22</v>
      </c>
      <c r="G4518" s="37">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1" t="str">
        <f>VLOOKUP(B4518,辅助信息!E:I,3,FALSE)</f>
        <v>(五冶建设龙泉驿一医院配套建设工程)成都市龙泉驿区董朗路69号龙泉驿一医院5号门</v>
      </c>
      <c r="J4518" s="41" t="str">
        <f>VLOOKUP(B4518,辅助信息!E:I,4,FALSE)</f>
        <v>孙敏</v>
      </c>
      <c r="K4518" s="41">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30" t="str">
        <f>VLOOKUP(B4518,辅助信息!E:M,9,FALSE)</f>
        <v>ZTWM-CDGS-XS-2025-0073-五冶天府-成都怡心湖片区及龙泉驿医院等项目</v>
      </c>
      <c r="R4518" s="30" t="str">
        <f>_xlfn._xlws.FILTER(辅助信息!D:D,辅助信息!E:E=B4518)</f>
        <v>五冶建设龙泉驿一医院配套建设工程</v>
      </c>
    </row>
    <row r="4519" hidden="1" spans="2:18">
      <c r="B4519" s="136" t="s">
        <v>215</v>
      </c>
      <c r="C4519" s="71">
        <v>45944</v>
      </c>
      <c r="D4519" s="41" t="str">
        <f>VLOOKUP(B4519,辅助信息!E:K,7,FALSE)</f>
        <v>JWDDCD2025102100486</v>
      </c>
      <c r="E4519" s="41" t="str">
        <f>VLOOKUP(F4519,辅助信息!A:B,2,FALSE)</f>
        <v>螺纹钢</v>
      </c>
      <c r="F4519" s="41" t="s">
        <v>181</v>
      </c>
      <c r="G4519" s="37">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1" t="str">
        <f>VLOOKUP(B4519,辅助信息!E:I,3,FALSE)</f>
        <v>(五冶建设龙泉驿一医院配套建设工程)成都市龙泉驿区董朗路69号龙泉驿一医院5号门</v>
      </c>
      <c r="J4519" s="41" t="str">
        <f>VLOOKUP(B4519,辅助信息!E:I,4,FALSE)</f>
        <v>孙敏</v>
      </c>
      <c r="K4519" s="41">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30" t="str">
        <f>VLOOKUP(B4519,辅助信息!E:M,9,FALSE)</f>
        <v>ZTWM-CDGS-XS-2025-0073-五冶天府-成都怡心湖片区及龙泉驿医院等项目</v>
      </c>
      <c r="R4519" s="30" t="str">
        <f>_xlfn._xlws.FILTER(辅助信息!D:D,辅助信息!E:E=B4519)</f>
        <v>五冶建设龙泉驿一医院配套建设工程</v>
      </c>
    </row>
    <row r="4520" hidden="1" spans="2:18">
      <c r="B4520" s="136" t="s">
        <v>215</v>
      </c>
      <c r="C4520" s="71">
        <v>45944</v>
      </c>
      <c r="D4520" s="41" t="str">
        <f>VLOOKUP(B4520,辅助信息!E:K,7,FALSE)</f>
        <v>JWDDCD2025102100486</v>
      </c>
      <c r="E4520" s="41" t="str">
        <f>VLOOKUP(F4520,辅助信息!A:B,2,FALSE)</f>
        <v>盘螺</v>
      </c>
      <c r="F4520" s="41" t="s">
        <v>41</v>
      </c>
      <c r="G4520" s="37">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1" t="str">
        <f>VLOOKUP(B4520,辅助信息!E:I,3,FALSE)</f>
        <v>(五冶建设龙泉驿一医院配套建设工程)成都市龙泉驿区董朗路69号龙泉驿一医院5号门</v>
      </c>
      <c r="J4520" s="41" t="str">
        <f>VLOOKUP(B4520,辅助信息!E:I,4,FALSE)</f>
        <v>孙敏</v>
      </c>
      <c r="K4520" s="41">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30" t="str">
        <f>VLOOKUP(B4520,辅助信息!E:M,9,FALSE)</f>
        <v>ZTWM-CDGS-XS-2025-0073-五冶天府-成都怡心湖片区及龙泉驿医院等项目</v>
      </c>
      <c r="R4520" s="30" t="str">
        <f>_xlfn._xlws.FILTER(辅助信息!D:D,辅助信息!E:E=B4520)</f>
        <v>五冶建设龙泉驿一医院配套建设工程</v>
      </c>
    </row>
    <row r="4521" hidden="1" spans="2:18">
      <c r="B4521" s="136" t="s">
        <v>215</v>
      </c>
      <c r="C4521" s="71">
        <v>45944</v>
      </c>
      <c r="D4521" s="41" t="str">
        <f>VLOOKUP(B4521,辅助信息!E:K,7,FALSE)</f>
        <v>JWDDCD2025102100486</v>
      </c>
      <c r="E4521" s="41" t="str">
        <f>VLOOKUP(F4521,辅助信息!A:B,2,FALSE)</f>
        <v>盘螺</v>
      </c>
      <c r="F4521" s="41" t="s">
        <v>26</v>
      </c>
      <c r="G4521" s="37">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1" t="str">
        <f>VLOOKUP(B4521,辅助信息!E:I,3,FALSE)</f>
        <v>(五冶建设龙泉驿一医院配套建设工程)成都市龙泉驿区董朗路69号龙泉驿一医院5号门</v>
      </c>
      <c r="J4521" s="41" t="str">
        <f>VLOOKUP(B4521,辅助信息!E:I,4,FALSE)</f>
        <v>孙敏</v>
      </c>
      <c r="K4521" s="41">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30" t="str">
        <f>VLOOKUP(B4521,辅助信息!E:M,9,FALSE)</f>
        <v>ZTWM-CDGS-XS-2025-0073-五冶天府-成都怡心湖片区及龙泉驿医院等项目</v>
      </c>
      <c r="R4521" s="30" t="str">
        <f>_xlfn._xlws.FILTER(辅助信息!D:D,辅助信息!E:E=B4521)</f>
        <v>五冶建设龙泉驿一医院配套建设工程</v>
      </c>
    </row>
    <row r="4522" hidden="1" spans="2:18">
      <c r="B4522" s="136" t="s">
        <v>215</v>
      </c>
      <c r="C4522" s="71">
        <v>45944</v>
      </c>
      <c r="D4522" s="41" t="str">
        <f>VLOOKUP(B4522,辅助信息!E:K,7,FALSE)</f>
        <v>JWDDCD2025102100486</v>
      </c>
      <c r="E4522" s="41" t="str">
        <f>VLOOKUP(F4522,辅助信息!A:B,2,FALSE)</f>
        <v>盘螺</v>
      </c>
      <c r="F4522" s="41" t="s">
        <v>40</v>
      </c>
      <c r="G4522" s="37">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1" t="str">
        <f>VLOOKUP(B4522,辅助信息!E:I,3,FALSE)</f>
        <v>(五冶建设龙泉驿一医院配套建设工程)成都市龙泉驿区董朗路69号龙泉驿一医院5号门</v>
      </c>
      <c r="J4522" s="41" t="str">
        <f>VLOOKUP(B4522,辅助信息!E:I,4,FALSE)</f>
        <v>孙敏</v>
      </c>
      <c r="K4522" s="41">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30" t="str">
        <f>VLOOKUP(B4522,辅助信息!E:M,9,FALSE)</f>
        <v>ZTWM-CDGS-XS-2025-0073-五冶天府-成都怡心湖片区及龙泉驿医院等项目</v>
      </c>
      <c r="R4522" s="30" t="str">
        <f>_xlfn._xlws.FILTER(辅助信息!D:D,辅助信息!E:E=B4522)</f>
        <v>五冶建设龙泉驿一医院配套建设工程</v>
      </c>
    </row>
    <row r="4523" hidden="1" spans="2:18">
      <c r="B4523" s="136" t="s">
        <v>196</v>
      </c>
      <c r="C4523" s="71">
        <v>45944</v>
      </c>
      <c r="D4523" s="41" t="str">
        <f>VLOOKUP(B4523,辅助信息!E:K,7,FALSE)</f>
        <v>JWDDCD2025102100476</v>
      </c>
      <c r="E4523" s="41" t="str">
        <f>VLOOKUP(F4523,辅助信息!A:B,2,FALSE)</f>
        <v>螺纹钢</v>
      </c>
      <c r="F4523" s="41" t="s">
        <v>182</v>
      </c>
      <c r="G4523" s="37">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1" t="str">
        <f>VLOOKUP(B4523,辅助信息!E:I,3,FALSE)</f>
        <v>(五冶建设师大附中外语校新建教学楼工程)四川省成都市成华区大观堰2号(四川师范大学附属中学外国语学校)</v>
      </c>
      <c r="J4523" s="41" t="str">
        <f>VLOOKUP(B4523,辅助信息!E:I,4,FALSE)</f>
        <v>蔡浩</v>
      </c>
      <c r="K4523" s="41">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30" t="str">
        <f>VLOOKUP(B4523,辅助信息!E:M,9,FALSE)</f>
        <v>ZTWM-CDGS-XS-2025-0073-五冶天府-成都怡心湖片区及龙泉驿医院等项目</v>
      </c>
      <c r="R4523" s="30" t="str">
        <f>_xlfn._xlws.FILTER(辅助信息!D:D,辅助信息!E:E=B4523)</f>
        <v>五冶建设师大附中外语校新建教学楼工程</v>
      </c>
    </row>
    <row r="4524" hidden="1" spans="2:18">
      <c r="B4524" s="136" t="s">
        <v>196</v>
      </c>
      <c r="C4524" s="71">
        <v>45944</v>
      </c>
      <c r="D4524" s="41" t="str">
        <f>VLOOKUP(B4524,辅助信息!E:K,7,FALSE)</f>
        <v>JWDDCD2025102100476</v>
      </c>
      <c r="E4524" s="41" t="str">
        <f>VLOOKUP(F4524,辅助信息!A:B,2,FALSE)</f>
        <v>盘螺</v>
      </c>
      <c r="F4524" s="41" t="s">
        <v>41</v>
      </c>
      <c r="G4524" s="37">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1" t="str">
        <f>VLOOKUP(B4524,辅助信息!E:I,3,FALSE)</f>
        <v>(五冶建设师大附中外语校新建教学楼工程)四川省成都市成华区大观堰2号(四川师范大学附属中学外国语学校)</v>
      </c>
      <c r="J4524" s="41" t="str">
        <f>VLOOKUP(B4524,辅助信息!E:I,4,FALSE)</f>
        <v>蔡浩</v>
      </c>
      <c r="K4524" s="41">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30" t="str">
        <f>VLOOKUP(B4524,辅助信息!E:M,9,FALSE)</f>
        <v>ZTWM-CDGS-XS-2025-0073-五冶天府-成都怡心湖片区及龙泉驿医院等项目</v>
      </c>
      <c r="R4524" s="30" t="str">
        <f>_xlfn._xlws.FILTER(辅助信息!D:D,辅助信息!E:E=B4524)</f>
        <v>五冶建设师大附中外语校新建教学楼工程</v>
      </c>
    </row>
    <row r="4525" hidden="1" spans="2:18">
      <c r="B4525" s="136" t="s">
        <v>196</v>
      </c>
      <c r="C4525" s="71">
        <v>45944</v>
      </c>
      <c r="D4525" s="41" t="str">
        <f>VLOOKUP(B4525,辅助信息!E:K,7,FALSE)</f>
        <v>JWDDCD2025102100476</v>
      </c>
      <c r="E4525" s="41" t="str">
        <f>VLOOKUP(F4525,辅助信息!A:B,2,FALSE)</f>
        <v>盘螺</v>
      </c>
      <c r="F4525" s="41" t="s">
        <v>40</v>
      </c>
      <c r="G4525" s="37">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1" t="str">
        <f>VLOOKUP(B4525,辅助信息!E:I,3,FALSE)</f>
        <v>(五冶建设师大附中外语校新建教学楼工程)四川省成都市成华区大观堰2号(四川师范大学附属中学外国语学校)</v>
      </c>
      <c r="J4525" s="41" t="str">
        <f>VLOOKUP(B4525,辅助信息!E:I,4,FALSE)</f>
        <v>蔡浩</v>
      </c>
      <c r="K4525" s="41">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30" t="str">
        <f>VLOOKUP(B4525,辅助信息!E:M,9,FALSE)</f>
        <v>ZTWM-CDGS-XS-2025-0073-五冶天府-成都怡心湖片区及龙泉驿医院等项目</v>
      </c>
      <c r="R4525" s="30" t="str">
        <f>_xlfn._xlws.FILTER(辅助信息!D:D,辅助信息!E:E=B4525)</f>
        <v>五冶建设师大附中外语校新建教学楼工程</v>
      </c>
    </row>
    <row r="4526" hidden="1" spans="2:18">
      <c r="B4526" s="136" t="s">
        <v>194</v>
      </c>
      <c r="C4526" s="71">
        <v>45944</v>
      </c>
      <c r="D4526" s="41" t="str">
        <f>VLOOKUP(B4526,辅助信息!E:K,7,FALSE)</f>
        <v>JWDD2025071500089</v>
      </c>
      <c r="E4526" s="41" t="str">
        <f>VLOOKUP(F4526,辅助信息!A:B,2,FALSE)</f>
        <v>螺纹钢</v>
      </c>
      <c r="F4526" s="41" t="s">
        <v>28</v>
      </c>
      <c r="G4526" s="37">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1" t="str">
        <f>VLOOKUP(B4526,辅助信息!E:I,3,FALSE)</f>
        <v>(宜宾兴港三江新区长江工业园保障性租赁住房建设项目-土建)四川省宜宾市翠屏区永善路南段宜宾市三江新区长江工业园区</v>
      </c>
      <c r="J4526" s="41" t="str">
        <f>VLOOKUP(B4526,辅助信息!E:I,4,FALSE)</f>
        <v>赵元虎</v>
      </c>
      <c r="K4526" s="41">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30" t="str">
        <f>VLOOKUP(B4526,辅助信息!E:M,9,FALSE)</f>
        <v>ZTWM-CDYXGS-XS-2025-0014-宜宾兴港建材-三江新区长江工业园片区保障性租赁住房建设项目</v>
      </c>
      <c r="R4526" s="30" t="str">
        <f>_xlfn._xlws.FILTER(辅助信息!D:D,辅助信息!E:E=B4526)</f>
        <v>宜宾兴港三江新区长江工业园建设项目</v>
      </c>
    </row>
    <row r="4527" hidden="1" spans="2:18">
      <c r="B4527" s="136" t="s">
        <v>194</v>
      </c>
      <c r="C4527" s="71">
        <v>45944</v>
      </c>
      <c r="D4527" s="41" t="str">
        <f>VLOOKUP(B4527,辅助信息!E:K,7,FALSE)</f>
        <v>JWDD2025071500089</v>
      </c>
      <c r="E4527" s="41" t="str">
        <f>VLOOKUP(F4527,辅助信息!A:B,2,FALSE)</f>
        <v>盘螺</v>
      </c>
      <c r="F4527" s="41" t="s">
        <v>49</v>
      </c>
      <c r="G4527" s="37">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1" t="str">
        <f>VLOOKUP(B4527,辅助信息!E:I,3,FALSE)</f>
        <v>(宜宾兴港三江新区长江工业园保障性租赁住房建设项目-土建)四川省宜宾市翠屏区永善路南段宜宾市三江新区长江工业园区</v>
      </c>
      <c r="J4527" s="41" t="str">
        <f>VLOOKUP(B4527,辅助信息!E:I,4,FALSE)</f>
        <v>赵元虎</v>
      </c>
      <c r="K4527" s="41">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30" t="str">
        <f>VLOOKUP(B4527,辅助信息!E:M,9,FALSE)</f>
        <v>ZTWM-CDYXGS-XS-2025-0014-宜宾兴港建材-三江新区长江工业园片区保障性租赁住房建设项目</v>
      </c>
      <c r="R4527" s="30" t="str">
        <f>_xlfn._xlws.FILTER(辅助信息!D:D,辅助信息!E:E=B4527)</f>
        <v>宜宾兴港三江新区长江工业园建设项目</v>
      </c>
    </row>
    <row r="4528" hidden="1" spans="2:18">
      <c r="B4528" s="136" t="s">
        <v>194</v>
      </c>
      <c r="C4528" s="71">
        <v>45944</v>
      </c>
      <c r="D4528" s="41" t="str">
        <f>VLOOKUP(B4528,辅助信息!E:K,7,FALSE)</f>
        <v>JWDD2025071500089</v>
      </c>
      <c r="E4528" s="41" t="str">
        <f>VLOOKUP(F4528,辅助信息!A:B,2,FALSE)</f>
        <v>盘螺</v>
      </c>
      <c r="F4528" s="41" t="s">
        <v>40</v>
      </c>
      <c r="G4528" s="37">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1" t="str">
        <f>VLOOKUP(B4528,辅助信息!E:I,3,FALSE)</f>
        <v>(宜宾兴港三江新区长江工业园保障性租赁住房建设项目-土建)四川省宜宾市翠屏区永善路南段宜宾市三江新区长江工业园区</v>
      </c>
      <c r="J4528" s="41" t="str">
        <f>VLOOKUP(B4528,辅助信息!E:I,4,FALSE)</f>
        <v>赵元虎</v>
      </c>
      <c r="K4528" s="41">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30" t="str">
        <f>VLOOKUP(B4528,辅助信息!E:M,9,FALSE)</f>
        <v>ZTWM-CDYXGS-XS-2025-0014-宜宾兴港建材-三江新区长江工业园片区保障性租赁住房建设项目</v>
      </c>
      <c r="R4528" s="30" t="str">
        <f>_xlfn._xlws.FILTER(辅助信息!D:D,辅助信息!E:E=B4528)</f>
        <v>宜宾兴港三江新区长江工业园建设项目</v>
      </c>
    </row>
    <row r="4529" hidden="1" spans="2:18">
      <c r="B4529" s="136" t="s">
        <v>92</v>
      </c>
      <c r="C4529" s="71">
        <v>45944</v>
      </c>
      <c r="D4529" s="41" t="str">
        <f>VLOOKUP(B4529,辅助信息!E:K,7,FALSE)</f>
        <v>JWDDCD2025051800046</v>
      </c>
      <c r="E4529" s="41" t="str">
        <f>VLOOKUP(F4529,辅助信息!A:B,2,FALSE)</f>
        <v>盘螺</v>
      </c>
      <c r="F4529" s="41" t="s">
        <v>41</v>
      </c>
      <c r="G4529" s="37">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1" t="str">
        <f>VLOOKUP(B4529,辅助信息!E:I,3,FALSE)</f>
        <v>（华西萌海科创农业生态谷）成都市简阳市白金山水库</v>
      </c>
      <c r="J4529" s="41" t="str">
        <f>VLOOKUP(B4529,辅助信息!E:I,4,FALSE)</f>
        <v>石清国</v>
      </c>
      <c r="K4529" s="41">
        <f>VLOOKUP(J4529,辅助信息!H:I,2,FALSE)</f>
        <v>13458642015</v>
      </c>
      <c r="L4529" s="110" t="str">
        <f>VLOOKUP(B4529,辅助信息!E:J,6,FALSE)</f>
        <v>优先威钢,我方卸车,新老国标钢厂不加价可直发</v>
      </c>
      <c r="O4529" s="63" t="str">
        <f ca="1" t="shared" si="224"/>
        <v/>
      </c>
      <c r="P4529" s="63" t="str">
        <f ca="1" t="shared" si="225"/>
        <v/>
      </c>
      <c r="Q4529" s="30" t="str">
        <f>VLOOKUP(B4529,辅助信息!E:M,9,FALSE)</f>
        <v>ZTWM-CDGS-XS-2024-0092-华西-萌海科创农业生态谷</v>
      </c>
      <c r="R4529" s="30"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30" t="str">
        <f>VLOOKUP(B4530,辅助信息!E:M,9,FALSE)</f>
        <v>ZTWM-CDGS-XS-2025-0125-四川机司-乐山市校地共建产教融合基地配套设施项目施工一标段钢筋采购合同</v>
      </c>
      <c r="R4530" s="30"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30" t="str">
        <f>VLOOKUP(B4531,辅助信息!E:M,9,FALSE)</f>
        <v>ZTWM-CDGS-XS-2025-0125-四川机司-乐山市校地共建产教融合基地配套设施项目施工一标段钢筋采购合同</v>
      </c>
      <c r="R4531" s="30"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30" t="str">
        <f>VLOOKUP(B4532,辅助信息!E:M,9,FALSE)</f>
        <v>ZTWM-CDGS-XS-2025-0125-四川机司-乐山市校地共建产教融合基地配套设施项目施工一标段钢筋采购合同</v>
      </c>
      <c r="R4532" s="30"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30" t="str">
        <f>VLOOKUP(B4533,辅助信息!E:M,9,FALSE)</f>
        <v>ZTWM-CDGS-XS-2025-0125-四川机司-乐山市校地共建产教融合基地配套设施项目施工一标段钢筋采购合同</v>
      </c>
      <c r="R4533" s="30"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30" t="str">
        <f>VLOOKUP(B4534,辅助信息!E:M,9,FALSE)</f>
        <v>ZTWM-CDGS-XS-2025-0125-四川机司-乐山市校地共建产教融合基地配套设施项目施工一标段钢筋采购合同</v>
      </c>
      <c r="R4534" s="30"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30" t="str">
        <f>VLOOKUP(B4535,辅助信息!E:M,9,FALSE)</f>
        <v>ZTWM-CDGS-XS-2024-0134-商投建工达州中医药科技成果示范园项目</v>
      </c>
      <c r="R4535" s="30"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30" t="str">
        <f>VLOOKUP(B4536,辅助信息!E:M,9,FALSE)</f>
        <v>ZTWM-CDGS-XS-2024-0134-商投建工达州中医药科技成果示范园项目</v>
      </c>
      <c r="R4536" s="30"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30" t="str">
        <f>VLOOKUP(B4537,辅助信息!E:M,9,FALSE)</f>
        <v>ZTWM-CDGS-XS-2024-0134-商投建工达州中医药科技成果示范园项目</v>
      </c>
      <c r="R4537" s="30"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30" t="str">
        <f>VLOOKUP(B4538,辅助信息!E:M,9,FALSE)</f>
        <v>ZTWM-CDGS-XS-2024-0134-商投建工达州中医药科技成果示范园项目</v>
      </c>
      <c r="R4538" s="30"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30" t="str">
        <f>VLOOKUP(B4539,辅助信息!E:M,9,FALSE)</f>
        <v>ZTWM-CDGS-XS-2024-0134-商投建工达州中医药科技成果示范园项目</v>
      </c>
      <c r="R4539" s="30"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30" t="str">
        <f>VLOOKUP(B4540,辅助信息!E:M,9,FALSE)</f>
        <v>ZTWM-CDGS-XS-2024-0134-商投建工达州中医药科技成果示范园项目</v>
      </c>
      <c r="R4540" s="30"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30" t="str">
        <f>VLOOKUP(B4541,辅助信息!E:M,9,FALSE)</f>
        <v>ZTWM-CDGS-XS-2024-0134-商投建工达州中医药科技成果示范园项目</v>
      </c>
      <c r="R4541" s="30"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30" t="str">
        <f>VLOOKUP(B4542,辅助信息!E:M,9,FALSE)</f>
        <v>ZTWM-CDGS-XS-2024-0134-商投建工达州中医药科技成果示范园项目</v>
      </c>
      <c r="R4542" s="30"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30" t="str">
        <f>VLOOKUP(B4543,辅助信息!E:M,9,FALSE)</f>
        <v>ZTWM-CDGS-XS-2024-0134-商投建工达州中医药科技成果示范园项目</v>
      </c>
      <c r="R4543" s="30"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30" t="str">
        <f>VLOOKUP(B4544,辅助信息!E:M,9,FALSE)</f>
        <v>ZTWM-CDGS-XS-2024-0134-商投建工达州中医药科技成果示范园项目</v>
      </c>
      <c r="R4544" s="30"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30" t="str">
        <f>VLOOKUP(B4545,辅助信息!E:M,9,FALSE)</f>
        <v>ZTWM-CDGS-XS-2024-0134-商投建工达州中医药科技成果示范园项目</v>
      </c>
      <c r="R4545" s="30"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30" t="str">
        <f>VLOOKUP(B4546,辅助信息!E:M,9,FALSE)</f>
        <v>ZTWM-CDGS-XS-2024-0134-商投建工达州中医药科技成果示范园项目</v>
      </c>
      <c r="R4546" s="30"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30" t="str">
        <f>VLOOKUP(B4547,辅助信息!E:M,9,FALSE)</f>
        <v>ZTWM-CDGS-XS-2024-0134-商投建工达州中医药科技成果示范园项目</v>
      </c>
      <c r="R4547" s="30"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30" t="str">
        <f>VLOOKUP(B4548,辅助信息!E:M,9,FALSE)</f>
        <v>ZTWM-CDGS-XS-2024-0134-商投建工达州中医药科技成果示范园项目</v>
      </c>
      <c r="R4548" s="30"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30" t="str">
        <f>VLOOKUP(B4549,辅助信息!E:M,9,FALSE)</f>
        <v>ZTWM-CDGS-XS-2024-0134-商投建工达州中医药科技成果示范园项目</v>
      </c>
      <c r="R4549" s="30"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30" t="str">
        <f>VLOOKUP(B4550,辅助信息!E:M,9,FALSE)</f>
        <v>ZTWM-CDYXGS-XS-2025-0014-宜宾兴港建材-三江新区长江工业园片区保障性租赁住房建设项目</v>
      </c>
      <c r="R4550" s="30"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30" t="str">
        <f>VLOOKUP(B4551,辅助信息!E:M,9,FALSE)</f>
        <v>ZTWM-CDYXGS-XS-2025-0014-宜宾兴港建材-三江新区长江工业园片区保障性租赁住房建设项目</v>
      </c>
      <c r="R4551" s="30"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30" t="str">
        <f>VLOOKUP(B4552,辅助信息!E:M,9,FALSE)</f>
        <v>ZTWM-CDYXGS-XS-2025-0014-宜宾兴港建材-三江新区长江工业园片区保障性租赁住房建设项目</v>
      </c>
      <c r="R4552" s="30" t="str">
        <f>_xlfn._xlws.FILTER(辅助信息!D:D,辅助信息!E:E=B4552)</f>
        <v>宜宾兴港三江新区长江工业园建设项目</v>
      </c>
    </row>
    <row r="4553" hidden="1" spans="2:18">
      <c r="B4553" s="136" t="s">
        <v>231</v>
      </c>
      <c r="C4553" s="144">
        <v>45945</v>
      </c>
      <c r="D4553" s="41" t="str">
        <f>VLOOKUP(B4553,辅助信息!E:K,7,FALSE)</f>
        <v>JWDDCD2025102100481</v>
      </c>
      <c r="E4553" s="41" t="str">
        <f>VLOOKUP(F4553,辅助信息!A:B,2,FALSE)</f>
        <v>盘螺</v>
      </c>
      <c r="F4553" s="41" t="s">
        <v>40</v>
      </c>
      <c r="G4553" s="37">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1" t="str">
        <f>VLOOKUP(B4553,辅助信息!E:I,3,FALSE)</f>
        <v>(五冶建设成都盐道街中学初中部改扩建工程-一标)四川省成都市锦江区春熙路街道盐道街4号（盐道街中学初中部）</v>
      </c>
      <c r="J4553" s="41" t="str">
        <f>VLOOKUP(B4553,辅助信息!E:I,4,FALSE)</f>
        <v>谢鑫</v>
      </c>
      <c r="K4553" s="41">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30" t="str">
        <f>VLOOKUP(B4553,辅助信息!E:M,9,FALSE)</f>
        <v>ZTWM-CDGS-XS-2025-0073-五冶天府-成都怡心湖片区及龙泉驿医院等项目</v>
      </c>
      <c r="R4553" s="30" t="str">
        <f>_xlfn._xlws.FILTER(辅助信息!D:D,辅助信息!E:E=B4553)</f>
        <v>五冶建设成都盐道街中学初中部改扩建工程</v>
      </c>
    </row>
    <row r="4554" hidden="1" spans="2:18">
      <c r="B4554" s="136" t="s">
        <v>231</v>
      </c>
      <c r="C4554" s="144">
        <v>45945</v>
      </c>
      <c r="D4554" s="41" t="str">
        <f>VLOOKUP(B4554,辅助信息!E:K,7,FALSE)</f>
        <v>JWDDCD2025102100481</v>
      </c>
      <c r="E4554" s="41" t="str">
        <f>VLOOKUP(F4554,辅助信息!A:B,2,FALSE)</f>
        <v>盘螺</v>
      </c>
      <c r="F4554" s="41" t="s">
        <v>41</v>
      </c>
      <c r="G4554" s="37">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1" t="str">
        <f>VLOOKUP(B4554,辅助信息!E:I,3,FALSE)</f>
        <v>(五冶建设成都盐道街中学初中部改扩建工程-一标)四川省成都市锦江区春熙路街道盐道街4号（盐道街中学初中部）</v>
      </c>
      <c r="J4554" s="41" t="str">
        <f>VLOOKUP(B4554,辅助信息!E:I,4,FALSE)</f>
        <v>谢鑫</v>
      </c>
      <c r="K4554" s="41">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30" t="str">
        <f>VLOOKUP(B4554,辅助信息!E:M,9,FALSE)</f>
        <v>ZTWM-CDGS-XS-2025-0073-五冶天府-成都怡心湖片区及龙泉驿医院等项目</v>
      </c>
      <c r="R4554" s="30" t="str">
        <f>_xlfn._xlws.FILTER(辅助信息!D:D,辅助信息!E:E=B4554)</f>
        <v>五冶建设成都盐道街中学初中部改扩建工程</v>
      </c>
    </row>
    <row r="4555" hidden="1" spans="2:18">
      <c r="B4555" s="136" t="s">
        <v>231</v>
      </c>
      <c r="C4555" s="144">
        <v>45945</v>
      </c>
      <c r="D4555" s="41" t="str">
        <f>VLOOKUP(B4555,辅助信息!E:K,7,FALSE)</f>
        <v>JWDDCD2025102100481</v>
      </c>
      <c r="E4555" s="41" t="str">
        <f>VLOOKUP(F4555,辅助信息!A:B,2,FALSE)</f>
        <v>盘螺</v>
      </c>
      <c r="F4555" s="41" t="s">
        <v>26</v>
      </c>
      <c r="G4555" s="37">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1" t="str">
        <f>VLOOKUP(B4555,辅助信息!E:I,3,FALSE)</f>
        <v>(五冶建设成都盐道街中学初中部改扩建工程-一标)四川省成都市锦江区春熙路街道盐道街4号（盐道街中学初中部）</v>
      </c>
      <c r="J4555" s="41" t="str">
        <f>VLOOKUP(B4555,辅助信息!E:I,4,FALSE)</f>
        <v>谢鑫</v>
      </c>
      <c r="K4555" s="41">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30" t="str">
        <f>VLOOKUP(B4555,辅助信息!E:M,9,FALSE)</f>
        <v>ZTWM-CDGS-XS-2025-0073-五冶天府-成都怡心湖片区及龙泉驿医院等项目</v>
      </c>
      <c r="R4555" s="30" t="str">
        <f>_xlfn._xlws.FILTER(辅助信息!D:D,辅助信息!E:E=B4555)</f>
        <v>五冶建设成都盐道街中学初中部改扩建工程</v>
      </c>
    </row>
    <row r="4556" hidden="1" spans="2:18">
      <c r="B4556" s="136" t="s">
        <v>231</v>
      </c>
      <c r="C4556" s="144">
        <v>45945</v>
      </c>
      <c r="D4556" s="41" t="str">
        <f>VLOOKUP(B4556,辅助信息!E:K,7,FALSE)</f>
        <v>JWDDCD2025102100481</v>
      </c>
      <c r="E4556" s="41" t="str">
        <f>VLOOKUP(F4556,辅助信息!A:B,2,FALSE)</f>
        <v>螺纹钢</v>
      </c>
      <c r="F4556" s="41" t="s">
        <v>19</v>
      </c>
      <c r="G4556" s="37">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1" t="str">
        <f>VLOOKUP(B4556,辅助信息!E:I,3,FALSE)</f>
        <v>(五冶建设成都盐道街中学初中部改扩建工程-一标)四川省成都市锦江区春熙路街道盐道街4号（盐道街中学初中部）</v>
      </c>
      <c r="J4556" s="41" t="str">
        <f>VLOOKUP(B4556,辅助信息!E:I,4,FALSE)</f>
        <v>谢鑫</v>
      </c>
      <c r="K4556" s="41">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30" t="str">
        <f>VLOOKUP(B4556,辅助信息!E:M,9,FALSE)</f>
        <v>ZTWM-CDGS-XS-2025-0073-五冶天府-成都怡心湖片区及龙泉驿医院等项目</v>
      </c>
      <c r="R4556" s="30" t="str">
        <f>_xlfn._xlws.FILTER(辅助信息!D:D,辅助信息!E:E=B4556)</f>
        <v>五冶建设成都盐道街中学初中部改扩建工程</v>
      </c>
    </row>
    <row r="4557" hidden="1" spans="2:18">
      <c r="B4557" s="136" t="s">
        <v>231</v>
      </c>
      <c r="C4557" s="144">
        <v>45945</v>
      </c>
      <c r="D4557" s="41" t="str">
        <f>VLOOKUP(B4557,辅助信息!E:K,7,FALSE)</f>
        <v>JWDDCD2025102100481</v>
      </c>
      <c r="E4557" s="41" t="str">
        <f>VLOOKUP(F4557,辅助信息!A:B,2,FALSE)</f>
        <v>螺纹钢</v>
      </c>
      <c r="F4557" s="41" t="s">
        <v>30</v>
      </c>
      <c r="G4557" s="37">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1" t="str">
        <f>VLOOKUP(B4557,辅助信息!E:I,3,FALSE)</f>
        <v>(五冶建设成都盐道街中学初中部改扩建工程-一标)四川省成都市锦江区春熙路街道盐道街4号（盐道街中学初中部）</v>
      </c>
      <c r="J4557" s="41" t="str">
        <f>VLOOKUP(B4557,辅助信息!E:I,4,FALSE)</f>
        <v>谢鑫</v>
      </c>
      <c r="K4557" s="41">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30" t="str">
        <f>VLOOKUP(B4557,辅助信息!E:M,9,FALSE)</f>
        <v>ZTWM-CDGS-XS-2025-0073-五冶天府-成都怡心湖片区及龙泉驿医院等项目</v>
      </c>
      <c r="R4557" s="30" t="str">
        <f>_xlfn._xlws.FILTER(辅助信息!D:D,辅助信息!E:E=B4557)</f>
        <v>五冶建设成都盐道街中学初中部改扩建工程</v>
      </c>
    </row>
    <row r="4558" hidden="1" spans="2:18">
      <c r="B4558" s="136" t="s">
        <v>231</v>
      </c>
      <c r="C4558" s="144">
        <v>45945</v>
      </c>
      <c r="D4558" s="41" t="str">
        <f>VLOOKUP(B4558,辅助信息!E:K,7,FALSE)</f>
        <v>JWDDCD2025102100481</v>
      </c>
      <c r="E4558" s="41" t="str">
        <f>VLOOKUP(F4558,辅助信息!A:B,2,FALSE)</f>
        <v>螺纹钢</v>
      </c>
      <c r="F4558" s="41" t="s">
        <v>33</v>
      </c>
      <c r="G4558" s="37">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1" t="str">
        <f>VLOOKUP(B4558,辅助信息!E:I,3,FALSE)</f>
        <v>(五冶建设成都盐道街中学初中部改扩建工程-一标)四川省成都市锦江区春熙路街道盐道街4号（盐道街中学初中部）</v>
      </c>
      <c r="J4558" s="41" t="str">
        <f>VLOOKUP(B4558,辅助信息!E:I,4,FALSE)</f>
        <v>谢鑫</v>
      </c>
      <c r="K4558" s="41">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30" t="str">
        <f>VLOOKUP(B4558,辅助信息!E:M,9,FALSE)</f>
        <v>ZTWM-CDGS-XS-2025-0073-五冶天府-成都怡心湖片区及龙泉驿医院等项目</v>
      </c>
      <c r="R4558" s="30" t="str">
        <f>_xlfn._xlws.FILTER(辅助信息!D:D,辅助信息!E:E=B4558)</f>
        <v>五冶建设成都盐道街中学初中部改扩建工程</v>
      </c>
    </row>
    <row r="4559" hidden="1" spans="2:18">
      <c r="B4559" s="136" t="s">
        <v>231</v>
      </c>
      <c r="C4559" s="144">
        <v>45945</v>
      </c>
      <c r="D4559" s="41" t="str">
        <f>VLOOKUP(B4559,辅助信息!E:K,7,FALSE)</f>
        <v>JWDDCD2025102100481</v>
      </c>
      <c r="E4559" s="41" t="str">
        <f>VLOOKUP(F4559,辅助信息!A:B,2,FALSE)</f>
        <v>螺纹钢</v>
      </c>
      <c r="F4559" s="41" t="s">
        <v>28</v>
      </c>
      <c r="G4559" s="37">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1" t="str">
        <f>VLOOKUP(B4559,辅助信息!E:I,3,FALSE)</f>
        <v>(五冶建设成都盐道街中学初中部改扩建工程-一标)四川省成都市锦江区春熙路街道盐道街4号（盐道街中学初中部）</v>
      </c>
      <c r="J4559" s="41" t="str">
        <f>VLOOKUP(B4559,辅助信息!E:I,4,FALSE)</f>
        <v>谢鑫</v>
      </c>
      <c r="K4559" s="41">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30" t="str">
        <f>VLOOKUP(B4559,辅助信息!E:M,9,FALSE)</f>
        <v>ZTWM-CDGS-XS-2025-0073-五冶天府-成都怡心湖片区及龙泉驿医院等项目</v>
      </c>
      <c r="R4559" s="30" t="str">
        <f>_xlfn._xlws.FILTER(辅助信息!D:D,辅助信息!E:E=B4559)</f>
        <v>五冶建设成都盐道街中学初中部改扩建工程</v>
      </c>
    </row>
    <row r="4560" hidden="1" spans="2:18">
      <c r="B4560" s="136" t="s">
        <v>231</v>
      </c>
      <c r="C4560" s="144">
        <v>45945</v>
      </c>
      <c r="D4560" s="41" t="str">
        <f>VLOOKUP(B4560,辅助信息!E:K,7,FALSE)</f>
        <v>JWDDCD2025102100481</v>
      </c>
      <c r="E4560" s="41" t="str">
        <f>VLOOKUP(F4560,辅助信息!A:B,2,FALSE)</f>
        <v>螺纹钢</v>
      </c>
      <c r="F4560" s="41" t="s">
        <v>18</v>
      </c>
      <c r="G4560" s="37">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1" t="str">
        <f>VLOOKUP(B4560,辅助信息!E:I,3,FALSE)</f>
        <v>(五冶建设成都盐道街中学初中部改扩建工程-一标)四川省成都市锦江区春熙路街道盐道街4号（盐道街中学初中部）</v>
      </c>
      <c r="J4560" s="41" t="str">
        <f>VLOOKUP(B4560,辅助信息!E:I,4,FALSE)</f>
        <v>谢鑫</v>
      </c>
      <c r="K4560" s="41">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30" t="str">
        <f>VLOOKUP(B4560,辅助信息!E:M,9,FALSE)</f>
        <v>ZTWM-CDGS-XS-2025-0073-五冶天府-成都怡心湖片区及龙泉驿医院等项目</v>
      </c>
      <c r="R4560" s="30" t="str">
        <f>_xlfn._xlws.FILTER(辅助信息!D:D,辅助信息!E:E=B4560)</f>
        <v>五冶建设成都盐道街中学初中部改扩建工程</v>
      </c>
    </row>
    <row r="4561" hidden="1" spans="2:18">
      <c r="B4561" s="136" t="s">
        <v>208</v>
      </c>
      <c r="C4561" s="144">
        <v>45945</v>
      </c>
      <c r="D4561" s="41" t="str">
        <f>VLOOKUP(B4561,辅助信息!E:K,7,FALSE)</f>
        <v>JWDDCD2025102100480</v>
      </c>
      <c r="E4561" s="41" t="str">
        <f>VLOOKUP(F4561,辅助信息!A:B,2,FALSE)</f>
        <v>高线</v>
      </c>
      <c r="F4561" s="41" t="s">
        <v>53</v>
      </c>
      <c r="G4561" s="37">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1" t="str">
        <f>VLOOKUP(B4561,辅助信息!E:I,3,FALSE)</f>
        <v>(五冶建设锦江区林家坝片区20号地块商业项目)锦江区泰昌路锦江28亩项目部</v>
      </c>
      <c r="J4561" s="41" t="str">
        <f>VLOOKUP(B4561,辅助信息!E:I,4,FALSE)</f>
        <v>陶杰</v>
      </c>
      <c r="K4561" s="41">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30" t="str">
        <f>VLOOKUP(B4561,辅助信息!E:M,9,FALSE)</f>
        <v>ZTWM-CDGS-XS-2025-0073-五冶天府-成都怡心湖片区及龙泉驿医院等项目</v>
      </c>
      <c r="R4561" s="30" t="str">
        <f>_xlfn._xlws.FILTER(辅助信息!D:D,辅助信息!E:E=B4561)</f>
        <v>五冶建设锦江区林家坝片区20号地块商业项目</v>
      </c>
    </row>
    <row r="4562" hidden="1" spans="2:18">
      <c r="B4562" s="136" t="s">
        <v>208</v>
      </c>
      <c r="C4562" s="144">
        <v>45945</v>
      </c>
      <c r="D4562" s="41" t="str">
        <f>VLOOKUP(B4562,辅助信息!E:K,7,FALSE)</f>
        <v>JWDDCD2025102100480</v>
      </c>
      <c r="E4562" s="41" t="str">
        <f>VLOOKUP(F4562,辅助信息!A:B,2,FALSE)</f>
        <v>螺纹钢</v>
      </c>
      <c r="F4562" s="41" t="s">
        <v>32</v>
      </c>
      <c r="G4562" s="37">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1" t="str">
        <f>VLOOKUP(B4562,辅助信息!E:I,3,FALSE)</f>
        <v>(五冶建设锦江区林家坝片区20号地块商业项目)锦江区泰昌路锦江28亩项目部</v>
      </c>
      <c r="J4562" s="41" t="str">
        <f>VLOOKUP(B4562,辅助信息!E:I,4,FALSE)</f>
        <v>陶杰</v>
      </c>
      <c r="K4562" s="41">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30" t="str">
        <f>VLOOKUP(B4562,辅助信息!E:M,9,FALSE)</f>
        <v>ZTWM-CDGS-XS-2025-0073-五冶天府-成都怡心湖片区及龙泉驿医院等项目</v>
      </c>
      <c r="R4562" s="30" t="str">
        <f>_xlfn._xlws.FILTER(辅助信息!D:D,辅助信息!E:E=B4562)</f>
        <v>五冶建设锦江区林家坝片区20号地块商业项目</v>
      </c>
    </row>
    <row r="4563" hidden="1" spans="2:18">
      <c r="B4563" s="136" t="s">
        <v>208</v>
      </c>
      <c r="C4563" s="144">
        <v>45945</v>
      </c>
      <c r="D4563" s="41" t="str">
        <f>VLOOKUP(B4563,辅助信息!E:K,7,FALSE)</f>
        <v>JWDDCD2025102100480</v>
      </c>
      <c r="E4563" s="41" t="str">
        <f>VLOOKUP(F4563,辅助信息!A:B,2,FALSE)</f>
        <v>螺纹钢</v>
      </c>
      <c r="F4563" s="41" t="s">
        <v>30</v>
      </c>
      <c r="G4563" s="37">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1" t="str">
        <f>VLOOKUP(B4563,辅助信息!E:I,3,FALSE)</f>
        <v>(五冶建设锦江区林家坝片区20号地块商业项目)锦江区泰昌路锦江28亩项目部</v>
      </c>
      <c r="J4563" s="41" t="str">
        <f>VLOOKUP(B4563,辅助信息!E:I,4,FALSE)</f>
        <v>陶杰</v>
      </c>
      <c r="K4563" s="41">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30" t="str">
        <f>VLOOKUP(B4563,辅助信息!E:M,9,FALSE)</f>
        <v>ZTWM-CDGS-XS-2025-0073-五冶天府-成都怡心湖片区及龙泉驿医院等项目</v>
      </c>
      <c r="R4563" s="30" t="str">
        <f>_xlfn._xlws.FILTER(辅助信息!D:D,辅助信息!E:E=B4563)</f>
        <v>五冶建设锦江区林家坝片区20号地块商业项目</v>
      </c>
    </row>
    <row r="4564" hidden="1" spans="2:18">
      <c r="B4564" s="136" t="s">
        <v>208</v>
      </c>
      <c r="C4564" s="144">
        <v>45945</v>
      </c>
      <c r="D4564" s="41" t="str">
        <f>VLOOKUP(B4564,辅助信息!E:K,7,FALSE)</f>
        <v>JWDDCD2025102100480</v>
      </c>
      <c r="E4564" s="41" t="str">
        <f>VLOOKUP(F4564,辅助信息!A:B,2,FALSE)</f>
        <v>螺纹钢</v>
      </c>
      <c r="F4564" s="41" t="s">
        <v>18</v>
      </c>
      <c r="G4564" s="37">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1" t="str">
        <f>VLOOKUP(B4564,辅助信息!E:I,3,FALSE)</f>
        <v>(五冶建设锦江区林家坝片区20号地块商业项目)锦江区泰昌路锦江28亩项目部</v>
      </c>
      <c r="J4564" s="41" t="str">
        <f>VLOOKUP(B4564,辅助信息!E:I,4,FALSE)</f>
        <v>陶杰</v>
      </c>
      <c r="K4564" s="41">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30" t="str">
        <f>VLOOKUP(B4564,辅助信息!E:M,9,FALSE)</f>
        <v>ZTWM-CDGS-XS-2025-0073-五冶天府-成都怡心湖片区及龙泉驿医院等项目</v>
      </c>
      <c r="R4564" s="30" t="str">
        <f>_xlfn._xlws.FILTER(辅助信息!D:D,辅助信息!E:E=B4564)</f>
        <v>五冶建设锦江区林家坝片区20号地块商业项目</v>
      </c>
    </row>
    <row r="4565" hidden="1" spans="2:18">
      <c r="B4565" s="136" t="s">
        <v>203</v>
      </c>
      <c r="C4565" s="144">
        <v>45945</v>
      </c>
      <c r="D4565" s="41" t="str">
        <f>VLOOKUP(B4565,辅助信息!E:K,7,FALSE)</f>
        <v>JWDDCD2025102100479</v>
      </c>
      <c r="E4565" s="41" t="str">
        <f>VLOOKUP(F4565,辅助信息!A:B,2,FALSE)</f>
        <v>高线</v>
      </c>
      <c r="F4565" s="41" t="s">
        <v>57</v>
      </c>
      <c r="G4565" s="37">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1" t="str">
        <f>VLOOKUP(B4565,辅助信息!E:I,3,FALSE)</f>
        <v>(五冶建设空港兴城怡心街道83亩项目)成都市双流区怡心街道高峰社区一组剑和路一段空港兴城怡心街道83亩项目中国五冶项目部</v>
      </c>
      <c r="J4565" s="41" t="str">
        <f>VLOOKUP(B4565,辅助信息!E:I,4,FALSE)</f>
        <v>王刚</v>
      </c>
      <c r="K4565" s="41">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30" t="str">
        <f>VLOOKUP(B4565,辅助信息!E:M,9,FALSE)</f>
        <v>ZTWM-CDGS-XS-2025-0073-五冶天府-成都怡心湖片区及龙泉驿医院等项目</v>
      </c>
      <c r="R4565" s="30" t="str">
        <f>_xlfn._xlws.FILTER(辅助信息!D:D,辅助信息!E:E=B4565)</f>
        <v>五冶建设空港兴城怡心街道83亩项目</v>
      </c>
    </row>
    <row r="4566" hidden="1" spans="2:18">
      <c r="B4566" s="136" t="s">
        <v>203</v>
      </c>
      <c r="C4566" s="144">
        <v>45945</v>
      </c>
      <c r="D4566" s="41" t="str">
        <f>VLOOKUP(B4566,辅助信息!E:K,7,FALSE)</f>
        <v>JWDDCD2025102100479</v>
      </c>
      <c r="E4566" s="41" t="str">
        <f>VLOOKUP(F4566,辅助信息!A:B,2,FALSE)</f>
        <v>盘螺</v>
      </c>
      <c r="F4566" s="41" t="s">
        <v>49</v>
      </c>
      <c r="G4566" s="37">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1" t="str">
        <f>VLOOKUP(B4566,辅助信息!E:I,3,FALSE)</f>
        <v>(五冶建设空港兴城怡心街道83亩项目)成都市双流区怡心街道高峰社区一组剑和路一段空港兴城怡心街道83亩项目中国五冶项目部</v>
      </c>
      <c r="J4566" s="41" t="str">
        <f>VLOOKUP(B4566,辅助信息!E:I,4,FALSE)</f>
        <v>王刚</v>
      </c>
      <c r="K4566" s="41">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30" t="str">
        <f>VLOOKUP(B4566,辅助信息!E:M,9,FALSE)</f>
        <v>ZTWM-CDGS-XS-2025-0073-五冶天府-成都怡心湖片区及龙泉驿医院等项目</v>
      </c>
      <c r="R4566" s="30" t="str">
        <f>_xlfn._xlws.FILTER(辅助信息!D:D,辅助信息!E:E=B4566)</f>
        <v>五冶建设空港兴城怡心街道83亩项目</v>
      </c>
    </row>
    <row r="4567" hidden="1" spans="1:18">
      <c r="A4567" s="58" t="s">
        <v>241</v>
      </c>
      <c r="B4567" s="136" t="s">
        <v>203</v>
      </c>
      <c r="C4567" s="144">
        <v>45945</v>
      </c>
      <c r="D4567" s="41" t="str">
        <f>VLOOKUP(B4567,辅助信息!E:K,7,FALSE)</f>
        <v>JWDDCD2025102100479</v>
      </c>
      <c r="E4567" s="41" t="str">
        <f>VLOOKUP(F4567,辅助信息!A:B,2,FALSE)</f>
        <v>螺纹钢</v>
      </c>
      <c r="F4567" s="41" t="s">
        <v>27</v>
      </c>
      <c r="G4567" s="37">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1" t="str">
        <f>VLOOKUP(B4567,辅助信息!E:I,3,FALSE)</f>
        <v>(五冶建设空港兴城怡心街道83亩项目)成都市双流区怡心街道高峰社区一组剑和路一段空港兴城怡心街道83亩项目中国五冶项目部</v>
      </c>
      <c r="J4567" s="41" t="str">
        <f>VLOOKUP(B4567,辅助信息!E:I,4,FALSE)</f>
        <v>王刚</v>
      </c>
      <c r="K4567" s="41">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30" t="str">
        <f>VLOOKUP(B4567,辅助信息!E:M,9,FALSE)</f>
        <v>ZTWM-CDGS-XS-2025-0073-五冶天府-成都怡心湖片区及龙泉驿医院等项目</v>
      </c>
      <c r="R4567" s="30" t="str">
        <f>_xlfn._xlws.FILTER(辅助信息!D:D,辅助信息!E:E=B4567)</f>
        <v>五冶建设空港兴城怡心街道83亩项目</v>
      </c>
    </row>
    <row r="4568" hidden="1" spans="2:18">
      <c r="B4568" s="136" t="s">
        <v>203</v>
      </c>
      <c r="C4568" s="144">
        <v>45945</v>
      </c>
      <c r="D4568" s="41" t="str">
        <f>VLOOKUP(B4568,辅助信息!E:K,7,FALSE)</f>
        <v>JWDDCD2025102100479</v>
      </c>
      <c r="E4568" s="41" t="str">
        <f>VLOOKUP(F4568,辅助信息!A:B,2,FALSE)</f>
        <v>螺纹钢</v>
      </c>
      <c r="F4568" s="41" t="s">
        <v>19</v>
      </c>
      <c r="G4568" s="37">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1" t="str">
        <f>VLOOKUP(B4568,辅助信息!E:I,3,FALSE)</f>
        <v>(五冶建设空港兴城怡心街道83亩项目)成都市双流区怡心街道高峰社区一组剑和路一段空港兴城怡心街道83亩项目中国五冶项目部</v>
      </c>
      <c r="J4568" s="41" t="str">
        <f>VLOOKUP(B4568,辅助信息!E:I,4,FALSE)</f>
        <v>王刚</v>
      </c>
      <c r="K4568" s="41">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30" t="str">
        <f>VLOOKUP(B4568,辅助信息!E:M,9,FALSE)</f>
        <v>ZTWM-CDGS-XS-2025-0073-五冶天府-成都怡心湖片区及龙泉驿医院等项目</v>
      </c>
      <c r="R4568" s="30" t="str">
        <f>_xlfn._xlws.FILTER(辅助信息!D:D,辅助信息!E:E=B4568)</f>
        <v>五冶建设空港兴城怡心街道83亩项目</v>
      </c>
    </row>
    <row r="4569" hidden="1" spans="2:18">
      <c r="B4569" s="136" t="s">
        <v>203</v>
      </c>
      <c r="C4569" s="144">
        <v>45945</v>
      </c>
      <c r="D4569" s="41" t="str">
        <f>VLOOKUP(B4569,辅助信息!E:K,7,FALSE)</f>
        <v>JWDDCD2025102100479</v>
      </c>
      <c r="E4569" s="41" t="str">
        <f>VLOOKUP(F4569,辅助信息!A:B,2,FALSE)</f>
        <v>螺纹钢</v>
      </c>
      <c r="F4569" s="41" t="s">
        <v>32</v>
      </c>
      <c r="G4569" s="37">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1" t="str">
        <f>VLOOKUP(B4569,辅助信息!E:I,3,FALSE)</f>
        <v>(五冶建设空港兴城怡心街道83亩项目)成都市双流区怡心街道高峰社区一组剑和路一段空港兴城怡心街道83亩项目中国五冶项目部</v>
      </c>
      <c r="J4569" s="41" t="str">
        <f>VLOOKUP(B4569,辅助信息!E:I,4,FALSE)</f>
        <v>王刚</v>
      </c>
      <c r="K4569" s="41">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30" t="str">
        <f>VLOOKUP(B4569,辅助信息!E:M,9,FALSE)</f>
        <v>ZTWM-CDGS-XS-2025-0073-五冶天府-成都怡心湖片区及龙泉驿医院等项目</v>
      </c>
      <c r="R4569" s="30" t="str">
        <f>_xlfn._xlws.FILTER(辅助信息!D:D,辅助信息!E:E=B4569)</f>
        <v>五冶建设空港兴城怡心街道83亩项目</v>
      </c>
    </row>
    <row r="4570" hidden="1" spans="2:18">
      <c r="B4570" s="136" t="s">
        <v>203</v>
      </c>
      <c r="C4570" s="144">
        <v>45945</v>
      </c>
      <c r="D4570" s="41" t="str">
        <f>VLOOKUP(B4570,辅助信息!E:K,7,FALSE)</f>
        <v>JWDDCD2025102100479</v>
      </c>
      <c r="E4570" s="41" t="str">
        <f>VLOOKUP(F4570,辅助信息!A:B,2,FALSE)</f>
        <v>螺纹钢</v>
      </c>
      <c r="F4570" s="41" t="s">
        <v>33</v>
      </c>
      <c r="G4570" s="37">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1" t="str">
        <f>VLOOKUP(B4570,辅助信息!E:I,3,FALSE)</f>
        <v>(五冶建设空港兴城怡心街道83亩项目)成都市双流区怡心街道高峰社区一组剑和路一段空港兴城怡心街道83亩项目中国五冶项目部</v>
      </c>
      <c r="J4570" s="41" t="str">
        <f>VLOOKUP(B4570,辅助信息!E:I,4,FALSE)</f>
        <v>王刚</v>
      </c>
      <c r="K4570" s="41">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30" t="str">
        <f>VLOOKUP(B4570,辅助信息!E:M,9,FALSE)</f>
        <v>ZTWM-CDGS-XS-2025-0073-五冶天府-成都怡心湖片区及龙泉驿医院等项目</v>
      </c>
      <c r="R4570" s="30" t="str">
        <f>_xlfn._xlws.FILTER(辅助信息!D:D,辅助信息!E:E=B4570)</f>
        <v>五冶建设空港兴城怡心街道83亩项目</v>
      </c>
    </row>
    <row r="4571" hidden="1" spans="2:18">
      <c r="B4571" s="136" t="s">
        <v>203</v>
      </c>
      <c r="C4571" s="144">
        <v>45945</v>
      </c>
      <c r="D4571" s="41" t="str">
        <f>VLOOKUP(B4571,辅助信息!E:K,7,FALSE)</f>
        <v>JWDDCD2025102100479</v>
      </c>
      <c r="E4571" s="41" t="str">
        <f>VLOOKUP(F4571,辅助信息!A:B,2,FALSE)</f>
        <v>螺纹钢</v>
      </c>
      <c r="F4571" s="41" t="s">
        <v>28</v>
      </c>
      <c r="G4571" s="37">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1" t="str">
        <f>VLOOKUP(B4571,辅助信息!E:I,3,FALSE)</f>
        <v>(五冶建设空港兴城怡心街道83亩项目)成都市双流区怡心街道高峰社区一组剑和路一段空港兴城怡心街道83亩项目中国五冶项目部</v>
      </c>
      <c r="J4571" s="41" t="str">
        <f>VLOOKUP(B4571,辅助信息!E:I,4,FALSE)</f>
        <v>王刚</v>
      </c>
      <c r="K4571" s="41">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30" t="str">
        <f>VLOOKUP(B4571,辅助信息!E:M,9,FALSE)</f>
        <v>ZTWM-CDGS-XS-2025-0073-五冶天府-成都怡心湖片区及龙泉驿医院等项目</v>
      </c>
      <c r="R4571" s="30" t="str">
        <f>_xlfn._xlws.FILTER(辅助信息!D:D,辅助信息!E:E=B4571)</f>
        <v>五冶建设空港兴城怡心街道83亩项目</v>
      </c>
    </row>
    <row r="4572" hidden="1" spans="2:18">
      <c r="B4572" s="136" t="s">
        <v>203</v>
      </c>
      <c r="C4572" s="144">
        <v>45945</v>
      </c>
      <c r="D4572" s="41" t="str">
        <f>VLOOKUP(B4572,辅助信息!E:K,7,FALSE)</f>
        <v>JWDDCD2025102100479</v>
      </c>
      <c r="E4572" s="41" t="str">
        <f>VLOOKUP(F4572,辅助信息!A:B,2,FALSE)</f>
        <v>螺纹钢</v>
      </c>
      <c r="F4572" s="41" t="s">
        <v>18</v>
      </c>
      <c r="G4572" s="37">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1" t="str">
        <f>VLOOKUP(B4572,辅助信息!E:I,3,FALSE)</f>
        <v>(五冶建设空港兴城怡心街道83亩项目)成都市双流区怡心街道高峰社区一组剑和路一段空港兴城怡心街道83亩项目中国五冶项目部</v>
      </c>
      <c r="J4572" s="41" t="str">
        <f>VLOOKUP(B4572,辅助信息!E:I,4,FALSE)</f>
        <v>王刚</v>
      </c>
      <c r="K4572" s="41">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30" t="str">
        <f>VLOOKUP(B4572,辅助信息!E:M,9,FALSE)</f>
        <v>ZTWM-CDGS-XS-2025-0073-五冶天府-成都怡心湖片区及龙泉驿医院等项目</v>
      </c>
      <c r="R4572" s="30" t="str">
        <f>_xlfn._xlws.FILTER(辅助信息!D:D,辅助信息!E:E=B4572)</f>
        <v>五冶建设空港兴城怡心街道83亩项目</v>
      </c>
    </row>
    <row r="4573" hidden="1" spans="2:18">
      <c r="B4573" s="136" t="s">
        <v>203</v>
      </c>
      <c r="C4573" s="144">
        <v>45945</v>
      </c>
      <c r="D4573" s="41" t="str">
        <f>VLOOKUP(B4573,辅助信息!E:K,7,FALSE)</f>
        <v>JWDDCD2025102100479</v>
      </c>
      <c r="E4573" s="41" t="str">
        <f>VLOOKUP(F4573,辅助信息!A:B,2,FALSE)</f>
        <v>螺纹钢</v>
      </c>
      <c r="F4573" s="41" t="s">
        <v>65</v>
      </c>
      <c r="G4573" s="37">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1" t="str">
        <f>VLOOKUP(B4573,辅助信息!E:I,3,FALSE)</f>
        <v>(五冶建设空港兴城怡心街道83亩项目)成都市双流区怡心街道高峰社区一组剑和路一段空港兴城怡心街道83亩项目中国五冶项目部</v>
      </c>
      <c r="J4573" s="41" t="str">
        <f>VLOOKUP(B4573,辅助信息!E:I,4,FALSE)</f>
        <v>王刚</v>
      </c>
      <c r="K4573" s="41">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30" t="str">
        <f>VLOOKUP(B4573,辅助信息!E:M,9,FALSE)</f>
        <v>ZTWM-CDGS-XS-2025-0073-五冶天府-成都怡心湖片区及龙泉驿医院等项目</v>
      </c>
      <c r="R4573" s="30" t="str">
        <f>_xlfn._xlws.FILTER(辅助信息!D:D,辅助信息!E:E=B4573)</f>
        <v>五冶建设空港兴城怡心街道83亩项目</v>
      </c>
    </row>
    <row r="4574" hidden="1" spans="2:18">
      <c r="B4574" s="136" t="s">
        <v>203</v>
      </c>
      <c r="C4574" s="144">
        <v>45945</v>
      </c>
      <c r="D4574" s="41" t="str">
        <f>VLOOKUP(B4574,辅助信息!E:K,7,FALSE)</f>
        <v>JWDDCD2025102100479</v>
      </c>
      <c r="E4574" s="41" t="str">
        <f>VLOOKUP(F4574,辅助信息!A:B,2,FALSE)</f>
        <v>螺纹钢</v>
      </c>
      <c r="F4574" s="41" t="s">
        <v>66</v>
      </c>
      <c r="G4574" s="37">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1" t="str">
        <f>VLOOKUP(B4574,辅助信息!E:I,3,FALSE)</f>
        <v>(五冶建设空港兴城怡心街道83亩项目)成都市双流区怡心街道高峰社区一组剑和路一段空港兴城怡心街道83亩项目中国五冶项目部</v>
      </c>
      <c r="J4574" s="41" t="str">
        <f>VLOOKUP(B4574,辅助信息!E:I,4,FALSE)</f>
        <v>王刚</v>
      </c>
      <c r="K4574" s="41">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30" t="str">
        <f>VLOOKUP(B4574,辅助信息!E:M,9,FALSE)</f>
        <v>ZTWM-CDGS-XS-2025-0073-五冶天府-成都怡心湖片区及龙泉驿医院等项目</v>
      </c>
      <c r="R4574" s="30" t="str">
        <f>_xlfn._xlws.FILTER(辅助信息!D:D,辅助信息!E:E=B4574)</f>
        <v>五冶建设空港兴城怡心街道83亩项目</v>
      </c>
    </row>
    <row r="4575" hidden="1" spans="2:18">
      <c r="B4575" s="136" t="s">
        <v>228</v>
      </c>
      <c r="C4575" s="71">
        <v>45945</v>
      </c>
      <c r="D4575" s="41" t="str">
        <f>VLOOKUP(B4575,辅助信息!E:K,7,FALSE)</f>
        <v>JWDDCD2025092400190</v>
      </c>
      <c r="E4575" s="41" t="str">
        <f>VLOOKUP(F4575,辅助信息!A:B,2,FALSE)</f>
        <v>螺纹钢</v>
      </c>
      <c r="F4575" s="41" t="s">
        <v>27</v>
      </c>
      <c r="G4575" s="37">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1" t="str">
        <f>VLOOKUP(B4575,辅助信息!E:I,3,FALSE)</f>
        <v>(五冶钢构龙泉东洪片区70亩住宅、商业及配套工程项目二标段)成都市龙泉驿外东洪路地铁2号线惠王陵地铁C口</v>
      </c>
      <c r="J4575" s="41" t="str">
        <f>VLOOKUP(B4575,辅助信息!E:I,4,FALSE)</f>
        <v>蒋嗣伟</v>
      </c>
      <c r="K4575" s="41">
        <f>VLOOKUP(J4575,辅助信息!H:I,2,FALSE)</f>
        <v>15014331252</v>
      </c>
      <c r="L4575" s="110">
        <f>VLOOKUP(B4575,辅助信息!E:J,6,FALSE)</f>
        <v>0</v>
      </c>
      <c r="O4575" s="63" t="str">
        <f ca="1" t="shared" si="224"/>
        <v/>
      </c>
      <c r="P4575" s="63" t="str">
        <f ca="1" t="shared" si="225"/>
        <v/>
      </c>
      <c r="Q4575" s="30" t="str">
        <f>VLOOKUP(B4575,辅助信息!E:M,9,FALSE)</f>
        <v>ZTWM-CDGS-XS-2025-0156-五冶钢构-2025年九月第一批次钢筋采购合同(三圣乡项目)-中铁物贸成都公司</v>
      </c>
      <c r="R4575" s="30" t="str">
        <f>_xlfn._xlws.FILTER(辅助信息!D:D,辅助信息!E:E=B4575)</f>
        <v>五冶钢构龙泉东洪片区(70亩、85亩)住宅、商业及配套工程项目</v>
      </c>
    </row>
    <row r="4576" hidden="1" spans="2:18">
      <c r="B4576" s="136" t="s">
        <v>228</v>
      </c>
      <c r="C4576" s="71">
        <v>45945</v>
      </c>
      <c r="D4576" s="41" t="str">
        <f>VLOOKUP(B4576,辅助信息!E:K,7,FALSE)</f>
        <v>JWDDCD2025092400190</v>
      </c>
      <c r="E4576" s="41" t="str">
        <f>VLOOKUP(F4576,辅助信息!A:B,2,FALSE)</f>
        <v>螺纹钢</v>
      </c>
      <c r="F4576" s="41" t="s">
        <v>19</v>
      </c>
      <c r="G4576" s="37">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1" t="str">
        <f>VLOOKUP(B4576,辅助信息!E:I,3,FALSE)</f>
        <v>(五冶钢构龙泉东洪片区70亩住宅、商业及配套工程项目二标段)成都市龙泉驿外东洪路地铁2号线惠王陵地铁C口</v>
      </c>
      <c r="J4576" s="41" t="str">
        <f>VLOOKUP(B4576,辅助信息!E:I,4,FALSE)</f>
        <v>蒋嗣伟</v>
      </c>
      <c r="K4576" s="41">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30" t="str">
        <f>VLOOKUP(B4576,辅助信息!E:M,9,FALSE)</f>
        <v>ZTWM-CDGS-XS-2025-0156-五冶钢构-2025年九月第一批次钢筋采购合同(三圣乡项目)-中铁物贸成都公司</v>
      </c>
      <c r="R4576" s="30" t="str">
        <f>_xlfn._xlws.FILTER(辅助信息!D:D,辅助信息!E:E=B4576)</f>
        <v>五冶钢构龙泉东洪片区(70亩、85亩)住宅、商业及配套工程项目</v>
      </c>
    </row>
    <row r="4577" hidden="1" spans="2:18">
      <c r="B4577" s="136" t="s">
        <v>228</v>
      </c>
      <c r="C4577" s="71">
        <v>45945</v>
      </c>
      <c r="D4577" s="41" t="str">
        <f>VLOOKUP(B4577,辅助信息!E:K,7,FALSE)</f>
        <v>JWDDCD2025092400190</v>
      </c>
      <c r="E4577" s="41" t="str">
        <f>VLOOKUP(F4577,辅助信息!A:B,2,FALSE)</f>
        <v>螺纹钢</v>
      </c>
      <c r="F4577" s="41" t="s">
        <v>18</v>
      </c>
      <c r="G4577" s="37">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1" t="str">
        <f>VLOOKUP(B4577,辅助信息!E:I,3,FALSE)</f>
        <v>(五冶钢构龙泉东洪片区70亩住宅、商业及配套工程项目二标段)成都市龙泉驿外东洪路地铁2号线惠王陵地铁C口</v>
      </c>
      <c r="J4577" s="41" t="str">
        <f>VLOOKUP(B4577,辅助信息!E:I,4,FALSE)</f>
        <v>蒋嗣伟</v>
      </c>
      <c r="K4577" s="41">
        <f>VLOOKUP(J4577,辅助信息!H:I,2,FALSE)</f>
        <v>15014331252</v>
      </c>
      <c r="L4577" s="110">
        <f>VLOOKUP(B4577,辅助信息!E:J,6,FALSE)</f>
        <v>0</v>
      </c>
      <c r="O4577" s="63" t="str">
        <f ca="1" t="shared" si="226"/>
        <v/>
      </c>
      <c r="P4577" s="63" t="str">
        <f ca="1" t="shared" si="227"/>
        <v/>
      </c>
      <c r="Q4577" s="30" t="str">
        <f>VLOOKUP(B4577,辅助信息!E:M,9,FALSE)</f>
        <v>ZTWM-CDGS-XS-2025-0156-五冶钢构-2025年九月第一批次钢筋采购合同(三圣乡项目)-中铁物贸成都公司</v>
      </c>
      <c r="R4577" s="30" t="str">
        <f>_xlfn._xlws.FILTER(辅助信息!D:D,辅助信息!E:E=B4577)</f>
        <v>五冶钢构龙泉东洪片区(70亩、85亩)住宅、商业及配套工程项目</v>
      </c>
    </row>
    <row r="4578" hidden="1" spans="2:18">
      <c r="B4578" s="136" t="s">
        <v>228</v>
      </c>
      <c r="C4578" s="71">
        <v>45945</v>
      </c>
      <c r="D4578" s="41" t="str">
        <f>VLOOKUP(B4578,辅助信息!E:K,7,FALSE)</f>
        <v>JWDDCD2025092400190</v>
      </c>
      <c r="E4578" s="41" t="str">
        <f>VLOOKUP(F4578,辅助信息!A:B,2,FALSE)</f>
        <v>盘螺</v>
      </c>
      <c r="F4578" s="41" t="s">
        <v>40</v>
      </c>
      <c r="G4578" s="37">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1" t="str">
        <f>VLOOKUP(B4578,辅助信息!E:I,3,FALSE)</f>
        <v>(五冶钢构龙泉东洪片区70亩住宅、商业及配套工程项目二标段)成都市龙泉驿外东洪路地铁2号线惠王陵地铁C口</v>
      </c>
      <c r="J4578" s="41" t="str">
        <f>VLOOKUP(B4578,辅助信息!E:I,4,FALSE)</f>
        <v>蒋嗣伟</v>
      </c>
      <c r="K4578" s="41">
        <f>VLOOKUP(J4578,辅助信息!H:I,2,FALSE)</f>
        <v>15014331252</v>
      </c>
      <c r="L4578" s="110">
        <f>VLOOKUP(B4578,辅助信息!E:J,6,FALSE)</f>
        <v>0</v>
      </c>
      <c r="O4578" s="63" t="str">
        <f ca="1" t="shared" si="226"/>
        <v/>
      </c>
      <c r="P4578" s="63" t="str">
        <f ca="1" t="shared" si="227"/>
        <v/>
      </c>
      <c r="Q4578" s="30" t="str">
        <f>VLOOKUP(B4578,辅助信息!E:M,9,FALSE)</f>
        <v>ZTWM-CDGS-XS-2025-0156-五冶钢构-2025年九月第一批次钢筋采购合同(三圣乡项目)-中铁物贸成都公司</v>
      </c>
      <c r="R4578" s="30" t="str">
        <f>_xlfn._xlws.FILTER(辅助信息!D:D,辅助信息!E:E=B4578)</f>
        <v>五冶钢构龙泉东洪片区(70亩、85亩)住宅、商业及配套工程项目</v>
      </c>
    </row>
    <row r="4579" hidden="1" spans="2:18">
      <c r="B4579" s="136" t="s">
        <v>240</v>
      </c>
      <c r="C4579" s="71">
        <v>45945</v>
      </c>
      <c r="D4579" s="41" t="str">
        <f>VLOOKUP(B4579,辅助信息!E:K,7,FALSE)</f>
        <v>JWDDCD2025092400204</v>
      </c>
      <c r="E4579" s="41" t="str">
        <f>VLOOKUP(F4579,辅助信息!A:B,2,FALSE)</f>
        <v>高线</v>
      </c>
      <c r="F4579" s="41" t="s">
        <v>53</v>
      </c>
      <c r="G4579" s="37">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1" t="str">
        <f>VLOOKUP(B4579,辅助信息!E:I,3,FALSE)</f>
        <v>(五冶钢构龙泉东洪片区70亩住宅、商业及配套工程项目三标段)成都市龙泉驿外东洪路地铁2号线惠王陵地铁C口</v>
      </c>
      <c r="J4579" s="41" t="str">
        <f>VLOOKUP(B4579,辅助信息!E:I,4,FALSE)</f>
        <v>蒋嗣伟</v>
      </c>
      <c r="K4579" s="41">
        <f>VLOOKUP(J4579,辅助信息!H:I,2,FALSE)</f>
        <v>15014331252</v>
      </c>
      <c r="L4579" s="110">
        <f>VLOOKUP(B4579,辅助信息!E:J,6,FALSE)</f>
        <v>0</v>
      </c>
      <c r="O4579" s="63" t="str">
        <f ca="1" t="shared" si="226"/>
        <v/>
      </c>
      <c r="P4579" s="63" t="str">
        <f ca="1" t="shared" si="227"/>
        <v/>
      </c>
      <c r="Q4579" s="30" t="str">
        <f>VLOOKUP(B4579,辅助信息!E:M,9,FALSE)</f>
        <v>ZTWM-CDGS-XS-2025-0156-五冶钢构-2025年九月第一批次钢筋采购合同(三圣乡项目)-中铁物贸成都公司</v>
      </c>
      <c r="R4579" s="30" t="str">
        <f>_xlfn._xlws.FILTER(辅助信息!D:D,辅助信息!E:E=B4579)</f>
        <v>五冶钢构龙泉东洪片区(70亩、85亩)住宅、商业及配套工程项目</v>
      </c>
    </row>
    <row r="4580" hidden="1" spans="2:18">
      <c r="B4580" s="136" t="s">
        <v>240</v>
      </c>
      <c r="C4580" s="71">
        <v>45945</v>
      </c>
      <c r="D4580" s="41" t="str">
        <f>VLOOKUP(B4580,辅助信息!E:K,7,FALSE)</f>
        <v>JWDDCD2025092400204</v>
      </c>
      <c r="E4580" s="41" t="str">
        <f>VLOOKUP(F4580,辅助信息!A:B,2,FALSE)</f>
        <v>盘螺</v>
      </c>
      <c r="F4580" s="41" t="s">
        <v>41</v>
      </c>
      <c r="G4580" s="37">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1" t="str">
        <f>VLOOKUP(B4580,辅助信息!E:I,3,FALSE)</f>
        <v>(五冶钢构龙泉东洪片区70亩住宅、商业及配套工程项目三标段)成都市龙泉驿外东洪路地铁2号线惠王陵地铁C口</v>
      </c>
      <c r="J4580" s="41" t="str">
        <f>VLOOKUP(B4580,辅助信息!E:I,4,FALSE)</f>
        <v>蒋嗣伟</v>
      </c>
      <c r="K4580" s="41">
        <f>VLOOKUP(J4580,辅助信息!H:I,2,FALSE)</f>
        <v>15014331252</v>
      </c>
      <c r="L4580" s="110">
        <f>VLOOKUP(B4580,辅助信息!E:J,6,FALSE)</f>
        <v>0</v>
      </c>
      <c r="O4580" s="63" t="str">
        <f ca="1" t="shared" si="226"/>
        <v/>
      </c>
      <c r="P4580" s="63" t="str">
        <f ca="1" t="shared" si="227"/>
        <v/>
      </c>
      <c r="Q4580" s="30" t="str">
        <f>VLOOKUP(B4580,辅助信息!E:M,9,FALSE)</f>
        <v>ZTWM-CDGS-XS-2025-0156-五冶钢构-2025年九月第一批次钢筋采购合同(三圣乡项目)-中铁物贸成都公司</v>
      </c>
      <c r="R4580" s="30" t="str">
        <f>_xlfn._xlws.FILTER(辅助信息!D:D,辅助信息!E:E=B4580)</f>
        <v>五冶钢构龙泉东洪片区(70亩、85亩)住宅、商业及配套工程项目</v>
      </c>
    </row>
    <row r="4581" hidden="1" spans="2:18">
      <c r="B4581" s="136" t="s">
        <v>240</v>
      </c>
      <c r="C4581" s="71">
        <v>45945</v>
      </c>
      <c r="D4581" s="41" t="str">
        <f>VLOOKUP(B4581,辅助信息!E:K,7,FALSE)</f>
        <v>JWDDCD2025092400204</v>
      </c>
      <c r="E4581" s="41" t="str">
        <f>VLOOKUP(F4581,辅助信息!A:B,2,FALSE)</f>
        <v>盘螺</v>
      </c>
      <c r="F4581" s="41" t="s">
        <v>49</v>
      </c>
      <c r="G4581" s="37">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1" t="str">
        <f>VLOOKUP(B4581,辅助信息!E:I,3,FALSE)</f>
        <v>(五冶钢构龙泉东洪片区70亩住宅、商业及配套工程项目三标段)成都市龙泉驿外东洪路地铁2号线惠王陵地铁C口</v>
      </c>
      <c r="J4581" s="41" t="str">
        <f>VLOOKUP(B4581,辅助信息!E:I,4,FALSE)</f>
        <v>蒋嗣伟</v>
      </c>
      <c r="K4581" s="41">
        <f>VLOOKUP(J4581,辅助信息!H:I,2,FALSE)</f>
        <v>15014331252</v>
      </c>
      <c r="L4581" s="110">
        <f>VLOOKUP(B4581,辅助信息!E:J,6,FALSE)</f>
        <v>0</v>
      </c>
      <c r="O4581" s="63" t="str">
        <f ca="1" t="shared" si="226"/>
        <v/>
      </c>
      <c r="P4581" s="63" t="str">
        <f ca="1" t="shared" si="227"/>
        <v/>
      </c>
      <c r="Q4581" s="30" t="str">
        <f>VLOOKUP(B4581,辅助信息!E:M,9,FALSE)</f>
        <v>ZTWM-CDGS-XS-2025-0156-五冶钢构-2025年九月第一批次钢筋采购合同(三圣乡项目)-中铁物贸成都公司</v>
      </c>
      <c r="R4581" s="30" t="str">
        <f>_xlfn._xlws.FILTER(辅助信息!D:D,辅助信息!E:E=B4581)</f>
        <v>五冶钢构龙泉东洪片区(70亩、85亩)住宅、商业及配套工程项目</v>
      </c>
    </row>
    <row r="4582" hidden="1" spans="2:18">
      <c r="B4582" s="136" t="s">
        <v>240</v>
      </c>
      <c r="C4582" s="71">
        <v>45945</v>
      </c>
      <c r="D4582" s="41" t="str">
        <f>VLOOKUP(B4582,辅助信息!E:K,7,FALSE)</f>
        <v>JWDDCD2025092400204</v>
      </c>
      <c r="E4582" s="41" t="str">
        <f>VLOOKUP(F4582,辅助信息!A:B,2,FALSE)</f>
        <v>盘螺</v>
      </c>
      <c r="F4582" s="41" t="s">
        <v>40</v>
      </c>
      <c r="G4582" s="37">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1" t="str">
        <f>VLOOKUP(B4582,辅助信息!E:I,3,FALSE)</f>
        <v>(五冶钢构龙泉东洪片区70亩住宅、商业及配套工程项目三标段)成都市龙泉驿外东洪路地铁2号线惠王陵地铁C口</v>
      </c>
      <c r="J4582" s="41" t="str">
        <f>VLOOKUP(B4582,辅助信息!E:I,4,FALSE)</f>
        <v>蒋嗣伟</v>
      </c>
      <c r="K4582" s="41">
        <f>VLOOKUP(J4582,辅助信息!H:I,2,FALSE)</f>
        <v>15014331252</v>
      </c>
      <c r="L4582" s="110">
        <f>VLOOKUP(B4582,辅助信息!E:J,6,FALSE)</f>
        <v>0</v>
      </c>
      <c r="O4582" s="63" t="str">
        <f ca="1" t="shared" si="226"/>
        <v/>
      </c>
      <c r="P4582" s="63" t="str">
        <f ca="1" t="shared" si="227"/>
        <v/>
      </c>
      <c r="Q4582" s="30" t="str">
        <f>VLOOKUP(B4582,辅助信息!E:M,9,FALSE)</f>
        <v>ZTWM-CDGS-XS-2025-0156-五冶钢构-2025年九月第一批次钢筋采购合同(三圣乡项目)-中铁物贸成都公司</v>
      </c>
      <c r="R4582" s="30" t="str">
        <f>_xlfn._xlws.FILTER(辅助信息!D:D,辅助信息!E:E=B4582)</f>
        <v>五冶钢构龙泉东洪片区(70亩、85亩)住宅、商业及配套工程项目</v>
      </c>
    </row>
    <row r="4583" hidden="1" spans="2:18">
      <c r="B4583" s="136" t="s">
        <v>224</v>
      </c>
      <c r="C4583" s="71">
        <v>45945</v>
      </c>
      <c r="D4583" s="41" t="str">
        <f>VLOOKUP(B4583,辅助信息!E:K,7,FALSE)</f>
        <v>JWDDCD2025092400188</v>
      </c>
      <c r="E4583" s="41" t="str">
        <f>VLOOKUP(F4583,辅助信息!A:B,2,FALSE)</f>
        <v>螺纹钢</v>
      </c>
      <c r="F4583" s="41" t="s">
        <v>27</v>
      </c>
      <c r="G4583" s="37">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1" t="str">
        <f>VLOOKUP(B4583,辅助信息!E:I,3,FALSE)</f>
        <v>(五冶钢构龙泉东洪片区70亩住宅、商业及配套工程项目一标段)成都市龙泉驿外东洪路地铁2号线惠王陵地铁C口</v>
      </c>
      <c r="J4583" s="41" t="str">
        <f>VLOOKUP(B4583,辅助信息!E:I,4,FALSE)</f>
        <v>邹爱国</v>
      </c>
      <c r="K4583" s="41">
        <f>VLOOKUP(J4583,辅助信息!H:I,2,FALSE)</f>
        <v>13540231225</v>
      </c>
      <c r="L4583" s="110">
        <f>VLOOKUP(B4583,辅助信息!E:J,6,FALSE)</f>
        <v>0</v>
      </c>
      <c r="O4583" s="63" t="str">
        <f ca="1" t="shared" si="226"/>
        <v/>
      </c>
      <c r="P4583" s="63" t="str">
        <f ca="1" t="shared" si="227"/>
        <v/>
      </c>
      <c r="Q4583" s="30" t="str">
        <f>VLOOKUP(B4583,辅助信息!E:M,9,FALSE)</f>
        <v>ZTWM-CDGS-XS-2025-0156-五冶钢构-2025年九月第一批次钢筋采购合同(三圣乡项目)-中铁物贸成都公司</v>
      </c>
      <c r="R4583" s="30" t="str">
        <f>_xlfn._xlws.FILTER(辅助信息!D:D,辅助信息!E:E=B4583)</f>
        <v>五冶钢构龙泉东洪片区(70亩、85亩)住宅、商业及配套工程项目</v>
      </c>
    </row>
    <row r="4584" hidden="1" spans="2:18">
      <c r="B4584" s="136" t="s">
        <v>224</v>
      </c>
      <c r="C4584" s="71">
        <v>45945</v>
      </c>
      <c r="D4584" s="41" t="str">
        <f>VLOOKUP(B4584,辅助信息!E:K,7,FALSE)</f>
        <v>JWDDCD2025092400188</v>
      </c>
      <c r="E4584" s="41" t="str">
        <f>VLOOKUP(F4584,辅助信息!A:B,2,FALSE)</f>
        <v>盘螺</v>
      </c>
      <c r="F4584" s="41" t="s">
        <v>41</v>
      </c>
      <c r="G4584" s="37">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1" t="str">
        <f>VLOOKUP(B4584,辅助信息!E:I,3,FALSE)</f>
        <v>(五冶钢构龙泉东洪片区70亩住宅、商业及配套工程项目一标段)成都市龙泉驿外东洪路地铁2号线惠王陵地铁C口</v>
      </c>
      <c r="J4584" s="41" t="str">
        <f>VLOOKUP(B4584,辅助信息!E:I,4,FALSE)</f>
        <v>邹爱国</v>
      </c>
      <c r="K4584" s="41">
        <f>VLOOKUP(J4584,辅助信息!H:I,2,FALSE)</f>
        <v>13540231225</v>
      </c>
      <c r="L4584" s="110">
        <f>VLOOKUP(B4584,辅助信息!E:J,6,FALSE)</f>
        <v>0</v>
      </c>
      <c r="O4584" s="63" t="str">
        <f ca="1" t="shared" si="226"/>
        <v/>
      </c>
      <c r="P4584" s="63" t="str">
        <f ca="1" t="shared" si="227"/>
        <v/>
      </c>
      <c r="Q4584" s="30" t="str">
        <f>VLOOKUP(B4584,辅助信息!E:M,9,FALSE)</f>
        <v>ZTWM-CDGS-XS-2025-0156-五冶钢构-2025年九月第一批次钢筋采购合同(三圣乡项目)-中铁物贸成都公司</v>
      </c>
      <c r="R4584" s="30" t="str">
        <f>_xlfn._xlws.FILTER(辅助信息!D:D,辅助信息!E:E=B4584)</f>
        <v>五冶钢构龙泉东洪片区(70亩、85亩)住宅、商业及配套工程项目</v>
      </c>
    </row>
    <row r="4585" hidden="1" spans="2:18">
      <c r="B4585" s="136" t="s">
        <v>224</v>
      </c>
      <c r="C4585" s="71">
        <v>45945</v>
      </c>
      <c r="D4585" s="41" t="str">
        <f>VLOOKUP(B4585,辅助信息!E:K,7,FALSE)</f>
        <v>JWDDCD2025092400188</v>
      </c>
      <c r="E4585" s="41" t="str">
        <f>VLOOKUP(F4585,辅助信息!A:B,2,FALSE)</f>
        <v>盘螺</v>
      </c>
      <c r="F4585" s="41" t="s">
        <v>40</v>
      </c>
      <c r="G4585" s="37">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1" t="str">
        <f>VLOOKUP(B4585,辅助信息!E:I,3,FALSE)</f>
        <v>(五冶钢构龙泉东洪片区70亩住宅、商业及配套工程项目一标段)成都市龙泉驿外东洪路地铁2号线惠王陵地铁C口</v>
      </c>
      <c r="J4585" s="41" t="str">
        <f>VLOOKUP(B4585,辅助信息!E:I,4,FALSE)</f>
        <v>邹爱国</v>
      </c>
      <c r="K4585" s="41">
        <f>VLOOKUP(J4585,辅助信息!H:I,2,FALSE)</f>
        <v>13540231225</v>
      </c>
      <c r="L4585" s="110">
        <f>VLOOKUP(B4585,辅助信息!E:J,6,FALSE)</f>
        <v>0</v>
      </c>
      <c r="O4585" s="63" t="str">
        <f ca="1" t="shared" si="226"/>
        <v/>
      </c>
      <c r="P4585" s="63" t="str">
        <f ca="1" t="shared" si="227"/>
        <v/>
      </c>
      <c r="Q4585" s="30" t="str">
        <f>VLOOKUP(B4585,辅助信息!E:M,9,FALSE)</f>
        <v>ZTWM-CDGS-XS-2025-0156-五冶钢构-2025年九月第一批次钢筋采购合同(三圣乡项目)-中铁物贸成都公司</v>
      </c>
      <c r="R4585" s="30" t="str">
        <f>_xlfn._xlws.FILTER(辅助信息!D:D,辅助信息!E:E=B4585)</f>
        <v>五冶钢构龙泉东洪片区(70亩、85亩)住宅、商业及配套工程项目</v>
      </c>
    </row>
    <row r="4586" hidden="1" spans="2:18">
      <c r="B4586" s="136" t="s">
        <v>229</v>
      </c>
      <c r="C4586" s="71">
        <v>45945</v>
      </c>
      <c r="D4586" s="41" t="str">
        <f>VLOOKUP(B4586,辅助信息!E:K,7,FALSE)</f>
        <v>JWDDCD2025092400212</v>
      </c>
      <c r="E4586" s="41" t="str">
        <f>VLOOKUP(F4586,辅助信息!A:B,2,FALSE)</f>
        <v>螺纹钢</v>
      </c>
      <c r="F4586" s="41" t="s">
        <v>27</v>
      </c>
      <c r="G4586" s="37">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1" t="str">
        <f>VLOOKUP(B4586,辅助信息!E:I,3,FALSE)</f>
        <v>(五冶钢构龙泉东洪片区85亩住宅、商业及配套工程项目三标段)成都市龙泉驿外东洪路地铁2号线惠王陵地铁C口</v>
      </c>
      <c r="J4586" s="41" t="str">
        <f>VLOOKUP(B4586,辅助信息!E:I,4,FALSE)</f>
        <v>王军宝</v>
      </c>
      <c r="K4586" s="41">
        <f>VLOOKUP(J4586,辅助信息!H:I,2,FALSE)</f>
        <v>13889142392</v>
      </c>
      <c r="L4586" s="110">
        <f>VLOOKUP(B4586,辅助信息!E:J,6,FALSE)</f>
        <v>0</v>
      </c>
      <c r="O4586" s="63" t="str">
        <f ca="1" t="shared" si="226"/>
        <v/>
      </c>
      <c r="P4586" s="63" t="str">
        <f ca="1" t="shared" si="227"/>
        <v/>
      </c>
      <c r="Q4586" s="30" t="str">
        <f>VLOOKUP(B4586,辅助信息!E:M,9,FALSE)</f>
        <v>ZTWM-CDGS-XS-2025-0156-五冶钢构-2025年九月第一批次钢筋采购合同(三圣乡项目)-中铁物贸成都公司</v>
      </c>
      <c r="R4586" s="30" t="str">
        <f>_xlfn._xlws.FILTER(辅助信息!D:D,辅助信息!E:E=B4586)</f>
        <v>五冶钢构龙泉东洪片区(70亩、85亩)住宅、商业及配套工程项目</v>
      </c>
    </row>
    <row r="4587" hidden="1" spans="2:18">
      <c r="B4587" s="136" t="s">
        <v>229</v>
      </c>
      <c r="C4587" s="71">
        <v>45945</v>
      </c>
      <c r="D4587" s="41" t="str">
        <f>VLOOKUP(B4587,辅助信息!E:K,7,FALSE)</f>
        <v>JWDDCD2025092400212</v>
      </c>
      <c r="E4587" s="41" t="str">
        <f>VLOOKUP(F4587,辅助信息!A:B,2,FALSE)</f>
        <v>螺纹钢</v>
      </c>
      <c r="F4587" s="41" t="s">
        <v>19</v>
      </c>
      <c r="G4587" s="37">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1" t="str">
        <f>VLOOKUP(B4587,辅助信息!E:I,3,FALSE)</f>
        <v>(五冶钢构龙泉东洪片区85亩住宅、商业及配套工程项目三标段)成都市龙泉驿外东洪路地铁2号线惠王陵地铁C口</v>
      </c>
      <c r="J4587" s="41" t="str">
        <f>VLOOKUP(B4587,辅助信息!E:I,4,FALSE)</f>
        <v>王军宝</v>
      </c>
      <c r="K4587" s="41">
        <f>VLOOKUP(J4587,辅助信息!H:I,2,FALSE)</f>
        <v>13889142392</v>
      </c>
      <c r="L4587" s="110">
        <f>VLOOKUP(B4587,辅助信息!E:J,6,FALSE)</f>
        <v>0</v>
      </c>
      <c r="O4587" s="63" t="str">
        <f ca="1" t="shared" si="226"/>
        <v/>
      </c>
      <c r="P4587" s="63" t="str">
        <f ca="1" t="shared" si="227"/>
        <v/>
      </c>
      <c r="Q4587" s="30" t="str">
        <f>VLOOKUP(B4587,辅助信息!E:M,9,FALSE)</f>
        <v>ZTWM-CDGS-XS-2025-0156-五冶钢构-2025年九月第一批次钢筋采购合同(三圣乡项目)-中铁物贸成都公司</v>
      </c>
      <c r="R4587" s="30" t="str">
        <f>_xlfn._xlws.FILTER(辅助信息!D:D,辅助信息!E:E=B4587)</f>
        <v>五冶钢构龙泉东洪片区(70亩、85亩)住宅、商业及配套工程项目</v>
      </c>
    </row>
    <row r="4588" hidden="1" spans="2:18">
      <c r="B4588" s="136" t="s">
        <v>229</v>
      </c>
      <c r="C4588" s="71">
        <v>45945</v>
      </c>
      <c r="D4588" s="41" t="str">
        <f>VLOOKUP(B4588,辅助信息!E:K,7,FALSE)</f>
        <v>JWDDCD2025092400212</v>
      </c>
      <c r="E4588" s="41" t="str">
        <f>VLOOKUP(F4588,辅助信息!A:B,2,FALSE)</f>
        <v>螺纹钢</v>
      </c>
      <c r="F4588" s="41" t="s">
        <v>33</v>
      </c>
      <c r="G4588" s="37">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1" t="str">
        <f>VLOOKUP(B4588,辅助信息!E:I,3,FALSE)</f>
        <v>(五冶钢构龙泉东洪片区85亩住宅、商业及配套工程项目三标段)成都市龙泉驿外东洪路地铁2号线惠王陵地铁C口</v>
      </c>
      <c r="J4588" s="41" t="str">
        <f>VLOOKUP(B4588,辅助信息!E:I,4,FALSE)</f>
        <v>王军宝</v>
      </c>
      <c r="K4588" s="41">
        <f>VLOOKUP(J4588,辅助信息!H:I,2,FALSE)</f>
        <v>13889142392</v>
      </c>
      <c r="L4588" s="110">
        <f>VLOOKUP(B4588,辅助信息!E:J,6,FALSE)</f>
        <v>0</v>
      </c>
      <c r="O4588" s="63" t="str">
        <f ca="1" t="shared" si="226"/>
        <v/>
      </c>
      <c r="P4588" s="63" t="str">
        <f ca="1" t="shared" si="227"/>
        <v/>
      </c>
      <c r="Q4588" s="30" t="str">
        <f>VLOOKUP(B4588,辅助信息!E:M,9,FALSE)</f>
        <v>ZTWM-CDGS-XS-2025-0156-五冶钢构-2025年九月第一批次钢筋采购合同(三圣乡项目)-中铁物贸成都公司</v>
      </c>
      <c r="R4588" s="30" t="str">
        <f>_xlfn._xlws.FILTER(辅助信息!D:D,辅助信息!E:E=B4588)</f>
        <v>五冶钢构龙泉东洪片区(70亩、85亩)住宅、商业及配套工程项目</v>
      </c>
    </row>
    <row r="4589" hidden="1" spans="2:18">
      <c r="B4589" s="136" t="s">
        <v>229</v>
      </c>
      <c r="C4589" s="71">
        <v>45945</v>
      </c>
      <c r="D4589" s="41" t="str">
        <f>VLOOKUP(B4589,辅助信息!E:K,7,FALSE)</f>
        <v>JWDDCD2025092400212</v>
      </c>
      <c r="E4589" s="41" t="str">
        <f>VLOOKUP(F4589,辅助信息!A:B,2,FALSE)</f>
        <v>螺纹钢</v>
      </c>
      <c r="F4589" s="41" t="s">
        <v>28</v>
      </c>
      <c r="G4589" s="37">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1" t="str">
        <f>VLOOKUP(B4589,辅助信息!E:I,3,FALSE)</f>
        <v>(五冶钢构龙泉东洪片区85亩住宅、商业及配套工程项目三标段)成都市龙泉驿外东洪路地铁2号线惠王陵地铁C口</v>
      </c>
      <c r="J4589" s="41" t="str">
        <f>VLOOKUP(B4589,辅助信息!E:I,4,FALSE)</f>
        <v>王军宝</v>
      </c>
      <c r="K4589" s="41">
        <f>VLOOKUP(J4589,辅助信息!H:I,2,FALSE)</f>
        <v>13889142392</v>
      </c>
      <c r="L4589" s="110">
        <f>VLOOKUP(B4589,辅助信息!E:J,6,FALSE)</f>
        <v>0</v>
      </c>
      <c r="O4589" s="63" t="str">
        <f ca="1" t="shared" si="226"/>
        <v/>
      </c>
      <c r="P4589" s="63" t="str">
        <f ca="1" t="shared" si="227"/>
        <v/>
      </c>
      <c r="Q4589" s="30" t="str">
        <f>VLOOKUP(B4589,辅助信息!E:M,9,FALSE)</f>
        <v>ZTWM-CDGS-XS-2025-0156-五冶钢构-2025年九月第一批次钢筋采购合同(三圣乡项目)-中铁物贸成都公司</v>
      </c>
      <c r="R4589" s="30" t="str">
        <f>_xlfn._xlws.FILTER(辅助信息!D:D,辅助信息!E:E=B4589)</f>
        <v>五冶钢构龙泉东洪片区(70亩、85亩)住宅、商业及配套工程项目</v>
      </c>
    </row>
    <row r="4590" hidden="1" spans="2:18">
      <c r="B4590" s="136" t="s">
        <v>229</v>
      </c>
      <c r="C4590" s="71">
        <v>45945</v>
      </c>
      <c r="D4590" s="41" t="str">
        <f>VLOOKUP(B4590,辅助信息!E:K,7,FALSE)</f>
        <v>JWDDCD2025092400212</v>
      </c>
      <c r="E4590" s="41" t="str">
        <f>VLOOKUP(F4590,辅助信息!A:B,2,FALSE)</f>
        <v>螺纹钢</v>
      </c>
      <c r="F4590" s="41" t="s">
        <v>18</v>
      </c>
      <c r="G4590" s="37">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1" t="str">
        <f>VLOOKUP(B4590,辅助信息!E:I,3,FALSE)</f>
        <v>(五冶钢构龙泉东洪片区85亩住宅、商业及配套工程项目三标段)成都市龙泉驿外东洪路地铁2号线惠王陵地铁C口</v>
      </c>
      <c r="J4590" s="41" t="str">
        <f>VLOOKUP(B4590,辅助信息!E:I,4,FALSE)</f>
        <v>王军宝</v>
      </c>
      <c r="K4590" s="41">
        <f>VLOOKUP(J4590,辅助信息!H:I,2,FALSE)</f>
        <v>13889142392</v>
      </c>
      <c r="L4590" s="110">
        <f>VLOOKUP(B4590,辅助信息!E:J,6,FALSE)</f>
        <v>0</v>
      </c>
      <c r="O4590" s="63" t="str">
        <f ca="1" t="shared" si="226"/>
        <v/>
      </c>
      <c r="P4590" s="63" t="str">
        <f ca="1" t="shared" si="227"/>
        <v/>
      </c>
      <c r="Q4590" s="30" t="str">
        <f>VLOOKUP(B4590,辅助信息!E:M,9,FALSE)</f>
        <v>ZTWM-CDGS-XS-2025-0156-五冶钢构-2025年九月第一批次钢筋采购合同(三圣乡项目)-中铁物贸成都公司</v>
      </c>
      <c r="R4590" s="30" t="str">
        <f>_xlfn._xlws.FILTER(辅助信息!D:D,辅助信息!E:E=B4590)</f>
        <v>五冶钢构龙泉东洪片区(70亩、85亩)住宅、商业及配套工程项目</v>
      </c>
    </row>
    <row r="4591" hidden="1" spans="2:18">
      <c r="B4591" s="136" t="s">
        <v>229</v>
      </c>
      <c r="C4591" s="71">
        <v>45945</v>
      </c>
      <c r="D4591" s="41" t="str">
        <f>VLOOKUP(B4591,辅助信息!E:K,7,FALSE)</f>
        <v>JWDDCD2025092400212</v>
      </c>
      <c r="E4591" s="41" t="str">
        <f>VLOOKUP(F4591,辅助信息!A:B,2,FALSE)</f>
        <v>盘螺</v>
      </c>
      <c r="F4591" s="41" t="s">
        <v>41</v>
      </c>
      <c r="G4591" s="37">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1" t="str">
        <f>VLOOKUP(B4591,辅助信息!E:I,3,FALSE)</f>
        <v>(五冶钢构龙泉东洪片区85亩住宅、商业及配套工程项目三标段)成都市龙泉驿外东洪路地铁2号线惠王陵地铁C口</v>
      </c>
      <c r="J4591" s="41" t="str">
        <f>VLOOKUP(B4591,辅助信息!E:I,4,FALSE)</f>
        <v>王军宝</v>
      </c>
      <c r="K4591" s="41">
        <f>VLOOKUP(J4591,辅助信息!H:I,2,FALSE)</f>
        <v>13889142392</v>
      </c>
      <c r="L4591" s="110">
        <f>VLOOKUP(B4591,辅助信息!E:J,6,FALSE)</f>
        <v>0</v>
      </c>
      <c r="O4591" s="63" t="str">
        <f ca="1" t="shared" si="226"/>
        <v/>
      </c>
      <c r="P4591" s="63" t="str">
        <f ca="1" t="shared" si="227"/>
        <v/>
      </c>
      <c r="Q4591" s="30" t="str">
        <f>VLOOKUP(B4591,辅助信息!E:M,9,FALSE)</f>
        <v>ZTWM-CDGS-XS-2025-0156-五冶钢构-2025年九月第一批次钢筋采购合同(三圣乡项目)-中铁物贸成都公司</v>
      </c>
      <c r="R4591" s="30" t="str">
        <f>_xlfn._xlws.FILTER(辅助信息!D:D,辅助信息!E:E=B4591)</f>
        <v>五冶钢构龙泉东洪片区(70亩、85亩)住宅、商业及配套工程项目</v>
      </c>
    </row>
    <row r="4592" hidden="1" spans="2:18">
      <c r="B4592" s="136" t="s">
        <v>229</v>
      </c>
      <c r="C4592" s="71">
        <v>45945</v>
      </c>
      <c r="D4592" s="41" t="str">
        <f>VLOOKUP(B4592,辅助信息!E:K,7,FALSE)</f>
        <v>JWDDCD2025092400212</v>
      </c>
      <c r="E4592" s="41" t="str">
        <f>VLOOKUP(F4592,辅助信息!A:B,2,FALSE)</f>
        <v>盘螺</v>
      </c>
      <c r="F4592" s="41" t="s">
        <v>49</v>
      </c>
      <c r="G4592" s="37">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1" t="str">
        <f>VLOOKUP(B4592,辅助信息!E:I,3,FALSE)</f>
        <v>(五冶钢构龙泉东洪片区85亩住宅、商业及配套工程项目三标段)成都市龙泉驿外东洪路地铁2号线惠王陵地铁C口</v>
      </c>
      <c r="J4592" s="41" t="str">
        <f>VLOOKUP(B4592,辅助信息!E:I,4,FALSE)</f>
        <v>王军宝</v>
      </c>
      <c r="K4592" s="41">
        <f>VLOOKUP(J4592,辅助信息!H:I,2,FALSE)</f>
        <v>13889142392</v>
      </c>
      <c r="L4592" s="110">
        <f>VLOOKUP(B4592,辅助信息!E:J,6,FALSE)</f>
        <v>0</v>
      </c>
      <c r="O4592" s="63" t="str">
        <f ca="1" t="shared" si="226"/>
        <v/>
      </c>
      <c r="P4592" s="63" t="str">
        <f ca="1" t="shared" si="227"/>
        <v/>
      </c>
      <c r="Q4592" s="30" t="str">
        <f>VLOOKUP(B4592,辅助信息!E:M,9,FALSE)</f>
        <v>ZTWM-CDGS-XS-2025-0156-五冶钢构-2025年九月第一批次钢筋采购合同(三圣乡项目)-中铁物贸成都公司</v>
      </c>
      <c r="R4592" s="30" t="str">
        <f>_xlfn._xlws.FILTER(辅助信息!D:D,辅助信息!E:E=B4592)</f>
        <v>五冶钢构龙泉东洪片区(70亩、85亩)住宅、商业及配套工程项目</v>
      </c>
    </row>
    <row r="4593" hidden="1" spans="2:18">
      <c r="B4593" s="136" t="s">
        <v>229</v>
      </c>
      <c r="C4593" s="71">
        <v>45945</v>
      </c>
      <c r="D4593" s="41" t="str">
        <f>VLOOKUP(B4593,辅助信息!E:K,7,FALSE)</f>
        <v>JWDDCD2025092400212</v>
      </c>
      <c r="E4593" s="41" t="str">
        <f>VLOOKUP(F4593,辅助信息!A:B,2,FALSE)</f>
        <v>盘螺</v>
      </c>
      <c r="F4593" s="41" t="s">
        <v>40</v>
      </c>
      <c r="G4593" s="37">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1" t="str">
        <f>VLOOKUP(B4593,辅助信息!E:I,3,FALSE)</f>
        <v>(五冶钢构龙泉东洪片区85亩住宅、商业及配套工程项目三标段)成都市龙泉驿外东洪路地铁2号线惠王陵地铁C口</v>
      </c>
      <c r="J4593" s="41" t="str">
        <f>VLOOKUP(B4593,辅助信息!E:I,4,FALSE)</f>
        <v>王军宝</v>
      </c>
      <c r="K4593" s="41">
        <f>VLOOKUP(J4593,辅助信息!H:I,2,FALSE)</f>
        <v>13889142392</v>
      </c>
      <c r="L4593" s="110">
        <f>VLOOKUP(B4593,辅助信息!E:J,6,FALSE)</f>
        <v>0</v>
      </c>
      <c r="O4593" s="63" t="str">
        <f ca="1" t="shared" si="226"/>
        <v/>
      </c>
      <c r="P4593" s="63" t="str">
        <f ca="1" t="shared" si="227"/>
        <v/>
      </c>
      <c r="Q4593" s="30" t="str">
        <f>VLOOKUP(B4593,辅助信息!E:M,9,FALSE)</f>
        <v>ZTWM-CDGS-XS-2025-0156-五冶钢构-2025年九月第一批次钢筋采购合同(三圣乡项目)-中铁物贸成都公司</v>
      </c>
      <c r="R4593" s="30" t="str">
        <f>_xlfn._xlws.FILTER(辅助信息!D:D,辅助信息!E:E=B4593)</f>
        <v>五冶钢构龙泉东洪片区(70亩、85亩)住宅、商业及配套工程项目</v>
      </c>
    </row>
    <row r="4594" hidden="1" spans="2:18">
      <c r="B4594" s="136" t="s">
        <v>225</v>
      </c>
      <c r="C4594" s="71">
        <v>45945</v>
      </c>
      <c r="D4594" s="41" t="str">
        <f>VLOOKUP(B4594,辅助信息!E:K,7,FALSE)</f>
        <v>JWDDCD2025092400210</v>
      </c>
      <c r="E4594" s="41" t="str">
        <f>VLOOKUP(F4594,辅助信息!A:B,2,FALSE)</f>
        <v>螺纹钢</v>
      </c>
      <c r="F4594" s="41" t="s">
        <v>27</v>
      </c>
      <c r="G4594" s="37">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1" t="str">
        <f>VLOOKUP(B4594,辅助信息!E:I,3,FALSE)</f>
        <v>(五冶钢构龙泉东洪片区85亩住宅、商业及配套工程项目一标段)成都市龙泉驿外东洪路地铁2号线惠王陵地铁C口</v>
      </c>
      <c r="J4594" s="41" t="str">
        <f>VLOOKUP(B4594,辅助信息!E:I,4,FALSE)</f>
        <v>岳工</v>
      </c>
      <c r="K4594" s="41">
        <f>VLOOKUP(J4594,辅助信息!H:I,2,FALSE)</f>
        <v>18599951655</v>
      </c>
      <c r="L4594" s="110">
        <f>VLOOKUP(B4594,辅助信息!E:J,6,FALSE)</f>
        <v>0</v>
      </c>
      <c r="O4594" s="63" t="str">
        <f ca="1" t="shared" si="226"/>
        <v/>
      </c>
      <c r="P4594" s="63" t="str">
        <f ca="1" t="shared" si="227"/>
        <v/>
      </c>
      <c r="Q4594" s="30" t="str">
        <f>VLOOKUP(B4594,辅助信息!E:M,9,FALSE)</f>
        <v>ZTWM-CDGS-XS-2025-0156-五冶钢构-2025年九月第一批次钢筋采购合同(三圣乡项目)-中铁物贸成都公司</v>
      </c>
      <c r="R4594" s="30" t="str">
        <f>_xlfn._xlws.FILTER(辅助信息!D:D,辅助信息!E:E=B4594)</f>
        <v>五冶钢构龙泉东洪片区(70亩、85亩)住宅、商业及配套工程项目</v>
      </c>
    </row>
    <row r="4595" hidden="1" spans="2:18">
      <c r="B4595" s="136" t="s">
        <v>225</v>
      </c>
      <c r="C4595" s="71">
        <v>45945</v>
      </c>
      <c r="D4595" s="41" t="str">
        <f>VLOOKUP(B4595,辅助信息!E:K,7,FALSE)</f>
        <v>JWDDCD2025092400210</v>
      </c>
      <c r="E4595" s="41" t="str">
        <f>VLOOKUP(F4595,辅助信息!A:B,2,FALSE)</f>
        <v>螺纹钢</v>
      </c>
      <c r="F4595" s="41" t="s">
        <v>32</v>
      </c>
      <c r="G4595" s="37">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1" t="str">
        <f>VLOOKUP(B4595,辅助信息!E:I,3,FALSE)</f>
        <v>(五冶钢构龙泉东洪片区85亩住宅、商业及配套工程项目一标段)成都市龙泉驿外东洪路地铁2号线惠王陵地铁C口</v>
      </c>
      <c r="J4595" s="41" t="str">
        <f>VLOOKUP(B4595,辅助信息!E:I,4,FALSE)</f>
        <v>岳工</v>
      </c>
      <c r="K4595" s="41">
        <f>VLOOKUP(J4595,辅助信息!H:I,2,FALSE)</f>
        <v>18599951655</v>
      </c>
      <c r="L4595" s="110">
        <f>VLOOKUP(B4595,辅助信息!E:J,6,FALSE)</f>
        <v>0</v>
      </c>
      <c r="O4595" s="63" t="str">
        <f ca="1" t="shared" si="226"/>
        <v/>
      </c>
      <c r="P4595" s="63" t="str">
        <f ca="1" t="shared" si="227"/>
        <v/>
      </c>
      <c r="Q4595" s="30" t="str">
        <f>VLOOKUP(B4595,辅助信息!E:M,9,FALSE)</f>
        <v>ZTWM-CDGS-XS-2025-0156-五冶钢构-2025年九月第一批次钢筋采购合同(三圣乡项目)-中铁物贸成都公司</v>
      </c>
      <c r="R4595" s="30" t="str">
        <f>_xlfn._xlws.FILTER(辅助信息!D:D,辅助信息!E:E=B4595)</f>
        <v>五冶钢构龙泉东洪片区(70亩、85亩)住宅、商业及配套工程项目</v>
      </c>
    </row>
    <row r="4596" hidden="1" spans="2:18">
      <c r="B4596" s="136" t="s">
        <v>225</v>
      </c>
      <c r="C4596" s="71">
        <v>45945</v>
      </c>
      <c r="D4596" s="41" t="str">
        <f>VLOOKUP(B4596,辅助信息!E:K,7,FALSE)</f>
        <v>JWDDCD2025092400210</v>
      </c>
      <c r="E4596" s="41" t="str">
        <f>VLOOKUP(F4596,辅助信息!A:B,2,FALSE)</f>
        <v>螺纹钢</v>
      </c>
      <c r="F4596" s="41" t="s">
        <v>18</v>
      </c>
      <c r="G4596" s="37">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1" t="str">
        <f>VLOOKUP(B4596,辅助信息!E:I,3,FALSE)</f>
        <v>(五冶钢构龙泉东洪片区85亩住宅、商业及配套工程项目一标段)成都市龙泉驿外东洪路地铁2号线惠王陵地铁C口</v>
      </c>
      <c r="J4596" s="41" t="str">
        <f>VLOOKUP(B4596,辅助信息!E:I,4,FALSE)</f>
        <v>岳工</v>
      </c>
      <c r="K4596" s="41">
        <f>VLOOKUP(J4596,辅助信息!H:I,2,FALSE)</f>
        <v>18599951655</v>
      </c>
      <c r="L4596" s="110">
        <f>VLOOKUP(B4596,辅助信息!E:J,6,FALSE)</f>
        <v>0</v>
      </c>
      <c r="O4596" s="63" t="str">
        <f ca="1" t="shared" si="226"/>
        <v/>
      </c>
      <c r="P4596" s="63" t="str">
        <f ca="1" t="shared" si="227"/>
        <v/>
      </c>
      <c r="Q4596" s="30" t="str">
        <f>VLOOKUP(B4596,辅助信息!E:M,9,FALSE)</f>
        <v>ZTWM-CDGS-XS-2025-0156-五冶钢构-2025年九月第一批次钢筋采购合同(三圣乡项目)-中铁物贸成都公司</v>
      </c>
      <c r="R4596" s="30" t="str">
        <f>_xlfn._xlws.FILTER(辅助信息!D:D,辅助信息!E:E=B4596)</f>
        <v>五冶钢构龙泉东洪片区(70亩、85亩)住宅、商业及配套工程项目</v>
      </c>
    </row>
    <row r="4597" hidden="1" spans="2:18">
      <c r="B4597" s="136" t="s">
        <v>225</v>
      </c>
      <c r="C4597" s="71">
        <v>45945</v>
      </c>
      <c r="D4597" s="41" t="str">
        <f>VLOOKUP(B4597,辅助信息!E:K,7,FALSE)</f>
        <v>JWDDCD2025092400210</v>
      </c>
      <c r="E4597" s="41" t="str">
        <f>VLOOKUP(F4597,辅助信息!A:B,2,FALSE)</f>
        <v>螺纹钢</v>
      </c>
      <c r="F4597" s="41" t="s">
        <v>46</v>
      </c>
      <c r="G4597" s="37">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1" t="str">
        <f>VLOOKUP(B4597,辅助信息!E:I,3,FALSE)</f>
        <v>(五冶钢构龙泉东洪片区85亩住宅、商业及配套工程项目一标段)成都市龙泉驿外东洪路地铁2号线惠王陵地铁C口</v>
      </c>
      <c r="J4597" s="41" t="str">
        <f>VLOOKUP(B4597,辅助信息!E:I,4,FALSE)</f>
        <v>岳工</v>
      </c>
      <c r="K4597" s="41">
        <f>VLOOKUP(J4597,辅助信息!H:I,2,FALSE)</f>
        <v>18599951655</v>
      </c>
      <c r="L4597" s="110">
        <f>VLOOKUP(B4597,辅助信息!E:J,6,FALSE)</f>
        <v>0</v>
      </c>
      <c r="O4597" s="63" t="str">
        <f ca="1" t="shared" si="226"/>
        <v/>
      </c>
      <c r="P4597" s="63" t="str">
        <f ca="1" t="shared" si="227"/>
        <v/>
      </c>
      <c r="Q4597" s="30" t="str">
        <f>VLOOKUP(B4597,辅助信息!E:M,9,FALSE)</f>
        <v>ZTWM-CDGS-XS-2025-0156-五冶钢构-2025年九月第一批次钢筋采购合同(三圣乡项目)-中铁物贸成都公司</v>
      </c>
      <c r="R4597" s="30" t="str">
        <f>_xlfn._xlws.FILTER(辅助信息!D:D,辅助信息!E:E=B4597)</f>
        <v>五冶钢构龙泉东洪片区(70亩、85亩)住宅、商业及配套工程项目</v>
      </c>
    </row>
    <row r="4598" hidden="1" spans="2:18">
      <c r="B4598" s="136" t="s">
        <v>225</v>
      </c>
      <c r="C4598" s="71">
        <v>45945</v>
      </c>
      <c r="D4598" s="41" t="str">
        <f>VLOOKUP(B4598,辅助信息!E:K,7,FALSE)</f>
        <v>JWDDCD2025092400210</v>
      </c>
      <c r="E4598" s="41" t="str">
        <f>VLOOKUP(F4598,辅助信息!A:B,2,FALSE)</f>
        <v>盘螺</v>
      </c>
      <c r="F4598" s="41" t="s">
        <v>41</v>
      </c>
      <c r="G4598" s="37">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1" t="str">
        <f>VLOOKUP(B4598,辅助信息!E:I,3,FALSE)</f>
        <v>(五冶钢构龙泉东洪片区85亩住宅、商业及配套工程项目一标段)成都市龙泉驿外东洪路地铁2号线惠王陵地铁C口</v>
      </c>
      <c r="J4598" s="41" t="str">
        <f>VLOOKUP(B4598,辅助信息!E:I,4,FALSE)</f>
        <v>岳工</v>
      </c>
      <c r="K4598" s="41">
        <f>VLOOKUP(J4598,辅助信息!H:I,2,FALSE)</f>
        <v>18599951655</v>
      </c>
      <c r="L4598" s="110">
        <f>VLOOKUP(B4598,辅助信息!E:J,6,FALSE)</f>
        <v>0</v>
      </c>
      <c r="O4598" s="63" t="str">
        <f ca="1" t="shared" si="226"/>
        <v/>
      </c>
      <c r="P4598" s="63" t="str">
        <f ca="1" t="shared" si="227"/>
        <v/>
      </c>
      <c r="Q4598" s="30" t="str">
        <f>VLOOKUP(B4598,辅助信息!E:M,9,FALSE)</f>
        <v>ZTWM-CDGS-XS-2025-0156-五冶钢构-2025年九月第一批次钢筋采购合同(三圣乡项目)-中铁物贸成都公司</v>
      </c>
      <c r="R4598" s="30" t="str">
        <f>_xlfn._xlws.FILTER(辅助信息!D:D,辅助信息!E:E=B4598)</f>
        <v>五冶钢构龙泉东洪片区(70亩、85亩)住宅、商业及配套工程项目</v>
      </c>
    </row>
    <row r="4599" hidden="1" spans="2:18">
      <c r="B4599" s="136" t="s">
        <v>225</v>
      </c>
      <c r="C4599" s="71">
        <v>45945</v>
      </c>
      <c r="D4599" s="41" t="str">
        <f>VLOOKUP(B4599,辅助信息!E:K,7,FALSE)</f>
        <v>JWDDCD2025092400210</v>
      </c>
      <c r="E4599" s="41" t="str">
        <f>VLOOKUP(F4599,辅助信息!A:B,2,FALSE)</f>
        <v>盘螺</v>
      </c>
      <c r="F4599" s="41" t="s">
        <v>26</v>
      </c>
      <c r="G4599" s="37">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1" t="str">
        <f>VLOOKUP(B4599,辅助信息!E:I,3,FALSE)</f>
        <v>(五冶钢构龙泉东洪片区85亩住宅、商业及配套工程项目一标段)成都市龙泉驿外东洪路地铁2号线惠王陵地铁C口</v>
      </c>
      <c r="J4599" s="41" t="str">
        <f>VLOOKUP(B4599,辅助信息!E:I,4,FALSE)</f>
        <v>岳工</v>
      </c>
      <c r="K4599" s="41">
        <f>VLOOKUP(J4599,辅助信息!H:I,2,FALSE)</f>
        <v>18599951655</v>
      </c>
      <c r="L4599" s="110">
        <f>VLOOKUP(B4599,辅助信息!E:J,6,FALSE)</f>
        <v>0</v>
      </c>
      <c r="O4599" s="63" t="str">
        <f ca="1" t="shared" si="226"/>
        <v/>
      </c>
      <c r="P4599" s="63" t="str">
        <f ca="1" t="shared" si="227"/>
        <v/>
      </c>
      <c r="Q4599" s="30" t="str">
        <f>VLOOKUP(B4599,辅助信息!E:M,9,FALSE)</f>
        <v>ZTWM-CDGS-XS-2025-0156-五冶钢构-2025年九月第一批次钢筋采购合同(三圣乡项目)-中铁物贸成都公司</v>
      </c>
      <c r="R4599" s="30" t="str">
        <f>_xlfn._xlws.FILTER(辅助信息!D:D,辅助信息!E:E=B4599)</f>
        <v>五冶钢构龙泉东洪片区(70亩、85亩)住宅、商业及配套工程项目</v>
      </c>
    </row>
    <row r="4600" hidden="1" spans="2:18">
      <c r="B4600" s="136" t="s">
        <v>225</v>
      </c>
      <c r="C4600" s="71">
        <v>45945</v>
      </c>
      <c r="D4600" s="41" t="str">
        <f>VLOOKUP(B4600,辅助信息!E:K,7,FALSE)</f>
        <v>JWDDCD2025092400210</v>
      </c>
      <c r="E4600" s="41" t="str">
        <f>VLOOKUP(F4600,辅助信息!A:B,2,FALSE)</f>
        <v>盘螺</v>
      </c>
      <c r="F4600" s="41" t="s">
        <v>49</v>
      </c>
      <c r="G4600" s="37">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1" t="str">
        <f>VLOOKUP(B4600,辅助信息!E:I,3,FALSE)</f>
        <v>(五冶钢构龙泉东洪片区85亩住宅、商业及配套工程项目一标段)成都市龙泉驿外东洪路地铁2号线惠王陵地铁C口</v>
      </c>
      <c r="J4600" s="41" t="str">
        <f>VLOOKUP(B4600,辅助信息!E:I,4,FALSE)</f>
        <v>岳工</v>
      </c>
      <c r="K4600" s="41">
        <f>VLOOKUP(J4600,辅助信息!H:I,2,FALSE)</f>
        <v>18599951655</v>
      </c>
      <c r="L4600" s="110">
        <f>VLOOKUP(B4600,辅助信息!E:J,6,FALSE)</f>
        <v>0</v>
      </c>
      <c r="O4600" s="63" t="str">
        <f ca="1" t="shared" si="226"/>
        <v/>
      </c>
      <c r="P4600" s="63" t="str">
        <f ca="1" t="shared" si="227"/>
        <v/>
      </c>
      <c r="Q4600" s="30" t="str">
        <f>VLOOKUP(B4600,辅助信息!E:M,9,FALSE)</f>
        <v>ZTWM-CDGS-XS-2025-0156-五冶钢构-2025年九月第一批次钢筋采购合同(三圣乡项目)-中铁物贸成都公司</v>
      </c>
      <c r="R4600" s="30" t="str">
        <f>_xlfn._xlws.FILTER(辅助信息!D:D,辅助信息!E:E=B4600)</f>
        <v>五冶钢构龙泉东洪片区(70亩、85亩)住宅、商业及配套工程项目</v>
      </c>
    </row>
    <row r="4601" hidden="1" spans="2:18">
      <c r="B4601" s="136" t="s">
        <v>225</v>
      </c>
      <c r="C4601" s="71">
        <v>45945</v>
      </c>
      <c r="D4601" s="41" t="str">
        <f>VLOOKUP(B4601,辅助信息!E:K,7,FALSE)</f>
        <v>JWDDCD2025092400210</v>
      </c>
      <c r="E4601" s="41" t="str">
        <f>VLOOKUP(F4601,辅助信息!A:B,2,FALSE)</f>
        <v>盘螺</v>
      </c>
      <c r="F4601" s="41" t="s">
        <v>40</v>
      </c>
      <c r="G4601" s="37">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1" t="str">
        <f>VLOOKUP(B4601,辅助信息!E:I,3,FALSE)</f>
        <v>(五冶钢构龙泉东洪片区85亩住宅、商业及配套工程项目一标段)成都市龙泉驿外东洪路地铁2号线惠王陵地铁C口</v>
      </c>
      <c r="J4601" s="41" t="str">
        <f>VLOOKUP(B4601,辅助信息!E:I,4,FALSE)</f>
        <v>岳工</v>
      </c>
      <c r="K4601" s="41">
        <f>VLOOKUP(J4601,辅助信息!H:I,2,FALSE)</f>
        <v>18599951655</v>
      </c>
      <c r="L4601" s="110">
        <f>VLOOKUP(B4601,辅助信息!E:J,6,FALSE)</f>
        <v>0</v>
      </c>
      <c r="O4601" s="63" t="str">
        <f ca="1" t="shared" si="226"/>
        <v/>
      </c>
      <c r="P4601" s="63" t="str">
        <f ca="1" t="shared" si="227"/>
        <v/>
      </c>
      <c r="Q4601" s="30" t="str">
        <f>VLOOKUP(B4601,辅助信息!E:M,9,FALSE)</f>
        <v>ZTWM-CDGS-XS-2025-0156-五冶钢构-2025年九月第一批次钢筋采购合同(三圣乡项目)-中铁物贸成都公司</v>
      </c>
      <c r="R4601" s="30"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30" t="str">
        <f>VLOOKUP(B4602,辅助信息!E:M,9,FALSE)</f>
        <v>ZTWM-CDGS-XS-2024-0134-商投建工达州中医药科技成果示范园项目</v>
      </c>
      <c r="R4602" s="30"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30" t="str">
        <f>VLOOKUP(B4603,辅助信息!E:M,9,FALSE)</f>
        <v>ZTWM-CDGS-XS-2024-0134-商投建工达州中医药科技成果示范园项目</v>
      </c>
      <c r="R4603" s="30"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30" t="str">
        <f>VLOOKUP(B4604,辅助信息!E:M,9,FALSE)</f>
        <v>ZTWM-CDGS-XS-2024-0134-商投建工达州中医药科技成果示范园项目</v>
      </c>
      <c r="R4604" s="30"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30" t="str">
        <f>VLOOKUP(B4605,辅助信息!E:M,9,FALSE)</f>
        <v>ZTWM-CDGS-XS-2024-0134-商投建工达州中医药科技成果示范园项目</v>
      </c>
      <c r="R4605" s="30"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30" t="str">
        <f>VLOOKUP(B4606,辅助信息!E:M,9,FALSE)</f>
        <v>ZTWM-CDGS-XS-2024-0134-商投建工达州中医药科技成果示范园项目</v>
      </c>
      <c r="R4606" s="30"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30" t="str">
        <f>VLOOKUP(B4607,辅助信息!E:M,9,FALSE)</f>
        <v>ZTWM-CDGS-XS-2025-0073-五冶天府-成都怡心湖片区及龙泉驿医院等项目</v>
      </c>
      <c r="R4607" s="30"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30" t="str">
        <f>VLOOKUP(B4608,辅助信息!E:M,9,FALSE)</f>
        <v>ZTWM-CDGS-XS-2025-0073-五冶天府-成都怡心湖片区及龙泉驿医院等项目</v>
      </c>
      <c r="R4608" s="30"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30" t="str">
        <f>VLOOKUP(B4609,辅助信息!E:M,9,FALSE)</f>
        <v>ZTWM-CDGS-XS-2025-0073-五冶天府-成都怡心湖片区及龙泉驿医院等项目</v>
      </c>
      <c r="R4609" s="30"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30" t="str">
        <f>VLOOKUP(B4610,辅助信息!E:M,9,FALSE)</f>
        <v>ZTWM-CDGS-XS-2025-0073-五冶天府-成都怡心湖片区及龙泉驿医院等项目</v>
      </c>
      <c r="R4610" s="30"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30" t="str">
        <f>VLOOKUP(B4611,辅助信息!E:M,9,FALSE)</f>
        <v>ZTWM-CDGS-XS-2025-0073-五冶天府-成都怡心湖片区及龙泉驿医院等项目</v>
      </c>
      <c r="R4611" s="30"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30" t="str">
        <f>VLOOKUP(B4612,辅助信息!E:M,9,FALSE)</f>
        <v>ZTWM-CDGS-XS-2025-0156-五冶钢构-2025年九月第一批次钢筋采购合同(三圣乡项目)-中铁物贸成都公司</v>
      </c>
      <c r="R4612" s="30"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30" t="str">
        <f>VLOOKUP(B4613,辅助信息!E:M,9,FALSE)</f>
        <v>ZTWM-CDGS-XS-2025-0156-五冶钢构-2025年九月第一批次钢筋采购合同(三圣乡项目)-中铁物贸成都公司</v>
      </c>
      <c r="R4613" s="30"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30" t="str">
        <f>VLOOKUP(B4614,辅助信息!E:M,9,FALSE)</f>
        <v>ZTWM-CDGS-XS-2025-0156-五冶钢构-2025年九月第一批次钢筋采购合同(三圣乡项目)-中铁物贸成都公司</v>
      </c>
      <c r="R4614" s="30"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30" t="str">
        <f>VLOOKUP(B4615,辅助信息!E:M,9,FALSE)</f>
        <v>ZTWM-CDGS-XS-2025-0156-五冶钢构-2025年九月第一批次钢筋采购合同(三圣乡项目)-中铁物贸成都公司</v>
      </c>
      <c r="R4615" s="30"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30" t="str">
        <f>VLOOKUP(B4616,辅助信息!E:M,9,FALSE)</f>
        <v>ZTWM-CDGS-XS-2025-0156-五冶钢构-2025年九月第一批次钢筋采购合同(三圣乡项目)-中铁物贸成都公司</v>
      </c>
      <c r="R4616" s="30"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30" t="str">
        <f>VLOOKUP(B4617,辅助信息!E:M,9,FALSE)</f>
        <v>ZTWM-CDGS-XS-2025-0156-五冶钢构-2025年九月第一批次钢筋采购合同(三圣乡项目)-中铁物贸成都公司</v>
      </c>
      <c r="R4617" s="30"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30" t="str">
        <f>VLOOKUP(B4618,辅助信息!E:M,9,FALSE)</f>
        <v>ZTWM-CDGS-XS-2025-0156-五冶钢构-2025年九月第一批次钢筋采购合同(三圣乡项目)-中铁物贸成都公司</v>
      </c>
      <c r="R4618" s="30"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30" t="str">
        <f>VLOOKUP(B4619,辅助信息!E:M,9,FALSE)</f>
        <v>ZTWM-CDGS-XS-2025-0156-五冶钢构-2025年九月第一批次钢筋采购合同(三圣乡项目)-中铁物贸成都公司</v>
      </c>
      <c r="R4619" s="30"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30" t="str">
        <f>VLOOKUP(B4620,辅助信息!E:M,9,FALSE)</f>
        <v>ZTWM-CDGS-XS-2025-0156-五冶钢构-2025年九月第一批次钢筋采购合同(三圣乡项目)-中铁物贸成都公司</v>
      </c>
      <c r="R4620" s="30"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30" t="str">
        <f>VLOOKUP(B4621,辅助信息!E:M,9,FALSE)</f>
        <v>ZTWM-CDGS-XS-2025-0156-五冶钢构-2025年九月第一批次钢筋采购合同(三圣乡项目)-中铁物贸成都公司</v>
      </c>
      <c r="R4621" s="30"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30" t="str">
        <f>VLOOKUP(B4622,辅助信息!E:M,9,FALSE)</f>
        <v>ZTWM-CDGS-XS-2025-0156-五冶钢构-2025年九月第一批次钢筋采购合同(三圣乡项目)-中铁物贸成都公司</v>
      </c>
      <c r="R4622" s="30"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30" t="str">
        <f>VLOOKUP(B4623,辅助信息!E:M,9,FALSE)</f>
        <v>ZTWM-CDGS-XS-2025-0156-五冶钢构-2025年九月第一批次钢筋采购合同(三圣乡项目)-中铁物贸成都公司</v>
      </c>
      <c r="R4623" s="30"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30" t="str">
        <f>VLOOKUP(B4624,辅助信息!E:M,9,FALSE)</f>
        <v>ZTWM-CDGS-XS-2025-0156-五冶钢构-2025年九月第一批次钢筋采购合同(三圣乡项目)-中铁物贸成都公司</v>
      </c>
      <c r="R4624" s="30" t="str">
        <f>_xlfn._xlws.FILTER(辅助信息!D:D,辅助信息!E:E=B4624)</f>
        <v>五冶钢构龙泉东洪片区(70亩、85亩)住宅、商业及配套工程项目</v>
      </c>
    </row>
    <row r="4625" hidden="1" spans="2:18">
      <c r="B4625" s="136" t="s">
        <v>194</v>
      </c>
      <c r="C4625" s="71">
        <v>45946</v>
      </c>
      <c r="D4625" s="41" t="str">
        <f>VLOOKUP(B4625,辅助信息!E:K,7,FALSE)</f>
        <v>JWDD2025071500089</v>
      </c>
      <c r="E4625" s="41" t="str">
        <f>VLOOKUP(F4625,辅助信息!A:B,2,FALSE)</f>
        <v>螺纹钢</v>
      </c>
      <c r="F4625" s="41" t="s">
        <v>32</v>
      </c>
      <c r="G4625" s="37">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1" t="str">
        <f>VLOOKUP(B4625,辅助信息!E:I,3,FALSE)</f>
        <v>(宜宾兴港三江新区长江工业园保障性租赁住房建设项目-土建)四川省宜宾市翠屏区永善路南段宜宾市三江新区长江工业园区</v>
      </c>
      <c r="J4625" s="41" t="str">
        <f>VLOOKUP(B4625,辅助信息!E:I,4,FALSE)</f>
        <v>赵元虎</v>
      </c>
      <c r="K4625" s="41">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30" t="str">
        <f>VLOOKUP(B4625,辅助信息!E:M,9,FALSE)</f>
        <v>ZTWM-CDYXGS-XS-2025-0014-宜宾兴港建材-三江新区长江工业园片区保障性租赁住房建设项目</v>
      </c>
      <c r="R4625" s="30" t="str">
        <f>_xlfn._xlws.FILTER(辅助信息!D:D,辅助信息!E:E=B4625)</f>
        <v>宜宾兴港三江新区长江工业园建设项目</v>
      </c>
    </row>
    <row r="4626" hidden="1" spans="2:18">
      <c r="B4626" s="136" t="s">
        <v>194</v>
      </c>
      <c r="C4626" s="71">
        <v>45946</v>
      </c>
      <c r="D4626" s="41" t="str">
        <f>VLOOKUP(B4626,辅助信息!E:K,7,FALSE)</f>
        <v>JWDD2025071500089</v>
      </c>
      <c r="E4626" s="41" t="str">
        <f>VLOOKUP(F4626,辅助信息!A:B,2,FALSE)</f>
        <v>螺纹钢</v>
      </c>
      <c r="F4626" s="41" t="s">
        <v>30</v>
      </c>
      <c r="G4626" s="37">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1" t="str">
        <f>VLOOKUP(B4626,辅助信息!E:I,3,FALSE)</f>
        <v>(宜宾兴港三江新区长江工业园保障性租赁住房建设项目-土建)四川省宜宾市翠屏区永善路南段宜宾市三江新区长江工业园区</v>
      </c>
      <c r="J4626" s="41" t="str">
        <f>VLOOKUP(B4626,辅助信息!E:I,4,FALSE)</f>
        <v>赵元虎</v>
      </c>
      <c r="K4626" s="41">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30" t="str">
        <f>VLOOKUP(B4626,辅助信息!E:M,9,FALSE)</f>
        <v>ZTWM-CDYXGS-XS-2025-0014-宜宾兴港建材-三江新区长江工业园片区保障性租赁住房建设项目</v>
      </c>
      <c r="R4626" s="30" t="str">
        <f>_xlfn._xlws.FILTER(辅助信息!D:D,辅助信息!E:E=B4626)</f>
        <v>宜宾兴港三江新区长江工业园建设项目</v>
      </c>
    </row>
    <row r="4627" hidden="1" spans="2:18">
      <c r="B4627" s="136" t="s">
        <v>194</v>
      </c>
      <c r="C4627" s="71">
        <v>45946</v>
      </c>
      <c r="D4627" s="41" t="str">
        <f>VLOOKUP(B4627,辅助信息!E:K,7,FALSE)</f>
        <v>JWDD2025071500089</v>
      </c>
      <c r="E4627" s="41" t="str">
        <f>VLOOKUP(F4627,辅助信息!A:B,2,FALSE)</f>
        <v>螺纹钢</v>
      </c>
      <c r="F4627" s="41" t="s">
        <v>33</v>
      </c>
      <c r="G4627" s="37">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1" t="str">
        <f>VLOOKUP(B4627,辅助信息!E:I,3,FALSE)</f>
        <v>(宜宾兴港三江新区长江工业园保障性租赁住房建设项目-土建)四川省宜宾市翠屏区永善路南段宜宾市三江新区长江工业园区</v>
      </c>
      <c r="J4627" s="41" t="str">
        <f>VLOOKUP(B4627,辅助信息!E:I,4,FALSE)</f>
        <v>赵元虎</v>
      </c>
      <c r="K4627" s="41">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30" t="str">
        <f>VLOOKUP(B4627,辅助信息!E:M,9,FALSE)</f>
        <v>ZTWM-CDYXGS-XS-2025-0014-宜宾兴港建材-三江新区长江工业园片区保障性租赁住房建设项目</v>
      </c>
      <c r="R4627" s="30" t="str">
        <f>_xlfn._xlws.FILTER(辅助信息!D:D,辅助信息!E:E=B4627)</f>
        <v>宜宾兴港三江新区长江工业园建设项目</v>
      </c>
    </row>
    <row r="4628" hidden="1" spans="2:18">
      <c r="B4628" s="136" t="s">
        <v>194</v>
      </c>
      <c r="C4628" s="71">
        <v>45946</v>
      </c>
      <c r="D4628" s="41" t="str">
        <f>VLOOKUP(B4628,辅助信息!E:K,7,FALSE)</f>
        <v>JWDD2025071500089</v>
      </c>
      <c r="E4628" s="41" t="str">
        <f>VLOOKUP(F4628,辅助信息!A:B,2,FALSE)</f>
        <v>螺纹钢</v>
      </c>
      <c r="F4628" s="41" t="s">
        <v>28</v>
      </c>
      <c r="G4628" s="37">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1" t="str">
        <f>VLOOKUP(B4628,辅助信息!E:I,3,FALSE)</f>
        <v>(宜宾兴港三江新区长江工业园保障性租赁住房建设项目-土建)四川省宜宾市翠屏区永善路南段宜宾市三江新区长江工业园区</v>
      </c>
      <c r="J4628" s="41" t="str">
        <f>VLOOKUP(B4628,辅助信息!E:I,4,FALSE)</f>
        <v>赵元虎</v>
      </c>
      <c r="K4628" s="41">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30" t="str">
        <f>VLOOKUP(B4628,辅助信息!E:M,9,FALSE)</f>
        <v>ZTWM-CDYXGS-XS-2025-0014-宜宾兴港建材-三江新区长江工业园片区保障性租赁住房建设项目</v>
      </c>
      <c r="R4628" s="30" t="str">
        <f>_xlfn._xlws.FILTER(辅助信息!D:D,辅助信息!E:E=B4628)</f>
        <v>宜宾兴港三江新区长江工业园建设项目</v>
      </c>
    </row>
    <row r="4629" hidden="1" spans="2:18">
      <c r="B4629" s="136" t="s">
        <v>194</v>
      </c>
      <c r="C4629" s="71">
        <v>45946</v>
      </c>
      <c r="D4629" s="41" t="str">
        <f>VLOOKUP(B4629,辅助信息!E:K,7,FALSE)</f>
        <v>JWDD2025071500089</v>
      </c>
      <c r="E4629" s="41" t="str">
        <f>VLOOKUP(F4629,辅助信息!A:B,2,FALSE)</f>
        <v>螺纹钢</v>
      </c>
      <c r="F4629" s="41" t="s">
        <v>18</v>
      </c>
      <c r="G4629" s="37">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1" t="str">
        <f>VLOOKUP(B4629,辅助信息!E:I,3,FALSE)</f>
        <v>(宜宾兴港三江新区长江工业园保障性租赁住房建设项目-土建)四川省宜宾市翠屏区永善路南段宜宾市三江新区长江工业园区</v>
      </c>
      <c r="J4629" s="41" t="str">
        <f>VLOOKUP(B4629,辅助信息!E:I,4,FALSE)</f>
        <v>赵元虎</v>
      </c>
      <c r="K4629" s="41">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30" t="str">
        <f>VLOOKUP(B4629,辅助信息!E:M,9,FALSE)</f>
        <v>ZTWM-CDYXGS-XS-2025-0014-宜宾兴港建材-三江新区长江工业园片区保障性租赁住房建设项目</v>
      </c>
      <c r="R4629" s="30" t="str">
        <f>_xlfn._xlws.FILTER(辅助信息!D:D,辅助信息!E:E=B4629)</f>
        <v>宜宾兴港三江新区长江工业园建设项目</v>
      </c>
    </row>
    <row r="4630" hidden="1" spans="1:18">
      <c r="A4630" s="72" t="s">
        <v>100</v>
      </c>
      <c r="B4630" s="136" t="s">
        <v>177</v>
      </c>
      <c r="C4630" s="71">
        <v>45946</v>
      </c>
      <c r="D4630" s="41" t="str">
        <f>VLOOKUP(B4630,辅助信息!E:K,7,FALSE)</f>
        <v>JWDDCD2025062200016</v>
      </c>
      <c r="E4630" s="41" t="str">
        <f>VLOOKUP(F4630,辅助信息!A:B,2,FALSE)</f>
        <v>高线</v>
      </c>
      <c r="F4630" s="41" t="s">
        <v>57</v>
      </c>
      <c r="G4630" s="37">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1" t="str">
        <f>VLOOKUP(B4630,辅助信息!E:I,3,FALSE)</f>
        <v>(武汉电气化局成达万高铁强电项目-南充营山)四川省南充市营山县保真路景阳名城南50米(保真路东)</v>
      </c>
      <c r="J4630" s="41" t="str">
        <f>VLOOKUP(B4630,辅助信息!E:I,4,FALSE)</f>
        <v>周开亮</v>
      </c>
      <c r="K4630" s="41">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30" t="str">
        <f>VLOOKUP(B4630,辅助信息!E:M,9,FALSE)</f>
        <v>ZTWM-CDGS-XS-2025-0033-中铁武汉电气化局集团有限公司成达万高速铁路强电工程项目</v>
      </c>
      <c r="R4630" s="30" t="str">
        <f>_xlfn._xlws.FILTER(辅助信息!D:D,辅助信息!E:E=B4630)</f>
        <v>武汉电气化局成达万高铁强电项目</v>
      </c>
    </row>
    <row r="4631" hidden="1" spans="1:18">
      <c r="A4631" s="72"/>
      <c r="B4631" s="136" t="s">
        <v>177</v>
      </c>
      <c r="C4631" s="71">
        <v>45946</v>
      </c>
      <c r="D4631" s="41" t="str">
        <f>VLOOKUP(B4631,辅助信息!E:K,7,FALSE)</f>
        <v>JWDDCD2025062200016</v>
      </c>
      <c r="E4631" s="41" t="str">
        <f>VLOOKUP(F4631,辅助信息!A:B,2,FALSE)</f>
        <v>螺纹钢</v>
      </c>
      <c r="F4631" s="41" t="s">
        <v>19</v>
      </c>
      <c r="G4631" s="37">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1" t="str">
        <f>VLOOKUP(B4631,辅助信息!E:I,3,FALSE)</f>
        <v>(武汉电气化局成达万高铁强电项目-南充营山)四川省南充市营山县保真路景阳名城南50米(保真路东)</v>
      </c>
      <c r="J4631" s="41" t="str">
        <f>VLOOKUP(B4631,辅助信息!E:I,4,FALSE)</f>
        <v>周开亮</v>
      </c>
      <c r="K4631" s="41">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30" t="str">
        <f>VLOOKUP(B4631,辅助信息!E:M,9,FALSE)</f>
        <v>ZTWM-CDGS-XS-2025-0033-中铁武汉电气化局集团有限公司成达万高速铁路强电工程项目</v>
      </c>
      <c r="R4631" s="30" t="str">
        <f>_xlfn._xlws.FILTER(辅助信息!D:D,辅助信息!E:E=B4631)</f>
        <v>武汉电气化局成达万高铁强电项目</v>
      </c>
    </row>
    <row r="4632" hidden="1" spans="1:18">
      <c r="A4632" s="72"/>
      <c r="B4632" s="136" t="s">
        <v>177</v>
      </c>
      <c r="C4632" s="71">
        <v>45946</v>
      </c>
      <c r="D4632" s="41" t="str">
        <f>VLOOKUP(B4632,辅助信息!E:K,7,FALSE)</f>
        <v>JWDDCD2025062200016</v>
      </c>
      <c r="E4632" s="41" t="str">
        <f>VLOOKUP(F4632,辅助信息!A:B,2,FALSE)</f>
        <v>螺纹钢</v>
      </c>
      <c r="F4632" s="41" t="s">
        <v>33</v>
      </c>
      <c r="G4632" s="37">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1" t="str">
        <f>VLOOKUP(B4632,辅助信息!E:I,3,FALSE)</f>
        <v>(武汉电气化局成达万高铁强电项目-南充营山)四川省南充市营山县保真路景阳名城南50米(保真路东)</v>
      </c>
      <c r="J4632" s="41" t="str">
        <f>VLOOKUP(B4632,辅助信息!E:I,4,FALSE)</f>
        <v>周开亮</v>
      </c>
      <c r="K4632" s="41">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30" t="str">
        <f>VLOOKUP(B4632,辅助信息!E:M,9,FALSE)</f>
        <v>ZTWM-CDGS-XS-2025-0033-中铁武汉电气化局集团有限公司成达万高速铁路强电工程项目</v>
      </c>
      <c r="R4632" s="30" t="str">
        <f>_xlfn._xlws.FILTER(辅助信息!D:D,辅助信息!E:E=B4632)</f>
        <v>武汉电气化局成达万高铁强电项目</v>
      </c>
    </row>
    <row r="4633" hidden="1" spans="1:18">
      <c r="A4633" s="72"/>
      <c r="B4633" s="136" t="s">
        <v>177</v>
      </c>
      <c r="C4633" s="71">
        <v>45946</v>
      </c>
      <c r="D4633" s="41" t="str">
        <f>VLOOKUP(B4633,辅助信息!E:K,7,FALSE)</f>
        <v>JWDDCD2025062200016</v>
      </c>
      <c r="E4633" s="41" t="str">
        <f>VLOOKUP(F4633,辅助信息!A:B,2,FALSE)</f>
        <v>螺纹钢</v>
      </c>
      <c r="F4633" s="41" t="s">
        <v>18</v>
      </c>
      <c r="G4633" s="37">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1" t="str">
        <f>VLOOKUP(B4633,辅助信息!E:I,3,FALSE)</f>
        <v>(武汉电气化局成达万高铁强电项目-南充营山)四川省南充市营山县保真路景阳名城南50米(保真路东)</v>
      </c>
      <c r="J4633" s="41" t="str">
        <f>VLOOKUP(B4633,辅助信息!E:I,4,FALSE)</f>
        <v>周开亮</v>
      </c>
      <c r="K4633" s="41">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30" t="str">
        <f>VLOOKUP(B4633,辅助信息!E:M,9,FALSE)</f>
        <v>ZTWM-CDGS-XS-2025-0033-中铁武汉电气化局集团有限公司成达万高速铁路强电工程项目</v>
      </c>
      <c r="R4633" s="30" t="str">
        <f>_xlfn._xlws.FILTER(辅助信息!D:D,辅助信息!E:E=B4633)</f>
        <v>武汉电气化局成达万高铁强电项目</v>
      </c>
    </row>
    <row r="4634" hidden="1" spans="1:18">
      <c r="A4634" s="72"/>
      <c r="B4634" s="136" t="s">
        <v>177</v>
      </c>
      <c r="C4634" s="71">
        <v>45946</v>
      </c>
      <c r="D4634" s="41" t="str">
        <f>VLOOKUP(B4634,辅助信息!E:K,7,FALSE)</f>
        <v>JWDDCD2025062200016</v>
      </c>
      <c r="E4634" s="41" t="str">
        <f>VLOOKUP(F4634,辅助信息!A:B,2,FALSE)</f>
        <v>盘螺</v>
      </c>
      <c r="F4634" s="41" t="s">
        <v>41</v>
      </c>
      <c r="G4634" s="37">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1" t="str">
        <f>VLOOKUP(B4634,辅助信息!E:I,3,FALSE)</f>
        <v>(武汉电气化局成达万高铁强电项目-南充营山)四川省南充市营山县保真路景阳名城南50米(保真路东)</v>
      </c>
      <c r="J4634" s="41" t="str">
        <f>VLOOKUP(B4634,辅助信息!E:I,4,FALSE)</f>
        <v>周开亮</v>
      </c>
      <c r="K4634" s="41">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30" t="str">
        <f>VLOOKUP(B4634,辅助信息!E:M,9,FALSE)</f>
        <v>ZTWM-CDGS-XS-2025-0033-中铁武汉电气化局集团有限公司成达万高速铁路强电工程项目</v>
      </c>
      <c r="R4634" s="30" t="str">
        <f>_xlfn._xlws.FILTER(辅助信息!D:D,辅助信息!E:E=B4634)</f>
        <v>武汉电气化局成达万高铁强电项目</v>
      </c>
    </row>
    <row r="4635" hidden="1" spans="1:18">
      <c r="A4635" s="72"/>
      <c r="B4635" s="136" t="s">
        <v>177</v>
      </c>
      <c r="C4635" s="71">
        <v>45946</v>
      </c>
      <c r="D4635" s="41" t="str">
        <f>VLOOKUP(B4635,辅助信息!E:K,7,FALSE)</f>
        <v>JWDDCD2025062200016</v>
      </c>
      <c r="E4635" s="41" t="str">
        <f>VLOOKUP(F4635,辅助信息!A:B,2,FALSE)</f>
        <v>螺纹钢</v>
      </c>
      <c r="F4635" s="41" t="s">
        <v>130</v>
      </c>
      <c r="G4635" s="37">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1" t="str">
        <f>VLOOKUP(B4635,辅助信息!E:I,3,FALSE)</f>
        <v>(武汉电气化局成达万高铁强电项目-南充营山)四川省南充市营山县保真路景阳名城南50米(保真路东)</v>
      </c>
      <c r="J4635" s="41" t="str">
        <f>VLOOKUP(B4635,辅助信息!E:I,4,FALSE)</f>
        <v>周开亮</v>
      </c>
      <c r="K4635" s="41">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18</v>
      </c>
      <c r="Q4635" s="30" t="str">
        <f>VLOOKUP(B4635,辅助信息!E:M,9,FALSE)</f>
        <v>ZTWM-CDGS-XS-2025-0033-中铁武汉电气化局集团有限公司成达万高速铁路强电工程项目</v>
      </c>
      <c r="R4635" s="30" t="str">
        <f>_xlfn._xlws.FILTER(辅助信息!D:D,辅助信息!E:E=B4635)</f>
        <v>武汉电气化局成达万高铁强电项目</v>
      </c>
    </row>
    <row r="4636" hidden="1" spans="2:18">
      <c r="B4636" s="136" t="s">
        <v>163</v>
      </c>
      <c r="C4636" s="71">
        <v>45946</v>
      </c>
      <c r="D4636" s="41" t="str">
        <f>VLOOKUP(B4636,辅助信息!E:K,7,FALSE)</f>
        <v>JWDDCD2025052800131</v>
      </c>
      <c r="E4636" s="41" t="str">
        <f>VLOOKUP(F4636,辅助信息!A:B,2,FALSE)</f>
        <v>螺纹钢</v>
      </c>
      <c r="F4636" s="41" t="s">
        <v>58</v>
      </c>
      <c r="G4636" s="37">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1" t="str">
        <f>VLOOKUP(B4636,辅助信息!E:I,3,FALSE)</f>
        <v>（商投建工达州中医药科技园-4工区-9号楼）达州市通川区达州中医药职业学院犀牛大道北段</v>
      </c>
      <c r="J4636" s="41" t="str">
        <f>VLOOKUP(B4636,辅助信息!E:I,4,FALSE)</f>
        <v>张扬</v>
      </c>
      <c r="K4636" s="41">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30" t="str">
        <f>VLOOKUP(B4636,辅助信息!E:M,9,FALSE)</f>
        <v>ZTWM-CDGS-XS-2024-0134-商投建工达州中医药科技成果示范园项目</v>
      </c>
      <c r="R4636" s="30" t="str">
        <f>_xlfn._xlws.FILTER(辅助信息!D:D,辅助信息!E:E=B4636)</f>
        <v>商投建工达州中医药科技园</v>
      </c>
    </row>
    <row r="4637" hidden="1" spans="2:18">
      <c r="B4637" s="136" t="s">
        <v>163</v>
      </c>
      <c r="C4637" s="71">
        <v>45946</v>
      </c>
      <c r="D4637" s="41" t="str">
        <f>VLOOKUP(B4637,辅助信息!E:K,7,FALSE)</f>
        <v>JWDDCD2025052800131</v>
      </c>
      <c r="E4637" s="41" t="str">
        <f>VLOOKUP(F4637,辅助信息!A:B,2,FALSE)</f>
        <v>螺纹钢</v>
      </c>
      <c r="F4637" s="41" t="s">
        <v>46</v>
      </c>
      <c r="G4637" s="37">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1" t="str">
        <f>VLOOKUP(B4637,辅助信息!E:I,3,FALSE)</f>
        <v>（商投建工达州中医药科技园-4工区-9号楼）达州市通川区达州中医药职业学院犀牛大道北段</v>
      </c>
      <c r="J4637" s="41" t="str">
        <f>VLOOKUP(B4637,辅助信息!E:I,4,FALSE)</f>
        <v>张扬</v>
      </c>
      <c r="K4637" s="41">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30" t="str">
        <f>VLOOKUP(B4637,辅助信息!E:M,9,FALSE)</f>
        <v>ZTWM-CDGS-XS-2024-0134-商投建工达州中医药科技成果示范园项目</v>
      </c>
      <c r="R4637" s="30" t="str">
        <f>_xlfn._xlws.FILTER(辅助信息!D:D,辅助信息!E:E=B4637)</f>
        <v>商投建工达州中医药科技园</v>
      </c>
    </row>
    <row r="4638" hidden="1" spans="2:18">
      <c r="B4638" s="136" t="s">
        <v>163</v>
      </c>
      <c r="C4638" s="71">
        <v>45946</v>
      </c>
      <c r="D4638" s="41" t="str">
        <f>VLOOKUP(B4638,辅助信息!E:K,7,FALSE)</f>
        <v>JWDDCD2025052800131</v>
      </c>
      <c r="E4638" s="41" t="str">
        <f>VLOOKUP(F4638,辅助信息!A:B,2,FALSE)</f>
        <v>螺纹钢</v>
      </c>
      <c r="F4638" s="41" t="s">
        <v>22</v>
      </c>
      <c r="G4638" s="37">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1" t="str">
        <f>VLOOKUP(B4638,辅助信息!E:I,3,FALSE)</f>
        <v>（商投建工达州中医药科技园-4工区-9号楼）达州市通川区达州中医药职业学院犀牛大道北段</v>
      </c>
      <c r="J4638" s="41" t="str">
        <f>VLOOKUP(B4638,辅助信息!E:I,4,FALSE)</f>
        <v>张扬</v>
      </c>
      <c r="K4638" s="41">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30" t="str">
        <f>VLOOKUP(B4638,辅助信息!E:M,9,FALSE)</f>
        <v>ZTWM-CDGS-XS-2024-0134-商投建工达州中医药科技成果示范园项目</v>
      </c>
      <c r="R4638" s="30" t="str">
        <f>_xlfn._xlws.FILTER(辅助信息!D:D,辅助信息!E:E=B4638)</f>
        <v>商投建工达州中医药科技园</v>
      </c>
    </row>
    <row r="4639" hidden="1" spans="2:18">
      <c r="B4639" s="136" t="s">
        <v>163</v>
      </c>
      <c r="C4639" s="71">
        <v>45946</v>
      </c>
      <c r="D4639" s="41" t="str">
        <f>VLOOKUP(B4639,辅助信息!E:K,7,FALSE)</f>
        <v>JWDDCD2025052800131</v>
      </c>
      <c r="E4639" s="41" t="str">
        <f>VLOOKUP(F4639,辅助信息!A:B,2,FALSE)</f>
        <v>螺纹钢</v>
      </c>
      <c r="F4639" s="41" t="s">
        <v>32</v>
      </c>
      <c r="G4639" s="37">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1" t="str">
        <f>VLOOKUP(B4639,辅助信息!E:I,3,FALSE)</f>
        <v>（商投建工达州中医药科技园-4工区-9号楼）达州市通川区达州中医药职业学院犀牛大道北段</v>
      </c>
      <c r="J4639" s="41" t="str">
        <f>VLOOKUP(B4639,辅助信息!E:I,4,FALSE)</f>
        <v>张扬</v>
      </c>
      <c r="K4639" s="41">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30" t="str">
        <f>VLOOKUP(B4639,辅助信息!E:M,9,FALSE)</f>
        <v>ZTWM-CDGS-XS-2024-0134-商投建工达州中医药科技成果示范园项目</v>
      </c>
      <c r="R4639" s="30" t="str">
        <f>_xlfn._xlws.FILTER(辅助信息!D:D,辅助信息!E:E=B4639)</f>
        <v>商投建工达州中医药科技园</v>
      </c>
    </row>
    <row r="4640" hidden="1" spans="2:18">
      <c r="B4640" s="136" t="s">
        <v>163</v>
      </c>
      <c r="C4640" s="71">
        <v>45946</v>
      </c>
      <c r="D4640" s="41" t="str">
        <f>VLOOKUP(B4640,辅助信息!E:K,7,FALSE)</f>
        <v>JWDDCD2025052800131</v>
      </c>
      <c r="E4640" s="41" t="str">
        <f>VLOOKUP(F4640,辅助信息!A:B,2,FALSE)</f>
        <v>螺纹钢</v>
      </c>
      <c r="F4640" s="41" t="s">
        <v>30</v>
      </c>
      <c r="G4640" s="37">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1" t="str">
        <f>VLOOKUP(B4640,辅助信息!E:I,3,FALSE)</f>
        <v>（商投建工达州中医药科技园-4工区-9号楼）达州市通川区达州中医药职业学院犀牛大道北段</v>
      </c>
      <c r="J4640" s="41" t="str">
        <f>VLOOKUP(B4640,辅助信息!E:I,4,FALSE)</f>
        <v>张扬</v>
      </c>
      <c r="K4640" s="41">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30" t="str">
        <f>VLOOKUP(B4640,辅助信息!E:M,9,FALSE)</f>
        <v>ZTWM-CDGS-XS-2024-0134-商投建工达州中医药科技成果示范园项目</v>
      </c>
      <c r="R4640" s="30" t="str">
        <f>_xlfn._xlws.FILTER(辅助信息!D:D,辅助信息!E:E=B4640)</f>
        <v>商投建工达州中医药科技园</v>
      </c>
    </row>
    <row r="4641" hidden="1" spans="2:18">
      <c r="B4641" s="136" t="s">
        <v>163</v>
      </c>
      <c r="C4641" s="71">
        <v>45946</v>
      </c>
      <c r="D4641" s="41" t="str">
        <f>VLOOKUP(B4641,辅助信息!E:K,7,FALSE)</f>
        <v>JWDDCD2025052800131</v>
      </c>
      <c r="E4641" s="41" t="str">
        <f>VLOOKUP(F4641,辅助信息!A:B,2,FALSE)</f>
        <v>螺纹钢</v>
      </c>
      <c r="F4641" s="41" t="s">
        <v>33</v>
      </c>
      <c r="G4641" s="37">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1" t="str">
        <f>VLOOKUP(B4641,辅助信息!E:I,3,FALSE)</f>
        <v>（商投建工达州中医药科技园-4工区-9号楼）达州市通川区达州中医药职业学院犀牛大道北段</v>
      </c>
      <c r="J4641" s="41" t="str">
        <f>VLOOKUP(B4641,辅助信息!E:I,4,FALSE)</f>
        <v>张扬</v>
      </c>
      <c r="K4641" s="41">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30" t="str">
        <f>VLOOKUP(B4641,辅助信息!E:M,9,FALSE)</f>
        <v>ZTWM-CDGS-XS-2024-0134-商投建工达州中医药科技成果示范园项目</v>
      </c>
      <c r="R4641" s="30" t="str">
        <f>_xlfn._xlws.FILTER(辅助信息!D:D,辅助信息!E:E=B4641)</f>
        <v>商投建工达州中医药科技园</v>
      </c>
    </row>
    <row r="4642" hidden="1" spans="2:18">
      <c r="B4642" s="136" t="s">
        <v>163</v>
      </c>
      <c r="C4642" s="71">
        <v>45946</v>
      </c>
      <c r="D4642" s="41" t="str">
        <f>VLOOKUP(B4642,辅助信息!E:K,7,FALSE)</f>
        <v>JWDDCD2025052800131</v>
      </c>
      <c r="E4642" s="41" t="str">
        <f>VLOOKUP(F4642,辅助信息!A:B,2,FALSE)</f>
        <v>螺纹钢</v>
      </c>
      <c r="F4642" s="41" t="s">
        <v>28</v>
      </c>
      <c r="G4642" s="37">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1" t="str">
        <f>VLOOKUP(B4642,辅助信息!E:I,3,FALSE)</f>
        <v>（商投建工达州中医药科技园-4工区-9号楼）达州市通川区达州中医药职业学院犀牛大道北段</v>
      </c>
      <c r="J4642" s="41" t="str">
        <f>VLOOKUP(B4642,辅助信息!E:I,4,FALSE)</f>
        <v>张扬</v>
      </c>
      <c r="K4642" s="41">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30" t="str">
        <f>VLOOKUP(B4642,辅助信息!E:M,9,FALSE)</f>
        <v>ZTWM-CDGS-XS-2024-0134-商投建工达州中医药科技成果示范园项目</v>
      </c>
      <c r="R4642" s="30" t="str">
        <f>_xlfn._xlws.FILTER(辅助信息!D:D,辅助信息!E:E=B4642)</f>
        <v>商投建工达州中医药科技园</v>
      </c>
    </row>
    <row r="4643" hidden="1" spans="2:18">
      <c r="B4643" s="136" t="s">
        <v>163</v>
      </c>
      <c r="C4643" s="71">
        <v>45946</v>
      </c>
      <c r="D4643" s="41" t="str">
        <f>VLOOKUP(B4643,辅助信息!E:K,7,FALSE)</f>
        <v>JWDDCD2025052800131</v>
      </c>
      <c r="E4643" s="41" t="str">
        <f>VLOOKUP(F4643,辅助信息!A:B,2,FALSE)</f>
        <v>螺纹钢</v>
      </c>
      <c r="F4643" s="41" t="s">
        <v>18</v>
      </c>
      <c r="G4643" s="37">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1" t="str">
        <f>VLOOKUP(B4643,辅助信息!E:I,3,FALSE)</f>
        <v>（商投建工达州中医药科技园-4工区-9号楼）达州市通川区达州中医药职业学院犀牛大道北段</v>
      </c>
      <c r="J4643" s="41" t="str">
        <f>VLOOKUP(B4643,辅助信息!E:I,4,FALSE)</f>
        <v>张扬</v>
      </c>
      <c r="K4643" s="41">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30" t="str">
        <f>VLOOKUP(B4643,辅助信息!E:M,9,FALSE)</f>
        <v>ZTWM-CDGS-XS-2024-0134-商投建工达州中医药科技成果示范园项目</v>
      </c>
      <c r="R4643" s="30" t="str">
        <f>_xlfn._xlws.FILTER(辅助信息!D:D,辅助信息!E:E=B4643)</f>
        <v>商投建工达州中医药科技园</v>
      </c>
    </row>
    <row r="4644" hidden="1" spans="2:18">
      <c r="B4644" s="136" t="s">
        <v>228</v>
      </c>
      <c r="C4644" s="71">
        <v>45946</v>
      </c>
      <c r="D4644" s="41" t="str">
        <f>VLOOKUP(B4644,辅助信息!E:K,7,FALSE)</f>
        <v>JWDDCD2025092400190</v>
      </c>
      <c r="E4644" s="41" t="str">
        <f>VLOOKUP(F4644,辅助信息!A:B,2,FALSE)</f>
        <v>盘螺</v>
      </c>
      <c r="F4644" s="41" t="s">
        <v>40</v>
      </c>
      <c r="G4644" s="37">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1" t="str">
        <f>VLOOKUP(B4644,辅助信息!E:I,3,FALSE)</f>
        <v>(五冶钢构龙泉东洪片区70亩住宅、商业及配套工程项目二标段)成都市龙泉驿外东洪路地铁2号线惠王陵地铁C口</v>
      </c>
      <c r="J4644" s="41" t="str">
        <f>VLOOKUP(B4644,辅助信息!E:I,4,FALSE)</f>
        <v>蒋嗣伟</v>
      </c>
      <c r="K4644" s="41">
        <f>VLOOKUP(J4644,辅助信息!H:I,2,FALSE)</f>
        <v>15014331252</v>
      </c>
      <c r="L4644" s="110">
        <f>VLOOKUP(B4644,辅助信息!E:J,6,FALSE)</f>
        <v>0</v>
      </c>
      <c r="O4644" s="63" t="str">
        <f ca="1" t="shared" si="228"/>
        <v/>
      </c>
      <c r="P4644" s="63" t="str">
        <f ca="1" t="shared" si="229"/>
        <v/>
      </c>
      <c r="Q4644" s="30" t="str">
        <f>VLOOKUP(B4644,辅助信息!E:M,9,FALSE)</f>
        <v>ZTWM-CDGS-XS-2025-0156-五冶钢构-2025年九月第一批次钢筋采购合同(三圣乡项目)-中铁物贸成都公司</v>
      </c>
      <c r="R4644" s="30" t="str">
        <f>_xlfn._xlws.FILTER(辅助信息!D:D,辅助信息!E:E=B4644)</f>
        <v>五冶钢构龙泉东洪片区(70亩、85亩)住宅、商业及配套工程项目</v>
      </c>
    </row>
    <row r="4645" hidden="1" spans="2:18">
      <c r="B4645" s="136" t="s">
        <v>228</v>
      </c>
      <c r="C4645" s="71">
        <v>45946</v>
      </c>
      <c r="D4645" s="41" t="str">
        <f>VLOOKUP(B4645,辅助信息!E:K,7,FALSE)</f>
        <v>JWDDCD2025092400190</v>
      </c>
      <c r="E4645" s="41" t="str">
        <f>VLOOKUP(F4645,辅助信息!A:B,2,FALSE)</f>
        <v>盘螺</v>
      </c>
      <c r="F4645" s="41" t="s">
        <v>41</v>
      </c>
      <c r="G4645" s="37">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1" t="str">
        <f>VLOOKUP(B4645,辅助信息!E:I,3,FALSE)</f>
        <v>(五冶钢构龙泉东洪片区70亩住宅、商业及配套工程项目二标段)成都市龙泉驿外东洪路地铁2号线惠王陵地铁C口</v>
      </c>
      <c r="J4645" s="41" t="str">
        <f>VLOOKUP(B4645,辅助信息!E:I,4,FALSE)</f>
        <v>蒋嗣伟</v>
      </c>
      <c r="K4645" s="41">
        <f>VLOOKUP(J4645,辅助信息!H:I,2,FALSE)</f>
        <v>15014331252</v>
      </c>
      <c r="L4645" s="110">
        <f>VLOOKUP(B4645,辅助信息!E:J,6,FALSE)</f>
        <v>0</v>
      </c>
      <c r="O4645" s="63" t="str">
        <f ca="1" t="shared" si="228"/>
        <v/>
      </c>
      <c r="P4645" s="63" t="str">
        <f ca="1" t="shared" si="229"/>
        <v/>
      </c>
      <c r="Q4645" s="30" t="str">
        <f>VLOOKUP(B4645,辅助信息!E:M,9,FALSE)</f>
        <v>ZTWM-CDGS-XS-2025-0156-五冶钢构-2025年九月第一批次钢筋采购合同(三圣乡项目)-中铁物贸成都公司</v>
      </c>
      <c r="R4645" s="30" t="str">
        <f>_xlfn._xlws.FILTER(辅助信息!D:D,辅助信息!E:E=B4645)</f>
        <v>五冶钢构龙泉东洪片区(70亩、85亩)住宅、商业及配套工程项目</v>
      </c>
    </row>
    <row r="4646" hidden="1" spans="2:18">
      <c r="B4646" s="136" t="s">
        <v>228</v>
      </c>
      <c r="C4646" s="71">
        <v>45946</v>
      </c>
      <c r="D4646" s="41" t="str">
        <f>VLOOKUP(B4646,辅助信息!E:K,7,FALSE)</f>
        <v>JWDDCD2025092400190</v>
      </c>
      <c r="E4646" s="41" t="str">
        <f>VLOOKUP(F4646,辅助信息!A:B,2,FALSE)</f>
        <v>螺纹钢</v>
      </c>
      <c r="F4646" s="41" t="s">
        <v>27</v>
      </c>
      <c r="G4646" s="37">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1" t="str">
        <f>VLOOKUP(B4646,辅助信息!E:I,3,FALSE)</f>
        <v>(五冶钢构龙泉东洪片区70亩住宅、商业及配套工程项目二标段)成都市龙泉驿外东洪路地铁2号线惠王陵地铁C口</v>
      </c>
      <c r="J4646" s="41" t="str">
        <f>VLOOKUP(B4646,辅助信息!E:I,4,FALSE)</f>
        <v>蒋嗣伟</v>
      </c>
      <c r="K4646" s="41">
        <f>VLOOKUP(J4646,辅助信息!H:I,2,FALSE)</f>
        <v>15014331252</v>
      </c>
      <c r="L4646" s="110">
        <f>VLOOKUP(B4646,辅助信息!E:J,6,FALSE)</f>
        <v>0</v>
      </c>
      <c r="O4646" s="63" t="str">
        <f ca="1" t="shared" si="228"/>
        <v/>
      </c>
      <c r="P4646" s="63" t="str">
        <f ca="1" t="shared" si="229"/>
        <v/>
      </c>
      <c r="Q4646" s="30" t="str">
        <f>VLOOKUP(B4646,辅助信息!E:M,9,FALSE)</f>
        <v>ZTWM-CDGS-XS-2025-0156-五冶钢构-2025年九月第一批次钢筋采购合同(三圣乡项目)-中铁物贸成都公司</v>
      </c>
      <c r="R4646" s="30" t="str">
        <f>_xlfn._xlws.FILTER(辅助信息!D:D,辅助信息!E:E=B4646)</f>
        <v>五冶钢构龙泉东洪片区(70亩、85亩)住宅、商业及配套工程项目</v>
      </c>
    </row>
    <row r="4647" hidden="1" spans="2:18">
      <c r="B4647" s="136" t="s">
        <v>228</v>
      </c>
      <c r="C4647" s="71">
        <v>45946</v>
      </c>
      <c r="D4647" s="41" t="str">
        <f>VLOOKUP(B4647,辅助信息!E:K,7,FALSE)</f>
        <v>JWDDCD2025092400190</v>
      </c>
      <c r="E4647" s="41" t="str">
        <f>VLOOKUP(F4647,辅助信息!A:B,2,FALSE)</f>
        <v>螺纹钢</v>
      </c>
      <c r="F4647" s="41" t="s">
        <v>33</v>
      </c>
      <c r="G4647" s="37">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1" t="str">
        <f>VLOOKUP(B4647,辅助信息!E:I,3,FALSE)</f>
        <v>(五冶钢构龙泉东洪片区70亩住宅、商业及配套工程项目二标段)成都市龙泉驿外东洪路地铁2号线惠王陵地铁C口</v>
      </c>
      <c r="J4647" s="41" t="str">
        <f>VLOOKUP(B4647,辅助信息!E:I,4,FALSE)</f>
        <v>蒋嗣伟</v>
      </c>
      <c r="K4647" s="41">
        <f>VLOOKUP(J4647,辅助信息!H:I,2,FALSE)</f>
        <v>15014331252</v>
      </c>
      <c r="L4647" s="110">
        <f>VLOOKUP(B4647,辅助信息!E:J,6,FALSE)</f>
        <v>0</v>
      </c>
      <c r="O4647" s="63" t="str">
        <f ca="1" t="shared" si="228"/>
        <v/>
      </c>
      <c r="P4647" s="63" t="str">
        <f ca="1" t="shared" si="229"/>
        <v/>
      </c>
      <c r="Q4647" s="30" t="str">
        <f>VLOOKUP(B4647,辅助信息!E:M,9,FALSE)</f>
        <v>ZTWM-CDGS-XS-2025-0156-五冶钢构-2025年九月第一批次钢筋采购合同(三圣乡项目)-中铁物贸成都公司</v>
      </c>
      <c r="R4647" s="30" t="str">
        <f>_xlfn._xlws.FILTER(辅助信息!D:D,辅助信息!E:E=B4647)</f>
        <v>五冶钢构龙泉东洪片区(70亩、85亩)住宅、商业及配套工程项目</v>
      </c>
    </row>
    <row r="4648" hidden="1" spans="2:18">
      <c r="B4648" s="136" t="s">
        <v>228</v>
      </c>
      <c r="C4648" s="71">
        <v>45946</v>
      </c>
      <c r="D4648" s="41" t="str">
        <f>VLOOKUP(B4648,辅助信息!E:K,7,FALSE)</f>
        <v>JWDDCD2025092400190</v>
      </c>
      <c r="E4648" s="41" t="str">
        <f>VLOOKUP(F4648,辅助信息!A:B,2,FALSE)</f>
        <v>螺纹钢</v>
      </c>
      <c r="F4648" s="41" t="s">
        <v>46</v>
      </c>
      <c r="G4648" s="37">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1" t="str">
        <f>VLOOKUP(B4648,辅助信息!E:I,3,FALSE)</f>
        <v>(五冶钢构龙泉东洪片区70亩住宅、商业及配套工程项目二标段)成都市龙泉驿外东洪路地铁2号线惠王陵地铁C口</v>
      </c>
      <c r="J4648" s="41" t="str">
        <f>VLOOKUP(B4648,辅助信息!E:I,4,FALSE)</f>
        <v>蒋嗣伟</v>
      </c>
      <c r="K4648" s="41">
        <f>VLOOKUP(J4648,辅助信息!H:I,2,FALSE)</f>
        <v>15014331252</v>
      </c>
      <c r="L4648" s="110">
        <f>VLOOKUP(B4648,辅助信息!E:J,6,FALSE)</f>
        <v>0</v>
      </c>
      <c r="O4648" s="63" t="str">
        <f ca="1" t="shared" si="228"/>
        <v/>
      </c>
      <c r="P4648" s="63" t="str">
        <f ca="1" t="shared" si="229"/>
        <v/>
      </c>
      <c r="Q4648" s="30" t="str">
        <f>VLOOKUP(B4648,辅助信息!E:M,9,FALSE)</f>
        <v>ZTWM-CDGS-XS-2025-0156-五冶钢构-2025年九月第一批次钢筋采购合同(三圣乡项目)-中铁物贸成都公司</v>
      </c>
      <c r="R4648" s="30" t="str">
        <f>_xlfn._xlws.FILTER(辅助信息!D:D,辅助信息!E:E=B4648)</f>
        <v>五冶钢构龙泉东洪片区(70亩、85亩)住宅、商业及配套工程项目</v>
      </c>
    </row>
    <row r="4649" hidden="1" spans="2:18">
      <c r="B4649" s="136" t="s">
        <v>228</v>
      </c>
      <c r="C4649" s="71">
        <v>45946</v>
      </c>
      <c r="D4649" s="41" t="str">
        <f>VLOOKUP(B4649,辅助信息!E:K,7,FALSE)</f>
        <v>JWDDCD2025092400190</v>
      </c>
      <c r="E4649" s="41" t="str">
        <f>VLOOKUP(F4649,辅助信息!A:B,2,FALSE)</f>
        <v>螺纹钢</v>
      </c>
      <c r="F4649" s="41" t="s">
        <v>22</v>
      </c>
      <c r="G4649" s="37">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1" t="str">
        <f>VLOOKUP(B4649,辅助信息!E:I,3,FALSE)</f>
        <v>(五冶钢构龙泉东洪片区70亩住宅、商业及配套工程项目二标段)成都市龙泉驿外东洪路地铁2号线惠王陵地铁C口</v>
      </c>
      <c r="J4649" s="41" t="str">
        <f>VLOOKUP(B4649,辅助信息!E:I,4,FALSE)</f>
        <v>蒋嗣伟</v>
      </c>
      <c r="K4649" s="41">
        <f>VLOOKUP(J4649,辅助信息!H:I,2,FALSE)</f>
        <v>15014331252</v>
      </c>
      <c r="L4649" s="110">
        <f>VLOOKUP(B4649,辅助信息!E:J,6,FALSE)</f>
        <v>0</v>
      </c>
      <c r="O4649" s="63" t="str">
        <f ca="1" t="shared" si="228"/>
        <v/>
      </c>
      <c r="P4649" s="63" t="str">
        <f ca="1" t="shared" si="229"/>
        <v/>
      </c>
      <c r="Q4649" s="30" t="str">
        <f>VLOOKUP(B4649,辅助信息!E:M,9,FALSE)</f>
        <v>ZTWM-CDGS-XS-2025-0156-五冶钢构-2025年九月第一批次钢筋采购合同(三圣乡项目)-中铁物贸成都公司</v>
      </c>
      <c r="R4649" s="30" t="str">
        <f>_xlfn._xlws.FILTER(辅助信息!D:D,辅助信息!E:E=B4649)</f>
        <v>五冶钢构龙泉东洪片区(70亩、85亩)住宅、商业及配套工程项目</v>
      </c>
    </row>
    <row r="4650" hidden="1" spans="1:18">
      <c r="A4650" s="72" t="s">
        <v>100</v>
      </c>
      <c r="B4650" s="136" t="s">
        <v>188</v>
      </c>
      <c r="C4650" s="71">
        <v>45946</v>
      </c>
      <c r="D4650" s="41" t="str">
        <f>VLOOKUP(B4650,辅助信息!E:K,7,FALSE)</f>
        <v>JWDDCD2025062200016</v>
      </c>
      <c r="E4650" s="41" t="str">
        <f>VLOOKUP(F4650,辅助信息!A:B,2,FALSE)</f>
        <v>盘螺</v>
      </c>
      <c r="F4650" s="41" t="s">
        <v>40</v>
      </c>
      <c r="G4650" s="37">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1" t="str">
        <f>VLOOKUP(B4650,辅助信息!E:I,3,FALSE)</f>
        <v>(武汉电气化局成达万高铁强电项目-达州主城区)四川省达州市达川区斌郎街道四川省达州市达川区洞洞湾256米</v>
      </c>
      <c r="J4650" s="41" t="str">
        <f>VLOOKUP(B4650,辅助信息!E:I,4,FALSE)</f>
        <v>余凡</v>
      </c>
      <c r="K4650" s="41">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30" t="str">
        <f>VLOOKUP(B4650,辅助信息!E:M,9,FALSE)</f>
        <v>ZTWM-CDGS-XS-2025-0033-中铁武汉电气化局集团有限公司成达万高速铁路强电工程项目</v>
      </c>
      <c r="R4650" s="30" t="str">
        <f>_xlfn._xlws.FILTER(辅助信息!D:D,辅助信息!E:E=B4650)</f>
        <v>武汉电气化局成达万高铁强电项目</v>
      </c>
    </row>
    <row r="4651" hidden="1" spans="1:18">
      <c r="A4651" s="72"/>
      <c r="B4651" s="136" t="s">
        <v>188</v>
      </c>
      <c r="C4651" s="71">
        <v>45946</v>
      </c>
      <c r="D4651" s="41" t="str">
        <f>VLOOKUP(B4651,辅助信息!E:K,7,FALSE)</f>
        <v>JWDDCD2025062200016</v>
      </c>
      <c r="E4651" s="41" t="str">
        <f>VLOOKUP(F4651,辅助信息!A:B,2,FALSE)</f>
        <v>盘螺</v>
      </c>
      <c r="F4651" s="41" t="s">
        <v>41</v>
      </c>
      <c r="G4651" s="37">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1" t="str">
        <f>VLOOKUP(B4651,辅助信息!E:I,3,FALSE)</f>
        <v>(武汉电气化局成达万高铁强电项目-达州主城区)四川省达州市达川区斌郎街道四川省达州市达川区洞洞湾256米</v>
      </c>
      <c r="J4651" s="41" t="str">
        <f>VLOOKUP(B4651,辅助信息!E:I,4,FALSE)</f>
        <v>余凡</v>
      </c>
      <c r="K4651" s="41">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30" t="str">
        <f>VLOOKUP(B4651,辅助信息!E:M,9,FALSE)</f>
        <v>ZTWM-CDGS-XS-2025-0033-中铁武汉电气化局集团有限公司成达万高速铁路强电工程项目</v>
      </c>
      <c r="R4651" s="30" t="str">
        <f>_xlfn._xlws.FILTER(辅助信息!D:D,辅助信息!E:E=B4651)</f>
        <v>武汉电气化局成达万高铁强电项目</v>
      </c>
    </row>
    <row r="4652" hidden="1" spans="1:18">
      <c r="A4652" s="72"/>
      <c r="B4652" s="136" t="s">
        <v>188</v>
      </c>
      <c r="C4652" s="71">
        <v>45946</v>
      </c>
      <c r="D4652" s="41" t="str">
        <f>VLOOKUP(B4652,辅助信息!E:K,7,FALSE)</f>
        <v>JWDDCD2025062200016</v>
      </c>
      <c r="E4652" s="41" t="str">
        <f>VLOOKUP(F4652,辅助信息!A:B,2,FALSE)</f>
        <v>螺纹钢</v>
      </c>
      <c r="F4652" s="41" t="s">
        <v>18</v>
      </c>
      <c r="G4652" s="37">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1" t="str">
        <f>VLOOKUP(B4652,辅助信息!E:I,3,FALSE)</f>
        <v>(武汉电气化局成达万高铁强电项目-达州主城区)四川省达州市达川区斌郎街道四川省达州市达川区洞洞湾256米</v>
      </c>
      <c r="J4652" s="41" t="str">
        <f>VLOOKUP(B4652,辅助信息!E:I,4,FALSE)</f>
        <v>余凡</v>
      </c>
      <c r="K4652" s="41">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30" t="str">
        <f>VLOOKUP(B4652,辅助信息!E:M,9,FALSE)</f>
        <v>ZTWM-CDGS-XS-2025-0033-中铁武汉电气化局集团有限公司成达万高速铁路强电工程项目</v>
      </c>
      <c r="R4652" s="30" t="str">
        <f>_xlfn._xlws.FILTER(辅助信息!D:D,辅助信息!E:E=B4652)</f>
        <v>武汉电气化局成达万高铁强电项目</v>
      </c>
    </row>
    <row r="4653" hidden="1" spans="2:18">
      <c r="B4653" s="136" t="s">
        <v>150</v>
      </c>
      <c r="C4653" s="71">
        <v>45946</v>
      </c>
      <c r="D4653" s="41" t="str">
        <f>VLOOKUP(B4653,辅助信息!E:K,7,FALSE)</f>
        <v>JWDDCD2025050800101</v>
      </c>
      <c r="E4653" s="41" t="str">
        <f>VLOOKUP(F4653,辅助信息!A:B,2,FALSE)</f>
        <v>盘螺</v>
      </c>
      <c r="F4653" s="41" t="s">
        <v>41</v>
      </c>
      <c r="G4653" s="37">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1" t="str">
        <f>VLOOKUP(B4653,辅助信息!E:I,3,FALSE)</f>
        <v>(中铁科研院宜宾泥溪项目)中铁科研院集团有限公司宜宾市泥溪东互通式立交下穿成贵客专铁路工程项目钢筋加工厂</v>
      </c>
      <c r="J4653" s="41" t="str">
        <f>VLOOKUP(B4653,辅助信息!E:I,4,FALSE)</f>
        <v>蔡鹏</v>
      </c>
      <c r="K4653" s="41">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30" t="str">
        <f>VLOOKUP(B4653,辅助信息!E:M,9,FALSE)</f>
        <v>ZTWM-CDGS-XS-2025-0050-中铁科研院-宜宾泥溪项目</v>
      </c>
      <c r="R4653" s="30" t="str">
        <f>_xlfn._xlws.FILTER(辅助信息!D:D,辅助信息!E:E=B4653)</f>
        <v>中铁科研院宜宾泥溪项目</v>
      </c>
    </row>
    <row r="4654" hidden="1" spans="2:18">
      <c r="B4654" s="136" t="s">
        <v>150</v>
      </c>
      <c r="C4654" s="71">
        <v>45946</v>
      </c>
      <c r="D4654" s="41" t="str">
        <f>VLOOKUP(B4654,辅助信息!E:K,7,FALSE)</f>
        <v>JWDDCD2025050800101</v>
      </c>
      <c r="E4654" s="41" t="str">
        <f>VLOOKUP(F4654,辅助信息!A:B,2,FALSE)</f>
        <v>盘螺</v>
      </c>
      <c r="F4654" s="41" t="s">
        <v>26</v>
      </c>
      <c r="G4654" s="37">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1" t="str">
        <f>VLOOKUP(B4654,辅助信息!E:I,3,FALSE)</f>
        <v>(中铁科研院宜宾泥溪项目)中铁科研院集团有限公司宜宾市泥溪东互通式立交下穿成贵客专铁路工程项目钢筋加工厂</v>
      </c>
      <c r="J4654" s="41" t="str">
        <f>VLOOKUP(B4654,辅助信息!E:I,4,FALSE)</f>
        <v>蔡鹏</v>
      </c>
      <c r="K4654" s="41">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30" t="str">
        <f>VLOOKUP(B4654,辅助信息!E:M,9,FALSE)</f>
        <v>ZTWM-CDGS-XS-2025-0050-中铁科研院-宜宾泥溪项目</v>
      </c>
      <c r="R4654" s="30" t="str">
        <f>_xlfn._xlws.FILTER(辅助信息!D:D,辅助信息!E:E=B4654)</f>
        <v>中铁科研院宜宾泥溪项目</v>
      </c>
    </row>
    <row r="4655" hidden="1" spans="2:18">
      <c r="B4655" s="136" t="s">
        <v>150</v>
      </c>
      <c r="C4655" s="71">
        <v>45946</v>
      </c>
      <c r="D4655" s="41" t="str">
        <f>VLOOKUP(B4655,辅助信息!E:K,7,FALSE)</f>
        <v>JWDDCD2025050800101</v>
      </c>
      <c r="E4655" s="41" t="str">
        <f>VLOOKUP(F4655,辅助信息!A:B,2,FALSE)</f>
        <v>螺纹钢</v>
      </c>
      <c r="F4655" s="41" t="s">
        <v>32</v>
      </c>
      <c r="G4655" s="37">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1" t="str">
        <f>VLOOKUP(B4655,辅助信息!E:I,3,FALSE)</f>
        <v>(中铁科研院宜宾泥溪项目)中铁科研院集团有限公司宜宾市泥溪东互通式立交下穿成贵客专铁路工程项目钢筋加工厂</v>
      </c>
      <c r="J4655" s="41" t="str">
        <f>VLOOKUP(B4655,辅助信息!E:I,4,FALSE)</f>
        <v>蔡鹏</v>
      </c>
      <c r="K4655" s="41">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30" t="str">
        <f>VLOOKUP(B4655,辅助信息!E:M,9,FALSE)</f>
        <v>ZTWM-CDGS-XS-2025-0050-中铁科研院-宜宾泥溪项目</v>
      </c>
      <c r="R4655" s="30" t="str">
        <f>_xlfn._xlws.FILTER(辅助信息!D:D,辅助信息!E:E=B4655)</f>
        <v>中铁科研院宜宾泥溪项目</v>
      </c>
    </row>
    <row r="4656" hidden="1" spans="2:18">
      <c r="B4656" s="136" t="s">
        <v>150</v>
      </c>
      <c r="C4656" s="71">
        <v>45946</v>
      </c>
      <c r="D4656" s="41" t="str">
        <f>VLOOKUP(B4656,辅助信息!E:K,7,FALSE)</f>
        <v>JWDDCD2025050800101</v>
      </c>
      <c r="E4656" s="41" t="str">
        <f>VLOOKUP(F4656,辅助信息!A:B,2,FALSE)</f>
        <v>螺纹钢</v>
      </c>
      <c r="F4656" s="41" t="s">
        <v>28</v>
      </c>
      <c r="G4656" s="37">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1" t="str">
        <f>VLOOKUP(B4656,辅助信息!E:I,3,FALSE)</f>
        <v>(中铁科研院宜宾泥溪项目)中铁科研院集团有限公司宜宾市泥溪东互通式立交下穿成贵客专铁路工程项目钢筋加工厂</v>
      </c>
      <c r="J4656" s="41" t="str">
        <f>VLOOKUP(B4656,辅助信息!E:I,4,FALSE)</f>
        <v>蔡鹏</v>
      </c>
      <c r="K4656" s="41">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30" t="str">
        <f>VLOOKUP(B4656,辅助信息!E:M,9,FALSE)</f>
        <v>ZTWM-CDGS-XS-2025-0050-中铁科研院-宜宾泥溪项目</v>
      </c>
      <c r="R4656" s="30"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15</v>
      </c>
      <c r="Q4657" s="30" t="str">
        <f>VLOOKUP(B4657,辅助信息!E:M,9,FALSE)</f>
        <v>ZTWM-CDGS-XS-2024-0134-商投建工达州中医药科技成果示范园项目</v>
      </c>
      <c r="R4657" s="30"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15</v>
      </c>
      <c r="Q4658" s="30" t="str">
        <f>VLOOKUP(B4658,辅助信息!E:M,9,FALSE)</f>
        <v>ZTWM-CDGS-XS-2024-0134-商投建工达州中医药科技成果示范园项目</v>
      </c>
      <c r="R4658" s="30"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15</v>
      </c>
      <c r="Q4659" s="30" t="str">
        <f>VLOOKUP(B4659,辅助信息!E:M,9,FALSE)</f>
        <v>ZTWM-CDGS-XS-2024-0134-商投建工达州中医药科技成果示范园项目</v>
      </c>
      <c r="R4659" s="30"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15</v>
      </c>
      <c r="Q4660" s="30" t="str">
        <f>VLOOKUP(B4660,辅助信息!E:M,9,FALSE)</f>
        <v>ZTWM-CDGS-XS-2024-0134-商投建工达州中医药科技成果示范园项目</v>
      </c>
      <c r="R4660" s="30"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15</v>
      </c>
      <c r="Q4661" s="30" t="str">
        <f>VLOOKUP(B4661,辅助信息!E:M,9,FALSE)</f>
        <v>ZTWM-CDGS-XS-2024-0134-商投建工达州中医药科技成果示范园项目</v>
      </c>
      <c r="R4661" s="30"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30" t="str">
        <f>VLOOKUP(B4662,辅助信息!E:M,9,FALSE)</f>
        <v>ZTWM-CDGS-XS-2024-0134-商投建工达州中医药科技成果示范园项目</v>
      </c>
      <c r="R4662" s="30"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30" t="str">
        <f>VLOOKUP(B4663,辅助信息!E:M,9,FALSE)</f>
        <v>ZTWM-CDGS-XS-2025-0073-五冶天府-成都怡心湖片区及龙泉驿医院等项目</v>
      </c>
      <c r="R4663" s="30"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30" t="str">
        <f>VLOOKUP(B4664,辅助信息!E:M,9,FALSE)</f>
        <v>ZTWM-CDGS-XS-2025-0073-五冶天府-成都怡心湖片区及龙泉驿医院等项目</v>
      </c>
      <c r="R4664" s="30"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30" t="str">
        <f>VLOOKUP(B4665,辅助信息!E:M,9,FALSE)</f>
        <v>ZTWM-CDGS-XS-2025-0073-五冶天府-成都怡心湖片区及龙泉驿医院等项目</v>
      </c>
      <c r="R4665" s="30"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11</v>
      </c>
      <c r="Q4666" s="30" t="str">
        <f>VLOOKUP(B4666,辅助信息!E:M,9,FALSE)</f>
        <v>ZTWM-CDGS-XS-2025-0156-五冶钢构-2025年九月第一批次钢筋采购合同(三圣乡项目)-中铁物贸成都公司</v>
      </c>
      <c r="R4666" s="30"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11</v>
      </c>
      <c r="Q4667" s="30" t="str">
        <f>VLOOKUP(B4667,辅助信息!E:M,9,FALSE)</f>
        <v>ZTWM-CDGS-XS-2025-0156-五冶钢构-2025年九月第一批次钢筋采购合同(三圣乡项目)-中铁物贸成都公司</v>
      </c>
      <c r="R4667" s="30"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11</v>
      </c>
      <c r="Q4668" s="30" t="str">
        <f>VLOOKUP(B4668,辅助信息!E:M,9,FALSE)</f>
        <v>ZTWM-CDGS-XS-2025-0156-五冶钢构-2025年九月第一批次钢筋采购合同(三圣乡项目)-中铁物贸成都公司</v>
      </c>
      <c r="R4668" s="30"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11</v>
      </c>
      <c r="Q4669" s="30" t="str">
        <f>VLOOKUP(B4669,辅助信息!E:M,9,FALSE)</f>
        <v>ZTWM-CDGS-XS-2025-0156-五冶钢构-2025年九月第一批次钢筋采购合同(三圣乡项目)-中铁物贸成都公司</v>
      </c>
      <c r="R4669" s="30"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11</v>
      </c>
      <c r="Q4670" s="30" t="str">
        <f>VLOOKUP(B4670,辅助信息!E:M,9,FALSE)</f>
        <v>ZTWM-CDGS-XS-2025-0156-五冶钢构-2025年九月第一批次钢筋采购合同(三圣乡项目)-中铁物贸成都公司</v>
      </c>
      <c r="R4670" s="30"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11</v>
      </c>
      <c r="Q4671" s="30" t="str">
        <f>VLOOKUP(B4671,辅助信息!E:M,9,FALSE)</f>
        <v>ZTWM-CDGS-XS-2025-0156-五冶钢构-2025年九月第一批次钢筋采购合同(三圣乡项目)-中铁物贸成都公司</v>
      </c>
      <c r="R4671" s="30"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11</v>
      </c>
      <c r="Q4672" s="30" t="str">
        <f>VLOOKUP(B4672,辅助信息!E:M,9,FALSE)</f>
        <v>ZTWM-CDGS-XS-2025-0156-五冶钢构-2025年九月第一批次钢筋采购合同(三圣乡项目)-中铁物贸成都公司</v>
      </c>
      <c r="R4672" s="30"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11</v>
      </c>
      <c r="Q4673" s="30" t="str">
        <f>VLOOKUP(B4673,辅助信息!E:M,9,FALSE)</f>
        <v>ZTWM-CDGS-XS-2025-0156-五冶钢构-2025年九月第一批次钢筋采购合同(三圣乡项目)-中铁物贸成都公司</v>
      </c>
      <c r="R4673" s="30"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30" t="str">
        <f>VLOOKUP(B4674,辅助信息!E:M,9,FALSE)</f>
        <v>ZTWM-CDGS-XS-2025-0033-中铁武汉电气化局集团有限公司成达万高速铁路强电工程项目</v>
      </c>
      <c r="R4674" s="30"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30" t="str">
        <f>VLOOKUP(B4675,辅助信息!E:M,9,FALSE)</f>
        <v>ZTWM-CDGS-XS-2025-0033-中铁武汉电气化局集团有限公司成达万高速铁路强电工程项目</v>
      </c>
      <c r="R4675" s="30"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30" t="str">
        <f>VLOOKUP(B4676,辅助信息!E:M,9,FALSE)</f>
        <v>ZTWM-CDGS-XS-2025-0033-中铁武汉电气化局集团有限公司成达万高速铁路强电工程项目</v>
      </c>
      <c r="R4676" s="30"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30" t="str">
        <f>VLOOKUP(B4677,辅助信息!E:M,9,FALSE)</f>
        <v>ZTWM-CDGS-XS-2025-0033-中铁武汉电气化局集团有限公司成达万高速铁路强电工程项目</v>
      </c>
      <c r="R4677" s="30"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30" t="str">
        <f>VLOOKUP(B4678,辅助信息!E:M,9,FALSE)</f>
        <v>ZTWM-CDGS-XS-2025-0033-中铁武汉电气化局集团有限公司成达万高速铁路强电工程项目</v>
      </c>
      <c r="R4678" s="30"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18</v>
      </c>
      <c r="Q4679" s="30" t="str">
        <f>VLOOKUP(B4679,辅助信息!E:M,9,FALSE)</f>
        <v>ZTWM-CDGS-XS-2025-0033-中铁武汉电气化局集团有限公司成达万高速铁路强电工程项目</v>
      </c>
      <c r="R4679" s="30"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30" t="str">
        <f>VLOOKUP(B4680,辅助信息!E:M,9,FALSE)</f>
        <v>ZTWM-CDGS-XS-2024-0134-商投建工达州中医药科技成果示范园项目</v>
      </c>
      <c r="R4680" s="30"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30" t="str">
        <f>VLOOKUP(B4681,辅助信息!E:M,9,FALSE)</f>
        <v>ZTWM-CDGS-XS-2024-0134-商投建工达州中医药科技成果示范园项目</v>
      </c>
      <c r="R4681" s="30"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30" t="str">
        <f>VLOOKUP(B4682,辅助信息!E:M,9,FALSE)</f>
        <v>ZTWM-CDGS-XS-2024-0134-商投建工达州中医药科技成果示范园项目</v>
      </c>
      <c r="R4682" s="30"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30" t="str">
        <f>VLOOKUP(B4683,辅助信息!E:M,9,FALSE)</f>
        <v>ZTWM-CDGS-XS-2024-0134-商投建工达州中医药科技成果示范园项目</v>
      </c>
      <c r="R4683" s="30"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30" t="str">
        <f>VLOOKUP(B4684,辅助信息!E:M,9,FALSE)</f>
        <v>ZTWM-CDGS-XS-2024-0134-商投建工达州中医药科技成果示范园项目</v>
      </c>
      <c r="R4684" s="30"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30" t="str">
        <f>VLOOKUP(B4685,辅助信息!E:M,9,FALSE)</f>
        <v>ZTWM-CDGS-XS-2024-0134-商投建工达州中医药科技成果示范园项目</v>
      </c>
      <c r="R4685" s="30"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30" t="str">
        <f>VLOOKUP(B4686,辅助信息!E:M,9,FALSE)</f>
        <v>ZTWM-CDGS-XS-2024-0134-商投建工达州中医药科技成果示范园项目</v>
      </c>
      <c r="R4686" s="30"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30" t="str">
        <f>VLOOKUP(B4687,辅助信息!E:M,9,FALSE)</f>
        <v>ZTWM-CDGS-XS-2024-0134-商投建工达州中医药科技成果示范园项目</v>
      </c>
      <c r="R4687" s="30"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11</v>
      </c>
      <c r="Q4688" s="30" t="str">
        <f>VLOOKUP(B4688,辅助信息!E:M,9,FALSE)</f>
        <v>ZTWM-CDGS-XS-2025-0156-五冶钢构-2025年九月第一批次钢筋采购合同(三圣乡项目)-中铁物贸成都公司</v>
      </c>
      <c r="R4688" s="30"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30" t="str">
        <f>VLOOKUP(B4689,辅助信息!E:M,9,FALSE)</f>
        <v>ZTWM-CDGS-XS-2025-0033-中铁武汉电气化局集团有限公司成达万高速铁路强电工程项目</v>
      </c>
      <c r="R4689" s="30"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30" t="str">
        <f>VLOOKUP(B4690,辅助信息!E:M,9,FALSE)</f>
        <v>ZTWM-CDGS-XS-2025-0033-中铁武汉电气化局集团有限公司成达万高速铁路强电工程项目</v>
      </c>
      <c r="R4690" s="30"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30" t="str">
        <f>VLOOKUP(B4691,辅助信息!E:M,9,FALSE)</f>
        <v>ZTWM-CDGS-XS-2025-0033-中铁武汉电气化局集团有限公司成达万高速铁路强电工程项目</v>
      </c>
      <c r="R4691" s="30" t="str">
        <f>_xlfn._xlws.FILTER(辅助信息!D:D,辅助信息!E:E=B4691)</f>
        <v>武汉电气化局成达万高铁强电项目</v>
      </c>
    </row>
    <row r="4692" hidden="1" spans="2:18">
      <c r="B4692" s="136" t="s">
        <v>167</v>
      </c>
      <c r="C4692" s="71">
        <v>45947</v>
      </c>
      <c r="D4692" s="41" t="str">
        <f>VLOOKUP(B4692,辅助信息!E:K,7,FALSE)</f>
        <v>JWDDCD2025102100473</v>
      </c>
      <c r="E4692" s="41" t="str">
        <f>VLOOKUP(F4692,辅助信息!A:B,2,FALSE)</f>
        <v>盘螺</v>
      </c>
      <c r="F4692" s="41" t="s">
        <v>40</v>
      </c>
      <c r="G4692" s="37">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1" t="str">
        <f>VLOOKUP(B4692,辅助信息!E:I,3,FALSE)</f>
        <v>(五冶建设扩建艺体中学二期工程)四川省成都市双流区光荣路成都艺体中学南200米</v>
      </c>
      <c r="J4692" s="41" t="str">
        <f>VLOOKUP(B4692,辅助信息!E:I,4,FALSE)</f>
        <v>谢序强</v>
      </c>
      <c r="K4692" s="41">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30" t="str">
        <f>VLOOKUP(B4692,辅助信息!E:M,9,FALSE)</f>
        <v>ZTWM-CDGS-XS-2025-0073-五冶天府-成都怡心湖片区及龙泉驿医院等项目</v>
      </c>
      <c r="R4692" s="30" t="str">
        <f>_xlfn._xlws.FILTER(辅助信息!D:D,辅助信息!E:E=B4692)</f>
        <v>五冶建设扩建艺体中学二期工程</v>
      </c>
    </row>
    <row r="4693" hidden="1" spans="2:18">
      <c r="B4693" s="136" t="s">
        <v>167</v>
      </c>
      <c r="C4693" s="71">
        <v>45947</v>
      </c>
      <c r="D4693" s="41" t="str">
        <f>VLOOKUP(B4693,辅助信息!E:K,7,FALSE)</f>
        <v>JWDDCD2025102100473</v>
      </c>
      <c r="E4693" s="41" t="str">
        <f>VLOOKUP(F4693,辅助信息!A:B,2,FALSE)</f>
        <v>盘螺</v>
      </c>
      <c r="F4693" s="41" t="s">
        <v>41</v>
      </c>
      <c r="G4693" s="37">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1" t="str">
        <f>VLOOKUP(B4693,辅助信息!E:I,3,FALSE)</f>
        <v>(五冶建设扩建艺体中学二期工程)四川省成都市双流区光荣路成都艺体中学南200米</v>
      </c>
      <c r="J4693" s="41" t="str">
        <f>VLOOKUP(B4693,辅助信息!E:I,4,FALSE)</f>
        <v>谢序强</v>
      </c>
      <c r="K4693" s="41">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30" t="str">
        <f>VLOOKUP(B4693,辅助信息!E:M,9,FALSE)</f>
        <v>ZTWM-CDGS-XS-2025-0073-五冶天府-成都怡心湖片区及龙泉驿医院等项目</v>
      </c>
      <c r="R4693" s="30" t="str">
        <f>_xlfn._xlws.FILTER(辅助信息!D:D,辅助信息!E:E=B4693)</f>
        <v>五冶建设扩建艺体中学二期工程</v>
      </c>
    </row>
    <row r="4694" hidden="1" spans="2:18">
      <c r="B4694" s="136" t="s">
        <v>167</v>
      </c>
      <c r="C4694" s="71">
        <v>45947</v>
      </c>
      <c r="D4694" s="41" t="str">
        <f>VLOOKUP(B4694,辅助信息!E:K,7,FALSE)</f>
        <v>JWDDCD2025102100473</v>
      </c>
      <c r="E4694" s="41" t="str">
        <f>VLOOKUP(F4694,辅助信息!A:B,2,FALSE)</f>
        <v>螺纹钢</v>
      </c>
      <c r="F4694" s="41" t="s">
        <v>32</v>
      </c>
      <c r="G4694" s="37">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1" t="str">
        <f>VLOOKUP(B4694,辅助信息!E:I,3,FALSE)</f>
        <v>(五冶建设扩建艺体中学二期工程)四川省成都市双流区光荣路成都艺体中学南200米</v>
      </c>
      <c r="J4694" s="41" t="str">
        <f>VLOOKUP(B4694,辅助信息!E:I,4,FALSE)</f>
        <v>谢序强</v>
      </c>
      <c r="K4694" s="41">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30" t="str">
        <f>VLOOKUP(B4694,辅助信息!E:M,9,FALSE)</f>
        <v>ZTWM-CDGS-XS-2025-0073-五冶天府-成都怡心湖片区及龙泉驿医院等项目</v>
      </c>
      <c r="R4694" s="30" t="str">
        <f>_xlfn._xlws.FILTER(辅助信息!D:D,辅助信息!E:E=B4694)</f>
        <v>五冶建设扩建艺体中学二期工程</v>
      </c>
    </row>
    <row r="4695" hidden="1" spans="2:18">
      <c r="B4695" s="136" t="s">
        <v>167</v>
      </c>
      <c r="C4695" s="71">
        <v>45947</v>
      </c>
      <c r="D4695" s="41" t="str">
        <f>VLOOKUP(B4695,辅助信息!E:K,7,FALSE)</f>
        <v>JWDDCD2025102100473</v>
      </c>
      <c r="E4695" s="41" t="str">
        <f>VLOOKUP(F4695,辅助信息!A:B,2,FALSE)</f>
        <v>螺纹钢</v>
      </c>
      <c r="F4695" s="41" t="s">
        <v>82</v>
      </c>
      <c r="G4695" s="37">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1" t="str">
        <f>VLOOKUP(B4695,辅助信息!E:I,3,FALSE)</f>
        <v>(五冶建设扩建艺体中学二期工程)四川省成都市双流区光荣路成都艺体中学南200米</v>
      </c>
      <c r="J4695" s="41" t="str">
        <f>VLOOKUP(B4695,辅助信息!E:I,4,FALSE)</f>
        <v>谢序强</v>
      </c>
      <c r="K4695" s="41">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30" t="str">
        <f>VLOOKUP(B4695,辅助信息!E:M,9,FALSE)</f>
        <v>ZTWM-CDGS-XS-2025-0073-五冶天府-成都怡心湖片区及龙泉驿医院等项目</v>
      </c>
      <c r="R4695" s="30" t="str">
        <f>_xlfn._xlws.FILTER(辅助信息!D:D,辅助信息!E:E=B4695)</f>
        <v>五冶建设扩建艺体中学二期工程</v>
      </c>
    </row>
    <row r="4696" hidden="1" spans="2:18">
      <c r="B4696" s="136" t="s">
        <v>167</v>
      </c>
      <c r="C4696" s="71">
        <v>45947</v>
      </c>
      <c r="D4696" s="41" t="str">
        <f>VLOOKUP(B4696,辅助信息!E:K,7,FALSE)</f>
        <v>JWDDCD2025102100473</v>
      </c>
      <c r="E4696" s="41" t="str">
        <f>VLOOKUP(F4696,辅助信息!A:B,2,FALSE)</f>
        <v>螺纹钢</v>
      </c>
      <c r="F4696" s="41" t="s">
        <v>22</v>
      </c>
      <c r="G4696" s="37">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1" t="str">
        <f>VLOOKUP(B4696,辅助信息!E:I,3,FALSE)</f>
        <v>(五冶建设扩建艺体中学二期工程)四川省成都市双流区光荣路成都艺体中学南200米</v>
      </c>
      <c r="J4696" s="41" t="str">
        <f>VLOOKUP(B4696,辅助信息!E:I,4,FALSE)</f>
        <v>谢序强</v>
      </c>
      <c r="K4696" s="41">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30" t="str">
        <f>VLOOKUP(B4696,辅助信息!E:M,9,FALSE)</f>
        <v>ZTWM-CDGS-XS-2025-0073-五冶天府-成都怡心湖片区及龙泉驿医院等项目</v>
      </c>
      <c r="R4696" s="30" t="str">
        <f>_xlfn._xlws.FILTER(辅助信息!D:D,辅助信息!E:E=B4696)</f>
        <v>五冶建设扩建艺体中学二期工程</v>
      </c>
    </row>
    <row r="4697" hidden="1" spans="2:18">
      <c r="B4697" s="136" t="s">
        <v>224</v>
      </c>
      <c r="C4697" s="71">
        <v>45950</v>
      </c>
      <c r="D4697" s="41" t="str">
        <f>VLOOKUP(B4697,辅助信息!E:K,7,FALSE)</f>
        <v>JWDDCD2025092400188</v>
      </c>
      <c r="E4697" s="41" t="str">
        <f>VLOOKUP(F4697,辅助信息!A:B,2,FALSE)</f>
        <v>螺纹钢</v>
      </c>
      <c r="F4697" s="41" t="s">
        <v>82</v>
      </c>
      <c r="G4697" s="37">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1" t="str">
        <f>VLOOKUP(B4697,辅助信息!E:I,3,FALSE)</f>
        <v>(五冶钢构龙泉东洪片区70亩住宅、商业及配套工程项目一标段)成都市龙泉驿外东洪路地铁2号线惠王陵地铁C口</v>
      </c>
      <c r="J4697" s="41" t="str">
        <f>VLOOKUP(B4697,辅助信息!E:I,4,FALSE)</f>
        <v>邹爱国</v>
      </c>
      <c r="K4697" s="41">
        <f>VLOOKUP(J4697,辅助信息!H:I,2,FALSE)</f>
        <v>13540231225</v>
      </c>
      <c r="L4697" s="110">
        <f>VLOOKUP(B4697,辅助信息!E:J,6,FALSE)</f>
        <v>0</v>
      </c>
      <c r="M4697" s="92">
        <v>45948</v>
      </c>
      <c r="O4697" s="63">
        <f ca="1" t="shared" si="228"/>
        <v>0</v>
      </c>
      <c r="P4697" s="63">
        <f ca="1" t="shared" si="229"/>
        <v>11</v>
      </c>
      <c r="Q4697" s="30" t="str">
        <f>VLOOKUP(B4697,辅助信息!E:M,9,FALSE)</f>
        <v>ZTWM-CDGS-XS-2025-0156-五冶钢构-2025年九月第一批次钢筋采购合同(三圣乡项目)-中铁物贸成都公司</v>
      </c>
      <c r="R4697" s="30" t="str">
        <f>_xlfn._xlws.FILTER(辅助信息!D:D,辅助信息!E:E=B4697)</f>
        <v>五冶钢构龙泉东洪片区(70亩、85亩)住宅、商业及配套工程项目</v>
      </c>
    </row>
    <row r="4698" hidden="1" spans="2:18">
      <c r="B4698" s="136" t="s">
        <v>224</v>
      </c>
      <c r="C4698" s="71">
        <v>45950</v>
      </c>
      <c r="D4698" s="41" t="str">
        <f>VLOOKUP(B4698,辅助信息!E:K,7,FALSE)</f>
        <v>JWDDCD2025092400188</v>
      </c>
      <c r="E4698" s="41" t="str">
        <f>VLOOKUP(F4698,辅助信息!A:B,2,FALSE)</f>
        <v>螺纹钢</v>
      </c>
      <c r="F4698" s="41" t="s">
        <v>45</v>
      </c>
      <c r="G4698" s="37">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1" t="str">
        <f>VLOOKUP(B4698,辅助信息!E:I,3,FALSE)</f>
        <v>(五冶钢构龙泉东洪片区70亩住宅、商业及配套工程项目一标段)成都市龙泉驿外东洪路地铁2号线惠王陵地铁C口</v>
      </c>
      <c r="J4698" s="41" t="str">
        <f>VLOOKUP(B4698,辅助信息!E:I,4,FALSE)</f>
        <v>邹爱国</v>
      </c>
      <c r="K4698" s="41">
        <f>VLOOKUP(J4698,辅助信息!H:I,2,FALSE)</f>
        <v>13540231225</v>
      </c>
      <c r="L4698" s="110">
        <f>VLOOKUP(B4698,辅助信息!E:J,6,FALSE)</f>
        <v>0</v>
      </c>
      <c r="M4698" s="92">
        <v>45948</v>
      </c>
      <c r="O4698" s="63">
        <f ca="1" t="shared" si="228"/>
        <v>0</v>
      </c>
      <c r="P4698" s="63">
        <f ca="1" t="shared" si="229"/>
        <v>11</v>
      </c>
      <c r="Q4698" s="30" t="str">
        <f>VLOOKUP(B4698,辅助信息!E:M,9,FALSE)</f>
        <v>ZTWM-CDGS-XS-2025-0156-五冶钢构-2025年九月第一批次钢筋采购合同(三圣乡项目)-中铁物贸成都公司</v>
      </c>
      <c r="R4698" s="30" t="str">
        <f>_xlfn._xlws.FILTER(辅助信息!D:D,辅助信息!E:E=B4698)</f>
        <v>五冶钢构龙泉东洪片区(70亩、85亩)住宅、商业及配套工程项目</v>
      </c>
    </row>
    <row r="4699" hidden="1" spans="2:18">
      <c r="B4699" s="136" t="s">
        <v>224</v>
      </c>
      <c r="C4699" s="71">
        <v>45950</v>
      </c>
      <c r="D4699" s="41" t="str">
        <f>VLOOKUP(B4699,辅助信息!E:K,7,FALSE)</f>
        <v>JWDDCD2025092400188</v>
      </c>
      <c r="E4699" s="41" t="str">
        <f>VLOOKUP(F4699,辅助信息!A:B,2,FALSE)</f>
        <v>螺纹钢</v>
      </c>
      <c r="F4699" s="41" t="s">
        <v>21</v>
      </c>
      <c r="G4699" s="37">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1" t="str">
        <f>VLOOKUP(B4699,辅助信息!E:I,3,FALSE)</f>
        <v>(五冶钢构龙泉东洪片区70亩住宅、商业及配套工程项目一标段)成都市龙泉驿外东洪路地铁2号线惠王陵地铁C口</v>
      </c>
      <c r="J4699" s="41" t="str">
        <f>VLOOKUP(B4699,辅助信息!E:I,4,FALSE)</f>
        <v>邹爱国</v>
      </c>
      <c r="K4699" s="41">
        <f>VLOOKUP(J4699,辅助信息!H:I,2,FALSE)</f>
        <v>13540231225</v>
      </c>
      <c r="L4699" s="110">
        <f>VLOOKUP(B4699,辅助信息!E:J,6,FALSE)</f>
        <v>0</v>
      </c>
      <c r="M4699" s="92">
        <v>45948</v>
      </c>
      <c r="O4699" s="63">
        <f ca="1" t="shared" si="228"/>
        <v>0</v>
      </c>
      <c r="P4699" s="63">
        <f ca="1" t="shared" si="229"/>
        <v>11</v>
      </c>
      <c r="Q4699" s="30" t="str">
        <f>VLOOKUP(B4699,辅助信息!E:M,9,FALSE)</f>
        <v>ZTWM-CDGS-XS-2025-0156-五冶钢构-2025年九月第一批次钢筋采购合同(三圣乡项目)-中铁物贸成都公司</v>
      </c>
      <c r="R4699" s="30" t="str">
        <f>_xlfn._xlws.FILTER(辅助信息!D:D,辅助信息!E:E=B4699)</f>
        <v>五冶钢构龙泉东洪片区(70亩、85亩)住宅、商业及配套工程项目</v>
      </c>
    </row>
    <row r="4700" hidden="1" spans="2:18">
      <c r="B4700" s="136" t="s">
        <v>224</v>
      </c>
      <c r="C4700" s="71">
        <v>45950</v>
      </c>
      <c r="D4700" s="41" t="str">
        <f>VLOOKUP(B4700,辅助信息!E:K,7,FALSE)</f>
        <v>JWDDCD2025092400188</v>
      </c>
      <c r="E4700" s="41" t="str">
        <f>VLOOKUP(F4700,辅助信息!A:B,2,FALSE)</f>
        <v>螺纹钢</v>
      </c>
      <c r="F4700" s="41" t="s">
        <v>58</v>
      </c>
      <c r="G4700" s="37">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1" t="str">
        <f>VLOOKUP(B4700,辅助信息!E:I,3,FALSE)</f>
        <v>(五冶钢构龙泉东洪片区70亩住宅、商业及配套工程项目一标段)成都市龙泉驿外东洪路地铁2号线惠王陵地铁C口</v>
      </c>
      <c r="J4700" s="41" t="str">
        <f>VLOOKUP(B4700,辅助信息!E:I,4,FALSE)</f>
        <v>邹爱国</v>
      </c>
      <c r="K4700" s="41">
        <f>VLOOKUP(J4700,辅助信息!H:I,2,FALSE)</f>
        <v>13540231225</v>
      </c>
      <c r="L4700" s="110">
        <f>VLOOKUP(B4700,辅助信息!E:J,6,FALSE)</f>
        <v>0</v>
      </c>
      <c r="M4700" s="92">
        <v>45948</v>
      </c>
      <c r="O4700" s="63">
        <f ca="1" t="shared" si="228"/>
        <v>0</v>
      </c>
      <c r="P4700" s="63">
        <f ca="1" t="shared" si="229"/>
        <v>11</v>
      </c>
      <c r="Q4700" s="30" t="str">
        <f>VLOOKUP(B4700,辅助信息!E:M,9,FALSE)</f>
        <v>ZTWM-CDGS-XS-2025-0156-五冶钢构-2025年九月第一批次钢筋采购合同(三圣乡项目)-中铁物贸成都公司</v>
      </c>
      <c r="R4700" s="30" t="str">
        <f>_xlfn._xlws.FILTER(辅助信息!D:D,辅助信息!E:E=B4700)</f>
        <v>五冶钢构龙泉东洪片区(70亩、85亩)住宅、商业及配套工程项目</v>
      </c>
    </row>
    <row r="4701" hidden="1" spans="2:18">
      <c r="B4701" s="136" t="s">
        <v>224</v>
      </c>
      <c r="C4701" s="71">
        <v>45950</v>
      </c>
      <c r="D4701" s="41" t="str">
        <f>VLOOKUP(B4701,辅助信息!E:K,7,FALSE)</f>
        <v>JWDDCD2025092400188</v>
      </c>
      <c r="E4701" s="41" t="str">
        <f>VLOOKUP(F4701,辅助信息!A:B,2,FALSE)</f>
        <v>螺纹钢</v>
      </c>
      <c r="F4701" s="41" t="s">
        <v>46</v>
      </c>
      <c r="G4701" s="37">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1" t="str">
        <f>VLOOKUP(B4701,辅助信息!E:I,3,FALSE)</f>
        <v>(五冶钢构龙泉东洪片区70亩住宅、商业及配套工程项目一标段)成都市龙泉驿外东洪路地铁2号线惠王陵地铁C口</v>
      </c>
      <c r="J4701" s="41" t="str">
        <f>VLOOKUP(B4701,辅助信息!E:I,4,FALSE)</f>
        <v>邹爱国</v>
      </c>
      <c r="K4701" s="41">
        <f>VLOOKUP(J4701,辅助信息!H:I,2,FALSE)</f>
        <v>13540231225</v>
      </c>
      <c r="L4701" s="110">
        <f>VLOOKUP(B4701,辅助信息!E:J,6,FALSE)</f>
        <v>0</v>
      </c>
      <c r="M4701" s="92">
        <v>45948</v>
      </c>
      <c r="O4701" s="63">
        <f ca="1" t="shared" si="228"/>
        <v>0</v>
      </c>
      <c r="P4701" s="63">
        <f ca="1" t="shared" si="229"/>
        <v>11</v>
      </c>
      <c r="Q4701" s="30" t="str">
        <f>VLOOKUP(B4701,辅助信息!E:M,9,FALSE)</f>
        <v>ZTWM-CDGS-XS-2025-0156-五冶钢构-2025年九月第一批次钢筋采购合同(三圣乡项目)-中铁物贸成都公司</v>
      </c>
      <c r="R4701" s="30" t="str">
        <f>_xlfn._xlws.FILTER(辅助信息!D:D,辅助信息!E:E=B4701)</f>
        <v>五冶钢构龙泉东洪片区(70亩、85亩)住宅、商业及配套工程项目</v>
      </c>
    </row>
    <row r="4702" hidden="1" spans="2:18">
      <c r="B4702" s="136" t="s">
        <v>224</v>
      </c>
      <c r="C4702" s="71">
        <v>45950</v>
      </c>
      <c r="D4702" s="41" t="str">
        <f>VLOOKUP(B4702,辅助信息!E:K,7,FALSE)</f>
        <v>JWDDCD2025092400188</v>
      </c>
      <c r="E4702" s="41" t="str">
        <f>VLOOKUP(F4702,辅助信息!A:B,2,FALSE)</f>
        <v>螺纹钢</v>
      </c>
      <c r="F4702" s="41" t="s">
        <v>22</v>
      </c>
      <c r="G4702" s="37">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1" t="str">
        <f>VLOOKUP(B4702,辅助信息!E:I,3,FALSE)</f>
        <v>(五冶钢构龙泉东洪片区70亩住宅、商业及配套工程项目一标段)成都市龙泉驿外东洪路地铁2号线惠王陵地铁C口</v>
      </c>
      <c r="J4702" s="41" t="str">
        <f>VLOOKUP(B4702,辅助信息!E:I,4,FALSE)</f>
        <v>邹爱国</v>
      </c>
      <c r="K4702" s="41">
        <f>VLOOKUP(J4702,辅助信息!H:I,2,FALSE)</f>
        <v>13540231225</v>
      </c>
      <c r="L4702" s="110">
        <f>VLOOKUP(B4702,辅助信息!E:J,6,FALSE)</f>
        <v>0</v>
      </c>
      <c r="M4702" s="92">
        <v>45948</v>
      </c>
      <c r="O4702" s="63">
        <f ca="1" t="shared" si="228"/>
        <v>0</v>
      </c>
      <c r="P4702" s="63">
        <f ca="1" t="shared" si="229"/>
        <v>11</v>
      </c>
      <c r="Q4702" s="30" t="str">
        <f>VLOOKUP(B4702,辅助信息!E:M,9,FALSE)</f>
        <v>ZTWM-CDGS-XS-2025-0156-五冶钢构-2025年九月第一批次钢筋采购合同(三圣乡项目)-中铁物贸成都公司</v>
      </c>
      <c r="R4702" s="30" t="str">
        <f>_xlfn._xlws.FILTER(辅助信息!D:D,辅助信息!E:E=B4702)</f>
        <v>五冶钢构龙泉东洪片区(70亩、85亩)住宅、商业及配套工程项目</v>
      </c>
    </row>
    <row r="4703" hidden="1" spans="2:18">
      <c r="B4703" s="136" t="s">
        <v>203</v>
      </c>
      <c r="C4703" s="71">
        <v>45948</v>
      </c>
      <c r="D4703" s="41" t="str">
        <f>VLOOKUP(B4703,辅助信息!E:K,7,FALSE)</f>
        <v>JWDDCD2025102100479</v>
      </c>
      <c r="E4703" s="41" t="str">
        <f>VLOOKUP(F4703,辅助信息!A:B,2,FALSE)</f>
        <v>螺纹钢</v>
      </c>
      <c r="F4703" s="41" t="s">
        <v>32</v>
      </c>
      <c r="G4703" s="37">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1" t="str">
        <f>VLOOKUP(B4703,辅助信息!E:I,3,FALSE)</f>
        <v>(五冶建设空港兴城怡心街道83亩项目)成都市双流区怡心街道高峰社区一组剑和路一段空港兴城怡心街道83亩项目中国五冶项目部</v>
      </c>
      <c r="J4703" s="41" t="str">
        <f>VLOOKUP(B4703,辅助信息!E:I,4,FALSE)</f>
        <v>王刚</v>
      </c>
      <c r="K4703" s="41">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30" t="str">
        <f>VLOOKUP(B4703,辅助信息!E:M,9,FALSE)</f>
        <v>ZTWM-CDGS-XS-2025-0073-五冶天府-成都怡心湖片区及龙泉驿医院等项目</v>
      </c>
      <c r="R4703" s="30" t="str">
        <f>_xlfn._xlws.FILTER(辅助信息!D:D,辅助信息!E:E=B4703)</f>
        <v>五冶建设空港兴城怡心街道83亩项目</v>
      </c>
    </row>
    <row r="4704" hidden="1" spans="2:18">
      <c r="B4704" s="136" t="s">
        <v>203</v>
      </c>
      <c r="C4704" s="71">
        <v>45948</v>
      </c>
      <c r="D4704" s="41" t="str">
        <f>VLOOKUP(B4704,辅助信息!E:K,7,FALSE)</f>
        <v>JWDDCD2025102100479</v>
      </c>
      <c r="E4704" s="41" t="str">
        <f>VLOOKUP(F4704,辅助信息!A:B,2,FALSE)</f>
        <v>螺纹钢</v>
      </c>
      <c r="F4704" s="41" t="s">
        <v>33</v>
      </c>
      <c r="G4704" s="37">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1" t="str">
        <f>VLOOKUP(B4704,辅助信息!E:I,3,FALSE)</f>
        <v>(五冶建设空港兴城怡心街道83亩项目)成都市双流区怡心街道高峰社区一组剑和路一段空港兴城怡心街道83亩项目中国五冶项目部</v>
      </c>
      <c r="J4704" s="41" t="str">
        <f>VLOOKUP(B4704,辅助信息!E:I,4,FALSE)</f>
        <v>王刚</v>
      </c>
      <c r="K4704" s="41">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30" t="str">
        <f>VLOOKUP(B4704,辅助信息!E:M,9,FALSE)</f>
        <v>ZTWM-CDGS-XS-2025-0073-五冶天府-成都怡心湖片区及龙泉驿医院等项目</v>
      </c>
      <c r="R4704" s="30" t="str">
        <f>_xlfn._xlws.FILTER(辅助信息!D:D,辅助信息!E:E=B4704)</f>
        <v>五冶建设空港兴城怡心街道83亩项目</v>
      </c>
    </row>
    <row r="4705" hidden="1" spans="2:18">
      <c r="B4705" s="136" t="s">
        <v>112</v>
      </c>
      <c r="C4705" s="71">
        <v>45950</v>
      </c>
      <c r="D4705" s="41" t="str">
        <f>VLOOKUP(B4705,辅助信息!E:K,7,FALSE)</f>
        <v>JWDDCD2025052800131</v>
      </c>
      <c r="E4705" s="41" t="str">
        <f>VLOOKUP(F4705,辅助信息!A:B,2,FALSE)</f>
        <v>盘螺</v>
      </c>
      <c r="F4705" s="41" t="s">
        <v>49</v>
      </c>
      <c r="G4705" s="37">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1" t="str">
        <f>VLOOKUP(B4705,辅助信息!E:I,3,FALSE)</f>
        <v>（商投建工达州中医药科技园-4工区-10号楼）达州市通川区达州中医药职业学院犀牛大道北段</v>
      </c>
      <c r="J4705" s="41" t="str">
        <f>VLOOKUP(B4705,辅助信息!E:I,4,FALSE)</f>
        <v>张扬</v>
      </c>
      <c r="K4705" s="41">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11</v>
      </c>
      <c r="Q4705" s="30" t="str">
        <f>VLOOKUP(B4705,辅助信息!E:M,9,FALSE)</f>
        <v>ZTWM-CDGS-XS-2024-0134-商投建工达州中医药科技成果示范园项目</v>
      </c>
      <c r="R4705" s="30" t="str">
        <f>_xlfn._xlws.FILTER(辅助信息!D:D,辅助信息!E:E=B4705)</f>
        <v>商投建工达州中医药科技园</v>
      </c>
    </row>
    <row r="4706" hidden="1" spans="2:18">
      <c r="B4706" s="136" t="s">
        <v>112</v>
      </c>
      <c r="C4706" s="71">
        <v>45950</v>
      </c>
      <c r="D4706" s="41" t="str">
        <f>VLOOKUP(B4706,辅助信息!E:K,7,FALSE)</f>
        <v>JWDDCD2025052800131</v>
      </c>
      <c r="E4706" s="41" t="str">
        <f>VLOOKUP(F4706,辅助信息!A:B,2,FALSE)</f>
        <v>盘螺</v>
      </c>
      <c r="F4706" s="41" t="s">
        <v>40</v>
      </c>
      <c r="G4706" s="37">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1" t="str">
        <f>VLOOKUP(B4706,辅助信息!E:I,3,FALSE)</f>
        <v>（商投建工达州中医药科技园-4工区-10号楼）达州市通川区达州中医药职业学院犀牛大道北段</v>
      </c>
      <c r="J4706" s="41" t="str">
        <f>VLOOKUP(B4706,辅助信息!E:I,4,FALSE)</f>
        <v>张扬</v>
      </c>
      <c r="K4706" s="41">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11</v>
      </c>
      <c r="Q4706" s="30" t="str">
        <f>VLOOKUP(B4706,辅助信息!E:M,9,FALSE)</f>
        <v>ZTWM-CDGS-XS-2024-0134-商投建工达州中医药科技成果示范园项目</v>
      </c>
      <c r="R4706" s="30" t="str">
        <f>_xlfn._xlws.FILTER(辅助信息!D:D,辅助信息!E:E=B4706)</f>
        <v>商投建工达州中医药科技园</v>
      </c>
    </row>
    <row r="4707" hidden="1" spans="2:18">
      <c r="B4707" s="136" t="s">
        <v>112</v>
      </c>
      <c r="C4707" s="71">
        <v>45950</v>
      </c>
      <c r="D4707" s="41" t="str">
        <f>VLOOKUP(B4707,辅助信息!E:K,7,FALSE)</f>
        <v>JWDDCD2025052800131</v>
      </c>
      <c r="E4707" s="41" t="str">
        <f>VLOOKUP(F4707,辅助信息!A:B,2,FALSE)</f>
        <v>盘螺</v>
      </c>
      <c r="F4707" s="41" t="s">
        <v>41</v>
      </c>
      <c r="G4707" s="37">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1" t="str">
        <f>VLOOKUP(B4707,辅助信息!E:I,3,FALSE)</f>
        <v>（商投建工达州中医药科技园-4工区-10号楼）达州市通川区达州中医药职业学院犀牛大道北段</v>
      </c>
      <c r="J4707" s="41" t="str">
        <f>VLOOKUP(B4707,辅助信息!E:I,4,FALSE)</f>
        <v>张扬</v>
      </c>
      <c r="K4707" s="41">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11</v>
      </c>
      <c r="Q4707" s="30" t="str">
        <f>VLOOKUP(B4707,辅助信息!E:M,9,FALSE)</f>
        <v>ZTWM-CDGS-XS-2024-0134-商投建工达州中医药科技成果示范园项目</v>
      </c>
      <c r="R4707" s="30" t="str">
        <f>_xlfn._xlws.FILTER(辅助信息!D:D,辅助信息!E:E=B4707)</f>
        <v>商投建工达州中医药科技园</v>
      </c>
    </row>
    <row r="4708" hidden="1" spans="2:18">
      <c r="B4708" s="136" t="s">
        <v>112</v>
      </c>
      <c r="C4708" s="71">
        <v>45950</v>
      </c>
      <c r="D4708" s="41" t="str">
        <f>VLOOKUP(B4708,辅助信息!E:K,7,FALSE)</f>
        <v>JWDDCD2025052800131</v>
      </c>
      <c r="E4708" s="41" t="str">
        <f>VLOOKUP(F4708,辅助信息!A:B,2,FALSE)</f>
        <v>螺纹钢</v>
      </c>
      <c r="F4708" s="41" t="s">
        <v>45</v>
      </c>
      <c r="G4708" s="37">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1" t="str">
        <f>VLOOKUP(B4708,辅助信息!E:I,3,FALSE)</f>
        <v>（商投建工达州中医药科技园-4工区-10号楼）达州市通川区达州中医药职业学院犀牛大道北段</v>
      </c>
      <c r="J4708" s="41" t="str">
        <f>VLOOKUP(B4708,辅助信息!E:I,4,FALSE)</f>
        <v>张扬</v>
      </c>
      <c r="K4708" s="41">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11</v>
      </c>
      <c r="Q4708" s="30" t="str">
        <f>VLOOKUP(B4708,辅助信息!E:M,9,FALSE)</f>
        <v>ZTWM-CDGS-XS-2024-0134-商投建工达州中医药科技成果示范园项目</v>
      </c>
      <c r="R4708" s="30" t="str">
        <f>_xlfn._xlws.FILTER(辅助信息!D:D,辅助信息!E:E=B4708)</f>
        <v>商投建工达州中医药科技园</v>
      </c>
    </row>
    <row r="4709" hidden="1" spans="2:18">
      <c r="B4709" s="136" t="s">
        <v>112</v>
      </c>
      <c r="C4709" s="71">
        <v>45950</v>
      </c>
      <c r="D4709" s="41" t="str">
        <f>VLOOKUP(B4709,辅助信息!E:K,7,FALSE)</f>
        <v>JWDDCD2025052800131</v>
      </c>
      <c r="E4709" s="41" t="str">
        <f>VLOOKUP(F4709,辅助信息!A:B,2,FALSE)</f>
        <v>螺纹钢</v>
      </c>
      <c r="F4709" s="41" t="s">
        <v>21</v>
      </c>
      <c r="G4709" s="37">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1" t="str">
        <f>VLOOKUP(B4709,辅助信息!E:I,3,FALSE)</f>
        <v>（商投建工达州中医药科技园-4工区-10号楼）达州市通川区达州中医药职业学院犀牛大道北段</v>
      </c>
      <c r="J4709" s="41" t="str">
        <f>VLOOKUP(B4709,辅助信息!E:I,4,FALSE)</f>
        <v>张扬</v>
      </c>
      <c r="K4709" s="41">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11</v>
      </c>
      <c r="Q4709" s="30" t="str">
        <f>VLOOKUP(B4709,辅助信息!E:M,9,FALSE)</f>
        <v>ZTWM-CDGS-XS-2024-0134-商投建工达州中医药科技成果示范园项目</v>
      </c>
      <c r="R4709" s="30" t="str">
        <f>_xlfn._xlws.FILTER(辅助信息!D:D,辅助信息!E:E=B4709)</f>
        <v>商投建工达州中医药科技园</v>
      </c>
    </row>
    <row r="4710" hidden="1" spans="2:18">
      <c r="B4710" s="136" t="s">
        <v>112</v>
      </c>
      <c r="C4710" s="71">
        <v>45950</v>
      </c>
      <c r="D4710" s="41" t="str">
        <f>VLOOKUP(B4710,辅助信息!E:K,7,FALSE)</f>
        <v>JWDDCD2025052800131</v>
      </c>
      <c r="E4710" s="41" t="str">
        <f>VLOOKUP(F4710,辅助信息!A:B,2,FALSE)</f>
        <v>螺纹钢</v>
      </c>
      <c r="F4710" s="41" t="s">
        <v>58</v>
      </c>
      <c r="G4710" s="37">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1" t="str">
        <f>VLOOKUP(B4710,辅助信息!E:I,3,FALSE)</f>
        <v>（商投建工达州中医药科技园-4工区-10号楼）达州市通川区达州中医药职业学院犀牛大道北段</v>
      </c>
      <c r="J4710" s="41" t="str">
        <f>VLOOKUP(B4710,辅助信息!E:I,4,FALSE)</f>
        <v>张扬</v>
      </c>
      <c r="K4710" s="41">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11</v>
      </c>
      <c r="Q4710" s="30" t="str">
        <f>VLOOKUP(B4710,辅助信息!E:M,9,FALSE)</f>
        <v>ZTWM-CDGS-XS-2024-0134-商投建工达州中医药科技成果示范园项目</v>
      </c>
      <c r="R4710" s="30" t="str">
        <f>_xlfn._xlws.FILTER(辅助信息!D:D,辅助信息!E:E=B4710)</f>
        <v>商投建工达州中医药科技园</v>
      </c>
    </row>
    <row r="4711" hidden="1" spans="2:18">
      <c r="B4711" s="136" t="s">
        <v>112</v>
      </c>
      <c r="C4711" s="71">
        <v>45950</v>
      </c>
      <c r="D4711" s="41" t="str">
        <f>VLOOKUP(B4711,辅助信息!E:K,7,FALSE)</f>
        <v>JWDDCD2025052800131</v>
      </c>
      <c r="E4711" s="41" t="str">
        <f>VLOOKUP(F4711,辅助信息!A:B,2,FALSE)</f>
        <v>螺纹钢</v>
      </c>
      <c r="F4711" s="41" t="s">
        <v>46</v>
      </c>
      <c r="G4711" s="37">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1" t="str">
        <f>VLOOKUP(B4711,辅助信息!E:I,3,FALSE)</f>
        <v>（商投建工达州中医药科技园-4工区-10号楼）达州市通川区达州中医药职业学院犀牛大道北段</v>
      </c>
      <c r="J4711" s="41" t="str">
        <f>VLOOKUP(B4711,辅助信息!E:I,4,FALSE)</f>
        <v>张扬</v>
      </c>
      <c r="K4711" s="41">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11</v>
      </c>
      <c r="Q4711" s="30" t="str">
        <f>VLOOKUP(B4711,辅助信息!E:M,9,FALSE)</f>
        <v>ZTWM-CDGS-XS-2024-0134-商投建工达州中医药科技成果示范园项目</v>
      </c>
      <c r="R4711" s="30" t="str">
        <f>_xlfn._xlws.FILTER(辅助信息!D:D,辅助信息!E:E=B4711)</f>
        <v>商投建工达州中医药科技园</v>
      </c>
    </row>
    <row r="4712" hidden="1" spans="2:18">
      <c r="B4712" s="136" t="s">
        <v>112</v>
      </c>
      <c r="C4712" s="71">
        <v>45950</v>
      </c>
      <c r="D4712" s="41" t="str">
        <f>VLOOKUP(B4712,辅助信息!E:K,7,FALSE)</f>
        <v>JWDDCD2025052800131</v>
      </c>
      <c r="E4712" s="41" t="str">
        <f>VLOOKUP(F4712,辅助信息!A:B,2,FALSE)</f>
        <v>螺纹钢</v>
      </c>
      <c r="F4712" s="41" t="s">
        <v>22</v>
      </c>
      <c r="G4712" s="37">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1" t="str">
        <f>VLOOKUP(B4712,辅助信息!E:I,3,FALSE)</f>
        <v>（商投建工达州中医药科技园-4工区-10号楼）达州市通川区达州中医药职业学院犀牛大道北段</v>
      </c>
      <c r="J4712" s="41" t="str">
        <f>VLOOKUP(B4712,辅助信息!E:I,4,FALSE)</f>
        <v>张扬</v>
      </c>
      <c r="K4712" s="41">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11</v>
      </c>
      <c r="Q4712" s="30" t="str">
        <f>VLOOKUP(B4712,辅助信息!E:M,9,FALSE)</f>
        <v>ZTWM-CDGS-XS-2024-0134-商投建工达州中医药科技成果示范园项目</v>
      </c>
      <c r="R4712" s="30" t="str">
        <f>_xlfn._xlws.FILTER(辅助信息!D:D,辅助信息!E:E=B4712)</f>
        <v>商投建工达州中医药科技园</v>
      </c>
    </row>
    <row r="4713" hidden="1" spans="2:18">
      <c r="B4713" s="136" t="s">
        <v>47</v>
      </c>
      <c r="C4713" s="71">
        <v>45950</v>
      </c>
      <c r="D4713" s="41" t="str">
        <f>VLOOKUP(B4713,辅助信息!E:K,7,FALSE)</f>
        <v>JWDDCD2025052800131</v>
      </c>
      <c r="E4713" s="41" t="str">
        <f>VLOOKUP(F4713,辅助信息!A:B,2,FALSE)</f>
        <v>高线</v>
      </c>
      <c r="F4713" s="41" t="s">
        <v>57</v>
      </c>
      <c r="G4713" s="37">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1" t="str">
        <f>VLOOKUP(B4713,辅助信息!E:I,3,FALSE)</f>
        <v>（商投建工达州中医药科技园-1工区）达州市通川区达州中医药职业学院犀牛大道北段</v>
      </c>
      <c r="J4713" s="41" t="str">
        <f>VLOOKUP(B4713,辅助信息!E:I,4,FALSE)</f>
        <v>程黄刚</v>
      </c>
      <c r="K4713" s="41">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11</v>
      </c>
      <c r="Q4713" s="30" t="str">
        <f>VLOOKUP(B4713,辅助信息!E:M,9,FALSE)</f>
        <v>ZTWM-CDGS-XS-2024-0134-商投建工达州中医药科技成果示范园项目</v>
      </c>
      <c r="R4713" s="30" t="str">
        <f>_xlfn._xlws.FILTER(辅助信息!D:D,辅助信息!E:E=B4713)</f>
        <v>商投建工达州中医药科技园</v>
      </c>
    </row>
    <row r="4714" hidden="1" spans="2:18">
      <c r="B4714" s="136" t="s">
        <v>47</v>
      </c>
      <c r="C4714" s="71">
        <v>45950</v>
      </c>
      <c r="D4714" s="41" t="str">
        <f>VLOOKUP(B4714,辅助信息!E:K,7,FALSE)</f>
        <v>JWDDCD2025052800131</v>
      </c>
      <c r="E4714" s="41" t="str">
        <f>VLOOKUP(F4714,辅助信息!A:B,2,FALSE)</f>
        <v>盘螺</v>
      </c>
      <c r="F4714" s="41" t="s">
        <v>40</v>
      </c>
      <c r="G4714" s="37">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1" t="str">
        <f>VLOOKUP(B4714,辅助信息!E:I,3,FALSE)</f>
        <v>（商投建工达州中医药科技园-1工区）达州市通川区达州中医药职业学院犀牛大道北段</v>
      </c>
      <c r="J4714" s="41" t="str">
        <f>VLOOKUP(B4714,辅助信息!E:I,4,FALSE)</f>
        <v>程黄刚</v>
      </c>
      <c r="K4714" s="41">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11</v>
      </c>
      <c r="Q4714" s="30" t="str">
        <f>VLOOKUP(B4714,辅助信息!E:M,9,FALSE)</f>
        <v>ZTWM-CDGS-XS-2024-0134-商投建工达州中医药科技成果示范园项目</v>
      </c>
      <c r="R4714" s="30" t="str">
        <f>_xlfn._xlws.FILTER(辅助信息!D:D,辅助信息!E:E=B4714)</f>
        <v>商投建工达州中医药科技园</v>
      </c>
    </row>
    <row r="4715" hidden="1" spans="2:18">
      <c r="B4715" s="136" t="s">
        <v>47</v>
      </c>
      <c r="C4715" s="71">
        <v>45950</v>
      </c>
      <c r="D4715" s="41" t="str">
        <f>VLOOKUP(B4715,辅助信息!E:K,7,FALSE)</f>
        <v>JWDDCD2025052800131</v>
      </c>
      <c r="E4715" s="41" t="str">
        <f>VLOOKUP(F4715,辅助信息!A:B,2,FALSE)</f>
        <v>盘螺</v>
      </c>
      <c r="F4715" s="41" t="s">
        <v>41</v>
      </c>
      <c r="G4715" s="37">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1" t="str">
        <f>VLOOKUP(B4715,辅助信息!E:I,3,FALSE)</f>
        <v>（商投建工达州中医药科技园-1工区）达州市通川区达州中医药职业学院犀牛大道北段</v>
      </c>
      <c r="J4715" s="41" t="str">
        <f>VLOOKUP(B4715,辅助信息!E:I,4,FALSE)</f>
        <v>程黄刚</v>
      </c>
      <c r="K4715" s="41">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11</v>
      </c>
      <c r="Q4715" s="30" t="str">
        <f>VLOOKUP(B4715,辅助信息!E:M,9,FALSE)</f>
        <v>ZTWM-CDGS-XS-2024-0134-商投建工达州中医药科技成果示范园项目</v>
      </c>
      <c r="R4715" s="30" t="str">
        <f>_xlfn._xlws.FILTER(辅助信息!D:D,辅助信息!E:E=B4715)</f>
        <v>商投建工达州中医药科技园</v>
      </c>
    </row>
    <row r="4716" hidden="1" spans="2:18">
      <c r="B4716" s="136" t="s">
        <v>47</v>
      </c>
      <c r="C4716" s="71">
        <v>45950</v>
      </c>
      <c r="D4716" s="41" t="str">
        <f>VLOOKUP(B4716,辅助信息!E:K,7,FALSE)</f>
        <v>JWDDCD2025052800131</v>
      </c>
      <c r="E4716" s="41" t="str">
        <f>VLOOKUP(F4716,辅助信息!A:B,2,FALSE)</f>
        <v>螺纹钢</v>
      </c>
      <c r="F4716" s="41" t="s">
        <v>27</v>
      </c>
      <c r="G4716" s="37">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1" t="str">
        <f>VLOOKUP(B4716,辅助信息!E:I,3,FALSE)</f>
        <v>（商投建工达州中医药科技园-1工区）达州市通川区达州中医药职业学院犀牛大道北段</v>
      </c>
      <c r="J4716" s="41" t="str">
        <f>VLOOKUP(B4716,辅助信息!E:I,4,FALSE)</f>
        <v>程黄刚</v>
      </c>
      <c r="K4716" s="41">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11</v>
      </c>
      <c r="Q4716" s="30" t="str">
        <f>VLOOKUP(B4716,辅助信息!E:M,9,FALSE)</f>
        <v>ZTWM-CDGS-XS-2024-0134-商投建工达州中医药科技成果示范园项目</v>
      </c>
      <c r="R4716" s="30" t="str">
        <f>_xlfn._xlws.FILTER(辅助信息!D:D,辅助信息!E:E=B4716)</f>
        <v>商投建工达州中医药科技园</v>
      </c>
    </row>
    <row r="4717" hidden="1" spans="2:18">
      <c r="B4717" s="136" t="s">
        <v>47</v>
      </c>
      <c r="C4717" s="71">
        <v>45950</v>
      </c>
      <c r="D4717" s="41" t="str">
        <f>VLOOKUP(B4717,辅助信息!E:K,7,FALSE)</f>
        <v>JWDDCD2025052800131</v>
      </c>
      <c r="E4717" s="41" t="str">
        <f>VLOOKUP(F4717,辅助信息!A:B,2,FALSE)</f>
        <v>螺纹钢</v>
      </c>
      <c r="F4717" s="41" t="s">
        <v>32</v>
      </c>
      <c r="G4717" s="37">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1" t="str">
        <f>VLOOKUP(B4717,辅助信息!E:I,3,FALSE)</f>
        <v>（商投建工达州中医药科技园-1工区）达州市通川区达州中医药职业学院犀牛大道北段</v>
      </c>
      <c r="J4717" s="41" t="str">
        <f>VLOOKUP(B4717,辅助信息!E:I,4,FALSE)</f>
        <v>程黄刚</v>
      </c>
      <c r="K4717" s="41">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11</v>
      </c>
      <c r="Q4717" s="30" t="str">
        <f>VLOOKUP(B4717,辅助信息!E:M,9,FALSE)</f>
        <v>ZTWM-CDGS-XS-2024-0134-商投建工达州中医药科技成果示范园项目</v>
      </c>
      <c r="R4717" s="30" t="str">
        <f>_xlfn._xlws.FILTER(辅助信息!D:D,辅助信息!E:E=B4717)</f>
        <v>商投建工达州中医药科技园</v>
      </c>
    </row>
    <row r="4718" hidden="1" spans="2:18">
      <c r="B4718" s="136" t="s">
        <v>47</v>
      </c>
      <c r="C4718" s="71">
        <v>45950</v>
      </c>
      <c r="D4718" s="41" t="str">
        <f>VLOOKUP(B4718,辅助信息!E:K,7,FALSE)</f>
        <v>JWDDCD2025052800131</v>
      </c>
      <c r="E4718" s="41" t="str">
        <f>VLOOKUP(F4718,辅助信息!A:B,2,FALSE)</f>
        <v>螺纹钢</v>
      </c>
      <c r="F4718" s="41" t="s">
        <v>33</v>
      </c>
      <c r="G4718" s="37">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1" t="str">
        <f>VLOOKUP(B4718,辅助信息!E:I,3,FALSE)</f>
        <v>（商投建工达州中医药科技园-1工区）达州市通川区达州中医药职业学院犀牛大道北段</v>
      </c>
      <c r="J4718" s="41" t="str">
        <f>VLOOKUP(B4718,辅助信息!E:I,4,FALSE)</f>
        <v>程黄刚</v>
      </c>
      <c r="K4718" s="41">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11</v>
      </c>
      <c r="Q4718" s="30" t="str">
        <f>VLOOKUP(B4718,辅助信息!E:M,9,FALSE)</f>
        <v>ZTWM-CDGS-XS-2024-0134-商投建工达州中医药科技成果示范园项目</v>
      </c>
      <c r="R4718" s="30" t="str">
        <f>_xlfn._xlws.FILTER(辅助信息!D:D,辅助信息!E:E=B4718)</f>
        <v>商投建工达州中医药科技园</v>
      </c>
    </row>
    <row r="4719" hidden="1" spans="2:18">
      <c r="B4719" s="136" t="s">
        <v>231</v>
      </c>
      <c r="C4719" s="71">
        <v>45950</v>
      </c>
      <c r="D4719" s="41" t="str">
        <f>VLOOKUP(B4719,辅助信息!E:K,7,FALSE)</f>
        <v>JWDDCD2025102100481</v>
      </c>
      <c r="E4719" s="41" t="str">
        <f>VLOOKUP(F4719,辅助信息!A:B,2,FALSE)</f>
        <v>盘螺</v>
      </c>
      <c r="F4719" s="41" t="s">
        <v>40</v>
      </c>
      <c r="G4719" s="37">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1" t="str">
        <f>VLOOKUP(B4719,辅助信息!E:I,3,FALSE)</f>
        <v>(五冶建设成都盐道街中学初中部改扩建工程-一标)四川省成都市锦江区春熙路街道盐道街4号（盐道街中学初中部）</v>
      </c>
      <c r="J4719" s="41" t="str">
        <f>VLOOKUP(B4719,辅助信息!E:I,4,FALSE)</f>
        <v>谢鑫</v>
      </c>
      <c r="K4719" s="41">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11</v>
      </c>
      <c r="Q4719" s="30" t="str">
        <f>VLOOKUP(B4719,辅助信息!E:M,9,FALSE)</f>
        <v>ZTWM-CDGS-XS-2025-0073-五冶天府-成都怡心湖片区及龙泉驿医院等项目</v>
      </c>
      <c r="R4719" s="30" t="str">
        <f>_xlfn._xlws.FILTER(辅助信息!D:D,辅助信息!E:E=B4719)</f>
        <v>五冶建设成都盐道街中学初中部改扩建工程</v>
      </c>
    </row>
    <row r="4720" hidden="1" spans="2:18">
      <c r="B4720" s="136" t="s">
        <v>231</v>
      </c>
      <c r="C4720" s="71">
        <v>45950</v>
      </c>
      <c r="D4720" s="41" t="str">
        <f>VLOOKUP(B4720,辅助信息!E:K,7,FALSE)</f>
        <v>JWDDCD2025102100481</v>
      </c>
      <c r="E4720" s="41" t="str">
        <f>VLOOKUP(F4720,辅助信息!A:B,2,FALSE)</f>
        <v>螺纹钢</v>
      </c>
      <c r="F4720" s="41" t="s">
        <v>18</v>
      </c>
      <c r="G4720" s="37">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1" t="str">
        <f>VLOOKUP(B4720,辅助信息!E:I,3,FALSE)</f>
        <v>(五冶建设成都盐道街中学初中部改扩建工程-一标)四川省成都市锦江区春熙路街道盐道街4号（盐道街中学初中部）</v>
      </c>
      <c r="J4720" s="41" t="str">
        <f>VLOOKUP(B4720,辅助信息!E:I,4,FALSE)</f>
        <v>谢鑫</v>
      </c>
      <c r="K4720" s="41">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11</v>
      </c>
      <c r="Q4720" s="30" t="str">
        <f>VLOOKUP(B4720,辅助信息!E:M,9,FALSE)</f>
        <v>ZTWM-CDGS-XS-2025-0073-五冶天府-成都怡心湖片区及龙泉驿医院等项目</v>
      </c>
      <c r="R4720" s="30" t="str">
        <f>_xlfn._xlws.FILTER(辅助信息!D:D,辅助信息!E:E=B4720)</f>
        <v>五冶建设成都盐道街中学初中部改扩建工程</v>
      </c>
    </row>
    <row r="4721" hidden="1" spans="2:18">
      <c r="B4721" s="136" t="s">
        <v>196</v>
      </c>
      <c r="C4721" s="71">
        <v>45949</v>
      </c>
      <c r="D4721" s="41" t="str">
        <f>VLOOKUP(B4721,辅助信息!E:K,7,FALSE)</f>
        <v>JWDDCD2025102100476</v>
      </c>
      <c r="E4721" s="41" t="str">
        <f>VLOOKUP(F4721,辅助信息!A:B,2,FALSE)</f>
        <v>螺纹钢</v>
      </c>
      <c r="F4721" s="41" t="s">
        <v>27</v>
      </c>
      <c r="G4721" s="37">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1" t="str">
        <f>VLOOKUP(B4721,辅助信息!E:I,3,FALSE)</f>
        <v>(五冶建设师大附中外语校新建教学楼工程)四川省成都市成华区大观堰2号(四川师范大学附属中学外国语学校)</v>
      </c>
      <c r="J4721" s="41" t="str">
        <f>VLOOKUP(B4721,辅助信息!E:I,4,FALSE)</f>
        <v>蔡浩</v>
      </c>
      <c r="K4721" s="41">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30" t="str">
        <f>VLOOKUP(B4721,辅助信息!E:M,9,FALSE)</f>
        <v>ZTWM-CDGS-XS-2025-0073-五冶天府-成都怡心湖片区及龙泉驿医院等项目</v>
      </c>
      <c r="R4721" s="30" t="str">
        <f>_xlfn._xlws.FILTER(辅助信息!D:D,辅助信息!E:E=B4721)</f>
        <v>五冶建设师大附中外语校新建教学楼工程</v>
      </c>
    </row>
    <row r="4722" hidden="1" spans="2:18">
      <c r="B4722" s="136" t="s">
        <v>196</v>
      </c>
      <c r="C4722" s="71">
        <v>45949</v>
      </c>
      <c r="D4722" s="41" t="str">
        <f>VLOOKUP(B4722,辅助信息!E:K,7,FALSE)</f>
        <v>JWDDCD2025102100476</v>
      </c>
      <c r="E4722" s="41" t="str">
        <f>VLOOKUP(F4722,辅助信息!A:B,2,FALSE)</f>
        <v>螺纹钢</v>
      </c>
      <c r="F4722" s="41" t="s">
        <v>22</v>
      </c>
      <c r="G4722" s="37">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1" t="str">
        <f>VLOOKUP(B4722,辅助信息!E:I,3,FALSE)</f>
        <v>(五冶建设师大附中外语校新建教学楼工程)四川省成都市成华区大观堰2号(四川师范大学附属中学外国语学校)</v>
      </c>
      <c r="J4722" s="41" t="str">
        <f>VLOOKUP(B4722,辅助信息!E:I,4,FALSE)</f>
        <v>蔡浩</v>
      </c>
      <c r="K4722" s="41">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30" t="str">
        <f>VLOOKUP(B4722,辅助信息!E:M,9,FALSE)</f>
        <v>ZTWM-CDGS-XS-2025-0073-五冶天府-成都怡心湖片区及龙泉驿医院等项目</v>
      </c>
      <c r="R4722" s="30" t="str">
        <f>_xlfn._xlws.FILTER(辅助信息!D:D,辅助信息!E:E=B4722)</f>
        <v>五冶建设师大附中外语校新建教学楼工程</v>
      </c>
    </row>
    <row r="4723" hidden="1" spans="2:18">
      <c r="B4723" s="136" t="s">
        <v>163</v>
      </c>
      <c r="C4723" s="71">
        <v>45950</v>
      </c>
      <c r="D4723" s="41" t="str">
        <f>VLOOKUP(B4723,辅助信息!E:K,7,FALSE)</f>
        <v>JWDDCD2025052800131</v>
      </c>
      <c r="E4723" s="41" t="str">
        <f>VLOOKUP(F4723,辅助信息!A:B,2,FALSE)</f>
        <v>盘螺</v>
      </c>
      <c r="F4723" s="41" t="s">
        <v>49</v>
      </c>
      <c r="G4723" s="37">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1" t="str">
        <f>VLOOKUP(B4723,辅助信息!E:I,3,FALSE)</f>
        <v>（商投建工达州中医药科技园-4工区-9号楼）达州市通川区达州中医药职业学院犀牛大道北段</v>
      </c>
      <c r="J4723" s="41" t="str">
        <f>VLOOKUP(B4723,辅助信息!E:I,4,FALSE)</f>
        <v>张扬</v>
      </c>
      <c r="K4723" s="41">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10</v>
      </c>
      <c r="Q4723" s="30" t="str">
        <f>VLOOKUP(B4723,辅助信息!E:M,9,FALSE)</f>
        <v>ZTWM-CDGS-XS-2024-0134-商投建工达州中医药科技成果示范园项目</v>
      </c>
      <c r="R4723" s="30" t="str">
        <f>_xlfn._xlws.FILTER(辅助信息!D:D,辅助信息!E:E=B4723)</f>
        <v>商投建工达州中医药科技园</v>
      </c>
    </row>
    <row r="4724" hidden="1" spans="2:18">
      <c r="B4724" s="136" t="s">
        <v>163</v>
      </c>
      <c r="C4724" s="71">
        <v>45950</v>
      </c>
      <c r="D4724" s="41" t="str">
        <f>VLOOKUP(B4724,辅助信息!E:K,7,FALSE)</f>
        <v>JWDDCD2025052800131</v>
      </c>
      <c r="E4724" s="41" t="str">
        <f>VLOOKUP(F4724,辅助信息!A:B,2,FALSE)</f>
        <v>盘螺</v>
      </c>
      <c r="F4724" s="41" t="s">
        <v>40</v>
      </c>
      <c r="G4724" s="37">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1" t="str">
        <f>VLOOKUP(B4724,辅助信息!E:I,3,FALSE)</f>
        <v>（商投建工达州中医药科技园-4工区-9号楼）达州市通川区达州中医药职业学院犀牛大道北段</v>
      </c>
      <c r="J4724" s="41" t="str">
        <f>VLOOKUP(B4724,辅助信息!E:I,4,FALSE)</f>
        <v>张扬</v>
      </c>
      <c r="K4724" s="41">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10</v>
      </c>
      <c r="Q4724" s="30" t="str">
        <f>VLOOKUP(B4724,辅助信息!E:M,9,FALSE)</f>
        <v>ZTWM-CDGS-XS-2024-0134-商投建工达州中医药科技成果示范园项目</v>
      </c>
      <c r="R4724" s="30" t="str">
        <f>_xlfn._xlws.FILTER(辅助信息!D:D,辅助信息!E:E=B4724)</f>
        <v>商投建工达州中医药科技园</v>
      </c>
    </row>
    <row r="4725" hidden="1" spans="2:18">
      <c r="B4725" s="136" t="s">
        <v>163</v>
      </c>
      <c r="C4725" s="71">
        <v>45950</v>
      </c>
      <c r="D4725" s="41" t="str">
        <f>VLOOKUP(B4725,辅助信息!E:K,7,FALSE)</f>
        <v>JWDDCD2025052800131</v>
      </c>
      <c r="E4725" s="41" t="str">
        <f>VLOOKUP(F4725,辅助信息!A:B,2,FALSE)</f>
        <v>盘螺</v>
      </c>
      <c r="F4725" s="41" t="s">
        <v>41</v>
      </c>
      <c r="G4725" s="37">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1" t="str">
        <f>VLOOKUP(B4725,辅助信息!E:I,3,FALSE)</f>
        <v>（商投建工达州中医药科技园-4工区-9号楼）达州市通川区达州中医药职业学院犀牛大道北段</v>
      </c>
      <c r="J4725" s="41" t="str">
        <f>VLOOKUP(B4725,辅助信息!E:I,4,FALSE)</f>
        <v>张扬</v>
      </c>
      <c r="K4725" s="41">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10</v>
      </c>
      <c r="Q4725" s="30" t="str">
        <f>VLOOKUP(B4725,辅助信息!E:M,9,FALSE)</f>
        <v>ZTWM-CDGS-XS-2024-0134-商投建工达州中医药科技成果示范园项目</v>
      </c>
      <c r="R4725" s="30" t="str">
        <f>_xlfn._xlws.FILTER(辅助信息!D:D,辅助信息!E:E=B4725)</f>
        <v>商投建工达州中医药科技园</v>
      </c>
    </row>
    <row r="4726" hidden="1" spans="2:18">
      <c r="B4726" s="59" t="s">
        <v>203</v>
      </c>
      <c r="C4726" s="71">
        <v>45949</v>
      </c>
      <c r="D4726" s="27" t="str">
        <f>VLOOKUP(B4726,辅助信息!E:K,7,FALSE)</f>
        <v>JWDDCD2025102100479</v>
      </c>
      <c r="E4726" s="27" t="str">
        <f>VLOOKUP(F4726,辅助信息!A:B,2,FALSE)</f>
        <v>高线</v>
      </c>
      <c r="F4726" s="27"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7" t="str">
        <f>VLOOKUP(B4726,辅助信息!E:I,3,FALSE)</f>
        <v>(五冶建设空港兴城怡心街道83亩项目)成都市双流区怡心街道高峰社区一组剑和路一段空港兴城怡心街道83亩项目中国五冶项目部</v>
      </c>
      <c r="J4726" s="27" t="str">
        <f>VLOOKUP(B4726,辅助信息!E:I,4,FALSE)</f>
        <v>王刚</v>
      </c>
      <c r="K4726" s="27">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30" t="str">
        <f>VLOOKUP(B4726,辅助信息!E:M,9,FALSE)</f>
        <v>ZTWM-CDGS-XS-2025-0073-五冶天府-成都怡心湖片区及龙泉驿医院等项目</v>
      </c>
      <c r="R4726" s="30" t="str">
        <f>_xlfn._xlws.FILTER(辅助信息!D:D,辅助信息!E:E=B4726)</f>
        <v>五冶建设空港兴城怡心街道83亩项目</v>
      </c>
    </row>
    <row r="4727" hidden="1" spans="2:18">
      <c r="B4727" s="59" t="s">
        <v>203</v>
      </c>
      <c r="C4727" s="71">
        <v>45949</v>
      </c>
      <c r="D4727" s="27" t="str">
        <f>VLOOKUP(B4727,辅助信息!E:K,7,FALSE)</f>
        <v>JWDDCD2025102100479</v>
      </c>
      <c r="E4727" s="27" t="str">
        <f>VLOOKUP(F4727,辅助信息!A:B,2,FALSE)</f>
        <v>盘螺</v>
      </c>
      <c r="F4727" s="27"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7" t="str">
        <f>VLOOKUP(B4727,辅助信息!E:I,3,FALSE)</f>
        <v>(五冶建设空港兴城怡心街道83亩项目)成都市双流区怡心街道高峰社区一组剑和路一段空港兴城怡心街道83亩项目中国五冶项目部</v>
      </c>
      <c r="J4727" s="27" t="str">
        <f>VLOOKUP(B4727,辅助信息!E:I,4,FALSE)</f>
        <v>王刚</v>
      </c>
      <c r="K4727" s="27">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30" t="str">
        <f>VLOOKUP(B4727,辅助信息!E:M,9,FALSE)</f>
        <v>ZTWM-CDGS-XS-2025-0073-五冶天府-成都怡心湖片区及龙泉驿医院等项目</v>
      </c>
      <c r="R4727" s="30" t="str">
        <f>_xlfn._xlws.FILTER(辅助信息!D:D,辅助信息!E:E=B4727)</f>
        <v>五冶建设空港兴城怡心街道83亩项目</v>
      </c>
    </row>
    <row r="4728" hidden="1" spans="2:18">
      <c r="B4728" s="59" t="s">
        <v>203</v>
      </c>
      <c r="C4728" s="71">
        <v>45949</v>
      </c>
      <c r="D4728" s="27" t="str">
        <f>VLOOKUP(B4728,辅助信息!E:K,7,FALSE)</f>
        <v>JWDDCD2025102100479</v>
      </c>
      <c r="E4728" s="27" t="str">
        <f>VLOOKUP(F4728,辅助信息!A:B,2,FALSE)</f>
        <v>盘螺</v>
      </c>
      <c r="F4728" s="27"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7" t="str">
        <f>VLOOKUP(B4728,辅助信息!E:I,3,FALSE)</f>
        <v>(五冶建设空港兴城怡心街道83亩项目)成都市双流区怡心街道高峰社区一组剑和路一段空港兴城怡心街道83亩项目中国五冶项目部</v>
      </c>
      <c r="J4728" s="27" t="str">
        <f>VLOOKUP(B4728,辅助信息!E:I,4,FALSE)</f>
        <v>王刚</v>
      </c>
      <c r="K4728" s="27">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30" t="str">
        <f>VLOOKUP(B4728,辅助信息!E:M,9,FALSE)</f>
        <v>ZTWM-CDGS-XS-2025-0073-五冶天府-成都怡心湖片区及龙泉驿医院等项目</v>
      </c>
      <c r="R4728" s="30" t="str">
        <f>_xlfn._xlws.FILTER(辅助信息!D:D,辅助信息!E:E=B4728)</f>
        <v>五冶建设空港兴城怡心街道83亩项目</v>
      </c>
    </row>
    <row r="4729" hidden="1" spans="2:18">
      <c r="B4729" s="59" t="s">
        <v>203</v>
      </c>
      <c r="C4729" s="71">
        <v>45949</v>
      </c>
      <c r="D4729" s="27" t="str">
        <f>VLOOKUP(B4729,辅助信息!E:K,7,FALSE)</f>
        <v>JWDDCD2025102100479</v>
      </c>
      <c r="E4729" s="27" t="str">
        <f>VLOOKUP(F4729,辅助信息!A:B,2,FALSE)</f>
        <v>盘螺</v>
      </c>
      <c r="F4729" s="27"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7" t="str">
        <f>VLOOKUP(B4729,辅助信息!E:I,3,FALSE)</f>
        <v>(五冶建设空港兴城怡心街道83亩项目)成都市双流区怡心街道高峰社区一组剑和路一段空港兴城怡心街道83亩项目中国五冶项目部</v>
      </c>
      <c r="J4729" s="27" t="str">
        <f>VLOOKUP(B4729,辅助信息!E:I,4,FALSE)</f>
        <v>王刚</v>
      </c>
      <c r="K4729" s="27">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30" t="str">
        <f>VLOOKUP(B4729,辅助信息!E:M,9,FALSE)</f>
        <v>ZTWM-CDGS-XS-2025-0073-五冶天府-成都怡心湖片区及龙泉驿医院等项目</v>
      </c>
      <c r="R4729" s="30" t="str">
        <f>_xlfn._xlws.FILTER(辅助信息!D:D,辅助信息!E:E=B4729)</f>
        <v>五冶建设空港兴城怡心街道83亩项目</v>
      </c>
    </row>
    <row r="4730" hidden="1" spans="2:18">
      <c r="B4730" s="59" t="s">
        <v>203</v>
      </c>
      <c r="C4730" s="71">
        <v>45949</v>
      </c>
      <c r="D4730" s="27" t="str">
        <f>VLOOKUP(B4730,辅助信息!E:K,7,FALSE)</f>
        <v>JWDDCD2025102100479</v>
      </c>
      <c r="E4730" s="27" t="str">
        <f>VLOOKUP(F4730,辅助信息!A:B,2,FALSE)</f>
        <v>螺纹钢</v>
      </c>
      <c r="F4730" s="27" t="s">
        <v>27</v>
      </c>
      <c r="G4730" s="60">
        <v>20</v>
      </c>
      <c r="H4730" s="135">
        <v>3</v>
      </c>
      <c r="I4730" s="27" t="str">
        <f>VLOOKUP(B4730,辅助信息!E:I,3,FALSE)</f>
        <v>(五冶建设空港兴城怡心街道83亩项目)成都市双流区怡心街道高峰社区一组剑和路一段空港兴城怡心街道83亩项目中国五冶项目部</v>
      </c>
      <c r="J4730" s="27" t="str">
        <f>VLOOKUP(B4730,辅助信息!E:I,4,FALSE)</f>
        <v>王刚</v>
      </c>
      <c r="K4730" s="27">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30" t="str">
        <f>VLOOKUP(B4730,辅助信息!E:M,9,FALSE)</f>
        <v>ZTWM-CDGS-XS-2025-0073-五冶天府-成都怡心湖片区及龙泉驿医院等项目</v>
      </c>
      <c r="R4730" s="30" t="str">
        <f>_xlfn._xlws.FILTER(辅助信息!D:D,辅助信息!E:E=B4730)</f>
        <v>五冶建设空港兴城怡心街道83亩项目</v>
      </c>
    </row>
    <row r="4731" hidden="1" spans="2:18">
      <c r="B4731" s="59" t="s">
        <v>203</v>
      </c>
      <c r="C4731" s="71">
        <v>45949</v>
      </c>
      <c r="D4731" s="27" t="str">
        <f>VLOOKUP(B4731,辅助信息!E:K,7,FALSE)</f>
        <v>JWDDCD2025102100479</v>
      </c>
      <c r="E4731" s="27" t="str">
        <f>VLOOKUP(F4731,辅助信息!A:B,2,FALSE)</f>
        <v>螺纹钢</v>
      </c>
      <c r="F4731" s="27"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7" t="str">
        <f>VLOOKUP(B4731,辅助信息!E:I,3,FALSE)</f>
        <v>(五冶建设空港兴城怡心街道83亩项目)成都市双流区怡心街道高峰社区一组剑和路一段空港兴城怡心街道83亩项目中国五冶项目部</v>
      </c>
      <c r="J4731" s="27" t="str">
        <f>VLOOKUP(B4731,辅助信息!E:I,4,FALSE)</f>
        <v>王刚</v>
      </c>
      <c r="K4731" s="27">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30" t="str">
        <f>VLOOKUP(B4731,辅助信息!E:M,9,FALSE)</f>
        <v>ZTWM-CDGS-XS-2025-0073-五冶天府-成都怡心湖片区及龙泉驿医院等项目</v>
      </c>
      <c r="R4731" s="30" t="str">
        <f>_xlfn._xlws.FILTER(辅助信息!D:D,辅助信息!E:E=B4731)</f>
        <v>五冶建设空港兴城怡心街道83亩项目</v>
      </c>
    </row>
    <row r="4732" hidden="1" spans="2:18">
      <c r="B4732" s="59" t="s">
        <v>203</v>
      </c>
      <c r="C4732" s="71">
        <v>45949</v>
      </c>
      <c r="D4732" s="27" t="str">
        <f>VLOOKUP(B4732,辅助信息!E:K,7,FALSE)</f>
        <v>JWDDCD2025102100479</v>
      </c>
      <c r="E4732" s="27" t="str">
        <f>VLOOKUP(F4732,辅助信息!A:B,2,FALSE)</f>
        <v>螺纹钢</v>
      </c>
      <c r="F4732" s="27"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7" t="str">
        <f>VLOOKUP(B4732,辅助信息!E:I,3,FALSE)</f>
        <v>(五冶建设空港兴城怡心街道83亩项目)成都市双流区怡心街道高峰社区一组剑和路一段空港兴城怡心街道83亩项目中国五冶项目部</v>
      </c>
      <c r="J4732" s="27" t="str">
        <f>VLOOKUP(B4732,辅助信息!E:I,4,FALSE)</f>
        <v>王刚</v>
      </c>
      <c r="K4732" s="27">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30" t="str">
        <f>VLOOKUP(B4732,辅助信息!E:M,9,FALSE)</f>
        <v>ZTWM-CDGS-XS-2025-0073-五冶天府-成都怡心湖片区及龙泉驿医院等项目</v>
      </c>
      <c r="R4732" s="30" t="str">
        <f>_xlfn._xlws.FILTER(辅助信息!D:D,辅助信息!E:E=B4732)</f>
        <v>五冶建设空港兴城怡心街道83亩项目</v>
      </c>
    </row>
    <row r="4733" hidden="1" spans="2:18">
      <c r="B4733" s="59" t="s">
        <v>203</v>
      </c>
      <c r="C4733" s="71">
        <v>45949</v>
      </c>
      <c r="D4733" s="27" t="str">
        <f>VLOOKUP(B4733,辅助信息!E:K,7,FALSE)</f>
        <v>JWDDCD2025102100479</v>
      </c>
      <c r="E4733" s="27" t="str">
        <f>VLOOKUP(F4733,辅助信息!A:B,2,FALSE)</f>
        <v>螺纹钢</v>
      </c>
      <c r="F4733" s="27"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7" t="str">
        <f>VLOOKUP(B4733,辅助信息!E:I,3,FALSE)</f>
        <v>(五冶建设空港兴城怡心街道83亩项目)成都市双流区怡心街道高峰社区一组剑和路一段空港兴城怡心街道83亩项目中国五冶项目部</v>
      </c>
      <c r="J4733" s="27" t="str">
        <f>VLOOKUP(B4733,辅助信息!E:I,4,FALSE)</f>
        <v>王刚</v>
      </c>
      <c r="K4733" s="27">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30" t="str">
        <f>VLOOKUP(B4733,辅助信息!E:M,9,FALSE)</f>
        <v>ZTWM-CDGS-XS-2025-0073-五冶天府-成都怡心湖片区及龙泉驿医院等项目</v>
      </c>
      <c r="R4733" s="30" t="str">
        <f>_xlfn._xlws.FILTER(辅助信息!D:D,辅助信息!E:E=B4733)</f>
        <v>五冶建设空港兴城怡心街道83亩项目</v>
      </c>
    </row>
    <row r="4734" hidden="1" spans="2:18">
      <c r="B4734" s="59" t="s">
        <v>203</v>
      </c>
      <c r="C4734" s="71">
        <v>45949</v>
      </c>
      <c r="D4734" s="27" t="str">
        <f>VLOOKUP(B4734,辅助信息!E:K,7,FALSE)</f>
        <v>JWDDCD2025102100479</v>
      </c>
      <c r="E4734" s="27" t="str">
        <f>VLOOKUP(F4734,辅助信息!A:B,2,FALSE)</f>
        <v>螺纹钢</v>
      </c>
      <c r="F4734" s="27"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7" t="str">
        <f>VLOOKUP(B4734,辅助信息!E:I,3,FALSE)</f>
        <v>(五冶建设空港兴城怡心街道83亩项目)成都市双流区怡心街道高峰社区一组剑和路一段空港兴城怡心街道83亩项目中国五冶项目部</v>
      </c>
      <c r="J4734" s="27" t="str">
        <f>VLOOKUP(B4734,辅助信息!E:I,4,FALSE)</f>
        <v>王刚</v>
      </c>
      <c r="K4734" s="27">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30" t="str">
        <f>VLOOKUP(B4734,辅助信息!E:M,9,FALSE)</f>
        <v>ZTWM-CDGS-XS-2025-0073-五冶天府-成都怡心湖片区及龙泉驿医院等项目</v>
      </c>
      <c r="R4734" s="30" t="str">
        <f>_xlfn._xlws.FILTER(辅助信息!D:D,辅助信息!E:E=B4734)</f>
        <v>五冶建设空港兴城怡心街道83亩项目</v>
      </c>
    </row>
    <row r="4735" hidden="1" spans="2:18">
      <c r="B4735" s="59" t="s">
        <v>203</v>
      </c>
      <c r="C4735" s="71">
        <v>45949</v>
      </c>
      <c r="D4735" s="27" t="str">
        <f>VLOOKUP(B4735,辅助信息!E:K,7,FALSE)</f>
        <v>JWDDCD2025102100479</v>
      </c>
      <c r="E4735" s="27" t="str">
        <f>VLOOKUP(F4735,辅助信息!A:B,2,FALSE)</f>
        <v>螺纹钢</v>
      </c>
      <c r="F4735" s="27"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7" t="str">
        <f>VLOOKUP(B4735,辅助信息!E:I,3,FALSE)</f>
        <v>(五冶建设空港兴城怡心街道83亩项目)成都市双流区怡心街道高峰社区一组剑和路一段空港兴城怡心街道83亩项目中国五冶项目部</v>
      </c>
      <c r="J4735" s="27" t="str">
        <f>VLOOKUP(B4735,辅助信息!E:I,4,FALSE)</f>
        <v>王刚</v>
      </c>
      <c r="K4735" s="27">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30" t="str">
        <f>VLOOKUP(B4735,辅助信息!E:M,9,FALSE)</f>
        <v>ZTWM-CDGS-XS-2025-0073-五冶天府-成都怡心湖片区及龙泉驿医院等项目</v>
      </c>
      <c r="R4735" s="30" t="str">
        <f>_xlfn._xlws.FILTER(辅助信息!D:D,辅助信息!E:E=B4735)</f>
        <v>五冶建设空港兴城怡心街道83亩项目</v>
      </c>
    </row>
    <row r="4736" hidden="1" spans="2:18">
      <c r="B4736" s="59" t="s">
        <v>203</v>
      </c>
      <c r="C4736" s="85">
        <v>45949</v>
      </c>
      <c r="D4736" s="27" t="str">
        <f>VLOOKUP(B4736,辅助信息!E:K,7,FALSE)</f>
        <v>JWDDCD2025102100479</v>
      </c>
      <c r="E4736" s="27" t="str">
        <f>VLOOKUP(F4736,辅助信息!A:B,2,FALSE)</f>
        <v>螺纹钢</v>
      </c>
      <c r="F4736" s="27"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7" t="str">
        <f>VLOOKUP(B4736,辅助信息!E:I,3,FALSE)</f>
        <v>(五冶建设空港兴城怡心街道83亩项目)成都市双流区怡心街道高峰社区一组剑和路一段空港兴城怡心街道83亩项目中国五冶项目部</v>
      </c>
      <c r="J4736" s="27" t="str">
        <f>VLOOKUP(B4736,辅助信息!E:I,4,FALSE)</f>
        <v>王刚</v>
      </c>
      <c r="K4736" s="27">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30" t="str">
        <f>VLOOKUP(B4736,辅助信息!E:M,9,FALSE)</f>
        <v>ZTWM-CDGS-XS-2025-0073-五冶天府-成都怡心湖片区及龙泉驿医院等项目</v>
      </c>
      <c r="R4736" s="30" t="str">
        <f>_xlfn._xlws.FILTER(辅助信息!D:D,辅助信息!E:E=B4736)</f>
        <v>五冶建设空港兴城怡心街道83亩项目</v>
      </c>
    </row>
    <row r="4737" hidden="1" spans="2:18">
      <c r="B4737" s="136" t="s">
        <v>203</v>
      </c>
      <c r="C4737" s="71">
        <v>45950</v>
      </c>
      <c r="D4737" s="41" t="str">
        <f>VLOOKUP(B4737,辅助信息!E:K,7,FALSE)</f>
        <v>JWDDCD2025102100479</v>
      </c>
      <c r="E4737" s="41" t="str">
        <f>VLOOKUP(F4737,辅助信息!A:B,2,FALSE)</f>
        <v>高线</v>
      </c>
      <c r="F4737" s="41" t="s">
        <v>57</v>
      </c>
      <c r="G4737" s="37">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1" t="str">
        <f>VLOOKUP(B4737,辅助信息!E:I,3,FALSE)</f>
        <v>(五冶建设空港兴城怡心街道83亩项目)成都市双流区怡心街道高峰社区一组剑和路一段空港兴城怡心街道83亩项目中国五冶项目部</v>
      </c>
      <c r="J4737" s="41" t="str">
        <f>VLOOKUP(B4737,辅助信息!E:I,4,FALSE)</f>
        <v>王刚</v>
      </c>
      <c r="K4737" s="41">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10</v>
      </c>
      <c r="Q4737" s="30" t="str">
        <f>VLOOKUP(B4737,辅助信息!E:M,9,FALSE)</f>
        <v>ZTWM-CDGS-XS-2025-0073-五冶天府-成都怡心湖片区及龙泉驿医院等项目</v>
      </c>
      <c r="R4737" s="30" t="str">
        <f>_xlfn._xlws.FILTER(辅助信息!D:D,辅助信息!E:E=B4737)</f>
        <v>五冶建设空港兴城怡心街道83亩项目</v>
      </c>
    </row>
    <row r="4738" hidden="1" spans="2:18">
      <c r="B4738" s="136" t="s">
        <v>203</v>
      </c>
      <c r="C4738" s="71">
        <v>45950</v>
      </c>
      <c r="D4738" s="41" t="str">
        <f>VLOOKUP(B4738,辅助信息!E:K,7,FALSE)</f>
        <v>JWDDCD2025102100479</v>
      </c>
      <c r="E4738" s="41" t="str">
        <f>VLOOKUP(F4738,辅助信息!A:B,2,FALSE)</f>
        <v>盘螺</v>
      </c>
      <c r="F4738" s="41" t="s">
        <v>49</v>
      </c>
      <c r="G4738" s="37">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1" t="str">
        <f>VLOOKUP(B4738,辅助信息!E:I,3,FALSE)</f>
        <v>(五冶建设空港兴城怡心街道83亩项目)成都市双流区怡心街道高峰社区一组剑和路一段空港兴城怡心街道83亩项目中国五冶项目部</v>
      </c>
      <c r="J4738" s="41" t="str">
        <f>VLOOKUP(B4738,辅助信息!E:I,4,FALSE)</f>
        <v>王刚</v>
      </c>
      <c r="K4738" s="41">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10</v>
      </c>
      <c r="Q4738" s="30" t="str">
        <f>VLOOKUP(B4738,辅助信息!E:M,9,FALSE)</f>
        <v>ZTWM-CDGS-XS-2025-0073-五冶天府-成都怡心湖片区及龙泉驿医院等项目</v>
      </c>
      <c r="R4738" s="30" t="str">
        <f>_xlfn._xlws.FILTER(辅助信息!D:D,辅助信息!E:E=B4738)</f>
        <v>五冶建设空港兴城怡心街道83亩项目</v>
      </c>
    </row>
    <row r="4739" hidden="1" spans="2:18">
      <c r="B4739" s="136" t="s">
        <v>203</v>
      </c>
      <c r="C4739" s="71">
        <v>45950</v>
      </c>
      <c r="D4739" s="41" t="str">
        <f>VLOOKUP(B4739,辅助信息!E:K,7,FALSE)</f>
        <v>JWDDCD2025102100479</v>
      </c>
      <c r="E4739" s="41" t="str">
        <f>VLOOKUP(F4739,辅助信息!A:B,2,FALSE)</f>
        <v>盘螺</v>
      </c>
      <c r="F4739" s="41" t="s">
        <v>40</v>
      </c>
      <c r="G4739" s="37">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1" t="str">
        <f>VLOOKUP(B4739,辅助信息!E:I,3,FALSE)</f>
        <v>(五冶建设空港兴城怡心街道83亩项目)成都市双流区怡心街道高峰社区一组剑和路一段空港兴城怡心街道83亩项目中国五冶项目部</v>
      </c>
      <c r="J4739" s="41" t="str">
        <f>VLOOKUP(B4739,辅助信息!E:I,4,FALSE)</f>
        <v>王刚</v>
      </c>
      <c r="K4739" s="41">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10</v>
      </c>
      <c r="Q4739" s="30" t="str">
        <f>VLOOKUP(B4739,辅助信息!E:M,9,FALSE)</f>
        <v>ZTWM-CDGS-XS-2025-0073-五冶天府-成都怡心湖片区及龙泉驿医院等项目</v>
      </c>
      <c r="R4739" s="30" t="str">
        <f>_xlfn._xlws.FILTER(辅助信息!D:D,辅助信息!E:E=B4739)</f>
        <v>五冶建设空港兴城怡心街道83亩项目</v>
      </c>
    </row>
    <row r="4740" hidden="1" spans="2:18">
      <c r="B4740" s="136" t="s">
        <v>203</v>
      </c>
      <c r="C4740" s="71">
        <v>45950</v>
      </c>
      <c r="D4740" s="41" t="str">
        <f>VLOOKUP(B4740,辅助信息!E:K,7,FALSE)</f>
        <v>JWDDCD2025102100479</v>
      </c>
      <c r="E4740" s="41" t="str">
        <f>VLOOKUP(F4740,辅助信息!A:B,2,FALSE)</f>
        <v>盘螺</v>
      </c>
      <c r="F4740" s="41" t="s">
        <v>41</v>
      </c>
      <c r="G4740" s="37">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1" t="str">
        <f>VLOOKUP(B4740,辅助信息!E:I,3,FALSE)</f>
        <v>(五冶建设空港兴城怡心街道83亩项目)成都市双流区怡心街道高峰社区一组剑和路一段空港兴城怡心街道83亩项目中国五冶项目部</v>
      </c>
      <c r="J4740" s="41" t="str">
        <f>VLOOKUP(B4740,辅助信息!E:I,4,FALSE)</f>
        <v>王刚</v>
      </c>
      <c r="K4740" s="41">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10</v>
      </c>
      <c r="Q4740" s="30" t="str">
        <f>VLOOKUP(B4740,辅助信息!E:M,9,FALSE)</f>
        <v>ZTWM-CDGS-XS-2025-0073-五冶天府-成都怡心湖片区及龙泉驿医院等项目</v>
      </c>
      <c r="R4740" s="30" t="str">
        <f>_xlfn._xlws.FILTER(辅助信息!D:D,辅助信息!E:E=B4740)</f>
        <v>五冶建设空港兴城怡心街道83亩项目</v>
      </c>
    </row>
    <row r="4741" hidden="1" spans="2:18">
      <c r="B4741" s="136" t="s">
        <v>203</v>
      </c>
      <c r="C4741" s="71">
        <v>45950</v>
      </c>
      <c r="D4741" s="41" t="str">
        <f>VLOOKUP(B4741,辅助信息!E:K,7,FALSE)</f>
        <v>JWDDCD2025102100479</v>
      </c>
      <c r="E4741" s="41" t="str">
        <f>VLOOKUP(F4741,辅助信息!A:B,2,FALSE)</f>
        <v>螺纹钢</v>
      </c>
      <c r="F4741" s="41" t="s">
        <v>27</v>
      </c>
      <c r="G4741" s="37">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1" t="str">
        <f>VLOOKUP(B4741,辅助信息!E:I,3,FALSE)</f>
        <v>(五冶建设空港兴城怡心街道83亩项目)成都市双流区怡心街道高峰社区一组剑和路一段空港兴城怡心街道83亩项目中国五冶项目部</v>
      </c>
      <c r="J4741" s="41" t="str">
        <f>VLOOKUP(B4741,辅助信息!E:I,4,FALSE)</f>
        <v>王刚</v>
      </c>
      <c r="K4741" s="41">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10</v>
      </c>
      <c r="Q4741" s="30" t="str">
        <f>VLOOKUP(B4741,辅助信息!E:M,9,FALSE)</f>
        <v>ZTWM-CDGS-XS-2025-0073-五冶天府-成都怡心湖片区及龙泉驿医院等项目</v>
      </c>
      <c r="R4741" s="30" t="str">
        <f>_xlfn._xlws.FILTER(辅助信息!D:D,辅助信息!E:E=B4741)</f>
        <v>五冶建设空港兴城怡心街道83亩项目</v>
      </c>
    </row>
    <row r="4742" hidden="1" spans="2:18">
      <c r="B4742" s="136" t="s">
        <v>203</v>
      </c>
      <c r="C4742" s="71">
        <v>45950</v>
      </c>
      <c r="D4742" s="41" t="str">
        <f>VLOOKUP(B4742,辅助信息!E:K,7,FALSE)</f>
        <v>JWDDCD2025102100479</v>
      </c>
      <c r="E4742" s="41" t="str">
        <f>VLOOKUP(F4742,辅助信息!A:B,2,FALSE)</f>
        <v>螺纹钢</v>
      </c>
      <c r="F4742" s="41" t="s">
        <v>19</v>
      </c>
      <c r="G4742" s="37">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1" t="str">
        <f>VLOOKUP(B4742,辅助信息!E:I,3,FALSE)</f>
        <v>(五冶建设空港兴城怡心街道83亩项目)成都市双流区怡心街道高峰社区一组剑和路一段空港兴城怡心街道83亩项目中国五冶项目部</v>
      </c>
      <c r="J4742" s="41" t="str">
        <f>VLOOKUP(B4742,辅助信息!E:I,4,FALSE)</f>
        <v>王刚</v>
      </c>
      <c r="K4742" s="41">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10</v>
      </c>
      <c r="Q4742" s="30" t="str">
        <f>VLOOKUP(B4742,辅助信息!E:M,9,FALSE)</f>
        <v>ZTWM-CDGS-XS-2025-0073-五冶天府-成都怡心湖片区及龙泉驿医院等项目</v>
      </c>
      <c r="R4742" s="30" t="str">
        <f>_xlfn._xlws.FILTER(辅助信息!D:D,辅助信息!E:E=B4742)</f>
        <v>五冶建设空港兴城怡心街道83亩项目</v>
      </c>
    </row>
    <row r="4743" hidden="1" spans="2:18">
      <c r="B4743" s="136" t="s">
        <v>203</v>
      </c>
      <c r="C4743" s="71">
        <v>45950</v>
      </c>
      <c r="D4743" s="41" t="str">
        <f>VLOOKUP(B4743,辅助信息!E:K,7,FALSE)</f>
        <v>JWDDCD2025102100479</v>
      </c>
      <c r="E4743" s="41" t="str">
        <f>VLOOKUP(F4743,辅助信息!A:B,2,FALSE)</f>
        <v>螺纹钢</v>
      </c>
      <c r="F4743" s="41" t="s">
        <v>32</v>
      </c>
      <c r="G4743" s="37">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1" t="str">
        <f>VLOOKUP(B4743,辅助信息!E:I,3,FALSE)</f>
        <v>(五冶建设空港兴城怡心街道83亩项目)成都市双流区怡心街道高峰社区一组剑和路一段空港兴城怡心街道83亩项目中国五冶项目部</v>
      </c>
      <c r="J4743" s="41" t="str">
        <f>VLOOKUP(B4743,辅助信息!E:I,4,FALSE)</f>
        <v>王刚</v>
      </c>
      <c r="K4743" s="41">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10</v>
      </c>
      <c r="Q4743" s="30" t="str">
        <f>VLOOKUP(B4743,辅助信息!E:M,9,FALSE)</f>
        <v>ZTWM-CDGS-XS-2025-0073-五冶天府-成都怡心湖片区及龙泉驿医院等项目</v>
      </c>
      <c r="R4743" s="30" t="str">
        <f>_xlfn._xlws.FILTER(辅助信息!D:D,辅助信息!E:E=B4743)</f>
        <v>五冶建设空港兴城怡心街道83亩项目</v>
      </c>
    </row>
    <row r="4744" hidden="1" spans="2:18">
      <c r="B4744" s="136" t="s">
        <v>203</v>
      </c>
      <c r="C4744" s="71">
        <v>45950</v>
      </c>
      <c r="D4744" s="41" t="str">
        <f>VLOOKUP(B4744,辅助信息!E:K,7,FALSE)</f>
        <v>JWDDCD2025102100479</v>
      </c>
      <c r="E4744" s="41" t="str">
        <f>VLOOKUP(F4744,辅助信息!A:B,2,FALSE)</f>
        <v>螺纹钢</v>
      </c>
      <c r="F4744" s="41" t="s">
        <v>33</v>
      </c>
      <c r="G4744" s="37">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1" t="str">
        <f>VLOOKUP(B4744,辅助信息!E:I,3,FALSE)</f>
        <v>(五冶建设空港兴城怡心街道83亩项目)成都市双流区怡心街道高峰社区一组剑和路一段空港兴城怡心街道83亩项目中国五冶项目部</v>
      </c>
      <c r="J4744" s="41" t="str">
        <f>VLOOKUP(B4744,辅助信息!E:I,4,FALSE)</f>
        <v>王刚</v>
      </c>
      <c r="K4744" s="41">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10</v>
      </c>
      <c r="Q4744" s="30" t="str">
        <f>VLOOKUP(B4744,辅助信息!E:M,9,FALSE)</f>
        <v>ZTWM-CDGS-XS-2025-0073-五冶天府-成都怡心湖片区及龙泉驿医院等项目</v>
      </c>
      <c r="R4744" s="30" t="str">
        <f>_xlfn._xlws.FILTER(辅助信息!D:D,辅助信息!E:E=B4744)</f>
        <v>五冶建设空港兴城怡心街道83亩项目</v>
      </c>
    </row>
    <row r="4745" hidden="1" spans="2:18">
      <c r="B4745" s="136" t="s">
        <v>176</v>
      </c>
      <c r="C4745" s="71">
        <v>45950</v>
      </c>
      <c r="D4745" s="41" t="str">
        <f>VLOOKUP(B4745,辅助信息!E:K,7,FALSE)</f>
        <v>JWDDCD2025062200016</v>
      </c>
      <c r="E4745" s="41" t="str">
        <f>VLOOKUP(F4745,辅助信息!A:B,2,FALSE)</f>
        <v>螺纹钢</v>
      </c>
      <c r="F4745" s="41" t="s">
        <v>19</v>
      </c>
      <c r="G4745" s="37">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1" t="str">
        <f>VLOOKUP(B4745,辅助信息!E:I,3,FALSE)</f>
        <v>(武汉电气化局成达万高铁强电项目-渠县)四川省达州市渠县渠北镇雷家湾渠县北站旁</v>
      </c>
      <c r="J4745" s="41" t="str">
        <f>VLOOKUP(B4745,辅助信息!E:I,4,FALSE)</f>
        <v>刘频</v>
      </c>
      <c r="K4745" s="41">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13</v>
      </c>
      <c r="Q4745" s="30" t="str">
        <f>VLOOKUP(B4745,辅助信息!E:M,9,FALSE)</f>
        <v>ZTWM-CDGS-XS-2025-0033-中铁武汉电气化局集团有限公司成达万高速铁路强电工程项目</v>
      </c>
      <c r="R4745" s="30" t="str">
        <f>_xlfn._xlws.FILTER(辅助信息!D:D,辅助信息!E:E=B4745)</f>
        <v>武汉电气化局成达万高铁强电项目</v>
      </c>
    </row>
    <row r="4746" hidden="1" spans="2:18">
      <c r="B4746" s="136" t="s">
        <v>176</v>
      </c>
      <c r="C4746" s="71">
        <v>45950</v>
      </c>
      <c r="D4746" s="41" t="str">
        <f>VLOOKUP(B4746,辅助信息!E:K,7,FALSE)</f>
        <v>JWDDCD2025062200016</v>
      </c>
      <c r="E4746" s="41" t="str">
        <f>VLOOKUP(F4746,辅助信息!A:B,2,FALSE)</f>
        <v>螺纹钢</v>
      </c>
      <c r="F4746" s="41" t="s">
        <v>76</v>
      </c>
      <c r="G4746" s="37">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1" t="str">
        <f>VLOOKUP(B4746,辅助信息!E:I,3,FALSE)</f>
        <v>(武汉电气化局成达万高铁强电项目-渠县)四川省达州市渠县渠北镇雷家湾渠县北站旁</v>
      </c>
      <c r="J4746" s="41" t="str">
        <f>VLOOKUP(B4746,辅助信息!E:I,4,FALSE)</f>
        <v>刘频</v>
      </c>
      <c r="K4746" s="41">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13</v>
      </c>
      <c r="Q4746" s="30" t="str">
        <f>VLOOKUP(B4746,辅助信息!E:M,9,FALSE)</f>
        <v>ZTWM-CDGS-XS-2025-0033-中铁武汉电气化局集团有限公司成达万高速铁路强电工程项目</v>
      </c>
      <c r="R4746" s="30" t="str">
        <f>_xlfn._xlws.FILTER(辅助信息!D:D,辅助信息!E:E=B4746)</f>
        <v>武汉电气化局成达万高铁强电项目</v>
      </c>
    </row>
    <row r="4747" hidden="1" spans="2:18">
      <c r="B4747" s="136" t="s">
        <v>176</v>
      </c>
      <c r="C4747" s="71">
        <v>45950</v>
      </c>
      <c r="D4747" s="41" t="str">
        <f>VLOOKUP(B4747,辅助信息!E:K,7,FALSE)</f>
        <v>JWDDCD2025062200016</v>
      </c>
      <c r="E4747" s="41" t="str">
        <f>VLOOKUP(F4747,辅助信息!A:B,2,FALSE)</f>
        <v>螺纹钢</v>
      </c>
      <c r="F4747" s="41" t="s">
        <v>130</v>
      </c>
      <c r="G4747" s="37">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1" t="str">
        <f>VLOOKUP(B4747,辅助信息!E:I,3,FALSE)</f>
        <v>(武汉电气化局成达万高铁强电项目-渠县)四川省达州市渠县渠北镇雷家湾渠县北站旁</v>
      </c>
      <c r="J4747" s="41" t="str">
        <f>VLOOKUP(B4747,辅助信息!E:I,4,FALSE)</f>
        <v>刘频</v>
      </c>
      <c r="K4747" s="41">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13</v>
      </c>
      <c r="Q4747" s="30" t="str">
        <f>VLOOKUP(B4747,辅助信息!E:M,9,FALSE)</f>
        <v>ZTWM-CDGS-XS-2025-0033-中铁武汉电气化局集团有限公司成达万高速铁路强电工程项目</v>
      </c>
      <c r="R4747" s="30" t="str">
        <f>_xlfn._xlws.FILTER(辅助信息!D:D,辅助信息!E:E=B4747)</f>
        <v>武汉电气化局成达万高铁强电项目</v>
      </c>
    </row>
    <row r="4748" hidden="1" spans="2:18">
      <c r="B4748" s="136" t="s">
        <v>176</v>
      </c>
      <c r="C4748" s="71">
        <v>45950</v>
      </c>
      <c r="D4748" s="41" t="str">
        <f>VLOOKUP(B4748,辅助信息!E:K,7,FALSE)</f>
        <v>JWDDCD2025062200016</v>
      </c>
      <c r="E4748" s="41" t="str">
        <f>VLOOKUP(F4748,辅助信息!A:B,2,FALSE)</f>
        <v>螺纹钢</v>
      </c>
      <c r="F4748" s="41" t="s">
        <v>91</v>
      </c>
      <c r="G4748" s="37">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1" t="str">
        <f>VLOOKUP(B4748,辅助信息!E:I,3,FALSE)</f>
        <v>(武汉电气化局成达万高铁强电项目-渠县)四川省达州市渠县渠北镇雷家湾渠县北站旁</v>
      </c>
      <c r="J4748" s="41" t="str">
        <f>VLOOKUP(B4748,辅助信息!E:I,4,FALSE)</f>
        <v>刘频</v>
      </c>
      <c r="K4748" s="41">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13</v>
      </c>
      <c r="Q4748" s="30" t="str">
        <f>VLOOKUP(B4748,辅助信息!E:M,9,FALSE)</f>
        <v>ZTWM-CDGS-XS-2025-0033-中铁武汉电气化局集团有限公司成达万高速铁路强电工程项目</v>
      </c>
      <c r="R4748" s="30" t="str">
        <f>_xlfn._xlws.FILTER(辅助信息!D:D,辅助信息!E:E=B4748)</f>
        <v>武汉电气化局成达万高铁强电项目</v>
      </c>
    </row>
    <row r="4749" hidden="1" spans="2:18">
      <c r="B4749" s="136" t="s">
        <v>226</v>
      </c>
      <c r="C4749" s="71">
        <v>45950</v>
      </c>
      <c r="D4749" s="41" t="str">
        <f>VLOOKUP(B4749,辅助信息!E:K,7,FALSE)</f>
        <v>JWDDCD2025092400211</v>
      </c>
      <c r="E4749" s="41" t="str">
        <f>VLOOKUP(F4749,辅助信息!A:B,2,FALSE)</f>
        <v>盘螺</v>
      </c>
      <c r="F4749" s="41" t="s">
        <v>40</v>
      </c>
      <c r="G4749" s="37">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1" t="str">
        <f>VLOOKUP(B4749,辅助信息!E:I,3,FALSE)</f>
        <v>(五冶钢构龙泉东洪片区85亩住宅、商业及配套工程项目二标段)成都市龙泉驿外东洪路地铁2号线惠王陵地铁C口</v>
      </c>
      <c r="J4749" s="41" t="str">
        <f>VLOOKUP(B4749,辅助信息!E:I,4,FALSE)</f>
        <v>李渊</v>
      </c>
      <c r="K4749" s="41">
        <f>VLOOKUP(J4749,辅助信息!H:I,2,FALSE)</f>
        <v>18381013849</v>
      </c>
      <c r="L4749" s="110">
        <f>VLOOKUP(B4749,辅助信息!E:J,6,FALSE)</f>
        <v>0</v>
      </c>
      <c r="M4749" s="92">
        <v>45949</v>
      </c>
      <c r="O4749" s="63">
        <f ca="1" t="shared" si="230"/>
        <v>0</v>
      </c>
      <c r="P4749" s="63">
        <f ca="1" t="shared" si="231"/>
        <v>10</v>
      </c>
      <c r="Q4749" s="30" t="str">
        <f>VLOOKUP(B4749,辅助信息!E:M,9,FALSE)</f>
        <v>ZTWM-CDGS-XS-2025-0156-五冶钢构-2025年九月第一批次钢筋采购合同(三圣乡项目)-中铁物贸成都公司</v>
      </c>
      <c r="R4749" s="30" t="str">
        <f>_xlfn._xlws.FILTER(辅助信息!D:D,辅助信息!E:E=B4749)</f>
        <v>五冶钢构龙泉东洪片区(70亩、85亩)住宅、商业及配套工程项目</v>
      </c>
    </row>
    <row r="4750" hidden="1" spans="2:18">
      <c r="B4750" s="136" t="s">
        <v>226</v>
      </c>
      <c r="C4750" s="71">
        <v>45950</v>
      </c>
      <c r="D4750" s="41" t="str">
        <f>VLOOKUP(B4750,辅助信息!E:K,7,FALSE)</f>
        <v>JWDDCD2025092400211</v>
      </c>
      <c r="E4750" s="41" t="str">
        <f>VLOOKUP(F4750,辅助信息!A:B,2,FALSE)</f>
        <v>螺纹钢</v>
      </c>
      <c r="F4750" s="41" t="s">
        <v>27</v>
      </c>
      <c r="G4750" s="37">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1" t="str">
        <f>VLOOKUP(B4750,辅助信息!E:I,3,FALSE)</f>
        <v>(五冶钢构龙泉东洪片区85亩住宅、商业及配套工程项目二标段)成都市龙泉驿外东洪路地铁2号线惠王陵地铁C口</v>
      </c>
      <c r="J4750" s="41" t="str">
        <f>VLOOKUP(B4750,辅助信息!E:I,4,FALSE)</f>
        <v>李渊</v>
      </c>
      <c r="K4750" s="41">
        <f>VLOOKUP(J4750,辅助信息!H:I,2,FALSE)</f>
        <v>18381013849</v>
      </c>
      <c r="L4750" s="110">
        <f>VLOOKUP(B4750,辅助信息!E:J,6,FALSE)</f>
        <v>0</v>
      </c>
      <c r="M4750" s="92">
        <v>45949</v>
      </c>
      <c r="O4750" s="63">
        <f ca="1" t="shared" si="230"/>
        <v>0</v>
      </c>
      <c r="P4750" s="63">
        <f ca="1" t="shared" si="231"/>
        <v>10</v>
      </c>
      <c r="Q4750" s="30" t="str">
        <f>VLOOKUP(B4750,辅助信息!E:M,9,FALSE)</f>
        <v>ZTWM-CDGS-XS-2025-0156-五冶钢构-2025年九月第一批次钢筋采购合同(三圣乡项目)-中铁物贸成都公司</v>
      </c>
      <c r="R4750" s="30" t="str">
        <f>_xlfn._xlws.FILTER(辅助信息!D:D,辅助信息!E:E=B4750)</f>
        <v>五冶钢构龙泉东洪片区(70亩、85亩)住宅、商业及配套工程项目</v>
      </c>
    </row>
    <row r="4751" hidden="1" spans="2:18">
      <c r="B4751" s="136" t="s">
        <v>226</v>
      </c>
      <c r="C4751" s="71">
        <v>45950</v>
      </c>
      <c r="D4751" s="41" t="str">
        <f>VLOOKUP(B4751,辅助信息!E:K,7,FALSE)</f>
        <v>JWDDCD2025092400211</v>
      </c>
      <c r="E4751" s="41" t="str">
        <f>VLOOKUP(F4751,辅助信息!A:B,2,FALSE)</f>
        <v>螺纹钢</v>
      </c>
      <c r="F4751" s="41" t="s">
        <v>32</v>
      </c>
      <c r="G4751" s="37">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1" t="str">
        <f>VLOOKUP(B4751,辅助信息!E:I,3,FALSE)</f>
        <v>(五冶钢构龙泉东洪片区85亩住宅、商业及配套工程项目二标段)成都市龙泉驿外东洪路地铁2号线惠王陵地铁C口</v>
      </c>
      <c r="J4751" s="41" t="str">
        <f>VLOOKUP(B4751,辅助信息!E:I,4,FALSE)</f>
        <v>李渊</v>
      </c>
      <c r="K4751" s="41">
        <f>VLOOKUP(J4751,辅助信息!H:I,2,FALSE)</f>
        <v>18381013849</v>
      </c>
      <c r="L4751" s="110">
        <f>VLOOKUP(B4751,辅助信息!E:J,6,FALSE)</f>
        <v>0</v>
      </c>
      <c r="M4751" s="92">
        <v>45949</v>
      </c>
      <c r="O4751" s="63">
        <f ca="1" t="shared" si="230"/>
        <v>0</v>
      </c>
      <c r="P4751" s="63">
        <f ca="1" t="shared" si="231"/>
        <v>10</v>
      </c>
      <c r="Q4751" s="30" t="str">
        <f>VLOOKUP(B4751,辅助信息!E:M,9,FALSE)</f>
        <v>ZTWM-CDGS-XS-2025-0156-五冶钢构-2025年九月第一批次钢筋采购合同(三圣乡项目)-中铁物贸成都公司</v>
      </c>
      <c r="R4751" s="30" t="str">
        <f>_xlfn._xlws.FILTER(辅助信息!D:D,辅助信息!E:E=B4751)</f>
        <v>五冶钢构龙泉东洪片区(70亩、85亩)住宅、商业及配套工程项目</v>
      </c>
    </row>
    <row r="4752" hidden="1" spans="2:18">
      <c r="B4752" s="136" t="s">
        <v>226</v>
      </c>
      <c r="C4752" s="71">
        <v>45950</v>
      </c>
      <c r="D4752" s="41" t="str">
        <f>VLOOKUP(B4752,辅助信息!E:K,7,FALSE)</f>
        <v>JWDDCD2025092400211</v>
      </c>
      <c r="E4752" s="41" t="str">
        <f>VLOOKUP(F4752,辅助信息!A:B,2,FALSE)</f>
        <v>螺纹钢</v>
      </c>
      <c r="F4752" s="41" t="s">
        <v>30</v>
      </c>
      <c r="G4752" s="37">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1" t="str">
        <f>VLOOKUP(B4752,辅助信息!E:I,3,FALSE)</f>
        <v>(五冶钢构龙泉东洪片区85亩住宅、商业及配套工程项目二标段)成都市龙泉驿外东洪路地铁2号线惠王陵地铁C口</v>
      </c>
      <c r="J4752" s="41" t="str">
        <f>VLOOKUP(B4752,辅助信息!E:I,4,FALSE)</f>
        <v>李渊</v>
      </c>
      <c r="K4752" s="41">
        <f>VLOOKUP(J4752,辅助信息!H:I,2,FALSE)</f>
        <v>18381013849</v>
      </c>
      <c r="L4752" s="110">
        <f>VLOOKUP(B4752,辅助信息!E:J,6,FALSE)</f>
        <v>0</v>
      </c>
      <c r="M4752" s="92">
        <v>45949</v>
      </c>
      <c r="O4752" s="63">
        <f ca="1" t="shared" si="230"/>
        <v>0</v>
      </c>
      <c r="P4752" s="63">
        <f ca="1" t="shared" si="231"/>
        <v>10</v>
      </c>
      <c r="Q4752" s="30" t="str">
        <f>VLOOKUP(B4752,辅助信息!E:M,9,FALSE)</f>
        <v>ZTWM-CDGS-XS-2025-0156-五冶钢构-2025年九月第一批次钢筋采购合同(三圣乡项目)-中铁物贸成都公司</v>
      </c>
      <c r="R4752" s="30" t="str">
        <f>_xlfn._xlws.FILTER(辅助信息!D:D,辅助信息!E:E=B4752)</f>
        <v>五冶钢构龙泉东洪片区(70亩、85亩)住宅、商业及配套工程项目</v>
      </c>
    </row>
    <row r="4753" hidden="1" spans="2:18">
      <c r="B4753" s="136" t="s">
        <v>225</v>
      </c>
      <c r="C4753" s="71">
        <v>45950</v>
      </c>
      <c r="D4753" s="41" t="str">
        <f>VLOOKUP(B4753,辅助信息!E:K,7,FALSE)</f>
        <v>JWDDCD2025092400210</v>
      </c>
      <c r="E4753" s="41" t="str">
        <f>VLOOKUP(F4753,辅助信息!A:B,2,FALSE)</f>
        <v>盘螺</v>
      </c>
      <c r="F4753" s="41" t="s">
        <v>40</v>
      </c>
      <c r="G4753" s="37">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1" t="str">
        <f>VLOOKUP(B4753,辅助信息!E:I,3,FALSE)</f>
        <v>(五冶钢构龙泉东洪片区85亩住宅、商业及配套工程项目一标段)成都市龙泉驿外东洪路地铁2号线惠王陵地铁C口</v>
      </c>
      <c r="J4753" s="41" t="str">
        <f>VLOOKUP(B4753,辅助信息!E:I,4,FALSE)</f>
        <v>岳工</v>
      </c>
      <c r="K4753" s="41">
        <f>VLOOKUP(J4753,辅助信息!H:I,2,FALSE)</f>
        <v>18599951655</v>
      </c>
      <c r="L4753" s="110">
        <f>VLOOKUP(B4753,辅助信息!E:J,6,FALSE)</f>
        <v>0</v>
      </c>
      <c r="M4753" s="92">
        <v>45949</v>
      </c>
      <c r="O4753" s="63">
        <f ca="1" t="shared" si="230"/>
        <v>0</v>
      </c>
      <c r="P4753" s="63">
        <f ca="1" t="shared" si="231"/>
        <v>10</v>
      </c>
      <c r="Q4753" s="30" t="str">
        <f>VLOOKUP(B4753,辅助信息!E:M,9,FALSE)</f>
        <v>ZTWM-CDGS-XS-2025-0156-五冶钢构-2025年九月第一批次钢筋采购合同(三圣乡项目)-中铁物贸成都公司</v>
      </c>
      <c r="R4753" s="30" t="str">
        <f>_xlfn._xlws.FILTER(辅助信息!D:D,辅助信息!E:E=B4753)</f>
        <v>五冶钢构龙泉东洪片区(70亩、85亩)住宅、商业及配套工程项目</v>
      </c>
    </row>
    <row r="4754" hidden="1" spans="2:18">
      <c r="B4754" s="136" t="s">
        <v>215</v>
      </c>
      <c r="C4754" s="71">
        <v>45950</v>
      </c>
      <c r="D4754" s="41" t="str">
        <f>VLOOKUP(B4754,辅助信息!E:K,7,FALSE)</f>
        <v>JWDDCD2025102100486</v>
      </c>
      <c r="E4754" s="41" t="str">
        <f>VLOOKUP(F4754,辅助信息!A:B,2,FALSE)</f>
        <v>盘螺</v>
      </c>
      <c r="F4754" s="41" t="s">
        <v>49</v>
      </c>
      <c r="G4754" s="37">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1" t="str">
        <f>VLOOKUP(B4754,辅助信息!E:I,3,FALSE)</f>
        <v>(五冶建设龙泉驿一医院配套建设工程)成都市龙泉驿区董朗路69号龙泉驿一医院5号门</v>
      </c>
      <c r="J4754" s="41" t="str">
        <f>VLOOKUP(B4754,辅助信息!E:I,4,FALSE)</f>
        <v>孙敏</v>
      </c>
      <c r="K4754" s="41">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13</v>
      </c>
      <c r="Q4754" s="30" t="str">
        <f>VLOOKUP(B4754,辅助信息!E:M,9,FALSE)</f>
        <v>ZTWM-CDGS-XS-2025-0073-五冶天府-成都怡心湖片区及龙泉驿医院等项目</v>
      </c>
      <c r="R4754" s="30" t="str">
        <f>_xlfn._xlws.FILTER(辅助信息!D:D,辅助信息!E:E=B4754)</f>
        <v>五冶建设龙泉驿一医院配套建设工程</v>
      </c>
    </row>
    <row r="4755" hidden="1" spans="2:18">
      <c r="B4755" s="136" t="s">
        <v>215</v>
      </c>
      <c r="C4755" s="71">
        <v>45950</v>
      </c>
      <c r="D4755" s="41" t="str">
        <f>VLOOKUP(B4755,辅助信息!E:K,7,FALSE)</f>
        <v>JWDDCD2025102100486</v>
      </c>
      <c r="E4755" s="41" t="str">
        <f>VLOOKUP(F4755,辅助信息!A:B,2,FALSE)</f>
        <v>盘螺</v>
      </c>
      <c r="F4755" s="41" t="s">
        <v>40</v>
      </c>
      <c r="G4755" s="37">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1" t="str">
        <f>VLOOKUP(B4755,辅助信息!E:I,3,FALSE)</f>
        <v>(五冶建设龙泉驿一医院配套建设工程)成都市龙泉驿区董朗路69号龙泉驿一医院5号门</v>
      </c>
      <c r="J4755" s="41" t="str">
        <f>VLOOKUP(B4755,辅助信息!E:I,4,FALSE)</f>
        <v>孙敏</v>
      </c>
      <c r="K4755" s="41">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13</v>
      </c>
      <c r="Q4755" s="30" t="str">
        <f>VLOOKUP(B4755,辅助信息!E:M,9,FALSE)</f>
        <v>ZTWM-CDGS-XS-2025-0073-五冶天府-成都怡心湖片区及龙泉驿医院等项目</v>
      </c>
      <c r="R4755" s="30" t="str">
        <f>_xlfn._xlws.FILTER(辅助信息!D:D,辅助信息!E:E=B4755)</f>
        <v>五冶建设龙泉驿一医院配套建设工程</v>
      </c>
    </row>
    <row r="4756" hidden="1" spans="2:18">
      <c r="B4756" s="136" t="s">
        <v>215</v>
      </c>
      <c r="C4756" s="71">
        <v>45950</v>
      </c>
      <c r="D4756" s="41" t="str">
        <f>VLOOKUP(B4756,辅助信息!E:K,7,FALSE)</f>
        <v>JWDDCD2025102100486</v>
      </c>
      <c r="E4756" s="41" t="str">
        <f>VLOOKUP(F4756,辅助信息!A:B,2,FALSE)</f>
        <v>盘螺</v>
      </c>
      <c r="F4756" s="41" t="s">
        <v>41</v>
      </c>
      <c r="G4756" s="37">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1" t="str">
        <f>VLOOKUP(B4756,辅助信息!E:I,3,FALSE)</f>
        <v>(五冶建设龙泉驿一医院配套建设工程)成都市龙泉驿区董朗路69号龙泉驿一医院5号门</v>
      </c>
      <c r="J4756" s="41" t="str">
        <f>VLOOKUP(B4756,辅助信息!E:I,4,FALSE)</f>
        <v>孙敏</v>
      </c>
      <c r="K4756" s="41">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13</v>
      </c>
      <c r="Q4756" s="30" t="str">
        <f>VLOOKUP(B4756,辅助信息!E:M,9,FALSE)</f>
        <v>ZTWM-CDGS-XS-2025-0073-五冶天府-成都怡心湖片区及龙泉驿医院等项目</v>
      </c>
      <c r="R4756" s="30" t="str">
        <f>_xlfn._xlws.FILTER(辅助信息!D:D,辅助信息!E:E=B4756)</f>
        <v>五冶建设龙泉驿一医院配套建设工程</v>
      </c>
    </row>
    <row r="4757" hidden="1" spans="2:18">
      <c r="B4757" s="136" t="s">
        <v>215</v>
      </c>
      <c r="C4757" s="71">
        <v>45950</v>
      </c>
      <c r="D4757" s="41" t="str">
        <f>VLOOKUP(B4757,辅助信息!E:K,7,FALSE)</f>
        <v>JWDDCD2025102100486</v>
      </c>
      <c r="E4757" s="41" t="str">
        <f>VLOOKUP(F4757,辅助信息!A:B,2,FALSE)</f>
        <v>盘螺</v>
      </c>
      <c r="F4757" s="41" t="s">
        <v>26</v>
      </c>
      <c r="G4757" s="37">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1" t="str">
        <f>VLOOKUP(B4757,辅助信息!E:I,3,FALSE)</f>
        <v>(五冶建设龙泉驿一医院配套建设工程)成都市龙泉驿区董朗路69号龙泉驿一医院5号门</v>
      </c>
      <c r="J4757" s="41" t="str">
        <f>VLOOKUP(B4757,辅助信息!E:I,4,FALSE)</f>
        <v>孙敏</v>
      </c>
      <c r="K4757" s="41">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13</v>
      </c>
      <c r="Q4757" s="30" t="str">
        <f>VLOOKUP(B4757,辅助信息!E:M,9,FALSE)</f>
        <v>ZTWM-CDGS-XS-2025-0073-五冶天府-成都怡心湖片区及龙泉驿医院等项目</v>
      </c>
      <c r="R4757" s="30" t="str">
        <f>_xlfn._xlws.FILTER(辅助信息!D:D,辅助信息!E:E=B4757)</f>
        <v>五冶建设龙泉驿一医院配套建设工程</v>
      </c>
    </row>
    <row r="4758" hidden="1" spans="2:18">
      <c r="B4758" s="136" t="s">
        <v>215</v>
      </c>
      <c r="C4758" s="71">
        <v>45950</v>
      </c>
      <c r="D4758" s="41" t="str">
        <f>VLOOKUP(B4758,辅助信息!E:K,7,FALSE)</f>
        <v>JWDDCD2025102100486</v>
      </c>
      <c r="E4758" s="41" t="str">
        <f>VLOOKUP(F4758,辅助信息!A:B,2,FALSE)</f>
        <v>螺纹钢</v>
      </c>
      <c r="F4758" s="41" t="s">
        <v>27</v>
      </c>
      <c r="G4758" s="37">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1" t="str">
        <f>VLOOKUP(B4758,辅助信息!E:I,3,FALSE)</f>
        <v>(五冶建设龙泉驿一医院配套建设工程)成都市龙泉驿区董朗路69号龙泉驿一医院5号门</v>
      </c>
      <c r="J4758" s="41" t="str">
        <f>VLOOKUP(B4758,辅助信息!E:I,4,FALSE)</f>
        <v>孙敏</v>
      </c>
      <c r="K4758" s="41">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13</v>
      </c>
      <c r="Q4758" s="30" t="str">
        <f>VLOOKUP(B4758,辅助信息!E:M,9,FALSE)</f>
        <v>ZTWM-CDGS-XS-2025-0073-五冶天府-成都怡心湖片区及龙泉驿医院等项目</v>
      </c>
      <c r="R4758" s="30" t="str">
        <f>_xlfn._xlws.FILTER(辅助信息!D:D,辅助信息!E:E=B4758)</f>
        <v>五冶建设龙泉驿一医院配套建设工程</v>
      </c>
    </row>
    <row r="4759" hidden="1" spans="2:18">
      <c r="B4759" s="136" t="s">
        <v>215</v>
      </c>
      <c r="C4759" s="71">
        <v>45950</v>
      </c>
      <c r="D4759" s="41" t="str">
        <f>VLOOKUP(B4759,辅助信息!E:K,7,FALSE)</f>
        <v>JWDDCD2025102100486</v>
      </c>
      <c r="E4759" s="41" t="str">
        <f>VLOOKUP(F4759,辅助信息!A:B,2,FALSE)</f>
        <v>螺纹钢</v>
      </c>
      <c r="F4759" s="41" t="s">
        <v>52</v>
      </c>
      <c r="G4759" s="37">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1" t="str">
        <f>VLOOKUP(B4759,辅助信息!E:I,3,FALSE)</f>
        <v>(五冶建设龙泉驿一医院配套建设工程)成都市龙泉驿区董朗路69号龙泉驿一医院5号门</v>
      </c>
      <c r="J4759" s="41" t="str">
        <f>VLOOKUP(B4759,辅助信息!E:I,4,FALSE)</f>
        <v>孙敏</v>
      </c>
      <c r="K4759" s="41">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13</v>
      </c>
      <c r="Q4759" s="30" t="str">
        <f>VLOOKUP(B4759,辅助信息!E:M,9,FALSE)</f>
        <v>ZTWM-CDGS-XS-2025-0073-五冶天府-成都怡心湖片区及龙泉驿医院等项目</v>
      </c>
      <c r="R4759" s="30" t="str">
        <f>_xlfn._xlws.FILTER(辅助信息!D:D,辅助信息!E:E=B4759)</f>
        <v>五冶建设龙泉驿一医院配套建设工程</v>
      </c>
    </row>
    <row r="4760" hidden="1" spans="2:18">
      <c r="B4760" s="136" t="s">
        <v>215</v>
      </c>
      <c r="C4760" s="71">
        <v>45950</v>
      </c>
      <c r="D4760" s="41" t="str">
        <f>VLOOKUP(B4760,辅助信息!E:K,7,FALSE)</f>
        <v>JWDDCD2025102100486</v>
      </c>
      <c r="E4760" s="41" t="str">
        <f>VLOOKUP(F4760,辅助信息!A:B,2,FALSE)</f>
        <v>螺纹钢</v>
      </c>
      <c r="F4760" s="41" t="s">
        <v>82</v>
      </c>
      <c r="G4760" s="37">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1" t="str">
        <f>VLOOKUP(B4760,辅助信息!E:I,3,FALSE)</f>
        <v>(五冶建设龙泉驿一医院配套建设工程)成都市龙泉驿区董朗路69号龙泉驿一医院5号门</v>
      </c>
      <c r="J4760" s="41" t="str">
        <f>VLOOKUP(B4760,辅助信息!E:I,4,FALSE)</f>
        <v>孙敏</v>
      </c>
      <c r="K4760" s="41">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13</v>
      </c>
      <c r="Q4760" s="30" t="str">
        <f>VLOOKUP(B4760,辅助信息!E:M,9,FALSE)</f>
        <v>ZTWM-CDGS-XS-2025-0073-五冶天府-成都怡心湖片区及龙泉驿医院等项目</v>
      </c>
      <c r="R4760" s="30" t="str">
        <f>_xlfn._xlws.FILTER(辅助信息!D:D,辅助信息!E:E=B4760)</f>
        <v>五冶建设龙泉驿一医院配套建设工程</v>
      </c>
    </row>
    <row r="4761" hidden="1" spans="2:18">
      <c r="B4761" s="136" t="s">
        <v>215</v>
      </c>
      <c r="C4761" s="71">
        <v>45950</v>
      </c>
      <c r="D4761" s="41" t="str">
        <f>VLOOKUP(B4761,辅助信息!E:K,7,FALSE)</f>
        <v>JWDDCD2025102100486</v>
      </c>
      <c r="E4761" s="41" t="str">
        <f>VLOOKUP(F4761,辅助信息!A:B,2,FALSE)</f>
        <v>螺纹钢</v>
      </c>
      <c r="F4761" s="41" t="s">
        <v>45</v>
      </c>
      <c r="G4761" s="37">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1" t="str">
        <f>VLOOKUP(B4761,辅助信息!E:I,3,FALSE)</f>
        <v>(五冶建设龙泉驿一医院配套建设工程)成都市龙泉驿区董朗路69号龙泉驿一医院5号门</v>
      </c>
      <c r="J4761" s="41" t="str">
        <f>VLOOKUP(B4761,辅助信息!E:I,4,FALSE)</f>
        <v>孙敏</v>
      </c>
      <c r="K4761" s="41">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13</v>
      </c>
      <c r="Q4761" s="30" t="str">
        <f>VLOOKUP(B4761,辅助信息!E:M,9,FALSE)</f>
        <v>ZTWM-CDGS-XS-2025-0073-五冶天府-成都怡心湖片区及龙泉驿医院等项目</v>
      </c>
      <c r="R4761" s="30" t="str">
        <f>_xlfn._xlws.FILTER(辅助信息!D:D,辅助信息!E:E=B4761)</f>
        <v>五冶建设龙泉驿一医院配套建设工程</v>
      </c>
    </row>
    <row r="4762" hidden="1" spans="2:18">
      <c r="B4762" s="136" t="s">
        <v>215</v>
      </c>
      <c r="C4762" s="71">
        <v>45950</v>
      </c>
      <c r="D4762" s="41" t="str">
        <f>VLOOKUP(B4762,辅助信息!E:K,7,FALSE)</f>
        <v>JWDDCD2025102100486</v>
      </c>
      <c r="E4762" s="41" t="str">
        <f>VLOOKUP(F4762,辅助信息!A:B,2,FALSE)</f>
        <v>螺纹钢</v>
      </c>
      <c r="F4762" s="41" t="s">
        <v>21</v>
      </c>
      <c r="G4762" s="37">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1" t="str">
        <f>VLOOKUP(B4762,辅助信息!E:I,3,FALSE)</f>
        <v>(五冶建设龙泉驿一医院配套建设工程)成都市龙泉驿区董朗路69号龙泉驿一医院5号门</v>
      </c>
      <c r="J4762" s="41" t="str">
        <f>VLOOKUP(B4762,辅助信息!E:I,4,FALSE)</f>
        <v>孙敏</v>
      </c>
      <c r="K4762" s="41">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13</v>
      </c>
      <c r="Q4762" s="30" t="str">
        <f>VLOOKUP(B4762,辅助信息!E:M,9,FALSE)</f>
        <v>ZTWM-CDGS-XS-2025-0073-五冶天府-成都怡心湖片区及龙泉驿医院等项目</v>
      </c>
      <c r="R4762" s="30" t="str">
        <f>_xlfn._xlws.FILTER(辅助信息!D:D,辅助信息!E:E=B4762)</f>
        <v>五冶建设龙泉驿一医院配套建设工程</v>
      </c>
    </row>
    <row r="4763" hidden="1" spans="2:18">
      <c r="B4763" s="136" t="s">
        <v>215</v>
      </c>
      <c r="C4763" s="71">
        <v>45950</v>
      </c>
      <c r="D4763" s="41" t="str">
        <f>VLOOKUP(B4763,辅助信息!E:K,7,FALSE)</f>
        <v>JWDDCD2025102100486</v>
      </c>
      <c r="E4763" s="41" t="str">
        <f>VLOOKUP(F4763,辅助信息!A:B,2,FALSE)</f>
        <v>螺纹钢</v>
      </c>
      <c r="F4763" s="41" t="s">
        <v>58</v>
      </c>
      <c r="G4763" s="37">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1" t="str">
        <f>VLOOKUP(B4763,辅助信息!E:I,3,FALSE)</f>
        <v>(五冶建设龙泉驿一医院配套建设工程)成都市龙泉驿区董朗路69号龙泉驿一医院5号门</v>
      </c>
      <c r="J4763" s="41" t="str">
        <f>VLOOKUP(B4763,辅助信息!E:I,4,FALSE)</f>
        <v>孙敏</v>
      </c>
      <c r="K4763" s="41">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13</v>
      </c>
      <c r="Q4763" s="30" t="str">
        <f>VLOOKUP(B4763,辅助信息!E:M,9,FALSE)</f>
        <v>ZTWM-CDGS-XS-2025-0073-五冶天府-成都怡心湖片区及龙泉驿医院等项目</v>
      </c>
      <c r="R4763" s="30" t="str">
        <f>_xlfn._xlws.FILTER(辅助信息!D:D,辅助信息!E:E=B4763)</f>
        <v>五冶建设龙泉驿一医院配套建设工程</v>
      </c>
    </row>
    <row r="4764" hidden="1" spans="2:18">
      <c r="B4764" s="136" t="s">
        <v>215</v>
      </c>
      <c r="C4764" s="71">
        <v>45950</v>
      </c>
      <c r="D4764" s="41" t="str">
        <f>VLOOKUP(B4764,辅助信息!E:K,7,FALSE)</f>
        <v>JWDDCD2025102100486</v>
      </c>
      <c r="E4764" s="41" t="str">
        <f>VLOOKUP(F4764,辅助信息!A:B,2,FALSE)</f>
        <v>螺纹钢</v>
      </c>
      <c r="F4764" s="41" t="s">
        <v>46</v>
      </c>
      <c r="G4764" s="37">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1" t="str">
        <f>VLOOKUP(B4764,辅助信息!E:I,3,FALSE)</f>
        <v>(五冶建设龙泉驿一医院配套建设工程)成都市龙泉驿区董朗路69号龙泉驿一医院5号门</v>
      </c>
      <c r="J4764" s="41" t="str">
        <f>VLOOKUP(B4764,辅助信息!E:I,4,FALSE)</f>
        <v>孙敏</v>
      </c>
      <c r="K4764" s="41">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13</v>
      </c>
      <c r="Q4764" s="30" t="str">
        <f>VLOOKUP(B4764,辅助信息!E:M,9,FALSE)</f>
        <v>ZTWM-CDGS-XS-2025-0073-五冶天府-成都怡心湖片区及龙泉驿医院等项目</v>
      </c>
      <c r="R4764" s="30" t="str">
        <f>_xlfn._xlws.FILTER(辅助信息!D:D,辅助信息!E:E=B4764)</f>
        <v>五冶建设龙泉驿一医院配套建设工程</v>
      </c>
    </row>
    <row r="4765" hidden="1" spans="2:18">
      <c r="B4765" s="136" t="s">
        <v>215</v>
      </c>
      <c r="C4765" s="71">
        <v>45950</v>
      </c>
      <c r="D4765" s="41" t="str">
        <f>VLOOKUP(B4765,辅助信息!E:K,7,FALSE)</f>
        <v>JWDDCD2025102100486</v>
      </c>
      <c r="E4765" s="41" t="str">
        <f>VLOOKUP(F4765,辅助信息!A:B,2,FALSE)</f>
        <v>螺纹钢</v>
      </c>
      <c r="F4765" s="41" t="s">
        <v>22</v>
      </c>
      <c r="G4765" s="37">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1" t="str">
        <f>VLOOKUP(B4765,辅助信息!E:I,3,FALSE)</f>
        <v>(五冶建设龙泉驿一医院配套建设工程)成都市龙泉驿区董朗路69号龙泉驿一医院5号门</v>
      </c>
      <c r="J4765" s="41" t="str">
        <f>VLOOKUP(B4765,辅助信息!E:I,4,FALSE)</f>
        <v>孙敏</v>
      </c>
      <c r="K4765" s="41">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13</v>
      </c>
      <c r="Q4765" s="30" t="str">
        <f>VLOOKUP(B4765,辅助信息!E:M,9,FALSE)</f>
        <v>ZTWM-CDGS-XS-2025-0073-五冶天府-成都怡心湖片区及龙泉驿医院等项目</v>
      </c>
      <c r="R4765" s="30" t="str">
        <f>_xlfn._xlws.FILTER(辅助信息!D:D,辅助信息!E:E=B4765)</f>
        <v>五冶建设龙泉驿一医院配套建设工程</v>
      </c>
    </row>
    <row r="4766" hidden="1" spans="2:18">
      <c r="B4766" s="136" t="s">
        <v>215</v>
      </c>
      <c r="C4766" s="71">
        <v>45950</v>
      </c>
      <c r="D4766" s="41" t="str">
        <f>VLOOKUP(B4766,辅助信息!E:K,7,FALSE)</f>
        <v>JWDDCD2025102100486</v>
      </c>
      <c r="E4766" s="41" t="str">
        <f>VLOOKUP(F4766,辅助信息!A:B,2,FALSE)</f>
        <v>螺纹钢</v>
      </c>
      <c r="F4766" s="41" t="s">
        <v>181</v>
      </c>
      <c r="G4766" s="37">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1" t="str">
        <f>VLOOKUP(B4766,辅助信息!E:I,3,FALSE)</f>
        <v>(五冶建设龙泉驿一医院配套建设工程)成都市龙泉驿区董朗路69号龙泉驿一医院5号门</v>
      </c>
      <c r="J4766" s="41" t="str">
        <f>VLOOKUP(B4766,辅助信息!E:I,4,FALSE)</f>
        <v>孙敏</v>
      </c>
      <c r="K4766" s="41">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13</v>
      </c>
      <c r="Q4766" s="30" t="str">
        <f>VLOOKUP(B4766,辅助信息!E:M,9,FALSE)</f>
        <v>ZTWM-CDGS-XS-2025-0073-五冶天府-成都怡心湖片区及龙泉驿医院等项目</v>
      </c>
      <c r="R4766" s="30" t="str">
        <f>_xlfn._xlws.FILTER(辅助信息!D:D,辅助信息!E:E=B4766)</f>
        <v>五冶建设龙泉驿一医院配套建设工程</v>
      </c>
    </row>
    <row r="4767" hidden="1" spans="2:18">
      <c r="B4767" s="136" t="s">
        <v>231</v>
      </c>
      <c r="C4767" s="71">
        <v>45950</v>
      </c>
      <c r="D4767" s="41" t="str">
        <f>VLOOKUP(B4767,辅助信息!E:K,7,FALSE)</f>
        <v>JWDDCD2025102100481</v>
      </c>
      <c r="E4767" s="41" t="str">
        <f>VLOOKUP(F4767,辅助信息!A:B,2,FALSE)</f>
        <v>盘螺</v>
      </c>
      <c r="F4767" s="41" t="s">
        <v>41</v>
      </c>
      <c r="G4767" s="37">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1" t="str">
        <f>VLOOKUP(B4767,辅助信息!E:I,3,FALSE)</f>
        <v>(五冶建设成都盐道街中学初中部改扩建工程-一标)四川省成都市锦江区春熙路街道盐道街4号（盐道街中学初中部）</v>
      </c>
      <c r="J4767" s="41" t="str">
        <f>VLOOKUP(B4767,辅助信息!E:I,4,FALSE)</f>
        <v>谢鑫</v>
      </c>
      <c r="K4767" s="41">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9</v>
      </c>
      <c r="Q4767" s="30" t="str">
        <f>VLOOKUP(B4767,辅助信息!E:M,9,FALSE)</f>
        <v>ZTWM-CDGS-XS-2025-0073-五冶天府-成都怡心湖片区及龙泉驿医院等项目</v>
      </c>
      <c r="R4767" s="30" t="str">
        <f>_xlfn._xlws.FILTER(辅助信息!D:D,辅助信息!E:E=B4767)</f>
        <v>五冶建设成都盐道街中学初中部改扩建工程</v>
      </c>
    </row>
    <row r="4768" hidden="1" spans="2:18">
      <c r="B4768" s="136" t="s">
        <v>231</v>
      </c>
      <c r="C4768" s="71">
        <v>45950</v>
      </c>
      <c r="D4768" s="41" t="str">
        <f>VLOOKUP(B4768,辅助信息!E:K,7,FALSE)</f>
        <v>JWDDCD2025102100481</v>
      </c>
      <c r="E4768" s="41" t="str">
        <f>VLOOKUP(F4768,辅助信息!A:B,2,FALSE)</f>
        <v>盘螺</v>
      </c>
      <c r="F4768" s="41" t="s">
        <v>26</v>
      </c>
      <c r="G4768" s="37">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1" t="str">
        <f>VLOOKUP(B4768,辅助信息!E:I,3,FALSE)</f>
        <v>(五冶建设成都盐道街中学初中部改扩建工程-一标)四川省成都市锦江区春熙路街道盐道街4号（盐道街中学初中部）</v>
      </c>
      <c r="J4768" s="41" t="str">
        <f>VLOOKUP(B4768,辅助信息!E:I,4,FALSE)</f>
        <v>谢鑫</v>
      </c>
      <c r="K4768" s="41">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9</v>
      </c>
      <c r="Q4768" s="30" t="str">
        <f>VLOOKUP(B4768,辅助信息!E:M,9,FALSE)</f>
        <v>ZTWM-CDGS-XS-2025-0073-五冶天府-成都怡心湖片区及龙泉驿医院等项目</v>
      </c>
      <c r="R4768" s="30" t="str">
        <f>_xlfn._xlws.FILTER(辅助信息!D:D,辅助信息!E:E=B4768)</f>
        <v>五冶建设成都盐道街中学初中部改扩建工程</v>
      </c>
    </row>
    <row r="4769" hidden="1" spans="2:18">
      <c r="B4769" s="136" t="s">
        <v>231</v>
      </c>
      <c r="C4769" s="71">
        <v>45950</v>
      </c>
      <c r="D4769" s="41" t="str">
        <f>VLOOKUP(B4769,辅助信息!E:K,7,FALSE)</f>
        <v>JWDDCD2025102100481</v>
      </c>
      <c r="E4769" s="41" t="str">
        <f>VLOOKUP(F4769,辅助信息!A:B,2,FALSE)</f>
        <v>螺纹钢</v>
      </c>
      <c r="F4769" s="41" t="s">
        <v>32</v>
      </c>
      <c r="G4769" s="37">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1" t="str">
        <f>VLOOKUP(B4769,辅助信息!E:I,3,FALSE)</f>
        <v>(五冶建设成都盐道街中学初中部改扩建工程-一标)四川省成都市锦江区春熙路街道盐道街4号（盐道街中学初中部）</v>
      </c>
      <c r="J4769" s="41" t="str">
        <f>VLOOKUP(B4769,辅助信息!E:I,4,FALSE)</f>
        <v>谢鑫</v>
      </c>
      <c r="K4769" s="41">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9</v>
      </c>
      <c r="Q4769" s="30" t="str">
        <f>VLOOKUP(B4769,辅助信息!E:M,9,FALSE)</f>
        <v>ZTWM-CDGS-XS-2025-0073-五冶天府-成都怡心湖片区及龙泉驿医院等项目</v>
      </c>
      <c r="R4769" s="30" t="str">
        <f>_xlfn._xlws.FILTER(辅助信息!D:D,辅助信息!E:E=B4769)</f>
        <v>五冶建设成都盐道街中学初中部改扩建工程</v>
      </c>
    </row>
    <row r="4770" hidden="1" spans="2:18">
      <c r="B4770" s="136" t="s">
        <v>194</v>
      </c>
      <c r="C4770" s="71">
        <v>45950</v>
      </c>
      <c r="D4770" s="41" t="str">
        <f>VLOOKUP(B4770,辅助信息!E:K,7,FALSE)</f>
        <v>JWDD2025071500089</v>
      </c>
      <c r="E4770" s="41" t="str">
        <f>VLOOKUP(F4770,辅助信息!A:B,2,FALSE)</f>
        <v>螺纹钢</v>
      </c>
      <c r="F4770" s="41" t="s">
        <v>27</v>
      </c>
      <c r="G4770" s="37">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1" t="str">
        <f>VLOOKUP(B4770,辅助信息!E:I,3,FALSE)</f>
        <v>(宜宾兴港三江新区长江工业园保障性租赁住房建设项目-土建)四川省宜宾市翠屏区永善路南段宜宾市三江新区长江工业园区</v>
      </c>
      <c r="J4770" s="41" t="str">
        <f>VLOOKUP(B4770,辅助信息!E:I,4,FALSE)</f>
        <v>赵元虎</v>
      </c>
      <c r="K4770" s="41">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30" t="str">
        <f>VLOOKUP(B4770,辅助信息!E:M,9,FALSE)</f>
        <v>ZTWM-CDYXGS-XS-2025-0014-宜宾兴港建材-三江新区长江工业园片区保障性租赁住房建设项目</v>
      </c>
      <c r="R4770" s="30" t="str">
        <f>_xlfn._xlws.FILTER(辅助信息!D:D,辅助信息!E:E=B4770)</f>
        <v>宜宾兴港三江新区长江工业园建设项目</v>
      </c>
    </row>
    <row r="4771" hidden="1" spans="2:18">
      <c r="B4771" s="136" t="s">
        <v>194</v>
      </c>
      <c r="C4771" s="71">
        <v>45950</v>
      </c>
      <c r="D4771" s="41" t="str">
        <f>VLOOKUP(B4771,辅助信息!E:K,7,FALSE)</f>
        <v>JWDD2025071500089</v>
      </c>
      <c r="E4771" s="41" t="str">
        <f>VLOOKUP(F4771,辅助信息!A:B,2,FALSE)</f>
        <v>螺纹钢</v>
      </c>
      <c r="F4771" s="41" t="s">
        <v>30</v>
      </c>
      <c r="G4771" s="37">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1" t="str">
        <f>VLOOKUP(B4771,辅助信息!E:I,3,FALSE)</f>
        <v>(宜宾兴港三江新区长江工业园保障性租赁住房建设项目-土建)四川省宜宾市翠屏区永善路南段宜宾市三江新区长江工业园区</v>
      </c>
      <c r="J4771" s="41" t="str">
        <f>VLOOKUP(B4771,辅助信息!E:I,4,FALSE)</f>
        <v>赵元虎</v>
      </c>
      <c r="K4771" s="41">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30" t="str">
        <f>VLOOKUP(B4771,辅助信息!E:M,9,FALSE)</f>
        <v>ZTWM-CDYXGS-XS-2025-0014-宜宾兴港建材-三江新区长江工业园片区保障性租赁住房建设项目</v>
      </c>
      <c r="R4771" s="30" t="str">
        <f>_xlfn._xlws.FILTER(辅助信息!D:D,辅助信息!E:E=B4771)</f>
        <v>宜宾兴港三江新区长江工业园建设项目</v>
      </c>
    </row>
    <row r="4772" hidden="1" spans="2:18">
      <c r="B4772" s="136" t="s">
        <v>187</v>
      </c>
      <c r="C4772" s="71">
        <v>45950</v>
      </c>
      <c r="D4772" s="41" t="str">
        <f>VLOOKUP(B4772,辅助信息!E:K,7,FALSE)</f>
        <v>JWDDCD2025072900121</v>
      </c>
      <c r="E4772" s="41" t="str">
        <f>VLOOKUP(F4772,辅助信息!A:B,2,FALSE)</f>
        <v>螺纹钢</v>
      </c>
      <c r="F4772" s="41" t="s">
        <v>82</v>
      </c>
      <c r="G4772" s="37">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1" t="str">
        <f>VLOOKUP(B4772,辅助信息!E:I,3,FALSE)</f>
        <v>(乐山市校地共建产教融合基地建设项目一标段)四川省乐山市市中区苏稽镇周山嘴</v>
      </c>
      <c r="J4772" s="41" t="str">
        <f>VLOOKUP(B4772,辅助信息!E:I,4,FALSE)</f>
        <v>范增云</v>
      </c>
      <c r="K4772" s="41">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30" t="str">
        <f>VLOOKUP(B4772,辅助信息!E:M,9,FALSE)</f>
        <v>ZTWM-CDGS-XS-2025-0125-四川机司-乐山市校地共建产教融合基地配套设施项目施工一标段钢筋采购合同</v>
      </c>
      <c r="R4772" s="30" t="str">
        <f>_xlfn._xlws.FILTER(辅助信息!D:D,辅助信息!E:E=B4772)</f>
        <v>乐山市校地共建产教融合基地建设项目</v>
      </c>
    </row>
    <row r="4773" hidden="1" spans="2:18">
      <c r="B4773" s="136" t="s">
        <v>187</v>
      </c>
      <c r="C4773" s="71">
        <v>45950</v>
      </c>
      <c r="D4773" s="41" t="str">
        <f>VLOOKUP(B4773,辅助信息!E:K,7,FALSE)</f>
        <v>JWDDCD2025072900121</v>
      </c>
      <c r="E4773" s="41" t="str">
        <f>VLOOKUP(F4773,辅助信息!A:B,2,FALSE)</f>
        <v>螺纹钢</v>
      </c>
      <c r="F4773" s="41" t="s">
        <v>22</v>
      </c>
      <c r="G4773" s="37">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1" t="str">
        <f>VLOOKUP(B4773,辅助信息!E:I,3,FALSE)</f>
        <v>(乐山市校地共建产教融合基地建设项目一标段)四川省乐山市市中区苏稽镇周山嘴</v>
      </c>
      <c r="J4773" s="41" t="str">
        <f>VLOOKUP(B4773,辅助信息!E:I,4,FALSE)</f>
        <v>范增云</v>
      </c>
      <c r="K4773" s="41">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30" t="str">
        <f>VLOOKUP(B4773,辅助信息!E:M,9,FALSE)</f>
        <v>ZTWM-CDGS-XS-2025-0125-四川机司-乐山市校地共建产教融合基地配套设施项目施工一标段钢筋采购合同</v>
      </c>
      <c r="R4773" s="30" t="str">
        <f>_xlfn._xlws.FILTER(辅助信息!D:D,辅助信息!E:E=B4773)</f>
        <v>乐山市校地共建产教融合基地建设项目</v>
      </c>
    </row>
    <row r="4774" hidden="1" spans="2:18">
      <c r="B4774" s="136" t="s">
        <v>187</v>
      </c>
      <c r="C4774" s="71">
        <v>45950</v>
      </c>
      <c r="D4774" s="41" t="str">
        <f>VLOOKUP(B4774,辅助信息!E:K,7,FALSE)</f>
        <v>JWDDCD2025072900121</v>
      </c>
      <c r="E4774" s="41" t="str">
        <f>VLOOKUP(F4774,辅助信息!A:B,2,FALSE)</f>
        <v>螺纹钢</v>
      </c>
      <c r="F4774" s="41" t="s">
        <v>142</v>
      </c>
      <c r="G4774" s="37">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1" t="str">
        <f>VLOOKUP(B4774,辅助信息!E:I,3,FALSE)</f>
        <v>(乐山市校地共建产教融合基地建设项目一标段)四川省乐山市市中区苏稽镇周山嘴</v>
      </c>
      <c r="J4774" s="41" t="str">
        <f>VLOOKUP(B4774,辅助信息!E:I,4,FALSE)</f>
        <v>范增云</v>
      </c>
      <c r="K4774" s="41">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30" t="str">
        <f>VLOOKUP(B4774,辅助信息!E:M,9,FALSE)</f>
        <v>ZTWM-CDGS-XS-2025-0125-四川机司-乐山市校地共建产教融合基地配套设施项目施工一标段钢筋采购合同</v>
      </c>
      <c r="R4774" s="30" t="str">
        <f>_xlfn._xlws.FILTER(辅助信息!D:D,辅助信息!E:E=B4774)</f>
        <v>乐山市校地共建产教融合基地建设项目</v>
      </c>
    </row>
    <row r="4775" hidden="1" spans="2:18">
      <c r="B4775" s="136" t="s">
        <v>167</v>
      </c>
      <c r="C4775" s="71">
        <v>45950</v>
      </c>
      <c r="D4775" s="41" t="str">
        <f>VLOOKUP(B4775,辅助信息!E:K,7,FALSE)</f>
        <v>JWDDCD2025102100473</v>
      </c>
      <c r="E4775" s="41" t="str">
        <f>VLOOKUP(F4775,辅助信息!A:B,2,FALSE)</f>
        <v>螺纹钢</v>
      </c>
      <c r="F4775" s="41" t="s">
        <v>19</v>
      </c>
      <c r="G4775" s="37">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1" t="str">
        <f>VLOOKUP(B4775,辅助信息!E:I,3,FALSE)</f>
        <v>(五冶建设扩建艺体中学二期工程)四川省成都市双流区光荣路成都艺体中学南200米</v>
      </c>
      <c r="J4775" s="41" t="str">
        <f>VLOOKUP(B4775,辅助信息!E:I,4,FALSE)</f>
        <v>谢序强</v>
      </c>
      <c r="K4775" s="41">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30" t="str">
        <f>VLOOKUP(B4775,辅助信息!E:M,9,FALSE)</f>
        <v>ZTWM-CDGS-XS-2025-0073-五冶天府-成都怡心湖片区及龙泉驿医院等项目</v>
      </c>
      <c r="R4775" s="30" t="str">
        <f>_xlfn._xlws.FILTER(辅助信息!D:D,辅助信息!E:E=B4775)</f>
        <v>五冶建设扩建艺体中学二期工程</v>
      </c>
    </row>
    <row r="4776" hidden="1" spans="2:18">
      <c r="B4776" s="136" t="s">
        <v>167</v>
      </c>
      <c r="C4776" s="71">
        <v>45950</v>
      </c>
      <c r="D4776" s="41" t="str">
        <f>VLOOKUP(B4776,辅助信息!E:K,7,FALSE)</f>
        <v>JWDDCD2025102100473</v>
      </c>
      <c r="E4776" s="41" t="str">
        <f>VLOOKUP(F4776,辅助信息!A:B,2,FALSE)</f>
        <v>螺纹钢</v>
      </c>
      <c r="F4776" s="41" t="s">
        <v>66</v>
      </c>
      <c r="G4776" s="37">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1" t="str">
        <f>VLOOKUP(B4776,辅助信息!E:I,3,FALSE)</f>
        <v>(五冶建设扩建艺体中学二期工程)四川省成都市双流区光荣路成都艺体中学南200米</v>
      </c>
      <c r="J4776" s="41" t="str">
        <f>VLOOKUP(B4776,辅助信息!E:I,4,FALSE)</f>
        <v>谢序强</v>
      </c>
      <c r="K4776" s="41">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30" t="str">
        <f>VLOOKUP(B4776,辅助信息!E:M,9,FALSE)</f>
        <v>ZTWM-CDGS-XS-2025-0073-五冶天府-成都怡心湖片区及龙泉驿医院等项目</v>
      </c>
      <c r="R4776" s="30" t="str">
        <f>_xlfn._xlws.FILTER(辅助信息!D:D,辅助信息!E:E=B4776)</f>
        <v>五冶建设扩建艺体中学二期工程</v>
      </c>
    </row>
    <row r="4777" hidden="1" spans="2:18">
      <c r="B4777" s="136" t="s">
        <v>167</v>
      </c>
      <c r="C4777" s="71">
        <v>45950</v>
      </c>
      <c r="D4777" s="41" t="str">
        <f>VLOOKUP(B4777,辅助信息!E:K,7,FALSE)</f>
        <v>JWDDCD2025102100473</v>
      </c>
      <c r="E4777" s="41" t="str">
        <f>VLOOKUP(F4777,辅助信息!A:B,2,FALSE)</f>
        <v>螺纹钢</v>
      </c>
      <c r="F4777" s="41" t="s">
        <v>82</v>
      </c>
      <c r="G4777" s="37">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1" t="str">
        <f>VLOOKUP(B4777,辅助信息!E:I,3,FALSE)</f>
        <v>(五冶建设扩建艺体中学二期工程)四川省成都市双流区光荣路成都艺体中学南200米</v>
      </c>
      <c r="J4777" s="41" t="str">
        <f>VLOOKUP(B4777,辅助信息!E:I,4,FALSE)</f>
        <v>谢序强</v>
      </c>
      <c r="K4777" s="41">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30" t="str">
        <f>VLOOKUP(B4777,辅助信息!E:M,9,FALSE)</f>
        <v>ZTWM-CDGS-XS-2025-0073-五冶天府-成都怡心湖片区及龙泉驿医院等项目</v>
      </c>
      <c r="R4777" s="30" t="str">
        <f>_xlfn._xlws.FILTER(辅助信息!D:D,辅助信息!E:E=B4777)</f>
        <v>五冶建设扩建艺体中学二期工程</v>
      </c>
    </row>
    <row r="4778" hidden="1" spans="2:18">
      <c r="B4778" s="136" t="s">
        <v>167</v>
      </c>
      <c r="C4778" s="71">
        <v>45950</v>
      </c>
      <c r="D4778" s="41" t="str">
        <f>VLOOKUP(B4778,辅助信息!E:K,7,FALSE)</f>
        <v>JWDDCD2025102100473</v>
      </c>
      <c r="E4778" s="41" t="str">
        <f>VLOOKUP(F4778,辅助信息!A:B,2,FALSE)</f>
        <v>螺纹钢</v>
      </c>
      <c r="F4778" s="41" t="s">
        <v>45</v>
      </c>
      <c r="G4778" s="37">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1" t="str">
        <f>VLOOKUP(B4778,辅助信息!E:I,3,FALSE)</f>
        <v>(五冶建设扩建艺体中学二期工程)四川省成都市双流区光荣路成都艺体中学南200米</v>
      </c>
      <c r="J4778" s="41" t="str">
        <f>VLOOKUP(B4778,辅助信息!E:I,4,FALSE)</f>
        <v>谢序强</v>
      </c>
      <c r="K4778" s="41">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30" t="str">
        <f>VLOOKUP(B4778,辅助信息!E:M,9,FALSE)</f>
        <v>ZTWM-CDGS-XS-2025-0073-五冶天府-成都怡心湖片区及龙泉驿医院等项目</v>
      </c>
      <c r="R4778" s="30" t="str">
        <f>_xlfn._xlws.FILTER(辅助信息!D:D,辅助信息!E:E=B4778)</f>
        <v>五冶建设扩建艺体中学二期工程</v>
      </c>
    </row>
    <row r="4779" hidden="1" spans="2:18">
      <c r="B4779" s="136" t="s">
        <v>167</v>
      </c>
      <c r="C4779" s="71">
        <v>45950</v>
      </c>
      <c r="D4779" s="41" t="str">
        <f>VLOOKUP(B4779,辅助信息!E:K,7,FALSE)</f>
        <v>JWDDCD2025102100473</v>
      </c>
      <c r="E4779" s="41" t="str">
        <f>VLOOKUP(F4779,辅助信息!A:B,2,FALSE)</f>
        <v>螺纹钢</v>
      </c>
      <c r="F4779" s="41" t="s">
        <v>21</v>
      </c>
      <c r="G4779" s="37">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1" t="str">
        <f>VLOOKUP(B4779,辅助信息!E:I,3,FALSE)</f>
        <v>(五冶建设扩建艺体中学二期工程)四川省成都市双流区光荣路成都艺体中学南200米</v>
      </c>
      <c r="J4779" s="41" t="str">
        <f>VLOOKUP(B4779,辅助信息!E:I,4,FALSE)</f>
        <v>谢序强</v>
      </c>
      <c r="K4779" s="41">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30" t="str">
        <f>VLOOKUP(B4779,辅助信息!E:M,9,FALSE)</f>
        <v>ZTWM-CDGS-XS-2025-0073-五冶天府-成都怡心湖片区及龙泉驿医院等项目</v>
      </c>
      <c r="R4779" s="30" t="str">
        <f>_xlfn._xlws.FILTER(辅助信息!D:D,辅助信息!E:E=B4779)</f>
        <v>五冶建设扩建艺体中学二期工程</v>
      </c>
    </row>
    <row r="4780" hidden="1" spans="2:18">
      <c r="B4780" s="136" t="s">
        <v>167</v>
      </c>
      <c r="C4780" s="71">
        <v>45950</v>
      </c>
      <c r="D4780" s="41" t="str">
        <f>VLOOKUP(B4780,辅助信息!E:K,7,FALSE)</f>
        <v>JWDDCD2025102100473</v>
      </c>
      <c r="E4780" s="41" t="str">
        <f>VLOOKUP(F4780,辅助信息!A:B,2,FALSE)</f>
        <v>螺纹钢</v>
      </c>
      <c r="F4780" s="41" t="s">
        <v>58</v>
      </c>
      <c r="G4780" s="37">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1" t="str">
        <f>VLOOKUP(B4780,辅助信息!E:I,3,FALSE)</f>
        <v>(五冶建设扩建艺体中学二期工程)四川省成都市双流区光荣路成都艺体中学南200米</v>
      </c>
      <c r="J4780" s="41" t="str">
        <f>VLOOKUP(B4780,辅助信息!E:I,4,FALSE)</f>
        <v>谢序强</v>
      </c>
      <c r="K4780" s="41">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30" t="str">
        <f>VLOOKUP(B4780,辅助信息!E:M,9,FALSE)</f>
        <v>ZTWM-CDGS-XS-2025-0073-五冶天府-成都怡心湖片区及龙泉驿医院等项目</v>
      </c>
      <c r="R4780" s="30" t="str">
        <f>_xlfn._xlws.FILTER(辅助信息!D:D,辅助信息!E:E=B4780)</f>
        <v>五冶建设扩建艺体中学二期工程</v>
      </c>
    </row>
    <row r="4781" hidden="1" spans="2:18">
      <c r="B4781" s="136" t="s">
        <v>167</v>
      </c>
      <c r="C4781" s="71">
        <v>45950</v>
      </c>
      <c r="D4781" s="41" t="str">
        <f>VLOOKUP(B4781,辅助信息!E:K,7,FALSE)</f>
        <v>JWDDCD2025102100473</v>
      </c>
      <c r="E4781" s="41" t="str">
        <f>VLOOKUP(F4781,辅助信息!A:B,2,FALSE)</f>
        <v>螺纹钢</v>
      </c>
      <c r="F4781" s="41" t="s">
        <v>46</v>
      </c>
      <c r="G4781" s="37">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1" t="str">
        <f>VLOOKUP(B4781,辅助信息!E:I,3,FALSE)</f>
        <v>(五冶建设扩建艺体中学二期工程)四川省成都市双流区光荣路成都艺体中学南200米</v>
      </c>
      <c r="J4781" s="41" t="str">
        <f>VLOOKUP(B4781,辅助信息!E:I,4,FALSE)</f>
        <v>谢序强</v>
      </c>
      <c r="K4781" s="41">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30" t="str">
        <f>VLOOKUP(B4781,辅助信息!E:M,9,FALSE)</f>
        <v>ZTWM-CDGS-XS-2025-0073-五冶天府-成都怡心湖片区及龙泉驿医院等项目</v>
      </c>
      <c r="R4781" s="30" t="str">
        <f>_xlfn._xlws.FILTER(辅助信息!D:D,辅助信息!E:E=B4781)</f>
        <v>五冶建设扩建艺体中学二期工程</v>
      </c>
    </row>
    <row r="4782" hidden="1" spans="2:18">
      <c r="B4782" s="136" t="s">
        <v>167</v>
      </c>
      <c r="C4782" s="71">
        <v>45950</v>
      </c>
      <c r="D4782" s="41" t="str">
        <f>VLOOKUP(B4782,辅助信息!E:K,7,FALSE)</f>
        <v>JWDDCD2025102100473</v>
      </c>
      <c r="E4782" s="41" t="str">
        <f>VLOOKUP(F4782,辅助信息!A:B,2,FALSE)</f>
        <v>螺纹钢</v>
      </c>
      <c r="F4782" s="41" t="s">
        <v>22</v>
      </c>
      <c r="G4782" s="37">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1" t="str">
        <f>VLOOKUP(B4782,辅助信息!E:I,3,FALSE)</f>
        <v>(五冶建设扩建艺体中学二期工程)四川省成都市双流区光荣路成都艺体中学南200米</v>
      </c>
      <c r="J4782" s="41" t="str">
        <f>VLOOKUP(B4782,辅助信息!E:I,4,FALSE)</f>
        <v>谢序强</v>
      </c>
      <c r="K4782" s="41">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30" t="str">
        <f>VLOOKUP(B4782,辅助信息!E:M,9,FALSE)</f>
        <v>ZTWM-CDGS-XS-2025-0073-五冶天府-成都怡心湖片区及龙泉驿医院等项目</v>
      </c>
      <c r="R4782" s="30" t="str">
        <f>_xlfn._xlws.FILTER(辅助信息!D:D,辅助信息!E:E=B4782)</f>
        <v>五冶建设扩建艺体中学二期工程</v>
      </c>
    </row>
    <row r="4783" hidden="1" spans="2:18">
      <c r="B4783" s="136" t="s">
        <v>167</v>
      </c>
      <c r="C4783" s="71">
        <v>45950</v>
      </c>
      <c r="D4783" s="41" t="str">
        <f>VLOOKUP(B4783,辅助信息!E:K,7,FALSE)</f>
        <v>JWDDCD2025102100473</v>
      </c>
      <c r="E4783" s="41" t="str">
        <f>VLOOKUP(F4783,辅助信息!A:B,2,FALSE)</f>
        <v>螺纹钢</v>
      </c>
      <c r="F4783" s="41" t="s">
        <v>181</v>
      </c>
      <c r="G4783" s="37">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1" t="str">
        <f>VLOOKUP(B4783,辅助信息!E:I,3,FALSE)</f>
        <v>(五冶建设扩建艺体中学二期工程)四川省成都市双流区光荣路成都艺体中学南200米</v>
      </c>
      <c r="J4783" s="41" t="str">
        <f>VLOOKUP(B4783,辅助信息!E:I,4,FALSE)</f>
        <v>谢序强</v>
      </c>
      <c r="K4783" s="41">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30" t="str">
        <f>VLOOKUP(B4783,辅助信息!E:M,9,FALSE)</f>
        <v>ZTWM-CDGS-XS-2025-0073-五冶天府-成都怡心湖片区及龙泉驿医院等项目</v>
      </c>
      <c r="R4783" s="30" t="str">
        <f>_xlfn._xlws.FILTER(辅助信息!D:D,辅助信息!E:E=B4783)</f>
        <v>五冶建设扩建艺体中学二期工程</v>
      </c>
    </row>
    <row r="4784" hidden="1" spans="2:18">
      <c r="B4784" s="136" t="s">
        <v>167</v>
      </c>
      <c r="C4784" s="71">
        <v>45950</v>
      </c>
      <c r="D4784" s="41" t="str">
        <f>VLOOKUP(B4784,辅助信息!E:K,7,FALSE)</f>
        <v>JWDDCD2025102100473</v>
      </c>
      <c r="E4784" s="41" t="str">
        <f>VLOOKUP(F4784,辅助信息!A:B,2,FALSE)</f>
        <v>螺纹钢</v>
      </c>
      <c r="F4784" s="41" t="s">
        <v>182</v>
      </c>
      <c r="G4784" s="37">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1" t="str">
        <f>VLOOKUP(B4784,辅助信息!E:I,3,FALSE)</f>
        <v>(五冶建设扩建艺体中学二期工程)四川省成都市双流区光荣路成都艺体中学南200米</v>
      </c>
      <c r="J4784" s="41" t="str">
        <f>VLOOKUP(B4784,辅助信息!E:I,4,FALSE)</f>
        <v>谢序强</v>
      </c>
      <c r="K4784" s="41">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30" t="str">
        <f>VLOOKUP(B4784,辅助信息!E:M,9,FALSE)</f>
        <v>ZTWM-CDGS-XS-2025-0073-五冶天府-成都怡心湖片区及龙泉驿医院等项目</v>
      </c>
      <c r="R4784" s="30" t="str">
        <f>_xlfn._xlws.FILTER(辅助信息!D:D,辅助信息!E:E=B4784)</f>
        <v>五冶建设扩建艺体中学二期工程</v>
      </c>
    </row>
    <row r="4785" hidden="1" spans="2:18">
      <c r="B4785" s="59" t="s">
        <v>225</v>
      </c>
      <c r="C4785" s="85">
        <v>45950</v>
      </c>
      <c r="D4785" s="27" t="str">
        <f>VLOOKUP(B4785,辅助信息!E:K,7,FALSE)</f>
        <v>JWDDCD2025092400210</v>
      </c>
      <c r="E4785" s="27" t="str">
        <f>VLOOKUP(F4785,辅助信息!A:B,2,FALSE)</f>
        <v>盘螺</v>
      </c>
      <c r="F4785" s="27"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7" t="str">
        <f>VLOOKUP(B4785,辅助信息!E:I,3,FALSE)</f>
        <v>(五冶钢构龙泉东洪片区85亩住宅、商业及配套工程项目一标段)成都市龙泉驿外东洪路地铁2号线惠王陵地铁C口</v>
      </c>
      <c r="J4785" s="27" t="str">
        <f>VLOOKUP(B4785,辅助信息!E:I,4,FALSE)</f>
        <v>岳工</v>
      </c>
      <c r="K4785" s="27">
        <f>VLOOKUP(J4785,辅助信息!H:I,2,FALSE)</f>
        <v>18599951655</v>
      </c>
      <c r="L4785" s="62">
        <f>VLOOKUP(B4785,辅助信息!E:J,6,FALSE)</f>
        <v>0</v>
      </c>
      <c r="O4785" s="63" t="str">
        <f ca="1" t="shared" si="232"/>
        <v/>
      </c>
      <c r="P4785" s="63" t="str">
        <f ca="1" t="shared" si="233"/>
        <v/>
      </c>
      <c r="Q4785" s="30" t="str">
        <f>VLOOKUP(B4785,辅助信息!E:M,9,FALSE)</f>
        <v>ZTWM-CDGS-XS-2025-0156-五冶钢构-2025年九月第一批次钢筋采购合同(三圣乡项目)-中铁物贸成都公司</v>
      </c>
      <c r="R4785" s="30"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15</v>
      </c>
      <c r="Q4786" s="30" t="str">
        <f>VLOOKUP(B4786,辅助信息!E:M,9,FALSE)</f>
        <v>ZTWM-CDGS-XS-2024-0134-商投建工达州中医药科技成果示范园项目</v>
      </c>
      <c r="R4786" s="30"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11</v>
      </c>
      <c r="Q4787" s="30" t="str">
        <f>VLOOKUP(B4787,辅助信息!E:M,9,FALSE)</f>
        <v>ZTWM-CDGS-XS-2025-0156-五冶钢构-2025年九月第一批次钢筋采购合同(三圣乡项目)-中铁物贸成都公司</v>
      </c>
      <c r="R4787" s="30"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11</v>
      </c>
      <c r="Q4788" s="30" t="str">
        <f>VLOOKUP(B4788,辅助信息!E:M,9,FALSE)</f>
        <v>ZTWM-CDGS-XS-2025-0156-五冶钢构-2025年九月第一批次钢筋采购合同(三圣乡项目)-中铁物贸成都公司</v>
      </c>
      <c r="R4788" s="30"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11</v>
      </c>
      <c r="Q4789" s="30" t="str">
        <f>VLOOKUP(B4789,辅助信息!E:M,9,FALSE)</f>
        <v>ZTWM-CDGS-XS-2025-0156-五冶钢构-2025年九月第一批次钢筋采购合同(三圣乡项目)-中铁物贸成都公司</v>
      </c>
      <c r="R4789" s="30"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11</v>
      </c>
      <c r="Q4790" s="30" t="str">
        <f>VLOOKUP(B4790,辅助信息!E:M,9,FALSE)</f>
        <v>ZTWM-CDGS-XS-2025-0156-五冶钢构-2025年九月第一批次钢筋采购合同(三圣乡项目)-中铁物贸成都公司</v>
      </c>
      <c r="R4790" s="30"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11</v>
      </c>
      <c r="Q4791" s="30" t="str">
        <f>VLOOKUP(B4791,辅助信息!E:M,9,FALSE)</f>
        <v>ZTWM-CDGS-XS-2025-0156-五冶钢构-2025年九月第一批次钢筋采购合同(三圣乡项目)-中铁物贸成都公司</v>
      </c>
      <c r="R4791" s="30"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11</v>
      </c>
      <c r="Q4792" s="30" t="str">
        <f>VLOOKUP(B4792,辅助信息!E:M,9,FALSE)</f>
        <v>ZTWM-CDGS-XS-2025-0156-五冶钢构-2025年九月第一批次钢筋采购合同(三圣乡项目)-中铁物贸成都公司</v>
      </c>
      <c r="R4792" s="30"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11</v>
      </c>
      <c r="Q4793" s="30" t="str">
        <f>VLOOKUP(B4793,辅助信息!E:M,9,FALSE)</f>
        <v>ZTWM-CDGS-XS-2025-0156-五冶钢构-2025年九月第一批次钢筋采购合同(三圣乡项目)-中铁物贸成都公司</v>
      </c>
      <c r="R4793" s="30"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11</v>
      </c>
      <c r="Q4794" s="30" t="str">
        <f>VLOOKUP(B4794,辅助信息!E:M,9,FALSE)</f>
        <v>ZTWM-CDGS-XS-2024-0134-商投建工达州中医药科技成果示范园项目</v>
      </c>
      <c r="R4794" s="30"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11</v>
      </c>
      <c r="Q4795" s="30" t="str">
        <f>VLOOKUP(B4795,辅助信息!E:M,9,FALSE)</f>
        <v>ZTWM-CDGS-XS-2024-0134-商投建工达州中医药科技成果示范园项目</v>
      </c>
      <c r="R4795" s="30"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11</v>
      </c>
      <c r="Q4796" s="30" t="str">
        <f>VLOOKUP(B4796,辅助信息!E:M,9,FALSE)</f>
        <v>ZTWM-CDGS-XS-2024-0134-商投建工达州中医药科技成果示范园项目</v>
      </c>
      <c r="R4796" s="30"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11</v>
      </c>
      <c r="Q4797" s="30" t="str">
        <f>VLOOKUP(B4797,辅助信息!E:M,9,FALSE)</f>
        <v>ZTWM-CDGS-XS-2024-0134-商投建工达州中医药科技成果示范园项目</v>
      </c>
      <c r="R4797" s="30"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11</v>
      </c>
      <c r="Q4798" s="30" t="str">
        <f>VLOOKUP(B4798,辅助信息!E:M,9,FALSE)</f>
        <v>ZTWM-CDGS-XS-2024-0134-商投建工达州中医药科技成果示范园项目</v>
      </c>
      <c r="R4798" s="30"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11</v>
      </c>
      <c r="Q4799" s="30" t="str">
        <f>VLOOKUP(B4799,辅助信息!E:M,9,FALSE)</f>
        <v>ZTWM-CDGS-XS-2024-0134-商投建工达州中医药科技成果示范园项目</v>
      </c>
      <c r="R4799" s="30"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10</v>
      </c>
      <c r="Q4800" s="30" t="str">
        <f>VLOOKUP(B4800,辅助信息!E:M,9,FALSE)</f>
        <v>ZTWM-CDGS-XS-2024-0134-商投建工达州中医药科技成果示范园项目</v>
      </c>
      <c r="R4800" s="30"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10</v>
      </c>
      <c r="Q4801" s="30" t="str">
        <f>VLOOKUP(B4801,辅助信息!E:M,9,FALSE)</f>
        <v>ZTWM-CDGS-XS-2025-0073-五冶天府-成都怡心湖片区及龙泉驿医院等项目</v>
      </c>
      <c r="R4801" s="30"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10</v>
      </c>
      <c r="Q4802" s="30" t="str">
        <f>VLOOKUP(B4802,辅助信息!E:M,9,FALSE)</f>
        <v>ZTWM-CDGS-XS-2025-0073-五冶天府-成都怡心湖片区及龙泉驿医院等项目</v>
      </c>
      <c r="R4802" s="30"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10</v>
      </c>
      <c r="Q4803" s="30" t="str">
        <f>VLOOKUP(B4803,辅助信息!E:M,9,FALSE)</f>
        <v>ZTWM-CDGS-XS-2025-0073-五冶天府-成都怡心湖片区及龙泉驿医院等项目</v>
      </c>
      <c r="R4803" s="30"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10</v>
      </c>
      <c r="Q4804" s="30" t="str">
        <f>VLOOKUP(B4804,辅助信息!E:M,9,FALSE)</f>
        <v>ZTWM-CDGS-XS-2025-0073-五冶天府-成都怡心湖片区及龙泉驿医院等项目</v>
      </c>
      <c r="R4804" s="30"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10</v>
      </c>
      <c r="Q4805" s="30" t="str">
        <f>VLOOKUP(B4805,辅助信息!E:M,9,FALSE)</f>
        <v>ZTWM-CDGS-XS-2025-0073-五冶天府-成都怡心湖片区及龙泉驿医院等项目</v>
      </c>
      <c r="R4805" s="30"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10</v>
      </c>
      <c r="Q4806" s="30" t="str">
        <f>VLOOKUP(B4806,辅助信息!E:M,9,FALSE)</f>
        <v>ZTWM-CDGS-XS-2025-0073-五冶天府-成都怡心湖片区及龙泉驿医院等项目</v>
      </c>
      <c r="R4806" s="30"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13</v>
      </c>
      <c r="Q4807" s="30" t="str">
        <f>VLOOKUP(B4807,辅助信息!E:M,9,FALSE)</f>
        <v>ZTWM-CDGS-XS-2025-0033-中铁武汉电气化局集团有限公司成达万高速铁路强电工程项目</v>
      </c>
      <c r="R4807" s="30"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13</v>
      </c>
      <c r="Q4808" s="30" t="str">
        <f>VLOOKUP(B4808,辅助信息!E:M,9,FALSE)</f>
        <v>ZTWM-CDGS-XS-2025-0033-中铁武汉电气化局集团有限公司成达万高速铁路强电工程项目</v>
      </c>
      <c r="R4808" s="30"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13</v>
      </c>
      <c r="Q4809" s="30" t="str">
        <f>VLOOKUP(B4809,辅助信息!E:M,9,FALSE)</f>
        <v>ZTWM-CDGS-XS-2025-0033-中铁武汉电气化局集团有限公司成达万高速铁路强电工程项目</v>
      </c>
      <c r="R4809" s="30"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13</v>
      </c>
      <c r="Q4810" s="30" t="str">
        <f>VLOOKUP(B4810,辅助信息!E:M,9,FALSE)</f>
        <v>ZTWM-CDGS-XS-2025-0033-中铁武汉电气化局集团有限公司成达万高速铁路强电工程项目</v>
      </c>
      <c r="R4810" s="30"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10</v>
      </c>
      <c r="Q4811" s="30" t="str">
        <f>VLOOKUP(B4811,辅助信息!E:M,9,FALSE)</f>
        <v>ZTWM-CDGS-XS-2025-0156-五冶钢构-2025年九月第一批次钢筋采购合同(三圣乡项目)-中铁物贸成都公司</v>
      </c>
      <c r="R4811" s="30"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10</v>
      </c>
      <c r="Q4812" s="30" t="str">
        <f>VLOOKUP(B4812,辅助信息!E:M,9,FALSE)</f>
        <v>ZTWM-CDGS-XS-2025-0156-五冶钢构-2025年九月第一批次钢筋采购合同(三圣乡项目)-中铁物贸成都公司</v>
      </c>
      <c r="R4812" s="30"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10</v>
      </c>
      <c r="Q4813" s="30" t="str">
        <f>VLOOKUP(B4813,辅助信息!E:M,9,FALSE)</f>
        <v>ZTWM-CDGS-XS-2025-0156-五冶钢构-2025年九月第一批次钢筋采购合同(三圣乡项目)-中铁物贸成都公司</v>
      </c>
      <c r="R4813" s="30"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10</v>
      </c>
      <c r="Q4814" s="30" t="str">
        <f>VLOOKUP(B4814,辅助信息!E:M,9,FALSE)</f>
        <v>ZTWM-CDGS-XS-2025-0156-五冶钢构-2025年九月第一批次钢筋采购合同(三圣乡项目)-中铁物贸成都公司</v>
      </c>
      <c r="R4814" s="30"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13</v>
      </c>
      <c r="Q4815" s="30" t="str">
        <f>VLOOKUP(B4815,辅助信息!E:M,9,FALSE)</f>
        <v>ZTWM-CDGS-XS-2025-0073-五冶天府-成都怡心湖片区及龙泉驿医院等项目</v>
      </c>
      <c r="R4815" s="30"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13</v>
      </c>
      <c r="Q4816" s="30" t="str">
        <f>VLOOKUP(B4816,辅助信息!E:M,9,FALSE)</f>
        <v>ZTWM-CDGS-XS-2025-0073-五冶天府-成都怡心湖片区及龙泉驿医院等项目</v>
      </c>
      <c r="R4816" s="30"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13</v>
      </c>
      <c r="Q4817" s="30" t="str">
        <f>VLOOKUP(B4817,辅助信息!E:M,9,FALSE)</f>
        <v>ZTWM-CDGS-XS-2025-0073-五冶天府-成都怡心湖片区及龙泉驿医院等项目</v>
      </c>
      <c r="R4817" s="30"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13</v>
      </c>
      <c r="Q4818" s="30" t="str">
        <f>VLOOKUP(B4818,辅助信息!E:M,9,FALSE)</f>
        <v>ZTWM-CDGS-XS-2025-0073-五冶天府-成都怡心湖片区及龙泉驿医院等项目</v>
      </c>
      <c r="R4818" s="30"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9</v>
      </c>
      <c r="Q4819" s="30" t="str">
        <f>VLOOKUP(B4819,辅助信息!E:M,9,FALSE)</f>
        <v>ZTWM-CDGS-XS-2025-0073-五冶天府-成都怡心湖片区及龙泉驿医院等项目</v>
      </c>
      <c r="R4819" s="30"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9</v>
      </c>
      <c r="Q4820" s="30" t="str">
        <f>VLOOKUP(B4820,辅助信息!E:M,9,FALSE)</f>
        <v>ZTWM-CDGS-XS-2025-0073-五冶天府-成都怡心湖片区及龙泉驿医院等项目</v>
      </c>
      <c r="R4820" s="30"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9</v>
      </c>
      <c r="Q4821" s="30" t="str">
        <f>VLOOKUP(B4821,辅助信息!E:M,9,FALSE)</f>
        <v>ZTWM-CDGS-XS-2025-0073-五冶天府-成都怡心湖片区及龙泉驿医院等项目</v>
      </c>
      <c r="R4821" s="30"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9</v>
      </c>
      <c r="Q4822" s="30" t="str">
        <f>VLOOKUP(B4822,辅助信息!E:M,9,FALSE)</f>
        <v>ZTWM-CDYXGS-XS-2025-0014-宜宾兴港建材-三江新区长江工业园片区保障性租赁住房建设项目</v>
      </c>
      <c r="R4822" s="30"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9</v>
      </c>
      <c r="Q4823" s="30" t="str">
        <f>VLOOKUP(B4823,辅助信息!E:M,9,FALSE)</f>
        <v>ZTWM-CDYXGS-XS-2025-0014-宜宾兴港建材-三江新区长江工业园片区保障性租赁住房建设项目</v>
      </c>
      <c r="R4823" s="30"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9</v>
      </c>
      <c r="Q4824" s="30" t="str">
        <f>VLOOKUP(B4824,辅助信息!E:M,9,FALSE)</f>
        <v>ZTWM-CDGS-XS-2025-0125-四川机司-乐山市校地共建产教融合基地配套设施项目施工一标段钢筋采购合同</v>
      </c>
      <c r="R4824" s="30"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9</v>
      </c>
      <c r="Q4825" s="30" t="str">
        <f>VLOOKUP(B4825,辅助信息!E:M,9,FALSE)</f>
        <v>ZTWM-CDGS-XS-2025-0125-四川机司-乐山市校地共建产教融合基地配套设施项目施工一标段钢筋采购合同</v>
      </c>
      <c r="R4825" s="30"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9</v>
      </c>
      <c r="Q4826" s="30" t="str">
        <f>VLOOKUP(B4826,辅助信息!E:M,9,FALSE)</f>
        <v>ZTWM-CDGS-XS-2025-0125-四川机司-乐山市校地共建产教融合基地配套设施项目施工一标段钢筋采购合同</v>
      </c>
      <c r="R4826" s="30"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9</v>
      </c>
      <c r="Q4827" s="30" t="str">
        <f>VLOOKUP(B4827,辅助信息!E:M,9,FALSE)</f>
        <v>ZTWM-CDGS-XS-2025-0073-五冶天府-成都怡心湖片区及龙泉驿医院等项目</v>
      </c>
      <c r="R4827" s="30"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9</v>
      </c>
      <c r="Q4828" s="30" t="str">
        <f>VLOOKUP(B4828,辅助信息!E:M,9,FALSE)</f>
        <v>ZTWM-CDGS-XS-2025-0073-五冶天府-成都怡心湖片区及龙泉驿医院等项目</v>
      </c>
      <c r="R4828" s="30"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9</v>
      </c>
      <c r="Q4829" s="30" t="str">
        <f>VLOOKUP(B4829,辅助信息!E:M,9,FALSE)</f>
        <v>ZTWM-CDGS-XS-2025-0073-五冶天府-成都怡心湖片区及龙泉驿医院等项目</v>
      </c>
      <c r="R4829" s="30"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9</v>
      </c>
      <c r="Q4830" s="30" t="str">
        <f>VLOOKUP(B4830,辅助信息!E:M,9,FALSE)</f>
        <v>ZTWM-CDGS-XS-2025-0073-五冶天府-成都怡心湖片区及龙泉驿医院等项目</v>
      </c>
      <c r="R4830" s="30"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9</v>
      </c>
      <c r="Q4831" s="30" t="str">
        <f>VLOOKUP(B4831,辅助信息!E:M,9,FALSE)</f>
        <v>ZTWM-CDGS-XS-2025-0073-五冶天府-成都怡心湖片区及龙泉驿医院等项目</v>
      </c>
      <c r="R4831" s="30"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9</v>
      </c>
      <c r="Q4832" s="30" t="str">
        <f>VLOOKUP(B4832,辅助信息!E:M,9,FALSE)</f>
        <v>ZTWM-CDGS-XS-2025-0073-五冶天府-成都怡心湖片区及龙泉驿医院等项目</v>
      </c>
      <c r="R4832" s="30"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9</v>
      </c>
      <c r="Q4833" s="30" t="str">
        <f>VLOOKUP(B4833,辅助信息!E:M,9,FALSE)</f>
        <v>ZTWM-CDGS-XS-2025-0073-五冶天府-成都怡心湖片区及龙泉驿医院等项目</v>
      </c>
      <c r="R4833" s="30"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9</v>
      </c>
      <c r="Q4834" s="30" t="str">
        <f>VLOOKUP(B4834,辅助信息!E:M,9,FALSE)</f>
        <v>ZTWM-CDGS-XS-2025-0073-五冶天府-成都怡心湖片区及龙泉驿医院等项目</v>
      </c>
      <c r="R4834" s="30"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9</v>
      </c>
      <c r="Q4835" s="30" t="str">
        <f>VLOOKUP(B4835,辅助信息!E:M,9,FALSE)</f>
        <v>ZTWM-CDGS-XS-2025-0073-五冶天府-成都怡心湖片区及龙泉驿医院等项目</v>
      </c>
      <c r="R4835" s="30"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9</v>
      </c>
      <c r="Q4836" s="30" t="str">
        <f>VLOOKUP(B4836,辅助信息!E:M,9,FALSE)</f>
        <v>ZTWM-CDGS-XS-2025-0073-五冶天府-成都怡心湖片区及龙泉驿医院等项目</v>
      </c>
      <c r="R4836" s="30" t="str">
        <f>_xlfn._xlws.FILTER(辅助信息!D:D,辅助信息!E:E=B4836)</f>
        <v>五冶建设扩建艺体中学二期工程</v>
      </c>
    </row>
    <row r="4837" hidden="1" spans="2:18">
      <c r="B4837" s="136" t="s">
        <v>229</v>
      </c>
      <c r="C4837" s="71">
        <v>45952</v>
      </c>
      <c r="D4837" s="41" t="str">
        <f>VLOOKUP(B4837,辅助信息!E:K,7,FALSE)</f>
        <v>JWDDCD2025092400212</v>
      </c>
      <c r="E4837" s="41" t="str">
        <f>VLOOKUP(F4837,辅助信息!A:B,2,FALSE)</f>
        <v>高线</v>
      </c>
      <c r="F4837" s="41" t="s">
        <v>57</v>
      </c>
      <c r="G4837" s="37">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40" t="str">
        <f>VLOOKUP(B4837,辅助信息!E:I,3,FALSE)</f>
        <v>(五冶钢构龙泉东洪片区85亩住宅、商业及配套工程项目三标段)成都市龙泉驿外东洪路地铁2号线惠王陵地铁C口</v>
      </c>
      <c r="J4837" s="41" t="str">
        <f>VLOOKUP(B4837,辅助信息!E:I,4,FALSE)</f>
        <v>王军宝</v>
      </c>
      <c r="K4837" s="41">
        <f>VLOOKUP(J4837,辅助信息!H:I,2,FALSE)</f>
        <v>13889142392</v>
      </c>
      <c r="L4837" s="110">
        <f>VLOOKUP(B4837,辅助信息!E:J,6,FALSE)</f>
        <v>0</v>
      </c>
      <c r="M4837" s="92">
        <v>45950</v>
      </c>
      <c r="O4837" s="63">
        <f ca="1" t="shared" si="234"/>
        <v>0</v>
      </c>
      <c r="P4837" s="63">
        <f ca="1" t="shared" si="235"/>
        <v>9</v>
      </c>
      <c r="Q4837" s="30" t="str">
        <f>VLOOKUP(B4837,辅助信息!E:M,9,FALSE)</f>
        <v>ZTWM-CDGS-XS-2025-0156-五冶钢构-2025年九月第一批次钢筋采购合同(三圣乡项目)-中铁物贸成都公司</v>
      </c>
      <c r="R4837" s="30" t="str">
        <f>_xlfn._xlws.FILTER(辅助信息!D:D,辅助信息!E:E=B4837)</f>
        <v>五冶钢构龙泉东洪片区(70亩、85亩)住宅、商业及配套工程项目</v>
      </c>
    </row>
    <row r="4838" hidden="1" spans="2:18">
      <c r="B4838" s="136" t="s">
        <v>229</v>
      </c>
      <c r="C4838" s="71">
        <v>45952</v>
      </c>
      <c r="D4838" s="41" t="str">
        <f>VLOOKUP(B4838,辅助信息!E:K,7,FALSE)</f>
        <v>JWDDCD2025092400212</v>
      </c>
      <c r="E4838" s="41" t="str">
        <f>VLOOKUP(F4838,辅助信息!A:B,2,FALSE)</f>
        <v>高线</v>
      </c>
      <c r="F4838" s="41" t="s">
        <v>53</v>
      </c>
      <c r="G4838" s="37">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40" t="str">
        <f>VLOOKUP(B4838,辅助信息!E:I,3,FALSE)</f>
        <v>(五冶钢构龙泉东洪片区85亩住宅、商业及配套工程项目三标段)成都市龙泉驿外东洪路地铁2号线惠王陵地铁C口</v>
      </c>
      <c r="J4838" s="41" t="str">
        <f>VLOOKUP(B4838,辅助信息!E:I,4,FALSE)</f>
        <v>王军宝</v>
      </c>
      <c r="K4838" s="41">
        <f>VLOOKUP(J4838,辅助信息!H:I,2,FALSE)</f>
        <v>13889142392</v>
      </c>
      <c r="L4838" s="110">
        <f>VLOOKUP(B4838,辅助信息!E:J,6,FALSE)</f>
        <v>0</v>
      </c>
      <c r="M4838" s="92">
        <v>45950</v>
      </c>
      <c r="O4838" s="63">
        <f ca="1" t="shared" si="234"/>
        <v>0</v>
      </c>
      <c r="P4838" s="63">
        <f ca="1" t="shared" si="235"/>
        <v>9</v>
      </c>
      <c r="Q4838" s="30" t="str">
        <f>VLOOKUP(B4838,辅助信息!E:M,9,FALSE)</f>
        <v>ZTWM-CDGS-XS-2025-0156-五冶钢构-2025年九月第一批次钢筋采购合同(三圣乡项目)-中铁物贸成都公司</v>
      </c>
      <c r="R4838" s="30" t="str">
        <f>_xlfn._xlws.FILTER(辅助信息!D:D,辅助信息!E:E=B4838)</f>
        <v>五冶钢构龙泉东洪片区(70亩、85亩)住宅、商业及配套工程项目</v>
      </c>
    </row>
    <row r="4839" hidden="1" spans="2:18">
      <c r="B4839" s="136" t="s">
        <v>229</v>
      </c>
      <c r="C4839" s="71">
        <v>45952</v>
      </c>
      <c r="D4839" s="41" t="str">
        <f>VLOOKUP(B4839,辅助信息!E:K,7,FALSE)</f>
        <v>JWDDCD2025092400212</v>
      </c>
      <c r="E4839" s="41" t="str">
        <f>VLOOKUP(F4839,辅助信息!A:B,2,FALSE)</f>
        <v>盘螺</v>
      </c>
      <c r="F4839" s="41" t="s">
        <v>49</v>
      </c>
      <c r="G4839" s="37">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40" t="str">
        <f>VLOOKUP(B4839,辅助信息!E:I,3,FALSE)</f>
        <v>(五冶钢构龙泉东洪片区85亩住宅、商业及配套工程项目三标段)成都市龙泉驿外东洪路地铁2号线惠王陵地铁C口</v>
      </c>
      <c r="J4839" s="41" t="str">
        <f>VLOOKUP(B4839,辅助信息!E:I,4,FALSE)</f>
        <v>王军宝</v>
      </c>
      <c r="K4839" s="41">
        <f>VLOOKUP(J4839,辅助信息!H:I,2,FALSE)</f>
        <v>13889142392</v>
      </c>
      <c r="L4839" s="110">
        <f>VLOOKUP(B4839,辅助信息!E:J,6,FALSE)</f>
        <v>0</v>
      </c>
      <c r="M4839" s="92">
        <v>45950</v>
      </c>
      <c r="O4839" s="63">
        <f ca="1" t="shared" si="234"/>
        <v>0</v>
      </c>
      <c r="P4839" s="63">
        <f ca="1" t="shared" si="235"/>
        <v>9</v>
      </c>
      <c r="Q4839" s="30" t="str">
        <f>VLOOKUP(B4839,辅助信息!E:M,9,FALSE)</f>
        <v>ZTWM-CDGS-XS-2025-0156-五冶钢构-2025年九月第一批次钢筋采购合同(三圣乡项目)-中铁物贸成都公司</v>
      </c>
      <c r="R4839" s="30" t="str">
        <f>_xlfn._xlws.FILTER(辅助信息!D:D,辅助信息!E:E=B4839)</f>
        <v>五冶钢构龙泉东洪片区(70亩、85亩)住宅、商业及配套工程项目</v>
      </c>
    </row>
    <row r="4840" hidden="1" spans="2:18">
      <c r="B4840" s="136" t="s">
        <v>229</v>
      </c>
      <c r="C4840" s="71">
        <v>45952</v>
      </c>
      <c r="D4840" s="41" t="str">
        <f>VLOOKUP(B4840,辅助信息!E:K,7,FALSE)</f>
        <v>JWDDCD2025092400212</v>
      </c>
      <c r="E4840" s="41" t="str">
        <f>VLOOKUP(F4840,辅助信息!A:B,2,FALSE)</f>
        <v>盘螺</v>
      </c>
      <c r="F4840" s="41" t="s">
        <v>40</v>
      </c>
      <c r="G4840" s="37">
        <v>8</v>
      </c>
      <c r="H4840" s="135"/>
      <c r="I4840" s="40" t="str">
        <f>VLOOKUP(B4840,辅助信息!E:I,3,FALSE)</f>
        <v>(五冶钢构龙泉东洪片区85亩住宅、商业及配套工程项目三标段)成都市龙泉驿外东洪路地铁2号线惠王陵地铁C口</v>
      </c>
      <c r="J4840" s="41" t="str">
        <f>VLOOKUP(B4840,辅助信息!E:I,4,FALSE)</f>
        <v>王军宝</v>
      </c>
      <c r="K4840" s="41">
        <f>VLOOKUP(J4840,辅助信息!H:I,2,FALSE)</f>
        <v>13889142392</v>
      </c>
      <c r="L4840" s="110">
        <f>VLOOKUP(B4840,辅助信息!E:J,6,FALSE)</f>
        <v>0</v>
      </c>
      <c r="M4840" s="92">
        <v>45950</v>
      </c>
      <c r="O4840" s="63">
        <f ca="1" t="shared" si="234"/>
        <v>0</v>
      </c>
      <c r="P4840" s="63">
        <f ca="1" t="shared" si="235"/>
        <v>9</v>
      </c>
      <c r="Q4840" s="30" t="str">
        <f>VLOOKUP(B4840,辅助信息!E:M,9,FALSE)</f>
        <v>ZTWM-CDGS-XS-2025-0156-五冶钢构-2025年九月第一批次钢筋采购合同(三圣乡项目)-中铁物贸成都公司</v>
      </c>
      <c r="R4840" s="30" t="str">
        <f>_xlfn._xlws.FILTER(辅助信息!D:D,辅助信息!E:E=B4840)</f>
        <v>五冶钢构龙泉东洪片区(70亩、85亩)住宅、商业及配套工程项目</v>
      </c>
    </row>
    <row r="4841" hidden="1" spans="2:18">
      <c r="B4841" s="136" t="s">
        <v>229</v>
      </c>
      <c r="C4841" s="71">
        <v>45952</v>
      </c>
      <c r="D4841" s="41" t="str">
        <f>VLOOKUP(B4841,辅助信息!E:K,7,FALSE)</f>
        <v>JWDDCD2025092400212</v>
      </c>
      <c r="E4841" s="41" t="str">
        <f>VLOOKUP(F4841,辅助信息!A:B,2,FALSE)</f>
        <v>盘螺</v>
      </c>
      <c r="F4841" s="41" t="s">
        <v>41</v>
      </c>
      <c r="G4841" s="37">
        <v>20</v>
      </c>
      <c r="H4841" s="135"/>
      <c r="I4841" s="40" t="str">
        <f>VLOOKUP(B4841,辅助信息!E:I,3,FALSE)</f>
        <v>(五冶钢构龙泉东洪片区85亩住宅、商业及配套工程项目三标段)成都市龙泉驿外东洪路地铁2号线惠王陵地铁C口</v>
      </c>
      <c r="J4841" s="41" t="str">
        <f>VLOOKUP(B4841,辅助信息!E:I,4,FALSE)</f>
        <v>王军宝</v>
      </c>
      <c r="K4841" s="41">
        <f>VLOOKUP(J4841,辅助信息!H:I,2,FALSE)</f>
        <v>13889142392</v>
      </c>
      <c r="L4841" s="110">
        <f>VLOOKUP(B4841,辅助信息!E:J,6,FALSE)</f>
        <v>0</v>
      </c>
      <c r="M4841" s="92">
        <v>45950</v>
      </c>
      <c r="O4841" s="63">
        <f ca="1" t="shared" si="234"/>
        <v>0</v>
      </c>
      <c r="P4841" s="63">
        <f ca="1" t="shared" si="235"/>
        <v>9</v>
      </c>
      <c r="Q4841" s="30" t="str">
        <f>VLOOKUP(B4841,辅助信息!E:M,9,FALSE)</f>
        <v>ZTWM-CDGS-XS-2025-0156-五冶钢构-2025年九月第一批次钢筋采购合同(三圣乡项目)-中铁物贸成都公司</v>
      </c>
      <c r="R4841" s="30" t="str">
        <f>_xlfn._xlws.FILTER(辅助信息!D:D,辅助信息!E:E=B4841)</f>
        <v>五冶钢构龙泉东洪片区(70亩、85亩)住宅、商业及配套工程项目</v>
      </c>
    </row>
    <row r="4842" hidden="1" spans="2:18">
      <c r="B4842" s="136" t="s">
        <v>229</v>
      </c>
      <c r="C4842" s="71">
        <v>45952</v>
      </c>
      <c r="D4842" s="41" t="str">
        <f>VLOOKUP(B4842,辅助信息!E:K,7,FALSE)</f>
        <v>JWDDCD2025092400212</v>
      </c>
      <c r="E4842" s="41" t="str">
        <f>VLOOKUP(F4842,辅助信息!A:B,2,FALSE)</f>
        <v>螺纹钢</v>
      </c>
      <c r="F4842" s="41" t="s">
        <v>27</v>
      </c>
      <c r="G4842" s="37">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40" t="str">
        <f>VLOOKUP(B4842,辅助信息!E:I,3,FALSE)</f>
        <v>(五冶钢构龙泉东洪片区85亩住宅、商业及配套工程项目三标段)成都市龙泉驿外东洪路地铁2号线惠王陵地铁C口</v>
      </c>
      <c r="J4842" s="41" t="str">
        <f>VLOOKUP(B4842,辅助信息!E:I,4,FALSE)</f>
        <v>王军宝</v>
      </c>
      <c r="K4842" s="41">
        <f>VLOOKUP(J4842,辅助信息!H:I,2,FALSE)</f>
        <v>13889142392</v>
      </c>
      <c r="L4842" s="110">
        <f>VLOOKUP(B4842,辅助信息!E:J,6,FALSE)</f>
        <v>0</v>
      </c>
      <c r="M4842" s="92">
        <v>45950</v>
      </c>
      <c r="O4842" s="63">
        <f ca="1" t="shared" si="234"/>
        <v>0</v>
      </c>
      <c r="P4842" s="63">
        <f ca="1" t="shared" si="235"/>
        <v>9</v>
      </c>
      <c r="Q4842" s="30" t="str">
        <f>VLOOKUP(B4842,辅助信息!E:M,9,FALSE)</f>
        <v>ZTWM-CDGS-XS-2025-0156-五冶钢构-2025年九月第一批次钢筋采购合同(三圣乡项目)-中铁物贸成都公司</v>
      </c>
      <c r="R4842" s="30" t="str">
        <f>_xlfn._xlws.FILTER(辅助信息!D:D,辅助信息!E:E=B4842)</f>
        <v>五冶钢构龙泉东洪片区(70亩、85亩)住宅、商业及配套工程项目</v>
      </c>
    </row>
    <row r="4843" hidden="1" spans="2:18">
      <c r="B4843" s="136" t="s">
        <v>229</v>
      </c>
      <c r="C4843" s="71">
        <v>45952</v>
      </c>
      <c r="D4843" s="41" t="str">
        <f>VLOOKUP(B4843,辅助信息!E:K,7,FALSE)</f>
        <v>JWDDCD2025092400212</v>
      </c>
      <c r="E4843" s="41" t="str">
        <f>VLOOKUP(F4843,辅助信息!A:B,2,FALSE)</f>
        <v>螺纹钢</v>
      </c>
      <c r="F4843" s="41" t="s">
        <v>19</v>
      </c>
      <c r="G4843" s="37">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40" t="str">
        <f>VLOOKUP(B4843,辅助信息!E:I,3,FALSE)</f>
        <v>(五冶钢构龙泉东洪片区85亩住宅、商业及配套工程项目三标段)成都市龙泉驿外东洪路地铁2号线惠王陵地铁C口</v>
      </c>
      <c r="J4843" s="41" t="str">
        <f>VLOOKUP(B4843,辅助信息!E:I,4,FALSE)</f>
        <v>王军宝</v>
      </c>
      <c r="K4843" s="41">
        <f>VLOOKUP(J4843,辅助信息!H:I,2,FALSE)</f>
        <v>13889142392</v>
      </c>
      <c r="L4843" s="110">
        <f>VLOOKUP(B4843,辅助信息!E:J,6,FALSE)</f>
        <v>0</v>
      </c>
      <c r="M4843" s="92">
        <v>45950</v>
      </c>
      <c r="O4843" s="63">
        <f ca="1" t="shared" si="234"/>
        <v>0</v>
      </c>
      <c r="P4843" s="63">
        <f ca="1" t="shared" si="235"/>
        <v>9</v>
      </c>
      <c r="Q4843" s="30" t="str">
        <f>VLOOKUP(B4843,辅助信息!E:M,9,FALSE)</f>
        <v>ZTWM-CDGS-XS-2025-0156-五冶钢构-2025年九月第一批次钢筋采购合同(三圣乡项目)-中铁物贸成都公司</v>
      </c>
      <c r="R4843" s="30" t="str">
        <f>_xlfn._xlws.FILTER(辅助信息!D:D,辅助信息!E:E=B4843)</f>
        <v>五冶钢构龙泉东洪片区(70亩、85亩)住宅、商业及配套工程项目</v>
      </c>
    </row>
    <row r="4844" hidden="1" spans="2:18">
      <c r="B4844" s="136" t="s">
        <v>229</v>
      </c>
      <c r="C4844" s="71">
        <v>45952</v>
      </c>
      <c r="D4844" s="41" t="str">
        <f>VLOOKUP(B4844,辅助信息!E:K,7,FALSE)</f>
        <v>JWDDCD2025092400212</v>
      </c>
      <c r="E4844" s="41" t="str">
        <f>VLOOKUP(F4844,辅助信息!A:B,2,FALSE)</f>
        <v>螺纹钢</v>
      </c>
      <c r="F4844" s="41" t="s">
        <v>32</v>
      </c>
      <c r="G4844" s="37">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40" t="str">
        <f>VLOOKUP(B4844,辅助信息!E:I,3,FALSE)</f>
        <v>(五冶钢构龙泉东洪片区85亩住宅、商业及配套工程项目三标段)成都市龙泉驿外东洪路地铁2号线惠王陵地铁C口</v>
      </c>
      <c r="J4844" s="41" t="str">
        <f>VLOOKUP(B4844,辅助信息!E:I,4,FALSE)</f>
        <v>王军宝</v>
      </c>
      <c r="K4844" s="41">
        <f>VLOOKUP(J4844,辅助信息!H:I,2,FALSE)</f>
        <v>13889142392</v>
      </c>
      <c r="L4844" s="110">
        <f>VLOOKUP(B4844,辅助信息!E:J,6,FALSE)</f>
        <v>0</v>
      </c>
      <c r="M4844" s="92">
        <v>45950</v>
      </c>
      <c r="O4844" s="63">
        <f ca="1" t="shared" si="234"/>
        <v>0</v>
      </c>
      <c r="P4844" s="63">
        <f ca="1" t="shared" si="235"/>
        <v>9</v>
      </c>
      <c r="Q4844" s="30" t="str">
        <f>VLOOKUP(B4844,辅助信息!E:M,9,FALSE)</f>
        <v>ZTWM-CDGS-XS-2025-0156-五冶钢构-2025年九月第一批次钢筋采购合同(三圣乡项目)-中铁物贸成都公司</v>
      </c>
      <c r="R4844" s="30" t="str">
        <f>_xlfn._xlws.FILTER(辅助信息!D:D,辅助信息!E:E=B4844)</f>
        <v>五冶钢构龙泉东洪片区(70亩、85亩)住宅、商业及配套工程项目</v>
      </c>
    </row>
    <row r="4845" hidden="1" spans="2:18">
      <c r="B4845" s="136" t="s">
        <v>229</v>
      </c>
      <c r="C4845" s="71">
        <v>45952</v>
      </c>
      <c r="D4845" s="41" t="str">
        <f>VLOOKUP(B4845,辅助信息!E:K,7,FALSE)</f>
        <v>JWDDCD2025092400212</v>
      </c>
      <c r="E4845" s="41" t="str">
        <f>VLOOKUP(F4845,辅助信息!A:B,2,FALSE)</f>
        <v>螺纹钢</v>
      </c>
      <c r="F4845" s="41" t="s">
        <v>30</v>
      </c>
      <c r="G4845" s="37">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40" t="str">
        <f>VLOOKUP(B4845,辅助信息!E:I,3,FALSE)</f>
        <v>(五冶钢构龙泉东洪片区85亩住宅、商业及配套工程项目三标段)成都市龙泉驿外东洪路地铁2号线惠王陵地铁C口</v>
      </c>
      <c r="J4845" s="41" t="str">
        <f>VLOOKUP(B4845,辅助信息!E:I,4,FALSE)</f>
        <v>王军宝</v>
      </c>
      <c r="K4845" s="41">
        <f>VLOOKUP(J4845,辅助信息!H:I,2,FALSE)</f>
        <v>13889142392</v>
      </c>
      <c r="L4845" s="110">
        <f>VLOOKUP(B4845,辅助信息!E:J,6,FALSE)</f>
        <v>0</v>
      </c>
      <c r="M4845" s="92">
        <v>45950</v>
      </c>
      <c r="O4845" s="63">
        <f ca="1" t="shared" si="234"/>
        <v>0</v>
      </c>
      <c r="P4845" s="63">
        <f ca="1" t="shared" si="235"/>
        <v>9</v>
      </c>
      <c r="Q4845" s="30" t="str">
        <f>VLOOKUP(B4845,辅助信息!E:M,9,FALSE)</f>
        <v>ZTWM-CDGS-XS-2025-0156-五冶钢构-2025年九月第一批次钢筋采购合同(三圣乡项目)-中铁物贸成都公司</v>
      </c>
      <c r="R4845" s="30" t="str">
        <f>_xlfn._xlws.FILTER(辅助信息!D:D,辅助信息!E:E=B4845)</f>
        <v>五冶钢构龙泉东洪片区(70亩、85亩)住宅、商业及配套工程项目</v>
      </c>
    </row>
    <row r="4846" hidden="1" spans="2:18">
      <c r="B4846" s="136" t="s">
        <v>229</v>
      </c>
      <c r="C4846" s="71">
        <v>45952</v>
      </c>
      <c r="D4846" s="41" t="str">
        <f>VLOOKUP(B4846,辅助信息!E:K,7,FALSE)</f>
        <v>JWDDCD2025092400212</v>
      </c>
      <c r="E4846" s="41" t="str">
        <f>VLOOKUP(F4846,辅助信息!A:B,2,FALSE)</f>
        <v>螺纹钢</v>
      </c>
      <c r="F4846" s="41" t="s">
        <v>33</v>
      </c>
      <c r="G4846" s="37">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40" t="str">
        <f>VLOOKUP(B4846,辅助信息!E:I,3,FALSE)</f>
        <v>(五冶钢构龙泉东洪片区85亩住宅、商业及配套工程项目三标段)成都市龙泉驿外东洪路地铁2号线惠王陵地铁C口</v>
      </c>
      <c r="J4846" s="41" t="str">
        <f>VLOOKUP(B4846,辅助信息!E:I,4,FALSE)</f>
        <v>王军宝</v>
      </c>
      <c r="K4846" s="41">
        <f>VLOOKUP(J4846,辅助信息!H:I,2,FALSE)</f>
        <v>13889142392</v>
      </c>
      <c r="L4846" s="110">
        <f>VLOOKUP(B4846,辅助信息!E:J,6,FALSE)</f>
        <v>0</v>
      </c>
      <c r="M4846" s="92">
        <v>45950</v>
      </c>
      <c r="O4846" s="63">
        <f ca="1" t="shared" si="234"/>
        <v>0</v>
      </c>
      <c r="P4846" s="63">
        <f ca="1" t="shared" si="235"/>
        <v>9</v>
      </c>
      <c r="Q4846" s="30" t="str">
        <f>VLOOKUP(B4846,辅助信息!E:M,9,FALSE)</f>
        <v>ZTWM-CDGS-XS-2025-0156-五冶钢构-2025年九月第一批次钢筋采购合同(三圣乡项目)-中铁物贸成都公司</v>
      </c>
      <c r="R4846" s="30" t="str">
        <f>_xlfn._xlws.FILTER(辅助信息!D:D,辅助信息!E:E=B4846)</f>
        <v>五冶钢构龙泉东洪片区(70亩、85亩)住宅、商业及配套工程项目</v>
      </c>
    </row>
    <row r="4847" hidden="1" spans="2:18">
      <c r="B4847" s="136" t="s">
        <v>229</v>
      </c>
      <c r="C4847" s="71">
        <v>45952</v>
      </c>
      <c r="D4847" s="41" t="str">
        <f>VLOOKUP(B4847,辅助信息!E:K,7,FALSE)</f>
        <v>JWDDCD2025092400212</v>
      </c>
      <c r="E4847" s="41" t="str">
        <f>VLOOKUP(F4847,辅助信息!A:B,2,FALSE)</f>
        <v>螺纹钢</v>
      </c>
      <c r="F4847" s="41" t="s">
        <v>28</v>
      </c>
      <c r="G4847" s="37">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40" t="str">
        <f>VLOOKUP(B4847,辅助信息!E:I,3,FALSE)</f>
        <v>(五冶钢构龙泉东洪片区85亩住宅、商业及配套工程项目三标段)成都市龙泉驿外东洪路地铁2号线惠王陵地铁C口</v>
      </c>
      <c r="J4847" s="41" t="str">
        <f>VLOOKUP(B4847,辅助信息!E:I,4,FALSE)</f>
        <v>王军宝</v>
      </c>
      <c r="K4847" s="41">
        <f>VLOOKUP(J4847,辅助信息!H:I,2,FALSE)</f>
        <v>13889142392</v>
      </c>
      <c r="L4847" s="110">
        <f>VLOOKUP(B4847,辅助信息!E:J,6,FALSE)</f>
        <v>0</v>
      </c>
      <c r="M4847" s="92">
        <v>45950</v>
      </c>
      <c r="O4847" s="63">
        <f ca="1" t="shared" si="234"/>
        <v>0</v>
      </c>
      <c r="P4847" s="63">
        <f ca="1" t="shared" si="235"/>
        <v>9</v>
      </c>
      <c r="Q4847" s="30" t="str">
        <f>VLOOKUP(B4847,辅助信息!E:M,9,FALSE)</f>
        <v>ZTWM-CDGS-XS-2025-0156-五冶钢构-2025年九月第一批次钢筋采购合同(三圣乡项目)-中铁物贸成都公司</v>
      </c>
      <c r="R4847" s="30" t="str">
        <f>_xlfn._xlws.FILTER(辅助信息!D:D,辅助信息!E:E=B4847)</f>
        <v>五冶钢构龙泉东洪片区(70亩、85亩)住宅、商业及配套工程项目</v>
      </c>
    </row>
    <row r="4848" hidden="1" spans="2:18">
      <c r="B4848" s="136" t="s">
        <v>229</v>
      </c>
      <c r="C4848" s="71">
        <v>45952</v>
      </c>
      <c r="D4848" s="41" t="str">
        <f>VLOOKUP(B4848,辅助信息!E:K,7,FALSE)</f>
        <v>JWDDCD2025092400212</v>
      </c>
      <c r="E4848" s="41" t="str">
        <f>VLOOKUP(F4848,辅助信息!A:B,2,FALSE)</f>
        <v>螺纹钢</v>
      </c>
      <c r="F4848" s="41" t="s">
        <v>18</v>
      </c>
      <c r="G4848" s="37">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40" t="str">
        <f>VLOOKUP(B4848,辅助信息!E:I,3,FALSE)</f>
        <v>(五冶钢构龙泉东洪片区85亩住宅、商业及配套工程项目三标段)成都市龙泉驿外东洪路地铁2号线惠王陵地铁C口</v>
      </c>
      <c r="J4848" s="41" t="str">
        <f>VLOOKUP(B4848,辅助信息!E:I,4,FALSE)</f>
        <v>王军宝</v>
      </c>
      <c r="K4848" s="41">
        <f>VLOOKUP(J4848,辅助信息!H:I,2,FALSE)</f>
        <v>13889142392</v>
      </c>
      <c r="L4848" s="110">
        <f>VLOOKUP(B4848,辅助信息!E:J,6,FALSE)</f>
        <v>0</v>
      </c>
      <c r="M4848" s="92">
        <v>45950</v>
      </c>
      <c r="O4848" s="63">
        <f ca="1" t="shared" si="234"/>
        <v>0</v>
      </c>
      <c r="P4848" s="63">
        <f ca="1" t="shared" si="235"/>
        <v>9</v>
      </c>
      <c r="Q4848" s="30" t="str">
        <f>VLOOKUP(B4848,辅助信息!E:M,9,FALSE)</f>
        <v>ZTWM-CDGS-XS-2025-0156-五冶钢构-2025年九月第一批次钢筋采购合同(三圣乡项目)-中铁物贸成都公司</v>
      </c>
      <c r="R4848" s="30" t="str">
        <f>_xlfn._xlws.FILTER(辅助信息!D:D,辅助信息!E:E=B4848)</f>
        <v>五冶钢构龙泉东洪片区(70亩、85亩)住宅、商业及配套工程项目</v>
      </c>
    </row>
    <row r="4849" hidden="1" spans="2:18">
      <c r="B4849" s="136" t="s">
        <v>229</v>
      </c>
      <c r="C4849" s="71">
        <v>45952</v>
      </c>
      <c r="D4849" s="41" t="str">
        <f>VLOOKUP(B4849,辅助信息!E:K,7,FALSE)</f>
        <v>JWDDCD2025092400212</v>
      </c>
      <c r="E4849" s="41" t="str">
        <f>VLOOKUP(F4849,辅助信息!A:B,2,FALSE)</f>
        <v>螺纹钢</v>
      </c>
      <c r="F4849" s="41" t="s">
        <v>66</v>
      </c>
      <c r="G4849" s="37">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40" t="str">
        <f>VLOOKUP(B4849,辅助信息!E:I,3,FALSE)</f>
        <v>(五冶钢构龙泉东洪片区85亩住宅、商业及配套工程项目三标段)成都市龙泉驿外东洪路地铁2号线惠王陵地铁C口</v>
      </c>
      <c r="J4849" s="41" t="str">
        <f>VLOOKUP(B4849,辅助信息!E:I,4,FALSE)</f>
        <v>王军宝</v>
      </c>
      <c r="K4849" s="41">
        <f>VLOOKUP(J4849,辅助信息!H:I,2,FALSE)</f>
        <v>13889142392</v>
      </c>
      <c r="L4849" s="110">
        <f>VLOOKUP(B4849,辅助信息!E:J,6,FALSE)</f>
        <v>0</v>
      </c>
      <c r="M4849" s="92">
        <v>45950</v>
      </c>
      <c r="O4849" s="63">
        <f ca="1" t="shared" si="234"/>
        <v>0</v>
      </c>
      <c r="P4849" s="63">
        <f ca="1" t="shared" si="235"/>
        <v>9</v>
      </c>
      <c r="Q4849" s="30" t="str">
        <f>VLOOKUP(B4849,辅助信息!E:M,9,FALSE)</f>
        <v>ZTWM-CDGS-XS-2025-0156-五冶钢构-2025年九月第一批次钢筋采购合同(三圣乡项目)-中铁物贸成都公司</v>
      </c>
      <c r="R4849" s="30" t="str">
        <f>_xlfn._xlws.FILTER(辅助信息!D:D,辅助信息!E:E=B4849)</f>
        <v>五冶钢构龙泉东洪片区(70亩、85亩)住宅、商业及配套工程项目</v>
      </c>
    </row>
    <row r="4850" hidden="1" spans="2:18">
      <c r="B4850" s="136" t="s">
        <v>229</v>
      </c>
      <c r="C4850" s="71">
        <v>45952</v>
      </c>
      <c r="D4850" s="41" t="str">
        <f>VLOOKUP(B4850,辅助信息!E:K,7,FALSE)</f>
        <v>JWDDCD2025092400212</v>
      </c>
      <c r="E4850" s="41" t="str">
        <f>VLOOKUP(F4850,辅助信息!A:B,2,FALSE)</f>
        <v>螺纹钢</v>
      </c>
      <c r="F4850" s="41" t="s">
        <v>82</v>
      </c>
      <c r="G4850" s="37">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40" t="str">
        <f>VLOOKUP(B4850,辅助信息!E:I,3,FALSE)</f>
        <v>(五冶钢构龙泉东洪片区85亩住宅、商业及配套工程项目三标段)成都市龙泉驿外东洪路地铁2号线惠王陵地铁C口</v>
      </c>
      <c r="J4850" s="41" t="str">
        <f>VLOOKUP(B4850,辅助信息!E:I,4,FALSE)</f>
        <v>王军宝</v>
      </c>
      <c r="K4850" s="41">
        <f>VLOOKUP(J4850,辅助信息!H:I,2,FALSE)</f>
        <v>13889142392</v>
      </c>
      <c r="L4850" s="110">
        <f>VLOOKUP(B4850,辅助信息!E:J,6,FALSE)</f>
        <v>0</v>
      </c>
      <c r="M4850" s="92">
        <v>45950</v>
      </c>
      <c r="O4850" s="63">
        <f ca="1" t="shared" si="234"/>
        <v>0</v>
      </c>
      <c r="P4850" s="63">
        <f ca="1" t="shared" si="235"/>
        <v>9</v>
      </c>
      <c r="Q4850" s="30" t="str">
        <f>VLOOKUP(B4850,辅助信息!E:M,9,FALSE)</f>
        <v>ZTWM-CDGS-XS-2025-0156-五冶钢构-2025年九月第一批次钢筋采购合同(三圣乡项目)-中铁物贸成都公司</v>
      </c>
      <c r="R4850" s="30" t="str">
        <f>_xlfn._xlws.FILTER(辅助信息!D:D,辅助信息!E:E=B4850)</f>
        <v>五冶钢构龙泉东洪片区(70亩、85亩)住宅、商业及配套工程项目</v>
      </c>
    </row>
    <row r="4851" hidden="1" spans="2:18">
      <c r="B4851" s="136" t="s">
        <v>229</v>
      </c>
      <c r="C4851" s="71">
        <v>45952</v>
      </c>
      <c r="D4851" s="41" t="str">
        <f>VLOOKUP(B4851,辅助信息!E:K,7,FALSE)</f>
        <v>JWDDCD2025092400212</v>
      </c>
      <c r="E4851" s="41" t="str">
        <f>VLOOKUP(F4851,辅助信息!A:B,2,FALSE)</f>
        <v>螺纹钢</v>
      </c>
      <c r="F4851" s="41" t="s">
        <v>45</v>
      </c>
      <c r="G4851" s="37">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40" t="str">
        <f>VLOOKUP(B4851,辅助信息!E:I,3,FALSE)</f>
        <v>(五冶钢构龙泉东洪片区85亩住宅、商业及配套工程项目三标段)成都市龙泉驿外东洪路地铁2号线惠王陵地铁C口</v>
      </c>
      <c r="J4851" s="41" t="str">
        <f>VLOOKUP(B4851,辅助信息!E:I,4,FALSE)</f>
        <v>王军宝</v>
      </c>
      <c r="K4851" s="41">
        <f>VLOOKUP(J4851,辅助信息!H:I,2,FALSE)</f>
        <v>13889142392</v>
      </c>
      <c r="L4851" s="110">
        <f>VLOOKUP(B4851,辅助信息!E:J,6,FALSE)</f>
        <v>0</v>
      </c>
      <c r="M4851" s="92">
        <v>45950</v>
      </c>
      <c r="O4851" s="63">
        <f ca="1" t="shared" si="234"/>
        <v>0</v>
      </c>
      <c r="P4851" s="63">
        <f ca="1" t="shared" si="235"/>
        <v>9</v>
      </c>
      <c r="Q4851" s="30" t="str">
        <f>VLOOKUP(B4851,辅助信息!E:M,9,FALSE)</f>
        <v>ZTWM-CDGS-XS-2025-0156-五冶钢构-2025年九月第一批次钢筋采购合同(三圣乡项目)-中铁物贸成都公司</v>
      </c>
      <c r="R4851" s="30" t="str">
        <f>_xlfn._xlws.FILTER(辅助信息!D:D,辅助信息!E:E=B4851)</f>
        <v>五冶钢构龙泉东洪片区(70亩、85亩)住宅、商业及配套工程项目</v>
      </c>
    </row>
    <row r="4852" hidden="1" spans="2:18">
      <c r="B4852" s="136" t="s">
        <v>229</v>
      </c>
      <c r="C4852" s="71">
        <v>45952</v>
      </c>
      <c r="D4852" s="41" t="str">
        <f>VLOOKUP(B4852,辅助信息!E:K,7,FALSE)</f>
        <v>JWDDCD2025092400212</v>
      </c>
      <c r="E4852" s="41" t="str">
        <f>VLOOKUP(F4852,辅助信息!A:B,2,FALSE)</f>
        <v>螺纹钢</v>
      </c>
      <c r="F4852" s="41" t="s">
        <v>21</v>
      </c>
      <c r="G4852" s="37">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40" t="str">
        <f>VLOOKUP(B4852,辅助信息!E:I,3,FALSE)</f>
        <v>(五冶钢构龙泉东洪片区85亩住宅、商业及配套工程项目三标段)成都市龙泉驿外东洪路地铁2号线惠王陵地铁C口</v>
      </c>
      <c r="J4852" s="41" t="str">
        <f>VLOOKUP(B4852,辅助信息!E:I,4,FALSE)</f>
        <v>王军宝</v>
      </c>
      <c r="K4852" s="41">
        <f>VLOOKUP(J4852,辅助信息!H:I,2,FALSE)</f>
        <v>13889142392</v>
      </c>
      <c r="L4852" s="110">
        <f>VLOOKUP(B4852,辅助信息!E:J,6,FALSE)</f>
        <v>0</v>
      </c>
      <c r="M4852" s="92">
        <v>45950</v>
      </c>
      <c r="O4852" s="63">
        <f ca="1" t="shared" si="234"/>
        <v>0</v>
      </c>
      <c r="P4852" s="63">
        <f ca="1" t="shared" si="235"/>
        <v>9</v>
      </c>
      <c r="Q4852" s="30" t="str">
        <f>VLOOKUP(B4852,辅助信息!E:M,9,FALSE)</f>
        <v>ZTWM-CDGS-XS-2025-0156-五冶钢构-2025年九月第一批次钢筋采购合同(三圣乡项目)-中铁物贸成都公司</v>
      </c>
      <c r="R4852" s="30" t="str">
        <f>_xlfn._xlws.FILTER(辅助信息!D:D,辅助信息!E:E=B4852)</f>
        <v>五冶钢构龙泉东洪片区(70亩、85亩)住宅、商业及配套工程项目</v>
      </c>
    </row>
    <row r="4853" hidden="1" spans="2:18">
      <c r="B4853" s="136" t="s">
        <v>229</v>
      </c>
      <c r="C4853" s="71">
        <v>45952</v>
      </c>
      <c r="D4853" s="41" t="str">
        <f>VLOOKUP(B4853,辅助信息!E:K,7,FALSE)</f>
        <v>JWDDCD2025092400212</v>
      </c>
      <c r="E4853" s="41" t="str">
        <f>VLOOKUP(F4853,辅助信息!A:B,2,FALSE)</f>
        <v>螺纹钢</v>
      </c>
      <c r="F4853" s="41" t="s">
        <v>58</v>
      </c>
      <c r="G4853" s="37">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40" t="str">
        <f>VLOOKUP(B4853,辅助信息!E:I,3,FALSE)</f>
        <v>(五冶钢构龙泉东洪片区85亩住宅、商业及配套工程项目三标段)成都市龙泉驿外东洪路地铁2号线惠王陵地铁C口</v>
      </c>
      <c r="J4853" s="41" t="str">
        <f>VLOOKUP(B4853,辅助信息!E:I,4,FALSE)</f>
        <v>王军宝</v>
      </c>
      <c r="K4853" s="41">
        <f>VLOOKUP(J4853,辅助信息!H:I,2,FALSE)</f>
        <v>13889142392</v>
      </c>
      <c r="L4853" s="110">
        <f>VLOOKUP(B4853,辅助信息!E:J,6,FALSE)</f>
        <v>0</v>
      </c>
      <c r="M4853" s="92">
        <v>45950</v>
      </c>
      <c r="O4853" s="63">
        <f ca="1" t="shared" si="234"/>
        <v>0</v>
      </c>
      <c r="P4853" s="63">
        <f ca="1" t="shared" si="235"/>
        <v>9</v>
      </c>
      <c r="Q4853" s="30" t="str">
        <f>VLOOKUP(B4853,辅助信息!E:M,9,FALSE)</f>
        <v>ZTWM-CDGS-XS-2025-0156-五冶钢构-2025年九月第一批次钢筋采购合同(三圣乡项目)-中铁物贸成都公司</v>
      </c>
      <c r="R4853" s="30" t="str">
        <f>_xlfn._xlws.FILTER(辅助信息!D:D,辅助信息!E:E=B4853)</f>
        <v>五冶钢构龙泉东洪片区(70亩、85亩)住宅、商业及配套工程项目</v>
      </c>
    </row>
    <row r="4854" hidden="1" spans="2:18">
      <c r="B4854" s="136" t="s">
        <v>229</v>
      </c>
      <c r="C4854" s="71">
        <v>45952</v>
      </c>
      <c r="D4854" s="41" t="str">
        <f>VLOOKUP(B4854,辅助信息!E:K,7,FALSE)</f>
        <v>JWDDCD2025092400212</v>
      </c>
      <c r="E4854" s="41" t="str">
        <f>VLOOKUP(F4854,辅助信息!A:B,2,FALSE)</f>
        <v>螺纹钢</v>
      </c>
      <c r="F4854" s="41" t="s">
        <v>46</v>
      </c>
      <c r="G4854" s="37">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40" t="str">
        <f>VLOOKUP(B4854,辅助信息!E:I,3,FALSE)</f>
        <v>(五冶钢构龙泉东洪片区85亩住宅、商业及配套工程项目三标段)成都市龙泉驿外东洪路地铁2号线惠王陵地铁C口</v>
      </c>
      <c r="J4854" s="41" t="str">
        <f>VLOOKUP(B4854,辅助信息!E:I,4,FALSE)</f>
        <v>王军宝</v>
      </c>
      <c r="K4854" s="41">
        <f>VLOOKUP(J4854,辅助信息!H:I,2,FALSE)</f>
        <v>13889142392</v>
      </c>
      <c r="L4854" s="110">
        <f>VLOOKUP(B4854,辅助信息!E:J,6,FALSE)</f>
        <v>0</v>
      </c>
      <c r="M4854" s="92">
        <v>45950</v>
      </c>
      <c r="O4854" s="63">
        <f ca="1" t="shared" si="234"/>
        <v>0</v>
      </c>
      <c r="P4854" s="63">
        <f ca="1" t="shared" si="235"/>
        <v>9</v>
      </c>
      <c r="Q4854" s="30" t="str">
        <f>VLOOKUP(B4854,辅助信息!E:M,9,FALSE)</f>
        <v>ZTWM-CDGS-XS-2025-0156-五冶钢构-2025年九月第一批次钢筋采购合同(三圣乡项目)-中铁物贸成都公司</v>
      </c>
      <c r="R4854" s="30" t="str">
        <f>_xlfn._xlws.FILTER(辅助信息!D:D,辅助信息!E:E=B4854)</f>
        <v>五冶钢构龙泉东洪片区(70亩、85亩)住宅、商业及配套工程项目</v>
      </c>
    </row>
    <row r="4855" hidden="1" spans="2:18">
      <c r="B4855" s="136" t="s">
        <v>229</v>
      </c>
      <c r="C4855" s="71">
        <v>45952</v>
      </c>
      <c r="D4855" s="41" t="str">
        <f>VLOOKUP(B4855,辅助信息!E:K,7,FALSE)</f>
        <v>JWDDCD2025092400212</v>
      </c>
      <c r="E4855" s="41" t="str">
        <f>VLOOKUP(F4855,辅助信息!A:B,2,FALSE)</f>
        <v>螺纹钢</v>
      </c>
      <c r="F4855" s="41" t="s">
        <v>22</v>
      </c>
      <c r="G4855" s="37">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40" t="str">
        <f>VLOOKUP(B4855,辅助信息!E:I,3,FALSE)</f>
        <v>(五冶钢构龙泉东洪片区85亩住宅、商业及配套工程项目三标段)成都市龙泉驿外东洪路地铁2号线惠王陵地铁C口</v>
      </c>
      <c r="J4855" s="41" t="str">
        <f>VLOOKUP(B4855,辅助信息!E:I,4,FALSE)</f>
        <v>王军宝</v>
      </c>
      <c r="K4855" s="41">
        <f>VLOOKUP(J4855,辅助信息!H:I,2,FALSE)</f>
        <v>13889142392</v>
      </c>
      <c r="L4855" s="110">
        <f>VLOOKUP(B4855,辅助信息!E:J,6,FALSE)</f>
        <v>0</v>
      </c>
      <c r="M4855" s="92">
        <v>45950</v>
      </c>
      <c r="O4855" s="63">
        <f ca="1" t="shared" si="234"/>
        <v>0</v>
      </c>
      <c r="P4855" s="63">
        <f ca="1" t="shared" si="235"/>
        <v>9</v>
      </c>
      <c r="Q4855" s="30" t="str">
        <f>VLOOKUP(B4855,辅助信息!E:M,9,FALSE)</f>
        <v>ZTWM-CDGS-XS-2025-0156-五冶钢构-2025年九月第一批次钢筋采购合同(三圣乡项目)-中铁物贸成都公司</v>
      </c>
      <c r="R4855" s="30" t="str">
        <f>_xlfn._xlws.FILTER(辅助信息!D:D,辅助信息!E:E=B4855)</f>
        <v>五冶钢构龙泉东洪片区(70亩、85亩)住宅、商业及配套工程项目</v>
      </c>
    </row>
    <row r="4856" hidden="1" spans="2:18">
      <c r="B4856" s="136" t="s">
        <v>229</v>
      </c>
      <c r="C4856" s="71">
        <v>45952</v>
      </c>
      <c r="D4856" s="41" t="str">
        <f>VLOOKUP(B4856,辅助信息!E:K,7,FALSE)</f>
        <v>JWDDCD2025092400212</v>
      </c>
      <c r="E4856" s="41" t="str">
        <f>VLOOKUP(F4856,辅助信息!A:B,2,FALSE)</f>
        <v>盘螺</v>
      </c>
      <c r="F4856" s="41" t="s">
        <v>49</v>
      </c>
      <c r="G4856" s="37">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40" t="str">
        <f>VLOOKUP(B4856,辅助信息!E:I,3,FALSE)</f>
        <v>(五冶钢构龙泉东洪片区85亩住宅、商业及配套工程项目三标段)成都市龙泉驿外东洪路地铁2号线惠王陵地铁C口</v>
      </c>
      <c r="J4856" s="41" t="str">
        <f>VLOOKUP(B4856,辅助信息!E:I,4,FALSE)</f>
        <v>王军宝</v>
      </c>
      <c r="K4856" s="41">
        <f>VLOOKUP(J4856,辅助信息!H:I,2,FALSE)</f>
        <v>13889142392</v>
      </c>
      <c r="L4856" s="110">
        <f>VLOOKUP(B4856,辅助信息!E:J,6,FALSE)</f>
        <v>0</v>
      </c>
      <c r="M4856" s="92">
        <v>45950</v>
      </c>
      <c r="O4856" s="63">
        <f ca="1" t="shared" si="234"/>
        <v>0</v>
      </c>
      <c r="P4856" s="63">
        <f ca="1" t="shared" si="235"/>
        <v>9</v>
      </c>
      <c r="Q4856" s="30" t="str">
        <f>VLOOKUP(B4856,辅助信息!E:M,9,FALSE)</f>
        <v>ZTWM-CDGS-XS-2025-0156-五冶钢构-2025年九月第一批次钢筋采购合同(三圣乡项目)-中铁物贸成都公司</v>
      </c>
      <c r="R4856" s="30" t="str">
        <f>_xlfn._xlws.FILTER(辅助信息!D:D,辅助信息!E:E=B4856)</f>
        <v>五冶钢构龙泉东洪片区(70亩、85亩)住宅、商业及配套工程项目</v>
      </c>
    </row>
    <row r="4857" hidden="1" spans="2:18">
      <c r="B4857" s="136" t="s">
        <v>229</v>
      </c>
      <c r="C4857" s="71">
        <v>45952</v>
      </c>
      <c r="D4857" s="41" t="str">
        <f>VLOOKUP(B4857,辅助信息!E:K,7,FALSE)</f>
        <v>JWDDCD2025092400212</v>
      </c>
      <c r="E4857" s="41" t="str">
        <f>VLOOKUP(F4857,辅助信息!A:B,2,FALSE)</f>
        <v>盘螺</v>
      </c>
      <c r="F4857" s="41" t="s">
        <v>40</v>
      </c>
      <c r="G4857" s="37">
        <v>20</v>
      </c>
      <c r="H4857" s="135"/>
      <c r="I4857" s="40" t="str">
        <f>VLOOKUP(B4857,辅助信息!E:I,3,FALSE)</f>
        <v>(五冶钢构龙泉东洪片区85亩住宅、商业及配套工程项目三标段)成都市龙泉驿外东洪路地铁2号线惠王陵地铁C口</v>
      </c>
      <c r="J4857" s="41" t="str">
        <f>VLOOKUP(B4857,辅助信息!E:I,4,FALSE)</f>
        <v>王军宝</v>
      </c>
      <c r="K4857" s="41">
        <f>VLOOKUP(J4857,辅助信息!H:I,2,FALSE)</f>
        <v>13889142392</v>
      </c>
      <c r="L4857" s="110">
        <f>VLOOKUP(B4857,辅助信息!E:J,6,FALSE)</f>
        <v>0</v>
      </c>
      <c r="M4857" s="92">
        <v>45950</v>
      </c>
      <c r="O4857" s="63">
        <f ca="1" t="shared" si="234"/>
        <v>0</v>
      </c>
      <c r="P4857" s="63">
        <f ca="1" t="shared" si="235"/>
        <v>9</v>
      </c>
      <c r="Q4857" s="30" t="str">
        <f>VLOOKUP(B4857,辅助信息!E:M,9,FALSE)</f>
        <v>ZTWM-CDGS-XS-2025-0156-五冶钢构-2025年九月第一批次钢筋采购合同(三圣乡项目)-中铁物贸成都公司</v>
      </c>
      <c r="R4857" s="30" t="str">
        <f>_xlfn._xlws.FILTER(辅助信息!D:D,辅助信息!E:E=B4857)</f>
        <v>五冶钢构龙泉东洪片区(70亩、85亩)住宅、商业及配套工程项目</v>
      </c>
    </row>
    <row r="4858" hidden="1" spans="2:18">
      <c r="B4858" s="136" t="s">
        <v>229</v>
      </c>
      <c r="C4858" s="71">
        <v>45952</v>
      </c>
      <c r="D4858" s="41" t="str">
        <f>VLOOKUP(B4858,辅助信息!E:K,7,FALSE)</f>
        <v>JWDDCD2025092400212</v>
      </c>
      <c r="E4858" s="41" t="str">
        <f>VLOOKUP(F4858,辅助信息!A:B,2,FALSE)</f>
        <v>盘螺</v>
      </c>
      <c r="F4858" s="41" t="s">
        <v>41</v>
      </c>
      <c r="G4858" s="37">
        <v>40</v>
      </c>
      <c r="H4858" s="135"/>
      <c r="I4858" s="40" t="str">
        <f>VLOOKUP(B4858,辅助信息!E:I,3,FALSE)</f>
        <v>(五冶钢构龙泉东洪片区85亩住宅、商业及配套工程项目三标段)成都市龙泉驿外东洪路地铁2号线惠王陵地铁C口</v>
      </c>
      <c r="J4858" s="41" t="str">
        <f>VLOOKUP(B4858,辅助信息!E:I,4,FALSE)</f>
        <v>王军宝</v>
      </c>
      <c r="K4858" s="41">
        <f>VLOOKUP(J4858,辅助信息!H:I,2,FALSE)</f>
        <v>13889142392</v>
      </c>
      <c r="L4858" s="110">
        <f>VLOOKUP(B4858,辅助信息!E:J,6,FALSE)</f>
        <v>0</v>
      </c>
      <c r="M4858" s="92">
        <v>45950</v>
      </c>
      <c r="O4858" s="63">
        <f ca="1" t="shared" si="234"/>
        <v>0</v>
      </c>
      <c r="P4858" s="63">
        <f ca="1" t="shared" si="235"/>
        <v>9</v>
      </c>
      <c r="Q4858" s="30" t="str">
        <f>VLOOKUP(B4858,辅助信息!E:M,9,FALSE)</f>
        <v>ZTWM-CDGS-XS-2025-0156-五冶钢构-2025年九月第一批次钢筋采购合同(三圣乡项目)-中铁物贸成都公司</v>
      </c>
      <c r="R4858" s="30" t="str">
        <f>_xlfn._xlws.FILTER(辅助信息!D:D,辅助信息!E:E=B4858)</f>
        <v>五冶钢构龙泉东洪片区(70亩、85亩)住宅、商业及配套工程项目</v>
      </c>
    </row>
    <row r="4859" hidden="1" spans="2:18">
      <c r="B4859" s="136" t="s">
        <v>229</v>
      </c>
      <c r="C4859" s="71">
        <v>45952</v>
      </c>
      <c r="D4859" s="41" t="str">
        <f>VLOOKUP(B4859,辅助信息!E:K,7,FALSE)</f>
        <v>JWDDCD2025092400212</v>
      </c>
      <c r="E4859" s="41" t="str">
        <f>VLOOKUP(F4859,辅助信息!A:B,2,FALSE)</f>
        <v>螺纹钢</v>
      </c>
      <c r="F4859" s="41" t="s">
        <v>27</v>
      </c>
      <c r="G4859" s="37">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40" t="str">
        <f>VLOOKUP(B4859,辅助信息!E:I,3,FALSE)</f>
        <v>(五冶钢构龙泉东洪片区85亩住宅、商业及配套工程项目三标段)成都市龙泉驿外东洪路地铁2号线惠王陵地铁C口</v>
      </c>
      <c r="J4859" s="41" t="str">
        <f>VLOOKUP(B4859,辅助信息!E:I,4,FALSE)</f>
        <v>王军宝</v>
      </c>
      <c r="K4859" s="41">
        <f>VLOOKUP(J4859,辅助信息!H:I,2,FALSE)</f>
        <v>13889142392</v>
      </c>
      <c r="L4859" s="110">
        <f>VLOOKUP(B4859,辅助信息!E:J,6,FALSE)</f>
        <v>0</v>
      </c>
      <c r="M4859" s="92">
        <v>45950</v>
      </c>
      <c r="O4859" s="63">
        <f ca="1" t="shared" si="234"/>
        <v>0</v>
      </c>
      <c r="P4859" s="63">
        <f ca="1" t="shared" si="235"/>
        <v>9</v>
      </c>
      <c r="Q4859" s="30" t="str">
        <f>VLOOKUP(B4859,辅助信息!E:M,9,FALSE)</f>
        <v>ZTWM-CDGS-XS-2025-0156-五冶钢构-2025年九月第一批次钢筋采购合同(三圣乡项目)-中铁物贸成都公司</v>
      </c>
      <c r="R4859" s="30" t="str">
        <f>_xlfn._xlws.FILTER(辅助信息!D:D,辅助信息!E:E=B4859)</f>
        <v>五冶钢构龙泉东洪片区(70亩、85亩)住宅、商业及配套工程项目</v>
      </c>
    </row>
    <row r="4860" hidden="1" spans="2:18">
      <c r="B4860" s="136" t="s">
        <v>229</v>
      </c>
      <c r="C4860" s="71">
        <v>45952</v>
      </c>
      <c r="D4860" s="41" t="str">
        <f>VLOOKUP(B4860,辅助信息!E:K,7,FALSE)</f>
        <v>JWDDCD2025092400212</v>
      </c>
      <c r="E4860" s="41" t="str">
        <f>VLOOKUP(F4860,辅助信息!A:B,2,FALSE)</f>
        <v>螺纹钢</v>
      </c>
      <c r="F4860" s="41" t="s">
        <v>19</v>
      </c>
      <c r="G4860" s="37">
        <v>9</v>
      </c>
      <c r="H4860" s="135"/>
      <c r="I4860" s="40" t="str">
        <f>VLOOKUP(B4860,辅助信息!E:I,3,FALSE)</f>
        <v>(五冶钢构龙泉东洪片区85亩住宅、商业及配套工程项目三标段)成都市龙泉驿外东洪路地铁2号线惠王陵地铁C口</v>
      </c>
      <c r="J4860" s="41" t="str">
        <f>VLOOKUP(B4860,辅助信息!E:I,4,FALSE)</f>
        <v>王军宝</v>
      </c>
      <c r="K4860" s="41">
        <f>VLOOKUP(J4860,辅助信息!H:I,2,FALSE)</f>
        <v>13889142392</v>
      </c>
      <c r="L4860" s="110">
        <f>VLOOKUP(B4860,辅助信息!E:J,6,FALSE)</f>
        <v>0</v>
      </c>
      <c r="M4860" s="92">
        <v>45950</v>
      </c>
      <c r="O4860" s="63">
        <f ca="1" t="shared" si="234"/>
        <v>0</v>
      </c>
      <c r="P4860" s="63">
        <f ca="1" t="shared" si="235"/>
        <v>9</v>
      </c>
      <c r="Q4860" s="30" t="str">
        <f>VLOOKUP(B4860,辅助信息!E:M,9,FALSE)</f>
        <v>ZTWM-CDGS-XS-2025-0156-五冶钢构-2025年九月第一批次钢筋采购合同(三圣乡项目)-中铁物贸成都公司</v>
      </c>
      <c r="R4860" s="30" t="str">
        <f>_xlfn._xlws.FILTER(辅助信息!D:D,辅助信息!E:E=B4860)</f>
        <v>五冶钢构龙泉东洪片区(70亩、85亩)住宅、商业及配套工程项目</v>
      </c>
    </row>
    <row r="4861" hidden="1" spans="2:18">
      <c r="B4861" s="136" t="s">
        <v>229</v>
      </c>
      <c r="C4861" s="71">
        <v>45952</v>
      </c>
      <c r="D4861" s="41" t="str">
        <f>VLOOKUP(B4861,辅助信息!E:K,7,FALSE)</f>
        <v>JWDDCD2025092400212</v>
      </c>
      <c r="E4861" s="41" t="str">
        <f>VLOOKUP(F4861,辅助信息!A:B,2,FALSE)</f>
        <v>螺纹钢</v>
      </c>
      <c r="F4861" s="41" t="s">
        <v>32</v>
      </c>
      <c r="G4861" s="37">
        <v>6</v>
      </c>
      <c r="H4861" s="135"/>
      <c r="I4861" s="40" t="str">
        <f>VLOOKUP(B4861,辅助信息!E:I,3,FALSE)</f>
        <v>(五冶钢构龙泉东洪片区85亩住宅、商业及配套工程项目三标段)成都市龙泉驿外东洪路地铁2号线惠王陵地铁C口</v>
      </c>
      <c r="J4861" s="41" t="str">
        <f>VLOOKUP(B4861,辅助信息!E:I,4,FALSE)</f>
        <v>王军宝</v>
      </c>
      <c r="K4861" s="41">
        <f>VLOOKUP(J4861,辅助信息!H:I,2,FALSE)</f>
        <v>13889142392</v>
      </c>
      <c r="L4861" s="110">
        <f>VLOOKUP(B4861,辅助信息!E:J,6,FALSE)</f>
        <v>0</v>
      </c>
      <c r="M4861" s="92">
        <v>45950</v>
      </c>
      <c r="O4861" s="63">
        <f ca="1" t="shared" si="234"/>
        <v>0</v>
      </c>
      <c r="P4861" s="63">
        <f ca="1" t="shared" si="235"/>
        <v>9</v>
      </c>
      <c r="Q4861" s="30" t="str">
        <f>VLOOKUP(B4861,辅助信息!E:M,9,FALSE)</f>
        <v>ZTWM-CDGS-XS-2025-0156-五冶钢构-2025年九月第一批次钢筋采购合同(三圣乡项目)-中铁物贸成都公司</v>
      </c>
      <c r="R4861" s="30" t="str">
        <f>_xlfn._xlws.FILTER(辅助信息!D:D,辅助信息!E:E=B4861)</f>
        <v>五冶钢构龙泉东洪片区(70亩、85亩)住宅、商业及配套工程项目</v>
      </c>
    </row>
    <row r="4862" hidden="1" spans="2:18">
      <c r="B4862" s="136" t="s">
        <v>229</v>
      </c>
      <c r="C4862" s="71">
        <v>45952</v>
      </c>
      <c r="D4862" s="41" t="str">
        <f>VLOOKUP(B4862,辅助信息!E:K,7,FALSE)</f>
        <v>JWDDCD2025092400212</v>
      </c>
      <c r="E4862" s="41" t="str">
        <f>VLOOKUP(F4862,辅助信息!A:B,2,FALSE)</f>
        <v>螺纹钢</v>
      </c>
      <c r="F4862" s="41" t="s">
        <v>30</v>
      </c>
      <c r="G4862" s="37">
        <v>9</v>
      </c>
      <c r="H4862" s="135"/>
      <c r="I4862" s="40" t="str">
        <f>VLOOKUP(B4862,辅助信息!E:I,3,FALSE)</f>
        <v>(五冶钢构龙泉东洪片区85亩住宅、商业及配套工程项目三标段)成都市龙泉驿外东洪路地铁2号线惠王陵地铁C口</v>
      </c>
      <c r="J4862" s="41" t="str">
        <f>VLOOKUP(B4862,辅助信息!E:I,4,FALSE)</f>
        <v>王军宝</v>
      </c>
      <c r="K4862" s="41">
        <f>VLOOKUP(J4862,辅助信息!H:I,2,FALSE)</f>
        <v>13889142392</v>
      </c>
      <c r="L4862" s="110">
        <f>VLOOKUP(B4862,辅助信息!E:J,6,FALSE)</f>
        <v>0</v>
      </c>
      <c r="M4862" s="92">
        <v>45950</v>
      </c>
      <c r="O4862" s="63">
        <f ca="1" t="shared" si="234"/>
        <v>0</v>
      </c>
      <c r="P4862" s="63">
        <f ca="1" t="shared" si="235"/>
        <v>9</v>
      </c>
      <c r="Q4862" s="30" t="str">
        <f>VLOOKUP(B4862,辅助信息!E:M,9,FALSE)</f>
        <v>ZTWM-CDGS-XS-2025-0156-五冶钢构-2025年九月第一批次钢筋采购合同(三圣乡项目)-中铁物贸成都公司</v>
      </c>
      <c r="R4862" s="30" t="str">
        <f>_xlfn._xlws.FILTER(辅助信息!D:D,辅助信息!E:E=B4862)</f>
        <v>五冶钢构龙泉东洪片区(70亩、85亩)住宅、商业及配套工程项目</v>
      </c>
    </row>
    <row r="4863" hidden="1" spans="2:18">
      <c r="B4863" s="136" t="s">
        <v>229</v>
      </c>
      <c r="C4863" s="71">
        <v>45952</v>
      </c>
      <c r="D4863" s="41" t="str">
        <f>VLOOKUP(B4863,辅助信息!E:K,7,FALSE)</f>
        <v>JWDDCD2025092400212</v>
      </c>
      <c r="E4863" s="41" t="str">
        <f>VLOOKUP(F4863,辅助信息!A:B,2,FALSE)</f>
        <v>螺纹钢</v>
      </c>
      <c r="F4863" s="41" t="s">
        <v>18</v>
      </c>
      <c r="G4863" s="37">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40" t="str">
        <f>VLOOKUP(B4863,辅助信息!E:I,3,FALSE)</f>
        <v>(五冶钢构龙泉东洪片区85亩住宅、商业及配套工程项目三标段)成都市龙泉驿外东洪路地铁2号线惠王陵地铁C口</v>
      </c>
      <c r="J4863" s="41" t="str">
        <f>VLOOKUP(B4863,辅助信息!E:I,4,FALSE)</f>
        <v>王军宝</v>
      </c>
      <c r="K4863" s="41">
        <f>VLOOKUP(J4863,辅助信息!H:I,2,FALSE)</f>
        <v>13889142392</v>
      </c>
      <c r="L4863" s="110">
        <f>VLOOKUP(B4863,辅助信息!E:J,6,FALSE)</f>
        <v>0</v>
      </c>
      <c r="M4863" s="92">
        <v>45950</v>
      </c>
      <c r="O4863" s="63">
        <f ca="1" t="shared" si="234"/>
        <v>0</v>
      </c>
      <c r="P4863" s="63">
        <f ca="1" t="shared" si="235"/>
        <v>9</v>
      </c>
      <c r="Q4863" s="30" t="str">
        <f>VLOOKUP(B4863,辅助信息!E:M,9,FALSE)</f>
        <v>ZTWM-CDGS-XS-2025-0156-五冶钢构-2025年九月第一批次钢筋采购合同(三圣乡项目)-中铁物贸成都公司</v>
      </c>
      <c r="R4863" s="30" t="str">
        <f>_xlfn._xlws.FILTER(辅助信息!D:D,辅助信息!E:E=B4863)</f>
        <v>五冶钢构龙泉东洪片区(70亩、85亩)住宅、商业及配套工程项目</v>
      </c>
    </row>
    <row r="4864" hidden="1" spans="2:18">
      <c r="B4864" s="136" t="s">
        <v>229</v>
      </c>
      <c r="C4864" s="71">
        <v>45952</v>
      </c>
      <c r="D4864" s="41" t="str">
        <f>VLOOKUP(B4864,辅助信息!E:K,7,FALSE)</f>
        <v>JWDDCD2025092400212</v>
      </c>
      <c r="E4864" s="41" t="str">
        <f>VLOOKUP(F4864,辅助信息!A:B,2,FALSE)</f>
        <v>螺纹钢</v>
      </c>
      <c r="F4864" s="41" t="s">
        <v>66</v>
      </c>
      <c r="G4864" s="37">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40" t="str">
        <f>VLOOKUP(B4864,辅助信息!E:I,3,FALSE)</f>
        <v>(五冶钢构龙泉东洪片区85亩住宅、商业及配套工程项目三标段)成都市龙泉驿外东洪路地铁2号线惠王陵地铁C口</v>
      </c>
      <c r="J4864" s="41" t="str">
        <f>VLOOKUP(B4864,辅助信息!E:I,4,FALSE)</f>
        <v>王军宝</v>
      </c>
      <c r="K4864" s="41">
        <f>VLOOKUP(J4864,辅助信息!H:I,2,FALSE)</f>
        <v>13889142392</v>
      </c>
      <c r="L4864" s="110">
        <f>VLOOKUP(B4864,辅助信息!E:J,6,FALSE)</f>
        <v>0</v>
      </c>
      <c r="M4864" s="92">
        <v>45950</v>
      </c>
      <c r="O4864" s="63">
        <f ca="1" t="shared" si="234"/>
        <v>0</v>
      </c>
      <c r="P4864" s="63">
        <f ca="1" t="shared" si="235"/>
        <v>9</v>
      </c>
      <c r="Q4864" s="30" t="str">
        <f>VLOOKUP(B4864,辅助信息!E:M,9,FALSE)</f>
        <v>ZTWM-CDGS-XS-2025-0156-五冶钢构-2025年九月第一批次钢筋采购合同(三圣乡项目)-中铁物贸成都公司</v>
      </c>
      <c r="R4864" s="30" t="str">
        <f>_xlfn._xlws.FILTER(辅助信息!D:D,辅助信息!E:E=B4864)</f>
        <v>五冶钢构龙泉东洪片区(70亩、85亩)住宅、商业及配套工程项目</v>
      </c>
    </row>
    <row r="4865" hidden="1" spans="2:18">
      <c r="B4865" s="136" t="s">
        <v>229</v>
      </c>
      <c r="C4865" s="71">
        <v>45952</v>
      </c>
      <c r="D4865" s="41" t="str">
        <f>VLOOKUP(B4865,辅助信息!E:K,7,FALSE)</f>
        <v>JWDDCD2025092400212</v>
      </c>
      <c r="E4865" s="41" t="str">
        <f>VLOOKUP(F4865,辅助信息!A:B,2,FALSE)</f>
        <v>螺纹钢</v>
      </c>
      <c r="F4865" s="41" t="s">
        <v>58</v>
      </c>
      <c r="G4865" s="37">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40" t="str">
        <f>VLOOKUP(B4865,辅助信息!E:I,3,FALSE)</f>
        <v>(五冶钢构龙泉东洪片区85亩住宅、商业及配套工程项目三标段)成都市龙泉驿外东洪路地铁2号线惠王陵地铁C口</v>
      </c>
      <c r="J4865" s="41" t="str">
        <f>VLOOKUP(B4865,辅助信息!E:I,4,FALSE)</f>
        <v>王军宝</v>
      </c>
      <c r="K4865" s="41">
        <f>VLOOKUP(J4865,辅助信息!H:I,2,FALSE)</f>
        <v>13889142392</v>
      </c>
      <c r="L4865" s="110">
        <f>VLOOKUP(B4865,辅助信息!E:J,6,FALSE)</f>
        <v>0</v>
      </c>
      <c r="M4865" s="92">
        <v>45950</v>
      </c>
      <c r="O4865" s="63">
        <f ca="1" t="shared" si="234"/>
        <v>0</v>
      </c>
      <c r="P4865" s="63">
        <f ca="1" t="shared" si="235"/>
        <v>9</v>
      </c>
      <c r="Q4865" s="30" t="str">
        <f>VLOOKUP(B4865,辅助信息!E:M,9,FALSE)</f>
        <v>ZTWM-CDGS-XS-2025-0156-五冶钢构-2025年九月第一批次钢筋采购合同(三圣乡项目)-中铁物贸成都公司</v>
      </c>
      <c r="R4865" s="30" t="str">
        <f>_xlfn._xlws.FILTER(辅助信息!D:D,辅助信息!E:E=B4865)</f>
        <v>五冶钢构龙泉东洪片区(70亩、85亩)住宅、商业及配套工程项目</v>
      </c>
    </row>
    <row r="4866" hidden="1" spans="2:18">
      <c r="B4866" s="136" t="s">
        <v>229</v>
      </c>
      <c r="C4866" s="71">
        <v>45952</v>
      </c>
      <c r="D4866" s="41" t="str">
        <f>VLOOKUP(B4866,辅助信息!E:K,7,FALSE)</f>
        <v>JWDDCD2025092400212</v>
      </c>
      <c r="E4866" s="41" t="str">
        <f>VLOOKUP(F4866,辅助信息!A:B,2,FALSE)</f>
        <v>螺纹钢</v>
      </c>
      <c r="F4866" s="41" t="s">
        <v>46</v>
      </c>
      <c r="G4866" s="37">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40" t="str">
        <f>VLOOKUP(B4866,辅助信息!E:I,3,FALSE)</f>
        <v>(五冶钢构龙泉东洪片区85亩住宅、商业及配套工程项目三标段)成都市龙泉驿外东洪路地铁2号线惠王陵地铁C口</v>
      </c>
      <c r="J4866" s="41" t="str">
        <f>VLOOKUP(B4866,辅助信息!E:I,4,FALSE)</f>
        <v>王军宝</v>
      </c>
      <c r="K4866" s="41">
        <f>VLOOKUP(J4866,辅助信息!H:I,2,FALSE)</f>
        <v>13889142392</v>
      </c>
      <c r="L4866" s="110">
        <f>VLOOKUP(B4866,辅助信息!E:J,6,FALSE)</f>
        <v>0</v>
      </c>
      <c r="M4866" s="92">
        <v>45950</v>
      </c>
      <c r="O4866" s="63">
        <f ca="1" t="shared" si="234"/>
        <v>0</v>
      </c>
      <c r="P4866" s="63">
        <f ca="1" t="shared" si="235"/>
        <v>9</v>
      </c>
      <c r="Q4866" s="30" t="str">
        <f>VLOOKUP(B4866,辅助信息!E:M,9,FALSE)</f>
        <v>ZTWM-CDGS-XS-2025-0156-五冶钢构-2025年九月第一批次钢筋采购合同(三圣乡项目)-中铁物贸成都公司</v>
      </c>
      <c r="R4866" s="30" t="str">
        <f>_xlfn._xlws.FILTER(辅助信息!D:D,辅助信息!E:E=B4866)</f>
        <v>五冶钢构龙泉东洪片区(70亩、85亩)住宅、商业及配套工程项目</v>
      </c>
    </row>
    <row r="4867" hidden="1" spans="2:18">
      <c r="B4867" s="136" t="s">
        <v>229</v>
      </c>
      <c r="C4867" s="71">
        <v>45952</v>
      </c>
      <c r="D4867" s="41" t="str">
        <f>VLOOKUP(B4867,辅助信息!E:K,7,FALSE)</f>
        <v>JWDDCD2025092400212</v>
      </c>
      <c r="E4867" s="41" t="str">
        <f>VLOOKUP(F4867,辅助信息!A:B,2,FALSE)</f>
        <v>螺纹钢</v>
      </c>
      <c r="F4867" s="41" t="s">
        <v>22</v>
      </c>
      <c r="G4867" s="37">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40" t="str">
        <f>VLOOKUP(B4867,辅助信息!E:I,3,FALSE)</f>
        <v>(五冶钢构龙泉东洪片区85亩住宅、商业及配套工程项目三标段)成都市龙泉驿外东洪路地铁2号线惠王陵地铁C口</v>
      </c>
      <c r="J4867" s="41" t="str">
        <f>VLOOKUP(B4867,辅助信息!E:I,4,FALSE)</f>
        <v>王军宝</v>
      </c>
      <c r="K4867" s="41">
        <f>VLOOKUP(J4867,辅助信息!H:I,2,FALSE)</f>
        <v>13889142392</v>
      </c>
      <c r="L4867" s="110">
        <f>VLOOKUP(B4867,辅助信息!E:J,6,FALSE)</f>
        <v>0</v>
      </c>
      <c r="M4867" s="92">
        <v>45950</v>
      </c>
      <c r="O4867" s="63">
        <f ca="1" t="shared" si="234"/>
        <v>0</v>
      </c>
      <c r="P4867" s="63">
        <f ca="1" t="shared" si="235"/>
        <v>9</v>
      </c>
      <c r="Q4867" s="30" t="str">
        <f>VLOOKUP(B4867,辅助信息!E:M,9,FALSE)</f>
        <v>ZTWM-CDGS-XS-2025-0156-五冶钢构-2025年九月第一批次钢筋采购合同(三圣乡项目)-中铁物贸成都公司</v>
      </c>
      <c r="R4867" s="30" t="str">
        <f>_xlfn._xlws.FILTER(辅助信息!D:D,辅助信息!E:E=B4867)</f>
        <v>五冶钢构龙泉东洪片区(70亩、85亩)住宅、商业及配套工程项目</v>
      </c>
    </row>
    <row r="4868" hidden="1" spans="2:18">
      <c r="B4868" s="136" t="s">
        <v>203</v>
      </c>
      <c r="C4868" s="71">
        <v>45953</v>
      </c>
      <c r="D4868" s="41" t="str">
        <f>VLOOKUP(B4868,辅助信息!E:K,7,FALSE)</f>
        <v>JWDDCD2025102100479</v>
      </c>
      <c r="E4868" s="41" t="str">
        <f>VLOOKUP(F4868,辅助信息!A:B,2,FALSE)</f>
        <v>高线</v>
      </c>
      <c r="F4868" s="41" t="s">
        <v>57</v>
      </c>
      <c r="G4868" s="37">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1" t="str">
        <f>VLOOKUP(B4868,辅助信息!E:I,3,FALSE)</f>
        <v>(五冶建设空港兴城怡心街道83亩项目)成都市双流区怡心街道高峰社区一组剑和路一段空港兴城怡心街道83亩项目中国五冶项目部</v>
      </c>
      <c r="J4868" s="41" t="str">
        <f>VLOOKUP(B4868,辅助信息!E:I,4,FALSE)</f>
        <v>王刚</v>
      </c>
      <c r="K4868" s="41">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30" t="str">
        <f>VLOOKUP(B4868,辅助信息!E:M,9,FALSE)</f>
        <v>ZTWM-CDGS-XS-2025-0073-五冶天府-成都怡心湖片区及龙泉驿医院等项目</v>
      </c>
      <c r="R4868" s="30" t="str">
        <f>_xlfn._xlws.FILTER(辅助信息!D:D,辅助信息!E:E=B4868)</f>
        <v>五冶建设空港兴城怡心街道83亩项目</v>
      </c>
    </row>
    <row r="4869" hidden="1" spans="2:18">
      <c r="B4869" s="136" t="s">
        <v>203</v>
      </c>
      <c r="C4869" s="71">
        <v>45953</v>
      </c>
      <c r="D4869" s="41" t="str">
        <f>VLOOKUP(B4869,辅助信息!E:K,7,FALSE)</f>
        <v>JWDDCD2025102100479</v>
      </c>
      <c r="E4869" s="41" t="str">
        <f>VLOOKUP(F4869,辅助信息!A:B,2,FALSE)</f>
        <v>盘螺</v>
      </c>
      <c r="F4869" s="41" t="s">
        <v>40</v>
      </c>
      <c r="G4869" s="37">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1" t="str">
        <f>VLOOKUP(B4869,辅助信息!E:I,3,FALSE)</f>
        <v>(五冶建设空港兴城怡心街道83亩项目)成都市双流区怡心街道高峰社区一组剑和路一段空港兴城怡心街道83亩项目中国五冶项目部</v>
      </c>
      <c r="J4869" s="41" t="str">
        <f>VLOOKUP(B4869,辅助信息!E:I,4,FALSE)</f>
        <v>王刚</v>
      </c>
      <c r="K4869" s="41">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30" t="str">
        <f>VLOOKUP(B4869,辅助信息!E:M,9,FALSE)</f>
        <v>ZTWM-CDGS-XS-2025-0073-五冶天府-成都怡心湖片区及龙泉驿医院等项目</v>
      </c>
      <c r="R4869" s="30" t="str">
        <f>_xlfn._xlws.FILTER(辅助信息!D:D,辅助信息!E:E=B4869)</f>
        <v>五冶建设空港兴城怡心街道83亩项目</v>
      </c>
    </row>
    <row r="4870" hidden="1" spans="2:18">
      <c r="B4870" s="136" t="s">
        <v>203</v>
      </c>
      <c r="C4870" s="71">
        <v>45953</v>
      </c>
      <c r="D4870" s="41" t="str">
        <f>VLOOKUP(B4870,辅助信息!E:K,7,FALSE)</f>
        <v>JWDDCD2025102100479</v>
      </c>
      <c r="E4870" s="41" t="str">
        <f>VLOOKUP(F4870,辅助信息!A:B,2,FALSE)</f>
        <v>螺纹钢</v>
      </c>
      <c r="F4870" s="41" t="s">
        <v>27</v>
      </c>
      <c r="G4870" s="37">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1" t="str">
        <f>VLOOKUP(B4870,辅助信息!E:I,3,FALSE)</f>
        <v>(五冶建设空港兴城怡心街道83亩项目)成都市双流区怡心街道高峰社区一组剑和路一段空港兴城怡心街道83亩项目中国五冶项目部</v>
      </c>
      <c r="J4870" s="41" t="str">
        <f>VLOOKUP(B4870,辅助信息!E:I,4,FALSE)</f>
        <v>王刚</v>
      </c>
      <c r="K4870" s="41">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30" t="str">
        <f>VLOOKUP(B4870,辅助信息!E:M,9,FALSE)</f>
        <v>ZTWM-CDGS-XS-2025-0073-五冶天府-成都怡心湖片区及龙泉驿医院等项目</v>
      </c>
      <c r="R4870" s="30" t="str">
        <f>_xlfn._xlws.FILTER(辅助信息!D:D,辅助信息!E:E=B4870)</f>
        <v>五冶建设空港兴城怡心街道83亩项目</v>
      </c>
    </row>
    <row r="4871" hidden="1" spans="2:18">
      <c r="B4871" s="136" t="s">
        <v>203</v>
      </c>
      <c r="C4871" s="71">
        <v>45953</v>
      </c>
      <c r="D4871" s="41" t="str">
        <f>VLOOKUP(B4871,辅助信息!E:K,7,FALSE)</f>
        <v>JWDDCD2025102100479</v>
      </c>
      <c r="E4871" s="41" t="str">
        <f>VLOOKUP(F4871,辅助信息!A:B,2,FALSE)</f>
        <v>螺纹钢</v>
      </c>
      <c r="F4871" s="41" t="s">
        <v>19</v>
      </c>
      <c r="G4871" s="37">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1" t="str">
        <f>VLOOKUP(B4871,辅助信息!E:I,3,FALSE)</f>
        <v>(五冶建设空港兴城怡心街道83亩项目)成都市双流区怡心街道高峰社区一组剑和路一段空港兴城怡心街道83亩项目中国五冶项目部</v>
      </c>
      <c r="J4871" s="41" t="str">
        <f>VLOOKUP(B4871,辅助信息!E:I,4,FALSE)</f>
        <v>王刚</v>
      </c>
      <c r="K4871" s="41">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30" t="str">
        <f>VLOOKUP(B4871,辅助信息!E:M,9,FALSE)</f>
        <v>ZTWM-CDGS-XS-2025-0073-五冶天府-成都怡心湖片区及龙泉驿医院等项目</v>
      </c>
      <c r="R4871" s="30" t="str">
        <f>_xlfn._xlws.FILTER(辅助信息!D:D,辅助信息!E:E=B4871)</f>
        <v>五冶建设空港兴城怡心街道83亩项目</v>
      </c>
    </row>
    <row r="4872" hidden="1" spans="2:18">
      <c r="B4872" s="136" t="s">
        <v>203</v>
      </c>
      <c r="C4872" s="71">
        <v>45953</v>
      </c>
      <c r="D4872" s="41" t="str">
        <f>VLOOKUP(B4872,辅助信息!E:K,7,FALSE)</f>
        <v>JWDDCD2025102100479</v>
      </c>
      <c r="E4872" s="41" t="str">
        <f>VLOOKUP(F4872,辅助信息!A:B,2,FALSE)</f>
        <v>螺纹钢</v>
      </c>
      <c r="F4872" s="41" t="s">
        <v>32</v>
      </c>
      <c r="G4872" s="37">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1" t="str">
        <f>VLOOKUP(B4872,辅助信息!E:I,3,FALSE)</f>
        <v>(五冶建设空港兴城怡心街道83亩项目)成都市双流区怡心街道高峰社区一组剑和路一段空港兴城怡心街道83亩项目中国五冶项目部</v>
      </c>
      <c r="J4872" s="41" t="str">
        <f>VLOOKUP(B4872,辅助信息!E:I,4,FALSE)</f>
        <v>王刚</v>
      </c>
      <c r="K4872" s="41">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30" t="str">
        <f>VLOOKUP(B4872,辅助信息!E:M,9,FALSE)</f>
        <v>ZTWM-CDGS-XS-2025-0073-五冶天府-成都怡心湖片区及龙泉驿医院等项目</v>
      </c>
      <c r="R4872" s="30" t="str">
        <f>_xlfn._xlws.FILTER(辅助信息!D:D,辅助信息!E:E=B4872)</f>
        <v>五冶建设空港兴城怡心街道83亩项目</v>
      </c>
    </row>
    <row r="4873" hidden="1" spans="2:18">
      <c r="B4873" s="136" t="s">
        <v>203</v>
      </c>
      <c r="C4873" s="71">
        <v>45953</v>
      </c>
      <c r="D4873" s="41" t="str">
        <f>VLOOKUP(B4873,辅助信息!E:K,7,FALSE)</f>
        <v>JWDDCD2025102100479</v>
      </c>
      <c r="E4873" s="41" t="str">
        <f>VLOOKUP(F4873,辅助信息!A:B,2,FALSE)</f>
        <v>螺纹钢</v>
      </c>
      <c r="F4873" s="41" t="s">
        <v>30</v>
      </c>
      <c r="G4873" s="37">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1" t="str">
        <f>VLOOKUP(B4873,辅助信息!E:I,3,FALSE)</f>
        <v>(五冶建设空港兴城怡心街道83亩项目)成都市双流区怡心街道高峰社区一组剑和路一段空港兴城怡心街道83亩项目中国五冶项目部</v>
      </c>
      <c r="J4873" s="41" t="str">
        <f>VLOOKUP(B4873,辅助信息!E:I,4,FALSE)</f>
        <v>王刚</v>
      </c>
      <c r="K4873" s="41">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30" t="str">
        <f>VLOOKUP(B4873,辅助信息!E:M,9,FALSE)</f>
        <v>ZTWM-CDGS-XS-2025-0073-五冶天府-成都怡心湖片区及龙泉驿医院等项目</v>
      </c>
      <c r="R4873" s="30" t="str">
        <f>_xlfn._xlws.FILTER(辅助信息!D:D,辅助信息!E:E=B4873)</f>
        <v>五冶建设空港兴城怡心街道83亩项目</v>
      </c>
    </row>
    <row r="4874" hidden="1" spans="2:18">
      <c r="B4874" s="136" t="s">
        <v>203</v>
      </c>
      <c r="C4874" s="71">
        <v>45953</v>
      </c>
      <c r="D4874" s="41" t="str">
        <f>VLOOKUP(B4874,辅助信息!E:K,7,FALSE)</f>
        <v>JWDDCD2025102100479</v>
      </c>
      <c r="E4874" s="41" t="str">
        <f>VLOOKUP(F4874,辅助信息!A:B,2,FALSE)</f>
        <v>螺纹钢</v>
      </c>
      <c r="F4874" s="41" t="s">
        <v>33</v>
      </c>
      <c r="G4874" s="37">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1" t="str">
        <f>VLOOKUP(B4874,辅助信息!E:I,3,FALSE)</f>
        <v>(五冶建设空港兴城怡心街道83亩项目)成都市双流区怡心街道高峰社区一组剑和路一段空港兴城怡心街道83亩项目中国五冶项目部</v>
      </c>
      <c r="J4874" s="41" t="str">
        <f>VLOOKUP(B4874,辅助信息!E:I,4,FALSE)</f>
        <v>王刚</v>
      </c>
      <c r="K4874" s="41">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30" t="str">
        <f>VLOOKUP(B4874,辅助信息!E:M,9,FALSE)</f>
        <v>ZTWM-CDGS-XS-2025-0073-五冶天府-成都怡心湖片区及龙泉驿医院等项目</v>
      </c>
      <c r="R4874" s="30" t="str">
        <f>_xlfn._xlws.FILTER(辅助信息!D:D,辅助信息!E:E=B4874)</f>
        <v>五冶建设空港兴城怡心街道83亩项目</v>
      </c>
    </row>
    <row r="4875" hidden="1" spans="2:18">
      <c r="B4875" s="136" t="s">
        <v>203</v>
      </c>
      <c r="C4875" s="71">
        <v>45953</v>
      </c>
      <c r="D4875" s="41" t="str">
        <f>VLOOKUP(B4875,辅助信息!E:K,7,FALSE)</f>
        <v>JWDDCD2025102100479</v>
      </c>
      <c r="E4875" s="41" t="str">
        <f>VLOOKUP(F4875,辅助信息!A:B,2,FALSE)</f>
        <v>螺纹钢</v>
      </c>
      <c r="F4875" s="41" t="s">
        <v>28</v>
      </c>
      <c r="G4875" s="37">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1" t="str">
        <f>VLOOKUP(B4875,辅助信息!E:I,3,FALSE)</f>
        <v>(五冶建设空港兴城怡心街道83亩项目)成都市双流区怡心街道高峰社区一组剑和路一段空港兴城怡心街道83亩项目中国五冶项目部</v>
      </c>
      <c r="J4875" s="41" t="str">
        <f>VLOOKUP(B4875,辅助信息!E:I,4,FALSE)</f>
        <v>王刚</v>
      </c>
      <c r="K4875" s="41">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30" t="str">
        <f>VLOOKUP(B4875,辅助信息!E:M,9,FALSE)</f>
        <v>ZTWM-CDGS-XS-2025-0073-五冶天府-成都怡心湖片区及龙泉驿医院等项目</v>
      </c>
      <c r="R4875" s="30" t="str">
        <f>_xlfn._xlws.FILTER(辅助信息!D:D,辅助信息!E:E=B4875)</f>
        <v>五冶建设空港兴城怡心街道83亩项目</v>
      </c>
    </row>
    <row r="4876" hidden="1" spans="2:18">
      <c r="B4876" s="136" t="s">
        <v>203</v>
      </c>
      <c r="C4876" s="71">
        <v>45953</v>
      </c>
      <c r="D4876" s="41" t="str">
        <f>VLOOKUP(B4876,辅助信息!E:K,7,FALSE)</f>
        <v>JWDDCD2025102100479</v>
      </c>
      <c r="E4876" s="41" t="str">
        <f>VLOOKUP(F4876,辅助信息!A:B,2,FALSE)</f>
        <v>螺纹钢</v>
      </c>
      <c r="F4876" s="41" t="s">
        <v>18</v>
      </c>
      <c r="G4876" s="37">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1" t="str">
        <f>VLOOKUP(B4876,辅助信息!E:I,3,FALSE)</f>
        <v>(五冶建设空港兴城怡心街道83亩项目)成都市双流区怡心街道高峰社区一组剑和路一段空港兴城怡心街道83亩项目中国五冶项目部</v>
      </c>
      <c r="J4876" s="41" t="str">
        <f>VLOOKUP(B4876,辅助信息!E:I,4,FALSE)</f>
        <v>王刚</v>
      </c>
      <c r="K4876" s="41">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30" t="str">
        <f>VLOOKUP(B4876,辅助信息!E:M,9,FALSE)</f>
        <v>ZTWM-CDGS-XS-2025-0073-五冶天府-成都怡心湖片区及龙泉驿医院等项目</v>
      </c>
      <c r="R4876" s="30" t="str">
        <f>_xlfn._xlws.FILTER(辅助信息!D:D,辅助信息!E:E=B4876)</f>
        <v>五冶建设空港兴城怡心街道83亩项目</v>
      </c>
    </row>
    <row r="4877" hidden="1" spans="2:18">
      <c r="B4877" s="136" t="s">
        <v>203</v>
      </c>
      <c r="C4877" s="71">
        <v>45953</v>
      </c>
      <c r="D4877" s="41" t="str">
        <f>VLOOKUP(B4877,辅助信息!E:K,7,FALSE)</f>
        <v>JWDDCD2025102100479</v>
      </c>
      <c r="E4877" s="41" t="str">
        <f>VLOOKUP(F4877,辅助信息!A:B,2,FALSE)</f>
        <v>螺纹钢</v>
      </c>
      <c r="F4877" s="41" t="s">
        <v>66</v>
      </c>
      <c r="G4877" s="37">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1" t="str">
        <f>VLOOKUP(B4877,辅助信息!E:I,3,FALSE)</f>
        <v>(五冶建设空港兴城怡心街道83亩项目)成都市双流区怡心街道高峰社区一组剑和路一段空港兴城怡心街道83亩项目中国五冶项目部</v>
      </c>
      <c r="J4877" s="41" t="str">
        <f>VLOOKUP(B4877,辅助信息!E:I,4,FALSE)</f>
        <v>王刚</v>
      </c>
      <c r="K4877" s="41">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30" t="str">
        <f>VLOOKUP(B4877,辅助信息!E:M,9,FALSE)</f>
        <v>ZTWM-CDGS-XS-2025-0073-五冶天府-成都怡心湖片区及龙泉驿医院等项目</v>
      </c>
      <c r="R4877" s="30"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11</v>
      </c>
      <c r="Q4878" s="30" t="str">
        <f>VLOOKUP(B4878,辅助信息!E:M,9,FALSE)</f>
        <v>ZTWM-CDGS-XS-2025-0156-五冶钢构-2025年九月第一批次钢筋采购合同(三圣乡项目)-中铁物贸成都公司</v>
      </c>
      <c r="R4878" s="30"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11</v>
      </c>
      <c r="Q4879" s="30" t="str">
        <f>VLOOKUP(B4879,辅助信息!E:M,9,FALSE)</f>
        <v>ZTWM-CDGS-XS-2025-0156-五冶钢构-2025年九月第一批次钢筋采购合同(三圣乡项目)-中铁物贸成都公司</v>
      </c>
      <c r="R4879" s="30"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11</v>
      </c>
      <c r="Q4880" s="30" t="str">
        <f>VLOOKUP(B4880,辅助信息!E:M,9,FALSE)</f>
        <v>ZTWM-CDGS-XS-2024-0134-商投建工达州中医药科技成果示范园项目</v>
      </c>
      <c r="R4880" s="30"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11</v>
      </c>
      <c r="Q4881" s="30" t="str">
        <f>VLOOKUP(B4881,辅助信息!E:M,9,FALSE)</f>
        <v>ZTWM-CDGS-XS-2024-0134-商投建工达州中医药科技成果示范园项目</v>
      </c>
      <c r="R4881" s="30"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11</v>
      </c>
      <c r="Q4882" s="30" t="str">
        <f>VLOOKUP(B4882,辅助信息!E:M,9,FALSE)</f>
        <v>ZTWM-CDGS-XS-2024-0134-商投建工达州中医药科技成果示范园项目</v>
      </c>
      <c r="R4882" s="30"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11</v>
      </c>
      <c r="Q4883" s="30" t="str">
        <f>VLOOKUP(B4883,辅助信息!E:M,9,FALSE)</f>
        <v>ZTWM-CDGS-XS-2024-0134-商投建工达州中医药科技成果示范园项目</v>
      </c>
      <c r="R4883" s="30"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6</v>
      </c>
      <c r="Q4884" s="30" t="str">
        <f>VLOOKUP(B4884,辅助信息!E:M,9,FALSE)</f>
        <v>ZTWM-CDGS-XS-2024-0134-商投建工达州中医药科技成果示范园项目</v>
      </c>
      <c r="R4884" s="30"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6</v>
      </c>
      <c r="Q4885" s="30" t="str">
        <f>VLOOKUP(B4885,辅助信息!E:M,9,FALSE)</f>
        <v>ZTWM-CDGS-XS-2024-0134-商投建工达州中医药科技成果示范园项目</v>
      </c>
      <c r="R4885" s="30"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30" t="str">
        <f>VLOOKUP(B4886,辅助信息!E:M,9,FALSE)</f>
        <v>ZTWM-CDGS-XS-2024-0134-商投建工达州中医药科技成果示范园项目</v>
      </c>
      <c r="R4886" s="30"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6</v>
      </c>
      <c r="Q4887" s="30" t="str">
        <f>VLOOKUP(B4887,辅助信息!E:M,9,FALSE)</f>
        <v>ZTWM-CDGS-XS-2024-0134-商投建工达州中医药科技成果示范园项目</v>
      </c>
      <c r="R4887" s="30"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6</v>
      </c>
      <c r="Q4888" s="30" t="str">
        <f>VLOOKUP(B4888,辅助信息!E:M,9,FALSE)</f>
        <v>ZTWM-CDGS-XS-2024-0134-商投建工达州中医药科技成果示范园项目</v>
      </c>
      <c r="R4888" s="30"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6</v>
      </c>
      <c r="Q4889" s="30" t="str">
        <f>VLOOKUP(B4889,辅助信息!E:M,9,FALSE)</f>
        <v>ZTWM-CDGS-XS-2024-0134-商投建工达州中医药科技成果示范园项目</v>
      </c>
      <c r="R4889" s="30" t="str">
        <f>_xlfn._xlws.FILTER(辅助信息!D:D,辅助信息!E:E=B4889)</f>
        <v>商投建工达州中医药科技园</v>
      </c>
    </row>
    <row r="4890" hidden="1" spans="2:18">
      <c r="B4890" s="136" t="s">
        <v>229</v>
      </c>
      <c r="C4890" s="71">
        <v>45953</v>
      </c>
      <c r="D4890" s="41" t="str">
        <f>VLOOKUP(B4890,辅助信息!E:K,7,FALSE)</f>
        <v>JWDDCD2025092400212</v>
      </c>
      <c r="E4890" s="41" t="str">
        <f>VLOOKUP(F4890,辅助信息!A:B,2,FALSE)</f>
        <v>高线</v>
      </c>
      <c r="F4890" s="41" t="s">
        <v>57</v>
      </c>
      <c r="G4890" s="37">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40" t="str">
        <f>VLOOKUP(B4890,辅助信息!E:I,3,FALSE)</f>
        <v>(五冶钢构龙泉东洪片区85亩住宅、商业及配套工程项目三标段)成都市龙泉驿外东洪路地铁2号线惠王陵地铁C口</v>
      </c>
      <c r="J4890" s="41" t="str">
        <f>VLOOKUP(B4890,辅助信息!E:I,4,FALSE)</f>
        <v>王军宝</v>
      </c>
      <c r="K4890" s="41">
        <f>VLOOKUP(J4890,辅助信息!H:I,2,FALSE)</f>
        <v>13889142392</v>
      </c>
      <c r="L4890" s="110">
        <f>VLOOKUP(B4890,辅助信息!E:J,6,FALSE)</f>
        <v>0</v>
      </c>
      <c r="M4890" s="92">
        <v>45950</v>
      </c>
      <c r="O4890" s="63">
        <f ca="1" t="shared" si="234"/>
        <v>0</v>
      </c>
      <c r="P4890" s="63">
        <f ca="1" t="shared" si="235"/>
        <v>9</v>
      </c>
      <c r="Q4890" s="30" t="str">
        <f>VLOOKUP(B4890,辅助信息!E:M,9,FALSE)</f>
        <v>ZTWM-CDGS-XS-2025-0156-五冶钢构-2025年九月第一批次钢筋采购合同(三圣乡项目)-中铁物贸成都公司</v>
      </c>
      <c r="R4890" s="30" t="str">
        <f>_xlfn._xlws.FILTER(辅助信息!D:D,辅助信息!E:E=B4890)</f>
        <v>五冶钢构龙泉东洪片区(70亩、85亩)住宅、商业及配套工程项目</v>
      </c>
    </row>
    <row r="4891" hidden="1" spans="2:18">
      <c r="B4891" s="136" t="s">
        <v>229</v>
      </c>
      <c r="C4891" s="71">
        <v>45953</v>
      </c>
      <c r="D4891" s="41" t="str">
        <f>VLOOKUP(B4891,辅助信息!E:K,7,FALSE)</f>
        <v>JWDDCD2025092400212</v>
      </c>
      <c r="E4891" s="41" t="str">
        <f>VLOOKUP(F4891,辅助信息!A:B,2,FALSE)</f>
        <v>高线</v>
      </c>
      <c r="F4891" s="41" t="s">
        <v>53</v>
      </c>
      <c r="G4891" s="37">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40" t="str">
        <f>VLOOKUP(B4891,辅助信息!E:I,3,FALSE)</f>
        <v>(五冶钢构龙泉东洪片区85亩住宅、商业及配套工程项目三标段)成都市龙泉驿外东洪路地铁2号线惠王陵地铁C口</v>
      </c>
      <c r="J4891" s="41" t="str">
        <f>VLOOKUP(B4891,辅助信息!E:I,4,FALSE)</f>
        <v>王军宝</v>
      </c>
      <c r="K4891" s="41">
        <f>VLOOKUP(J4891,辅助信息!H:I,2,FALSE)</f>
        <v>13889142392</v>
      </c>
      <c r="L4891" s="110">
        <f>VLOOKUP(B4891,辅助信息!E:J,6,FALSE)</f>
        <v>0</v>
      </c>
      <c r="M4891" s="92">
        <v>45950</v>
      </c>
      <c r="O4891" s="63">
        <f ca="1" t="shared" si="234"/>
        <v>0</v>
      </c>
      <c r="P4891" s="63">
        <f ca="1" t="shared" si="235"/>
        <v>9</v>
      </c>
      <c r="Q4891" s="30" t="str">
        <f>VLOOKUP(B4891,辅助信息!E:M,9,FALSE)</f>
        <v>ZTWM-CDGS-XS-2025-0156-五冶钢构-2025年九月第一批次钢筋采购合同(三圣乡项目)-中铁物贸成都公司</v>
      </c>
      <c r="R4891" s="30" t="str">
        <f>_xlfn._xlws.FILTER(辅助信息!D:D,辅助信息!E:E=B4891)</f>
        <v>五冶钢构龙泉东洪片区(70亩、85亩)住宅、商业及配套工程项目</v>
      </c>
    </row>
    <row r="4892" hidden="1" spans="2:18">
      <c r="B4892" s="136" t="s">
        <v>229</v>
      </c>
      <c r="C4892" s="71">
        <v>45953</v>
      </c>
      <c r="D4892" s="41" t="str">
        <f>VLOOKUP(B4892,辅助信息!E:K,7,FALSE)</f>
        <v>JWDDCD2025092400212</v>
      </c>
      <c r="E4892" s="41" t="str">
        <f>VLOOKUP(F4892,辅助信息!A:B,2,FALSE)</f>
        <v>盘螺</v>
      </c>
      <c r="F4892" s="41" t="s">
        <v>49</v>
      </c>
      <c r="G4892" s="37">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40" t="str">
        <f>VLOOKUP(B4892,辅助信息!E:I,3,FALSE)</f>
        <v>(五冶钢构龙泉东洪片区85亩住宅、商业及配套工程项目三标段)成都市龙泉驿外东洪路地铁2号线惠王陵地铁C口</v>
      </c>
      <c r="J4892" s="41" t="str">
        <f>VLOOKUP(B4892,辅助信息!E:I,4,FALSE)</f>
        <v>王军宝</v>
      </c>
      <c r="K4892" s="41">
        <f>VLOOKUP(J4892,辅助信息!H:I,2,FALSE)</f>
        <v>13889142392</v>
      </c>
      <c r="L4892" s="110">
        <f>VLOOKUP(B4892,辅助信息!E:J,6,FALSE)</f>
        <v>0</v>
      </c>
      <c r="M4892" s="92">
        <v>45950</v>
      </c>
      <c r="O4892" s="63">
        <f ca="1" t="shared" si="234"/>
        <v>0</v>
      </c>
      <c r="P4892" s="63">
        <f ca="1" t="shared" si="235"/>
        <v>9</v>
      </c>
      <c r="Q4892" s="30" t="str">
        <f>VLOOKUP(B4892,辅助信息!E:M,9,FALSE)</f>
        <v>ZTWM-CDGS-XS-2025-0156-五冶钢构-2025年九月第一批次钢筋采购合同(三圣乡项目)-中铁物贸成都公司</v>
      </c>
      <c r="R4892" s="30" t="str">
        <f>_xlfn._xlws.FILTER(辅助信息!D:D,辅助信息!E:E=B4892)</f>
        <v>五冶钢构龙泉东洪片区(70亩、85亩)住宅、商业及配套工程项目</v>
      </c>
    </row>
    <row r="4893" hidden="1" spans="2:18">
      <c r="B4893" s="136" t="s">
        <v>229</v>
      </c>
      <c r="C4893" s="71">
        <v>45953</v>
      </c>
      <c r="D4893" s="41" t="str">
        <f>VLOOKUP(B4893,辅助信息!E:K,7,FALSE)</f>
        <v>JWDDCD2025092400212</v>
      </c>
      <c r="E4893" s="41" t="str">
        <f>VLOOKUP(F4893,辅助信息!A:B,2,FALSE)</f>
        <v>盘螺</v>
      </c>
      <c r="F4893" s="41" t="s">
        <v>40</v>
      </c>
      <c r="G4893" s="37">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40" t="str">
        <f>VLOOKUP(B4893,辅助信息!E:I,3,FALSE)</f>
        <v>(五冶钢构龙泉东洪片区85亩住宅、商业及配套工程项目三标段)成都市龙泉驿外东洪路地铁2号线惠王陵地铁C口</v>
      </c>
      <c r="J4893" s="41" t="str">
        <f>VLOOKUP(B4893,辅助信息!E:I,4,FALSE)</f>
        <v>王军宝</v>
      </c>
      <c r="K4893" s="41">
        <f>VLOOKUP(J4893,辅助信息!H:I,2,FALSE)</f>
        <v>13889142392</v>
      </c>
      <c r="L4893" s="110">
        <f>VLOOKUP(B4893,辅助信息!E:J,6,FALSE)</f>
        <v>0</v>
      </c>
      <c r="M4893" s="92">
        <v>45950</v>
      </c>
      <c r="O4893" s="63">
        <f ca="1" t="shared" si="234"/>
        <v>0</v>
      </c>
      <c r="P4893" s="63">
        <f ca="1" t="shared" si="235"/>
        <v>9</v>
      </c>
      <c r="Q4893" s="30" t="str">
        <f>VLOOKUP(B4893,辅助信息!E:M,9,FALSE)</f>
        <v>ZTWM-CDGS-XS-2025-0156-五冶钢构-2025年九月第一批次钢筋采购合同(三圣乡项目)-中铁物贸成都公司</v>
      </c>
      <c r="R4893" s="30" t="str">
        <f>_xlfn._xlws.FILTER(辅助信息!D:D,辅助信息!E:E=B4893)</f>
        <v>五冶钢构龙泉东洪片区(70亩、85亩)住宅、商业及配套工程项目</v>
      </c>
    </row>
    <row r="4894" hidden="1" spans="2:18">
      <c r="B4894" s="136" t="s">
        <v>229</v>
      </c>
      <c r="C4894" s="71">
        <v>45953</v>
      </c>
      <c r="D4894" s="41" t="str">
        <f>VLOOKUP(B4894,辅助信息!E:K,7,FALSE)</f>
        <v>JWDDCD2025092400212</v>
      </c>
      <c r="E4894" s="41" t="str">
        <f>VLOOKUP(F4894,辅助信息!A:B,2,FALSE)</f>
        <v>盘螺</v>
      </c>
      <c r="F4894" s="41" t="s">
        <v>41</v>
      </c>
      <c r="G4894" s="37">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40" t="str">
        <f>VLOOKUP(B4894,辅助信息!E:I,3,FALSE)</f>
        <v>(五冶钢构龙泉东洪片区85亩住宅、商业及配套工程项目三标段)成都市龙泉驿外东洪路地铁2号线惠王陵地铁C口</v>
      </c>
      <c r="J4894" s="41" t="str">
        <f>VLOOKUP(B4894,辅助信息!E:I,4,FALSE)</f>
        <v>王军宝</v>
      </c>
      <c r="K4894" s="41">
        <f>VLOOKUP(J4894,辅助信息!H:I,2,FALSE)</f>
        <v>13889142392</v>
      </c>
      <c r="L4894" s="110">
        <f>VLOOKUP(B4894,辅助信息!E:J,6,FALSE)</f>
        <v>0</v>
      </c>
      <c r="M4894" s="92">
        <v>45950</v>
      </c>
      <c r="O4894" s="63">
        <f ca="1" t="shared" si="234"/>
        <v>0</v>
      </c>
      <c r="P4894" s="63">
        <f ca="1" t="shared" si="235"/>
        <v>9</v>
      </c>
      <c r="Q4894" s="30" t="str">
        <f>VLOOKUP(B4894,辅助信息!E:M,9,FALSE)</f>
        <v>ZTWM-CDGS-XS-2025-0156-五冶钢构-2025年九月第一批次钢筋采购合同(三圣乡项目)-中铁物贸成都公司</v>
      </c>
      <c r="R4894" s="30" t="str">
        <f>_xlfn._xlws.FILTER(辅助信息!D:D,辅助信息!E:E=B4894)</f>
        <v>五冶钢构龙泉东洪片区(70亩、85亩)住宅、商业及配套工程项目</v>
      </c>
    </row>
    <row r="4895" hidden="1" spans="2:18">
      <c r="B4895" s="136" t="s">
        <v>229</v>
      </c>
      <c r="C4895" s="71">
        <v>45953</v>
      </c>
      <c r="D4895" s="41" t="str">
        <f>VLOOKUP(B4895,辅助信息!E:K,7,FALSE)</f>
        <v>JWDDCD2025092400212</v>
      </c>
      <c r="E4895" s="41" t="str">
        <f>VLOOKUP(F4895,辅助信息!A:B,2,FALSE)</f>
        <v>螺纹钢</v>
      </c>
      <c r="F4895" s="41" t="s">
        <v>27</v>
      </c>
      <c r="G4895" s="37">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40" t="str">
        <f>VLOOKUP(B4895,辅助信息!E:I,3,FALSE)</f>
        <v>(五冶钢构龙泉东洪片区85亩住宅、商业及配套工程项目三标段)成都市龙泉驿外东洪路地铁2号线惠王陵地铁C口</v>
      </c>
      <c r="J4895" s="41" t="str">
        <f>VLOOKUP(B4895,辅助信息!E:I,4,FALSE)</f>
        <v>王军宝</v>
      </c>
      <c r="K4895" s="41">
        <f>VLOOKUP(J4895,辅助信息!H:I,2,FALSE)</f>
        <v>13889142392</v>
      </c>
      <c r="L4895" s="110">
        <f>VLOOKUP(B4895,辅助信息!E:J,6,FALSE)</f>
        <v>0</v>
      </c>
      <c r="M4895" s="92">
        <v>45950</v>
      </c>
      <c r="O4895" s="63">
        <f ca="1" t="shared" si="234"/>
        <v>0</v>
      </c>
      <c r="P4895" s="63">
        <f ca="1" t="shared" si="235"/>
        <v>9</v>
      </c>
      <c r="Q4895" s="30" t="str">
        <f>VLOOKUP(B4895,辅助信息!E:M,9,FALSE)</f>
        <v>ZTWM-CDGS-XS-2025-0156-五冶钢构-2025年九月第一批次钢筋采购合同(三圣乡项目)-中铁物贸成都公司</v>
      </c>
      <c r="R4895" s="30" t="str">
        <f>_xlfn._xlws.FILTER(辅助信息!D:D,辅助信息!E:E=B4895)</f>
        <v>五冶钢构龙泉东洪片区(70亩、85亩)住宅、商业及配套工程项目</v>
      </c>
    </row>
    <row r="4896" hidden="1" spans="2:18">
      <c r="B4896" s="136" t="s">
        <v>229</v>
      </c>
      <c r="C4896" s="71">
        <v>45953</v>
      </c>
      <c r="D4896" s="41" t="str">
        <f>VLOOKUP(B4896,辅助信息!E:K,7,FALSE)</f>
        <v>JWDDCD2025092400212</v>
      </c>
      <c r="E4896" s="41" t="str">
        <f>VLOOKUP(F4896,辅助信息!A:B,2,FALSE)</f>
        <v>盘螺</v>
      </c>
      <c r="F4896" s="41" t="s">
        <v>49</v>
      </c>
      <c r="G4896" s="37">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40" t="str">
        <f>VLOOKUP(B4896,辅助信息!E:I,3,FALSE)</f>
        <v>(五冶钢构龙泉东洪片区85亩住宅、商业及配套工程项目三标段)成都市龙泉驿外东洪路地铁2号线惠王陵地铁C口</v>
      </c>
      <c r="J4896" s="41" t="str">
        <f>VLOOKUP(B4896,辅助信息!E:I,4,FALSE)</f>
        <v>王军宝</v>
      </c>
      <c r="K4896" s="41">
        <f>VLOOKUP(J4896,辅助信息!H:I,2,FALSE)</f>
        <v>13889142392</v>
      </c>
      <c r="L4896" s="110">
        <f>VLOOKUP(B4896,辅助信息!E:J,6,FALSE)</f>
        <v>0</v>
      </c>
      <c r="M4896" s="92">
        <v>45950</v>
      </c>
      <c r="O4896" s="63">
        <f ca="1" t="shared" si="234"/>
        <v>0</v>
      </c>
      <c r="P4896" s="63">
        <f ca="1" t="shared" si="235"/>
        <v>9</v>
      </c>
      <c r="Q4896" s="30" t="str">
        <f>VLOOKUP(B4896,辅助信息!E:M,9,FALSE)</f>
        <v>ZTWM-CDGS-XS-2025-0156-五冶钢构-2025年九月第一批次钢筋采购合同(三圣乡项目)-中铁物贸成都公司</v>
      </c>
      <c r="R4896" s="30" t="str">
        <f>_xlfn._xlws.FILTER(辅助信息!D:D,辅助信息!E:E=B4896)</f>
        <v>五冶钢构龙泉东洪片区(70亩、85亩)住宅、商业及配套工程项目</v>
      </c>
    </row>
    <row r="4897" hidden="1" spans="2:18">
      <c r="B4897" s="136" t="s">
        <v>229</v>
      </c>
      <c r="C4897" s="71">
        <v>45953</v>
      </c>
      <c r="D4897" s="41" t="str">
        <f>VLOOKUP(B4897,辅助信息!E:K,7,FALSE)</f>
        <v>JWDDCD2025092400212</v>
      </c>
      <c r="E4897" s="41" t="str">
        <f>VLOOKUP(F4897,辅助信息!A:B,2,FALSE)</f>
        <v>盘螺</v>
      </c>
      <c r="F4897" s="41" t="s">
        <v>40</v>
      </c>
      <c r="G4897" s="37">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40" t="str">
        <f>VLOOKUP(B4897,辅助信息!E:I,3,FALSE)</f>
        <v>(五冶钢构龙泉东洪片区85亩住宅、商业及配套工程项目三标段)成都市龙泉驿外东洪路地铁2号线惠王陵地铁C口</v>
      </c>
      <c r="J4897" s="41" t="str">
        <f>VLOOKUP(B4897,辅助信息!E:I,4,FALSE)</f>
        <v>王军宝</v>
      </c>
      <c r="K4897" s="41">
        <f>VLOOKUP(J4897,辅助信息!H:I,2,FALSE)</f>
        <v>13889142392</v>
      </c>
      <c r="L4897" s="110">
        <f>VLOOKUP(B4897,辅助信息!E:J,6,FALSE)</f>
        <v>0</v>
      </c>
      <c r="M4897" s="92">
        <v>45950</v>
      </c>
      <c r="O4897" s="63">
        <f ca="1" t="shared" si="234"/>
        <v>0</v>
      </c>
      <c r="P4897" s="63">
        <f ca="1" t="shared" si="235"/>
        <v>9</v>
      </c>
      <c r="Q4897" s="30" t="str">
        <f>VLOOKUP(B4897,辅助信息!E:M,9,FALSE)</f>
        <v>ZTWM-CDGS-XS-2025-0156-五冶钢构-2025年九月第一批次钢筋采购合同(三圣乡项目)-中铁物贸成都公司</v>
      </c>
      <c r="R4897" s="30" t="str">
        <f>_xlfn._xlws.FILTER(辅助信息!D:D,辅助信息!E:E=B4897)</f>
        <v>五冶钢构龙泉东洪片区(70亩、85亩)住宅、商业及配套工程项目</v>
      </c>
    </row>
    <row r="4898" hidden="1" spans="2:18">
      <c r="B4898" s="136" t="s">
        <v>229</v>
      </c>
      <c r="C4898" s="71">
        <v>45953</v>
      </c>
      <c r="D4898" s="41" t="str">
        <f>VLOOKUP(B4898,辅助信息!E:K,7,FALSE)</f>
        <v>JWDDCD2025092400212</v>
      </c>
      <c r="E4898" s="41" t="str">
        <f>VLOOKUP(F4898,辅助信息!A:B,2,FALSE)</f>
        <v>盘螺</v>
      </c>
      <c r="F4898" s="41" t="s">
        <v>41</v>
      </c>
      <c r="G4898" s="37">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40" t="str">
        <f>VLOOKUP(B4898,辅助信息!E:I,3,FALSE)</f>
        <v>(五冶钢构龙泉东洪片区85亩住宅、商业及配套工程项目三标段)成都市龙泉驿外东洪路地铁2号线惠王陵地铁C口</v>
      </c>
      <c r="J4898" s="41" t="str">
        <f>VLOOKUP(B4898,辅助信息!E:I,4,FALSE)</f>
        <v>王军宝</v>
      </c>
      <c r="K4898" s="41">
        <f>VLOOKUP(J4898,辅助信息!H:I,2,FALSE)</f>
        <v>13889142392</v>
      </c>
      <c r="L4898" s="110">
        <f>VLOOKUP(B4898,辅助信息!E:J,6,FALSE)</f>
        <v>0</v>
      </c>
      <c r="M4898" s="92">
        <v>45950</v>
      </c>
      <c r="O4898" s="63">
        <f ca="1" t="shared" si="234"/>
        <v>0</v>
      </c>
      <c r="P4898" s="63">
        <f ca="1" t="shared" si="235"/>
        <v>9</v>
      </c>
      <c r="Q4898" s="30" t="str">
        <f>VLOOKUP(B4898,辅助信息!E:M,9,FALSE)</f>
        <v>ZTWM-CDGS-XS-2025-0156-五冶钢构-2025年九月第一批次钢筋采购合同(三圣乡项目)-中铁物贸成都公司</v>
      </c>
      <c r="R4898" s="30" t="str">
        <f>_xlfn._xlws.FILTER(辅助信息!D:D,辅助信息!E:E=B4898)</f>
        <v>五冶钢构龙泉东洪片区(70亩、85亩)住宅、商业及配套工程项目</v>
      </c>
    </row>
    <row r="4899" hidden="1" spans="2:18">
      <c r="B4899" s="136" t="s">
        <v>229</v>
      </c>
      <c r="C4899" s="71">
        <v>45953</v>
      </c>
      <c r="D4899" s="41" t="str">
        <f>VLOOKUP(B4899,辅助信息!E:K,7,FALSE)</f>
        <v>JWDDCD2025092400212</v>
      </c>
      <c r="E4899" s="41" t="str">
        <f>VLOOKUP(F4899,辅助信息!A:B,2,FALSE)</f>
        <v>螺纹钢</v>
      </c>
      <c r="F4899" s="41" t="s">
        <v>27</v>
      </c>
      <c r="G4899" s="37">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40" t="str">
        <f>VLOOKUP(B4899,辅助信息!E:I,3,FALSE)</f>
        <v>(五冶钢构龙泉东洪片区85亩住宅、商业及配套工程项目三标段)成都市龙泉驿外东洪路地铁2号线惠王陵地铁C口</v>
      </c>
      <c r="J4899" s="41" t="str">
        <f>VLOOKUP(B4899,辅助信息!E:I,4,FALSE)</f>
        <v>王军宝</v>
      </c>
      <c r="K4899" s="41">
        <f>VLOOKUP(J4899,辅助信息!H:I,2,FALSE)</f>
        <v>13889142392</v>
      </c>
      <c r="L4899" s="110">
        <f>VLOOKUP(B4899,辅助信息!E:J,6,FALSE)</f>
        <v>0</v>
      </c>
      <c r="M4899" s="92">
        <v>45950</v>
      </c>
      <c r="O4899" s="63">
        <f ca="1" t="shared" si="234"/>
        <v>0</v>
      </c>
      <c r="P4899" s="63">
        <f ca="1" t="shared" si="235"/>
        <v>9</v>
      </c>
      <c r="Q4899" s="30" t="str">
        <f>VLOOKUP(B4899,辅助信息!E:M,9,FALSE)</f>
        <v>ZTWM-CDGS-XS-2025-0156-五冶钢构-2025年九月第一批次钢筋采购合同(三圣乡项目)-中铁物贸成都公司</v>
      </c>
      <c r="R4899" s="30" t="str">
        <f>_xlfn._xlws.FILTER(辅助信息!D:D,辅助信息!E:E=B4899)</f>
        <v>五冶钢构龙泉东洪片区(70亩、85亩)住宅、商业及配套工程项目</v>
      </c>
    </row>
    <row r="4900" hidden="1" spans="2:18">
      <c r="B4900" s="136" t="s">
        <v>229</v>
      </c>
      <c r="C4900" s="71">
        <v>45953</v>
      </c>
      <c r="D4900" s="41" t="str">
        <f>VLOOKUP(B4900,辅助信息!E:K,7,FALSE)</f>
        <v>JWDDCD2025092400212</v>
      </c>
      <c r="E4900" s="41" t="str">
        <f>VLOOKUP(F4900,辅助信息!A:B,2,FALSE)</f>
        <v>螺纹钢</v>
      </c>
      <c r="F4900" s="41" t="s">
        <v>19</v>
      </c>
      <c r="G4900" s="37">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40" t="str">
        <f>VLOOKUP(B4900,辅助信息!E:I,3,FALSE)</f>
        <v>(五冶钢构龙泉东洪片区85亩住宅、商业及配套工程项目三标段)成都市龙泉驿外东洪路地铁2号线惠王陵地铁C口</v>
      </c>
      <c r="J4900" s="41" t="str">
        <f>VLOOKUP(B4900,辅助信息!E:I,4,FALSE)</f>
        <v>王军宝</v>
      </c>
      <c r="K4900" s="41">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9</v>
      </c>
      <c r="Q4900" s="30" t="str">
        <f>VLOOKUP(B4900,辅助信息!E:M,9,FALSE)</f>
        <v>ZTWM-CDGS-XS-2025-0156-五冶钢构-2025年九月第一批次钢筋采购合同(三圣乡项目)-中铁物贸成都公司</v>
      </c>
      <c r="R4900" s="30" t="str">
        <f>_xlfn._xlws.FILTER(辅助信息!D:D,辅助信息!E:E=B4900)</f>
        <v>五冶钢构龙泉东洪片区(70亩、85亩)住宅、商业及配套工程项目</v>
      </c>
    </row>
    <row r="4901" hidden="1" spans="2:18">
      <c r="B4901" s="136" t="s">
        <v>229</v>
      </c>
      <c r="C4901" s="71">
        <v>45953</v>
      </c>
      <c r="D4901" s="41" t="str">
        <f>VLOOKUP(B4901,辅助信息!E:K,7,FALSE)</f>
        <v>JWDDCD2025092400212</v>
      </c>
      <c r="E4901" s="41" t="str">
        <f>VLOOKUP(F4901,辅助信息!A:B,2,FALSE)</f>
        <v>螺纹钢</v>
      </c>
      <c r="F4901" s="41" t="s">
        <v>32</v>
      </c>
      <c r="G4901" s="37">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40" t="str">
        <f>VLOOKUP(B4901,辅助信息!E:I,3,FALSE)</f>
        <v>(五冶钢构龙泉东洪片区85亩住宅、商业及配套工程项目三标段)成都市龙泉驿外东洪路地铁2号线惠王陵地铁C口</v>
      </c>
      <c r="J4901" s="41" t="str">
        <f>VLOOKUP(B4901,辅助信息!E:I,4,FALSE)</f>
        <v>王军宝</v>
      </c>
      <c r="K4901" s="41">
        <f>VLOOKUP(J4901,辅助信息!H:I,2,FALSE)</f>
        <v>13889142392</v>
      </c>
      <c r="L4901" s="110">
        <f>VLOOKUP(B4901,辅助信息!E:J,6,FALSE)</f>
        <v>0</v>
      </c>
      <c r="M4901" s="92">
        <v>45950</v>
      </c>
      <c r="O4901" s="63">
        <f ca="1" t="shared" si="236"/>
        <v>0</v>
      </c>
      <c r="P4901" s="63">
        <f ca="1" t="shared" si="237"/>
        <v>9</v>
      </c>
      <c r="Q4901" s="30" t="str">
        <f>VLOOKUP(B4901,辅助信息!E:M,9,FALSE)</f>
        <v>ZTWM-CDGS-XS-2025-0156-五冶钢构-2025年九月第一批次钢筋采购合同(三圣乡项目)-中铁物贸成都公司</v>
      </c>
      <c r="R4901" s="30" t="str">
        <f>_xlfn._xlws.FILTER(辅助信息!D:D,辅助信息!E:E=B4901)</f>
        <v>五冶钢构龙泉东洪片区(70亩、85亩)住宅、商业及配套工程项目</v>
      </c>
    </row>
    <row r="4902" hidden="1" spans="2:18">
      <c r="B4902" s="136" t="s">
        <v>229</v>
      </c>
      <c r="C4902" s="71">
        <v>45953</v>
      </c>
      <c r="D4902" s="41" t="str">
        <f>VLOOKUP(B4902,辅助信息!E:K,7,FALSE)</f>
        <v>JWDDCD2025092400212</v>
      </c>
      <c r="E4902" s="41" t="str">
        <f>VLOOKUP(F4902,辅助信息!A:B,2,FALSE)</f>
        <v>螺纹钢</v>
      </c>
      <c r="F4902" s="41" t="s">
        <v>30</v>
      </c>
      <c r="G4902" s="37">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40" t="str">
        <f>VLOOKUP(B4902,辅助信息!E:I,3,FALSE)</f>
        <v>(五冶钢构龙泉东洪片区85亩住宅、商业及配套工程项目三标段)成都市龙泉驿外东洪路地铁2号线惠王陵地铁C口</v>
      </c>
      <c r="J4902" s="41" t="str">
        <f>VLOOKUP(B4902,辅助信息!E:I,4,FALSE)</f>
        <v>王军宝</v>
      </c>
      <c r="K4902" s="41">
        <f>VLOOKUP(J4902,辅助信息!H:I,2,FALSE)</f>
        <v>13889142392</v>
      </c>
      <c r="L4902" s="110">
        <f>VLOOKUP(B4902,辅助信息!E:J,6,FALSE)</f>
        <v>0</v>
      </c>
      <c r="M4902" s="92">
        <v>45950</v>
      </c>
      <c r="O4902" s="63">
        <f ca="1" t="shared" si="236"/>
        <v>0</v>
      </c>
      <c r="P4902" s="63">
        <f ca="1" t="shared" si="237"/>
        <v>9</v>
      </c>
      <c r="Q4902" s="30" t="str">
        <f>VLOOKUP(B4902,辅助信息!E:M,9,FALSE)</f>
        <v>ZTWM-CDGS-XS-2025-0156-五冶钢构-2025年九月第一批次钢筋采购合同(三圣乡项目)-中铁物贸成都公司</v>
      </c>
      <c r="R4902" s="30" t="str">
        <f>_xlfn._xlws.FILTER(辅助信息!D:D,辅助信息!E:E=B4902)</f>
        <v>五冶钢构龙泉东洪片区(70亩、85亩)住宅、商业及配套工程项目</v>
      </c>
    </row>
    <row r="4903" hidden="1" spans="2:18">
      <c r="B4903" s="136" t="s">
        <v>229</v>
      </c>
      <c r="C4903" s="71">
        <v>45953</v>
      </c>
      <c r="D4903" s="41" t="str">
        <f>VLOOKUP(B4903,辅助信息!E:K,7,FALSE)</f>
        <v>JWDDCD2025092400212</v>
      </c>
      <c r="E4903" s="41" t="str">
        <f>VLOOKUP(F4903,辅助信息!A:B,2,FALSE)</f>
        <v>螺纹钢</v>
      </c>
      <c r="F4903" s="41" t="s">
        <v>18</v>
      </c>
      <c r="G4903" s="37">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40" t="str">
        <f>VLOOKUP(B4903,辅助信息!E:I,3,FALSE)</f>
        <v>(五冶钢构龙泉东洪片区85亩住宅、商业及配套工程项目三标段)成都市龙泉驿外东洪路地铁2号线惠王陵地铁C口</v>
      </c>
      <c r="J4903" s="41" t="str">
        <f>VLOOKUP(B4903,辅助信息!E:I,4,FALSE)</f>
        <v>王军宝</v>
      </c>
      <c r="K4903" s="41">
        <f>VLOOKUP(J4903,辅助信息!H:I,2,FALSE)</f>
        <v>13889142392</v>
      </c>
      <c r="L4903" s="110">
        <f>VLOOKUP(B4903,辅助信息!E:J,6,FALSE)</f>
        <v>0</v>
      </c>
      <c r="M4903" s="92">
        <v>45950</v>
      </c>
      <c r="O4903" s="63">
        <f ca="1" t="shared" si="236"/>
        <v>0</v>
      </c>
      <c r="P4903" s="63">
        <f ca="1" t="shared" si="237"/>
        <v>9</v>
      </c>
      <c r="Q4903" s="30" t="str">
        <f>VLOOKUP(B4903,辅助信息!E:M,9,FALSE)</f>
        <v>ZTWM-CDGS-XS-2025-0156-五冶钢构-2025年九月第一批次钢筋采购合同(三圣乡项目)-中铁物贸成都公司</v>
      </c>
      <c r="R4903" s="30" t="str">
        <f>_xlfn._xlws.FILTER(辅助信息!D:D,辅助信息!E:E=B4903)</f>
        <v>五冶钢构龙泉东洪片区(70亩、85亩)住宅、商业及配套工程项目</v>
      </c>
    </row>
    <row r="4904" hidden="1" spans="2:18">
      <c r="B4904" s="136" t="s">
        <v>229</v>
      </c>
      <c r="C4904" s="71">
        <v>45953</v>
      </c>
      <c r="D4904" s="41" t="str">
        <f>VLOOKUP(B4904,辅助信息!E:K,7,FALSE)</f>
        <v>JWDDCD2025092400212</v>
      </c>
      <c r="E4904" s="41" t="str">
        <f>VLOOKUP(F4904,辅助信息!A:B,2,FALSE)</f>
        <v>螺纹钢</v>
      </c>
      <c r="F4904" s="41" t="s">
        <v>66</v>
      </c>
      <c r="G4904" s="37">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40" t="str">
        <f>VLOOKUP(B4904,辅助信息!E:I,3,FALSE)</f>
        <v>(五冶钢构龙泉东洪片区85亩住宅、商业及配套工程项目三标段)成都市龙泉驿外东洪路地铁2号线惠王陵地铁C口</v>
      </c>
      <c r="J4904" s="41" t="str">
        <f>VLOOKUP(B4904,辅助信息!E:I,4,FALSE)</f>
        <v>王军宝</v>
      </c>
      <c r="K4904" s="41">
        <f>VLOOKUP(J4904,辅助信息!H:I,2,FALSE)</f>
        <v>13889142392</v>
      </c>
      <c r="L4904" s="110">
        <f>VLOOKUP(B4904,辅助信息!E:J,6,FALSE)</f>
        <v>0</v>
      </c>
      <c r="M4904" s="92">
        <v>45950</v>
      </c>
      <c r="O4904" s="63">
        <f ca="1" t="shared" si="236"/>
        <v>0</v>
      </c>
      <c r="P4904" s="63">
        <f ca="1" t="shared" si="237"/>
        <v>9</v>
      </c>
      <c r="Q4904" s="30" t="str">
        <f>VLOOKUP(B4904,辅助信息!E:M,9,FALSE)</f>
        <v>ZTWM-CDGS-XS-2025-0156-五冶钢构-2025年九月第一批次钢筋采购合同(三圣乡项目)-中铁物贸成都公司</v>
      </c>
      <c r="R4904" s="30" t="str">
        <f>_xlfn._xlws.FILTER(辅助信息!D:D,辅助信息!E:E=B4904)</f>
        <v>五冶钢构龙泉东洪片区(70亩、85亩)住宅、商业及配套工程项目</v>
      </c>
    </row>
    <row r="4905" hidden="1" spans="2:18">
      <c r="B4905" s="136" t="s">
        <v>229</v>
      </c>
      <c r="C4905" s="71">
        <v>45953</v>
      </c>
      <c r="D4905" s="41" t="str">
        <f>VLOOKUP(B4905,辅助信息!E:K,7,FALSE)</f>
        <v>JWDDCD2025092400212</v>
      </c>
      <c r="E4905" s="41" t="str">
        <f>VLOOKUP(F4905,辅助信息!A:B,2,FALSE)</f>
        <v>螺纹钢</v>
      </c>
      <c r="F4905" s="41" t="s">
        <v>58</v>
      </c>
      <c r="G4905" s="37">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40" t="str">
        <f>VLOOKUP(B4905,辅助信息!E:I,3,FALSE)</f>
        <v>(五冶钢构龙泉东洪片区85亩住宅、商业及配套工程项目三标段)成都市龙泉驿外东洪路地铁2号线惠王陵地铁C口</v>
      </c>
      <c r="J4905" s="41" t="str">
        <f>VLOOKUP(B4905,辅助信息!E:I,4,FALSE)</f>
        <v>王军宝</v>
      </c>
      <c r="K4905" s="41">
        <f>VLOOKUP(J4905,辅助信息!H:I,2,FALSE)</f>
        <v>13889142392</v>
      </c>
      <c r="L4905" s="110">
        <f>VLOOKUP(B4905,辅助信息!E:J,6,FALSE)</f>
        <v>0</v>
      </c>
      <c r="M4905" s="92">
        <v>45950</v>
      </c>
      <c r="O4905" s="63">
        <f ca="1" t="shared" si="236"/>
        <v>0</v>
      </c>
      <c r="P4905" s="63">
        <f ca="1" t="shared" si="237"/>
        <v>9</v>
      </c>
      <c r="Q4905" s="30" t="str">
        <f>VLOOKUP(B4905,辅助信息!E:M,9,FALSE)</f>
        <v>ZTWM-CDGS-XS-2025-0156-五冶钢构-2025年九月第一批次钢筋采购合同(三圣乡项目)-中铁物贸成都公司</v>
      </c>
      <c r="R4905" s="30" t="str">
        <f>_xlfn._xlws.FILTER(辅助信息!D:D,辅助信息!E:E=B4905)</f>
        <v>五冶钢构龙泉东洪片区(70亩、85亩)住宅、商业及配套工程项目</v>
      </c>
    </row>
    <row r="4906" hidden="1" spans="2:18">
      <c r="B4906" s="136" t="s">
        <v>229</v>
      </c>
      <c r="C4906" s="71">
        <v>45953</v>
      </c>
      <c r="D4906" s="41" t="str">
        <f>VLOOKUP(B4906,辅助信息!E:K,7,FALSE)</f>
        <v>JWDDCD2025092400212</v>
      </c>
      <c r="E4906" s="41" t="str">
        <f>VLOOKUP(F4906,辅助信息!A:B,2,FALSE)</f>
        <v>螺纹钢</v>
      </c>
      <c r="F4906" s="41" t="s">
        <v>46</v>
      </c>
      <c r="G4906" s="37">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40" t="str">
        <f>VLOOKUP(B4906,辅助信息!E:I,3,FALSE)</f>
        <v>(五冶钢构龙泉东洪片区85亩住宅、商业及配套工程项目三标段)成都市龙泉驿外东洪路地铁2号线惠王陵地铁C口</v>
      </c>
      <c r="J4906" s="41" t="str">
        <f>VLOOKUP(B4906,辅助信息!E:I,4,FALSE)</f>
        <v>王军宝</v>
      </c>
      <c r="K4906" s="41">
        <f>VLOOKUP(J4906,辅助信息!H:I,2,FALSE)</f>
        <v>13889142392</v>
      </c>
      <c r="L4906" s="110">
        <f>VLOOKUP(B4906,辅助信息!E:J,6,FALSE)</f>
        <v>0</v>
      </c>
      <c r="M4906" s="92">
        <v>45950</v>
      </c>
      <c r="O4906" s="63">
        <f ca="1" t="shared" si="236"/>
        <v>0</v>
      </c>
      <c r="P4906" s="63">
        <f ca="1" t="shared" si="237"/>
        <v>9</v>
      </c>
      <c r="Q4906" s="30" t="str">
        <f>VLOOKUP(B4906,辅助信息!E:M,9,FALSE)</f>
        <v>ZTWM-CDGS-XS-2025-0156-五冶钢构-2025年九月第一批次钢筋采购合同(三圣乡项目)-中铁物贸成都公司</v>
      </c>
      <c r="R4906" s="30" t="str">
        <f>_xlfn._xlws.FILTER(辅助信息!D:D,辅助信息!E:E=B4906)</f>
        <v>五冶钢构龙泉东洪片区(70亩、85亩)住宅、商业及配套工程项目</v>
      </c>
    </row>
    <row r="4907" hidden="1" spans="2:18">
      <c r="B4907" s="136" t="s">
        <v>229</v>
      </c>
      <c r="C4907" s="71">
        <v>45953</v>
      </c>
      <c r="D4907" s="41" t="str">
        <f>VLOOKUP(B4907,辅助信息!E:K,7,FALSE)</f>
        <v>JWDDCD2025092400212</v>
      </c>
      <c r="E4907" s="41" t="str">
        <f>VLOOKUP(F4907,辅助信息!A:B,2,FALSE)</f>
        <v>螺纹钢</v>
      </c>
      <c r="F4907" s="41" t="s">
        <v>22</v>
      </c>
      <c r="G4907" s="37">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40" t="str">
        <f>VLOOKUP(B4907,辅助信息!E:I,3,FALSE)</f>
        <v>(五冶钢构龙泉东洪片区85亩住宅、商业及配套工程项目三标段)成都市龙泉驿外东洪路地铁2号线惠王陵地铁C口</v>
      </c>
      <c r="J4907" s="41" t="str">
        <f>VLOOKUP(B4907,辅助信息!E:I,4,FALSE)</f>
        <v>王军宝</v>
      </c>
      <c r="K4907" s="41">
        <f>VLOOKUP(J4907,辅助信息!H:I,2,FALSE)</f>
        <v>13889142392</v>
      </c>
      <c r="L4907" s="110">
        <f>VLOOKUP(B4907,辅助信息!E:J,6,FALSE)</f>
        <v>0</v>
      </c>
      <c r="M4907" s="92">
        <v>45950</v>
      </c>
      <c r="O4907" s="63">
        <f ca="1" t="shared" si="236"/>
        <v>0</v>
      </c>
      <c r="P4907" s="63">
        <f ca="1" t="shared" si="237"/>
        <v>9</v>
      </c>
      <c r="Q4907" s="30" t="str">
        <f>VLOOKUP(B4907,辅助信息!E:M,9,FALSE)</f>
        <v>ZTWM-CDGS-XS-2025-0156-五冶钢构-2025年九月第一批次钢筋采购合同(三圣乡项目)-中铁物贸成都公司</v>
      </c>
      <c r="R4907" s="30" t="str">
        <f>_xlfn._xlws.FILTER(辅助信息!D:D,辅助信息!E:E=B4907)</f>
        <v>五冶钢构龙泉东洪片区(70亩、85亩)住宅、商业及配套工程项目</v>
      </c>
    </row>
    <row r="4908" hidden="1" spans="2:18">
      <c r="B4908" s="136" t="s">
        <v>228</v>
      </c>
      <c r="C4908" s="71">
        <v>45953</v>
      </c>
      <c r="D4908" s="41" t="str">
        <f>VLOOKUP(B4908,辅助信息!E:K,7,FALSE)</f>
        <v>JWDDCD2025092400190</v>
      </c>
      <c r="E4908" s="41" t="str">
        <f>VLOOKUP(F4908,辅助信息!A:B,2,FALSE)</f>
        <v>高线</v>
      </c>
      <c r="F4908" s="41" t="s">
        <v>53</v>
      </c>
      <c r="G4908" s="37">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40" t="str">
        <f>VLOOKUP(B4908,辅助信息!E:I,3,FALSE)</f>
        <v>(五冶钢构龙泉东洪片区70亩住宅、商业及配套工程项目二标段)成都市龙泉驿外东洪路地铁2号线惠王陵地铁C口</v>
      </c>
      <c r="J4908" s="41" t="str">
        <f>VLOOKUP(B4908,辅助信息!E:I,4,FALSE)</f>
        <v>蒋嗣伟</v>
      </c>
      <c r="K4908" s="41">
        <f>VLOOKUP(J4908,辅助信息!H:I,2,FALSE)</f>
        <v>15014331252</v>
      </c>
      <c r="L4908" s="110">
        <f>VLOOKUP(B4908,辅助信息!E:J,6,FALSE)</f>
        <v>0</v>
      </c>
      <c r="M4908" s="92">
        <v>45953</v>
      </c>
      <c r="O4908" s="63">
        <f ca="1" t="shared" si="236"/>
        <v>0</v>
      </c>
      <c r="P4908" s="63">
        <f ca="1" t="shared" si="237"/>
        <v>6</v>
      </c>
      <c r="Q4908" s="30" t="str">
        <f>VLOOKUP(B4908,辅助信息!E:M,9,FALSE)</f>
        <v>ZTWM-CDGS-XS-2025-0156-五冶钢构-2025年九月第一批次钢筋采购合同(三圣乡项目)-中铁物贸成都公司</v>
      </c>
      <c r="R4908" s="30" t="str">
        <f>_xlfn._xlws.FILTER(辅助信息!D:D,辅助信息!E:E=B4908)</f>
        <v>五冶钢构龙泉东洪片区(70亩、85亩)住宅、商业及配套工程项目</v>
      </c>
    </row>
    <row r="4909" hidden="1" spans="2:18">
      <c r="B4909" s="136" t="s">
        <v>228</v>
      </c>
      <c r="C4909" s="71">
        <v>45953</v>
      </c>
      <c r="D4909" s="41" t="str">
        <f>VLOOKUP(B4909,辅助信息!E:K,7,FALSE)</f>
        <v>JWDDCD2025092400190</v>
      </c>
      <c r="E4909" s="41" t="str">
        <f>VLOOKUP(F4909,辅助信息!A:B,2,FALSE)</f>
        <v>盘螺</v>
      </c>
      <c r="F4909" s="41" t="s">
        <v>40</v>
      </c>
      <c r="G4909" s="37">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40" t="str">
        <f>VLOOKUP(B4909,辅助信息!E:I,3,FALSE)</f>
        <v>(五冶钢构龙泉东洪片区70亩住宅、商业及配套工程项目二标段)成都市龙泉驿外东洪路地铁2号线惠王陵地铁C口</v>
      </c>
      <c r="J4909" s="41" t="str">
        <f>VLOOKUP(B4909,辅助信息!E:I,4,FALSE)</f>
        <v>蒋嗣伟</v>
      </c>
      <c r="K4909" s="41">
        <f>VLOOKUP(J4909,辅助信息!H:I,2,FALSE)</f>
        <v>15014331252</v>
      </c>
      <c r="L4909" s="110">
        <f>VLOOKUP(B4909,辅助信息!E:J,6,FALSE)</f>
        <v>0</v>
      </c>
      <c r="M4909" s="92">
        <v>45953</v>
      </c>
      <c r="O4909" s="63">
        <f ca="1" t="shared" si="236"/>
        <v>0</v>
      </c>
      <c r="P4909" s="63">
        <f ca="1" t="shared" si="237"/>
        <v>6</v>
      </c>
      <c r="Q4909" s="30" t="str">
        <f>VLOOKUP(B4909,辅助信息!E:M,9,FALSE)</f>
        <v>ZTWM-CDGS-XS-2025-0156-五冶钢构-2025年九月第一批次钢筋采购合同(三圣乡项目)-中铁物贸成都公司</v>
      </c>
      <c r="R4909" s="30" t="str">
        <f>_xlfn._xlws.FILTER(辅助信息!D:D,辅助信息!E:E=B4909)</f>
        <v>五冶钢构龙泉东洪片区(70亩、85亩)住宅、商业及配套工程项目</v>
      </c>
    </row>
    <row r="4910" hidden="1" spans="2:18">
      <c r="B4910" s="136" t="s">
        <v>228</v>
      </c>
      <c r="C4910" s="71">
        <v>45953</v>
      </c>
      <c r="D4910" s="41" t="str">
        <f>VLOOKUP(B4910,辅助信息!E:K,7,FALSE)</f>
        <v>JWDDCD2025092400190</v>
      </c>
      <c r="E4910" s="41" t="str">
        <f>VLOOKUP(F4910,辅助信息!A:B,2,FALSE)</f>
        <v>螺纹钢</v>
      </c>
      <c r="F4910" s="41" t="s">
        <v>27</v>
      </c>
      <c r="G4910" s="37">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40" t="str">
        <f>VLOOKUP(B4910,辅助信息!E:I,3,FALSE)</f>
        <v>(五冶钢构龙泉东洪片区70亩住宅、商业及配套工程项目二标段)成都市龙泉驿外东洪路地铁2号线惠王陵地铁C口</v>
      </c>
      <c r="J4910" s="41" t="str">
        <f>VLOOKUP(B4910,辅助信息!E:I,4,FALSE)</f>
        <v>蒋嗣伟</v>
      </c>
      <c r="K4910" s="41">
        <f>VLOOKUP(J4910,辅助信息!H:I,2,FALSE)</f>
        <v>15014331252</v>
      </c>
      <c r="L4910" s="110">
        <f>VLOOKUP(B4910,辅助信息!E:J,6,FALSE)</f>
        <v>0</v>
      </c>
      <c r="M4910" s="92">
        <v>45953</v>
      </c>
      <c r="O4910" s="63">
        <f ca="1" t="shared" si="236"/>
        <v>0</v>
      </c>
      <c r="P4910" s="63">
        <f ca="1" t="shared" si="237"/>
        <v>6</v>
      </c>
      <c r="Q4910" s="30" t="str">
        <f>VLOOKUP(B4910,辅助信息!E:M,9,FALSE)</f>
        <v>ZTWM-CDGS-XS-2025-0156-五冶钢构-2025年九月第一批次钢筋采购合同(三圣乡项目)-中铁物贸成都公司</v>
      </c>
      <c r="R4910" s="30" t="str">
        <f>_xlfn._xlws.FILTER(辅助信息!D:D,辅助信息!E:E=B4910)</f>
        <v>五冶钢构龙泉东洪片区(70亩、85亩)住宅、商业及配套工程项目</v>
      </c>
    </row>
    <row r="4911" hidden="1" spans="2:18">
      <c r="B4911" s="136" t="s">
        <v>228</v>
      </c>
      <c r="C4911" s="71">
        <v>45953</v>
      </c>
      <c r="D4911" s="41" t="str">
        <f>VLOOKUP(B4911,辅助信息!E:K,7,FALSE)</f>
        <v>JWDDCD2025092400190</v>
      </c>
      <c r="E4911" s="41" t="str">
        <f>VLOOKUP(F4911,辅助信息!A:B,2,FALSE)</f>
        <v>螺纹钢</v>
      </c>
      <c r="F4911" s="41" t="s">
        <v>19</v>
      </c>
      <c r="G4911" s="37">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40" t="str">
        <f>VLOOKUP(B4911,辅助信息!E:I,3,FALSE)</f>
        <v>(五冶钢构龙泉东洪片区70亩住宅、商业及配套工程项目二标段)成都市龙泉驿外东洪路地铁2号线惠王陵地铁C口</v>
      </c>
      <c r="J4911" s="41" t="str">
        <f>VLOOKUP(B4911,辅助信息!E:I,4,FALSE)</f>
        <v>蒋嗣伟</v>
      </c>
      <c r="K4911" s="41">
        <f>VLOOKUP(J4911,辅助信息!H:I,2,FALSE)</f>
        <v>15014331252</v>
      </c>
      <c r="L4911" s="110">
        <f>VLOOKUP(B4911,辅助信息!E:J,6,FALSE)</f>
        <v>0</v>
      </c>
      <c r="M4911" s="92">
        <v>45953</v>
      </c>
      <c r="O4911" s="63">
        <f ca="1" t="shared" si="236"/>
        <v>0</v>
      </c>
      <c r="P4911" s="63">
        <f ca="1" t="shared" si="237"/>
        <v>6</v>
      </c>
      <c r="Q4911" s="30" t="str">
        <f>VLOOKUP(B4911,辅助信息!E:M,9,FALSE)</f>
        <v>ZTWM-CDGS-XS-2025-0156-五冶钢构-2025年九月第一批次钢筋采购合同(三圣乡项目)-中铁物贸成都公司</v>
      </c>
      <c r="R4911" s="30" t="str">
        <f>_xlfn._xlws.FILTER(辅助信息!D:D,辅助信息!E:E=B4911)</f>
        <v>五冶钢构龙泉东洪片区(70亩、85亩)住宅、商业及配套工程项目</v>
      </c>
    </row>
    <row r="4912" hidden="1" spans="2:18">
      <c r="B4912" s="136" t="s">
        <v>228</v>
      </c>
      <c r="C4912" s="71">
        <v>45953</v>
      </c>
      <c r="D4912" s="41" t="str">
        <f>VLOOKUP(B4912,辅助信息!E:K,7,FALSE)</f>
        <v>JWDDCD2025092400190</v>
      </c>
      <c r="E4912" s="41" t="str">
        <f>VLOOKUP(F4912,辅助信息!A:B,2,FALSE)</f>
        <v>螺纹钢</v>
      </c>
      <c r="F4912" s="41" t="s">
        <v>32</v>
      </c>
      <c r="G4912" s="37">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40" t="str">
        <f>VLOOKUP(B4912,辅助信息!E:I,3,FALSE)</f>
        <v>(五冶钢构龙泉东洪片区70亩住宅、商业及配套工程项目二标段)成都市龙泉驿外东洪路地铁2号线惠王陵地铁C口</v>
      </c>
      <c r="J4912" s="41" t="str">
        <f>VLOOKUP(B4912,辅助信息!E:I,4,FALSE)</f>
        <v>蒋嗣伟</v>
      </c>
      <c r="K4912" s="41">
        <f>VLOOKUP(J4912,辅助信息!H:I,2,FALSE)</f>
        <v>15014331252</v>
      </c>
      <c r="L4912" s="110">
        <f>VLOOKUP(B4912,辅助信息!E:J,6,FALSE)</f>
        <v>0</v>
      </c>
      <c r="M4912" s="92">
        <v>45953</v>
      </c>
      <c r="O4912" s="63">
        <f ca="1" t="shared" si="236"/>
        <v>0</v>
      </c>
      <c r="P4912" s="63">
        <f ca="1" t="shared" si="237"/>
        <v>6</v>
      </c>
      <c r="Q4912" s="30" t="str">
        <f>VLOOKUP(B4912,辅助信息!E:M,9,FALSE)</f>
        <v>ZTWM-CDGS-XS-2025-0156-五冶钢构-2025年九月第一批次钢筋采购合同(三圣乡项目)-中铁物贸成都公司</v>
      </c>
      <c r="R4912" s="30" t="str">
        <f>_xlfn._xlws.FILTER(辅助信息!D:D,辅助信息!E:E=B4912)</f>
        <v>五冶钢构龙泉东洪片区(70亩、85亩)住宅、商业及配套工程项目</v>
      </c>
    </row>
    <row r="4913" hidden="1" spans="2:18">
      <c r="B4913" s="136" t="s">
        <v>228</v>
      </c>
      <c r="C4913" s="71">
        <v>45953</v>
      </c>
      <c r="D4913" s="41" t="str">
        <f>VLOOKUP(B4913,辅助信息!E:K,7,FALSE)</f>
        <v>JWDDCD2025092400190</v>
      </c>
      <c r="E4913" s="41" t="str">
        <f>VLOOKUP(F4913,辅助信息!A:B,2,FALSE)</f>
        <v>螺纹钢</v>
      </c>
      <c r="F4913" s="41" t="s">
        <v>30</v>
      </c>
      <c r="G4913" s="37">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40" t="str">
        <f>VLOOKUP(B4913,辅助信息!E:I,3,FALSE)</f>
        <v>(五冶钢构龙泉东洪片区70亩住宅、商业及配套工程项目二标段)成都市龙泉驿外东洪路地铁2号线惠王陵地铁C口</v>
      </c>
      <c r="J4913" s="41" t="str">
        <f>VLOOKUP(B4913,辅助信息!E:I,4,FALSE)</f>
        <v>蒋嗣伟</v>
      </c>
      <c r="K4913" s="41">
        <f>VLOOKUP(J4913,辅助信息!H:I,2,FALSE)</f>
        <v>15014331252</v>
      </c>
      <c r="L4913" s="110">
        <f>VLOOKUP(B4913,辅助信息!E:J,6,FALSE)</f>
        <v>0</v>
      </c>
      <c r="M4913" s="92">
        <v>45953</v>
      </c>
      <c r="O4913" s="63">
        <f ca="1" t="shared" si="236"/>
        <v>0</v>
      </c>
      <c r="P4913" s="63">
        <f ca="1" t="shared" si="237"/>
        <v>6</v>
      </c>
      <c r="Q4913" s="30" t="str">
        <f>VLOOKUP(B4913,辅助信息!E:M,9,FALSE)</f>
        <v>ZTWM-CDGS-XS-2025-0156-五冶钢构-2025年九月第一批次钢筋采购合同(三圣乡项目)-中铁物贸成都公司</v>
      </c>
      <c r="R4913" s="30" t="str">
        <f>_xlfn._xlws.FILTER(辅助信息!D:D,辅助信息!E:E=B4913)</f>
        <v>五冶钢构龙泉东洪片区(70亩、85亩)住宅、商业及配套工程项目</v>
      </c>
    </row>
    <row r="4914" hidden="1" spans="2:18">
      <c r="B4914" s="136" t="s">
        <v>228</v>
      </c>
      <c r="C4914" s="71">
        <v>45953</v>
      </c>
      <c r="D4914" s="41" t="str">
        <f>VLOOKUP(B4914,辅助信息!E:K,7,FALSE)</f>
        <v>JWDDCD2025092400190</v>
      </c>
      <c r="E4914" s="41" t="str">
        <f>VLOOKUP(F4914,辅助信息!A:B,2,FALSE)</f>
        <v>螺纹钢</v>
      </c>
      <c r="F4914" s="41" t="s">
        <v>33</v>
      </c>
      <c r="G4914" s="37">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40" t="str">
        <f>VLOOKUP(B4914,辅助信息!E:I,3,FALSE)</f>
        <v>(五冶钢构龙泉东洪片区70亩住宅、商业及配套工程项目二标段)成都市龙泉驿外东洪路地铁2号线惠王陵地铁C口</v>
      </c>
      <c r="J4914" s="41" t="str">
        <f>VLOOKUP(B4914,辅助信息!E:I,4,FALSE)</f>
        <v>蒋嗣伟</v>
      </c>
      <c r="K4914" s="41">
        <f>VLOOKUP(J4914,辅助信息!H:I,2,FALSE)</f>
        <v>15014331252</v>
      </c>
      <c r="L4914" s="110">
        <f>VLOOKUP(B4914,辅助信息!E:J,6,FALSE)</f>
        <v>0</v>
      </c>
      <c r="M4914" s="92">
        <v>45953</v>
      </c>
      <c r="O4914" s="63">
        <f ca="1" t="shared" si="236"/>
        <v>0</v>
      </c>
      <c r="P4914" s="63">
        <f ca="1" t="shared" si="237"/>
        <v>6</v>
      </c>
      <c r="Q4914" s="30" t="str">
        <f>VLOOKUP(B4914,辅助信息!E:M,9,FALSE)</f>
        <v>ZTWM-CDGS-XS-2025-0156-五冶钢构-2025年九月第一批次钢筋采购合同(三圣乡项目)-中铁物贸成都公司</v>
      </c>
      <c r="R4914" s="30" t="str">
        <f>_xlfn._xlws.FILTER(辅助信息!D:D,辅助信息!E:E=B4914)</f>
        <v>五冶钢构龙泉东洪片区(70亩、85亩)住宅、商业及配套工程项目</v>
      </c>
    </row>
    <row r="4915" hidden="1" spans="2:18">
      <c r="B4915" s="136" t="s">
        <v>228</v>
      </c>
      <c r="C4915" s="71">
        <v>45953</v>
      </c>
      <c r="D4915" s="41" t="str">
        <f>VLOOKUP(B4915,辅助信息!E:K,7,FALSE)</f>
        <v>JWDDCD2025092400190</v>
      </c>
      <c r="E4915" s="41" t="str">
        <f>VLOOKUP(F4915,辅助信息!A:B,2,FALSE)</f>
        <v>螺纹钢</v>
      </c>
      <c r="F4915" s="41" t="s">
        <v>28</v>
      </c>
      <c r="G4915" s="37">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40" t="str">
        <f>VLOOKUP(B4915,辅助信息!E:I,3,FALSE)</f>
        <v>(五冶钢构龙泉东洪片区70亩住宅、商业及配套工程项目二标段)成都市龙泉驿外东洪路地铁2号线惠王陵地铁C口</v>
      </c>
      <c r="J4915" s="41" t="str">
        <f>VLOOKUP(B4915,辅助信息!E:I,4,FALSE)</f>
        <v>蒋嗣伟</v>
      </c>
      <c r="K4915" s="41">
        <f>VLOOKUP(J4915,辅助信息!H:I,2,FALSE)</f>
        <v>15014331252</v>
      </c>
      <c r="L4915" s="110">
        <f>VLOOKUP(B4915,辅助信息!E:J,6,FALSE)</f>
        <v>0</v>
      </c>
      <c r="M4915" s="92">
        <v>45953</v>
      </c>
      <c r="O4915" s="63">
        <f ca="1" t="shared" si="236"/>
        <v>0</v>
      </c>
      <c r="P4915" s="63">
        <f ca="1" t="shared" si="237"/>
        <v>6</v>
      </c>
      <c r="Q4915" s="30" t="str">
        <f>VLOOKUP(B4915,辅助信息!E:M,9,FALSE)</f>
        <v>ZTWM-CDGS-XS-2025-0156-五冶钢构-2025年九月第一批次钢筋采购合同(三圣乡项目)-中铁物贸成都公司</v>
      </c>
      <c r="R4915" s="30" t="str">
        <f>_xlfn._xlws.FILTER(辅助信息!D:D,辅助信息!E:E=B4915)</f>
        <v>五冶钢构龙泉东洪片区(70亩、85亩)住宅、商业及配套工程项目</v>
      </c>
    </row>
    <row r="4916" hidden="1" spans="2:18">
      <c r="B4916" s="136" t="s">
        <v>228</v>
      </c>
      <c r="C4916" s="71">
        <v>45953</v>
      </c>
      <c r="D4916" s="41" t="str">
        <f>VLOOKUP(B4916,辅助信息!E:K,7,FALSE)</f>
        <v>JWDDCD2025092400190</v>
      </c>
      <c r="E4916" s="41" t="str">
        <f>VLOOKUP(F4916,辅助信息!A:B,2,FALSE)</f>
        <v>螺纹钢</v>
      </c>
      <c r="F4916" s="41" t="s">
        <v>18</v>
      </c>
      <c r="G4916" s="37">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40" t="str">
        <f>VLOOKUP(B4916,辅助信息!E:I,3,FALSE)</f>
        <v>(五冶钢构龙泉东洪片区70亩住宅、商业及配套工程项目二标段)成都市龙泉驿外东洪路地铁2号线惠王陵地铁C口</v>
      </c>
      <c r="J4916" s="41" t="str">
        <f>VLOOKUP(B4916,辅助信息!E:I,4,FALSE)</f>
        <v>蒋嗣伟</v>
      </c>
      <c r="K4916" s="41">
        <f>VLOOKUP(J4916,辅助信息!H:I,2,FALSE)</f>
        <v>15014331252</v>
      </c>
      <c r="L4916" s="110">
        <f>VLOOKUP(B4916,辅助信息!E:J,6,FALSE)</f>
        <v>0</v>
      </c>
      <c r="M4916" s="92">
        <v>45953</v>
      </c>
      <c r="O4916" s="63">
        <f ca="1" t="shared" si="236"/>
        <v>0</v>
      </c>
      <c r="P4916" s="63">
        <f ca="1" t="shared" si="237"/>
        <v>6</v>
      </c>
      <c r="Q4916" s="30" t="str">
        <f>VLOOKUP(B4916,辅助信息!E:M,9,FALSE)</f>
        <v>ZTWM-CDGS-XS-2025-0156-五冶钢构-2025年九月第一批次钢筋采购合同(三圣乡项目)-中铁物贸成都公司</v>
      </c>
      <c r="R4916" s="30" t="str">
        <f>_xlfn._xlws.FILTER(辅助信息!D:D,辅助信息!E:E=B4916)</f>
        <v>五冶钢构龙泉东洪片区(70亩、85亩)住宅、商业及配套工程项目</v>
      </c>
    </row>
    <row r="4917" hidden="1" spans="2:18">
      <c r="B4917" s="136" t="s">
        <v>232</v>
      </c>
      <c r="C4917" s="105">
        <v>45954</v>
      </c>
      <c r="D4917" s="41" t="str">
        <f>VLOOKUP(B4917,辅助信息!E:K,7,FALSE)</f>
        <v>JWDDCD2025052800131</v>
      </c>
      <c r="E4917" s="41" t="str">
        <f>VLOOKUP(F4917,辅助信息!A:B,2,FALSE)</f>
        <v>盘螺</v>
      </c>
      <c r="F4917" s="41" t="s">
        <v>40</v>
      </c>
      <c r="G4917" s="37">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40" t="str">
        <f>VLOOKUP(B4917,辅助信息!E:I,3,FALSE)</f>
        <v>（商投建工达州中医药科技园-2工区-2号桥）达州市通川区达州中医药职业学院犀牛大道北段</v>
      </c>
      <c r="J4917" s="41" t="str">
        <f>VLOOKUP(B4917,辅助信息!E:I,4,FALSE)</f>
        <v>李波</v>
      </c>
      <c r="K4917" s="41">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6</v>
      </c>
      <c r="Q4917" s="30" t="str">
        <f>VLOOKUP(B4917,辅助信息!E:M,9,FALSE)</f>
        <v>ZTWM-CDGS-XS-2024-0134-商投建工达州中医药科技成果示范园项目</v>
      </c>
      <c r="R4917" s="30" t="str">
        <f>_xlfn._xlws.FILTER(辅助信息!D:D,辅助信息!E:E=B4917)</f>
        <v>商投建工达州中医药科技园</v>
      </c>
    </row>
    <row r="4918" hidden="1" spans="2:18">
      <c r="B4918" s="136" t="s">
        <v>232</v>
      </c>
      <c r="C4918" s="105">
        <v>45954</v>
      </c>
      <c r="D4918" s="41" t="str">
        <f>VLOOKUP(B4918,辅助信息!E:K,7,FALSE)</f>
        <v>JWDDCD2025052800131</v>
      </c>
      <c r="E4918" s="41" t="str">
        <f>VLOOKUP(F4918,辅助信息!A:B,2,FALSE)</f>
        <v>盘螺</v>
      </c>
      <c r="F4918" s="41" t="s">
        <v>41</v>
      </c>
      <c r="G4918" s="37">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40" t="str">
        <f>VLOOKUP(B4918,辅助信息!E:I,3,FALSE)</f>
        <v>（商投建工达州中医药科技园-2工区-2号桥）达州市通川区达州中医药职业学院犀牛大道北段</v>
      </c>
      <c r="J4918" s="41" t="str">
        <f>VLOOKUP(B4918,辅助信息!E:I,4,FALSE)</f>
        <v>李波</v>
      </c>
      <c r="K4918" s="41">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6</v>
      </c>
      <c r="Q4918" s="30" t="str">
        <f>VLOOKUP(B4918,辅助信息!E:M,9,FALSE)</f>
        <v>ZTWM-CDGS-XS-2024-0134-商投建工达州中医药科技成果示范园项目</v>
      </c>
      <c r="R4918" s="30" t="str">
        <f>_xlfn._xlws.FILTER(辅助信息!D:D,辅助信息!E:E=B4918)</f>
        <v>商投建工达州中医药科技园</v>
      </c>
    </row>
    <row r="4919" hidden="1" spans="2:18">
      <c r="B4919" s="136" t="s">
        <v>232</v>
      </c>
      <c r="C4919" s="105">
        <v>45954</v>
      </c>
      <c r="D4919" s="41" t="str">
        <f>VLOOKUP(B4919,辅助信息!E:K,7,FALSE)</f>
        <v>JWDDCD2025052800131</v>
      </c>
      <c r="E4919" s="41" t="str">
        <f>VLOOKUP(F4919,辅助信息!A:B,2,FALSE)</f>
        <v>螺纹钢</v>
      </c>
      <c r="F4919" s="41" t="s">
        <v>27</v>
      </c>
      <c r="G4919" s="37">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40" t="str">
        <f>VLOOKUP(B4919,辅助信息!E:I,3,FALSE)</f>
        <v>（商投建工达州中医药科技园-2工区-2号桥）达州市通川区达州中医药职业学院犀牛大道北段</v>
      </c>
      <c r="J4919" s="41" t="str">
        <f>VLOOKUP(B4919,辅助信息!E:I,4,FALSE)</f>
        <v>李波</v>
      </c>
      <c r="K4919" s="41">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6</v>
      </c>
      <c r="Q4919" s="30" t="str">
        <f>VLOOKUP(B4919,辅助信息!E:M,9,FALSE)</f>
        <v>ZTWM-CDGS-XS-2024-0134-商投建工达州中医药科技成果示范园项目</v>
      </c>
      <c r="R4919" s="30" t="str">
        <f>_xlfn._xlws.FILTER(辅助信息!D:D,辅助信息!E:E=B4919)</f>
        <v>商投建工达州中医药科技园</v>
      </c>
    </row>
    <row r="4920" hidden="1" spans="2:18">
      <c r="B4920" s="136" t="s">
        <v>232</v>
      </c>
      <c r="C4920" s="105">
        <v>45954</v>
      </c>
      <c r="D4920" s="41" t="str">
        <f>VLOOKUP(B4920,辅助信息!E:K,7,FALSE)</f>
        <v>JWDDCD2025052800131</v>
      </c>
      <c r="E4920" s="41" t="str">
        <f>VLOOKUP(F4920,辅助信息!A:B,2,FALSE)</f>
        <v>螺纹钢</v>
      </c>
      <c r="F4920" s="41" t="s">
        <v>19</v>
      </c>
      <c r="G4920" s="37">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40" t="str">
        <f>VLOOKUP(B4920,辅助信息!E:I,3,FALSE)</f>
        <v>（商投建工达州中医药科技园-2工区-2号桥）达州市通川区达州中医药职业学院犀牛大道北段</v>
      </c>
      <c r="J4920" s="41" t="str">
        <f>VLOOKUP(B4920,辅助信息!E:I,4,FALSE)</f>
        <v>李波</v>
      </c>
      <c r="K4920" s="41">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6</v>
      </c>
      <c r="Q4920" s="30" t="str">
        <f>VLOOKUP(B4920,辅助信息!E:M,9,FALSE)</f>
        <v>ZTWM-CDGS-XS-2024-0134-商投建工达州中医药科技成果示范园项目</v>
      </c>
      <c r="R4920" s="30" t="str">
        <f>_xlfn._xlws.FILTER(辅助信息!D:D,辅助信息!E:E=B4920)</f>
        <v>商投建工达州中医药科技园</v>
      </c>
    </row>
    <row r="4921" hidden="1" spans="2:18">
      <c r="B4921" s="136" t="s">
        <v>232</v>
      </c>
      <c r="C4921" s="105">
        <v>45954</v>
      </c>
      <c r="D4921" s="41" t="str">
        <f>VLOOKUP(B4921,辅助信息!E:K,7,FALSE)</f>
        <v>JWDDCD2025052800131</v>
      </c>
      <c r="E4921" s="41" t="str">
        <f>VLOOKUP(F4921,辅助信息!A:B,2,FALSE)</f>
        <v>螺纹钢</v>
      </c>
      <c r="F4921" s="41" t="s">
        <v>32</v>
      </c>
      <c r="G4921" s="37">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40" t="str">
        <f>VLOOKUP(B4921,辅助信息!E:I,3,FALSE)</f>
        <v>（商投建工达州中医药科技园-2工区-2号桥）达州市通川区达州中医药职业学院犀牛大道北段</v>
      </c>
      <c r="J4921" s="41" t="str">
        <f>VLOOKUP(B4921,辅助信息!E:I,4,FALSE)</f>
        <v>李波</v>
      </c>
      <c r="K4921" s="41">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6</v>
      </c>
      <c r="Q4921" s="30" t="str">
        <f>VLOOKUP(B4921,辅助信息!E:M,9,FALSE)</f>
        <v>ZTWM-CDGS-XS-2024-0134-商投建工达州中医药科技成果示范园项目</v>
      </c>
      <c r="R4921" s="30" t="str">
        <f>_xlfn._xlws.FILTER(辅助信息!D:D,辅助信息!E:E=B4921)</f>
        <v>商投建工达州中医药科技园</v>
      </c>
    </row>
    <row r="4922" hidden="1" spans="2:18">
      <c r="B4922" s="136" t="s">
        <v>232</v>
      </c>
      <c r="C4922" s="105">
        <v>45954</v>
      </c>
      <c r="D4922" s="41" t="str">
        <f>VLOOKUP(B4922,辅助信息!E:K,7,FALSE)</f>
        <v>JWDDCD2025052800131</v>
      </c>
      <c r="E4922" s="41" t="str">
        <f>VLOOKUP(F4922,辅助信息!A:B,2,FALSE)</f>
        <v>螺纹钢</v>
      </c>
      <c r="F4922" s="41" t="s">
        <v>30</v>
      </c>
      <c r="G4922" s="37">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40" t="str">
        <f>VLOOKUP(B4922,辅助信息!E:I,3,FALSE)</f>
        <v>（商投建工达州中医药科技园-2工区-2号桥）达州市通川区达州中医药职业学院犀牛大道北段</v>
      </c>
      <c r="J4922" s="41" t="str">
        <f>VLOOKUP(B4922,辅助信息!E:I,4,FALSE)</f>
        <v>李波</v>
      </c>
      <c r="K4922" s="41">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6</v>
      </c>
      <c r="Q4922" s="30" t="str">
        <f>VLOOKUP(B4922,辅助信息!E:M,9,FALSE)</f>
        <v>ZTWM-CDGS-XS-2024-0134-商投建工达州中医药科技成果示范园项目</v>
      </c>
      <c r="R4922" s="30" t="str">
        <f>_xlfn._xlws.FILTER(辅助信息!D:D,辅助信息!E:E=B4922)</f>
        <v>商投建工达州中医药科技园</v>
      </c>
    </row>
    <row r="4923" hidden="1" spans="2:18">
      <c r="B4923" s="136" t="s">
        <v>232</v>
      </c>
      <c r="C4923" s="105">
        <v>45954</v>
      </c>
      <c r="D4923" s="41" t="str">
        <f>VLOOKUP(B4923,辅助信息!E:K,7,FALSE)</f>
        <v>JWDDCD2025052800131</v>
      </c>
      <c r="E4923" s="41" t="str">
        <f>VLOOKUP(F4923,辅助信息!A:B,2,FALSE)</f>
        <v>螺纹钢</v>
      </c>
      <c r="F4923" s="41" t="s">
        <v>33</v>
      </c>
      <c r="G4923" s="37">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40" t="str">
        <f>VLOOKUP(B4923,辅助信息!E:I,3,FALSE)</f>
        <v>（商投建工达州中医药科技园-2工区-2号桥）达州市通川区达州中医药职业学院犀牛大道北段</v>
      </c>
      <c r="J4923" s="41" t="str">
        <f>VLOOKUP(B4923,辅助信息!E:I,4,FALSE)</f>
        <v>李波</v>
      </c>
      <c r="K4923" s="41">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6</v>
      </c>
      <c r="Q4923" s="30" t="str">
        <f>VLOOKUP(B4923,辅助信息!E:M,9,FALSE)</f>
        <v>ZTWM-CDGS-XS-2024-0134-商投建工达州中医药科技成果示范园项目</v>
      </c>
      <c r="R4923" s="30" t="str">
        <f>_xlfn._xlws.FILTER(辅助信息!D:D,辅助信息!E:E=B4923)</f>
        <v>商投建工达州中医药科技园</v>
      </c>
    </row>
    <row r="4924" hidden="1" spans="2:18">
      <c r="B4924" s="136" t="s">
        <v>232</v>
      </c>
      <c r="C4924" s="105">
        <v>45954</v>
      </c>
      <c r="D4924" s="41" t="str">
        <f>VLOOKUP(B4924,辅助信息!E:K,7,FALSE)</f>
        <v>JWDDCD2025052800131</v>
      </c>
      <c r="E4924" s="41" t="str">
        <f>VLOOKUP(F4924,辅助信息!A:B,2,FALSE)</f>
        <v>螺纹钢</v>
      </c>
      <c r="F4924" s="41" t="s">
        <v>18</v>
      </c>
      <c r="G4924" s="37">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40" t="str">
        <f>VLOOKUP(B4924,辅助信息!E:I,3,FALSE)</f>
        <v>（商投建工达州中医药科技园-2工区-2号桥）达州市通川区达州中医药职业学院犀牛大道北段</v>
      </c>
      <c r="J4924" s="41" t="str">
        <f>VLOOKUP(B4924,辅助信息!E:I,4,FALSE)</f>
        <v>李波</v>
      </c>
      <c r="K4924" s="41">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6</v>
      </c>
      <c r="Q4924" s="30" t="str">
        <f>VLOOKUP(B4924,辅助信息!E:M,9,FALSE)</f>
        <v>ZTWM-CDGS-XS-2024-0134-商投建工达州中医药科技成果示范园项目</v>
      </c>
      <c r="R4924" s="30" t="str">
        <f>_xlfn._xlws.FILTER(辅助信息!D:D,辅助信息!E:E=B4924)</f>
        <v>商投建工达州中医药科技园</v>
      </c>
    </row>
    <row r="4925" hidden="1" spans="2:18">
      <c r="B4925" s="136" t="s">
        <v>194</v>
      </c>
      <c r="C4925" s="105">
        <v>45953</v>
      </c>
      <c r="D4925" s="41" t="str">
        <f>VLOOKUP(B4925,辅助信息!E:K,7,FALSE)</f>
        <v>JWDD2025071500089</v>
      </c>
      <c r="E4925" s="41" t="str">
        <f>VLOOKUP(F4925,辅助信息!A:B,2,FALSE)</f>
        <v>盘螺</v>
      </c>
      <c r="F4925" s="41" t="s">
        <v>49</v>
      </c>
      <c r="G4925" s="37">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40" t="str">
        <f>VLOOKUP(B4925,辅助信息!E:I,3,FALSE)</f>
        <v>(宜宾兴港三江新区长江工业园保障性租赁住房建设项目-土建)四川省宜宾市翠屏区永善路南段宜宾市三江新区长江工业园区</v>
      </c>
      <c r="J4925" s="41" t="str">
        <f>VLOOKUP(B4925,辅助信息!E:I,4,FALSE)</f>
        <v>赵元虎</v>
      </c>
      <c r="K4925" s="41">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6</v>
      </c>
      <c r="Q4925" s="30" t="str">
        <f>VLOOKUP(B4925,辅助信息!E:M,9,FALSE)</f>
        <v>ZTWM-CDYXGS-XS-2025-0014-宜宾兴港建材-三江新区长江工业园片区保障性租赁住房建设项目</v>
      </c>
      <c r="R4925" s="30" t="str">
        <f>_xlfn._xlws.FILTER(辅助信息!D:D,辅助信息!E:E=B4925)</f>
        <v>宜宾兴港三江新区长江工业园建设项目</v>
      </c>
    </row>
    <row r="4926" hidden="1" spans="2:18">
      <c r="B4926" s="136" t="s">
        <v>194</v>
      </c>
      <c r="C4926" s="105">
        <v>45953</v>
      </c>
      <c r="D4926" s="41" t="str">
        <f>VLOOKUP(B4926,辅助信息!E:K,7,FALSE)</f>
        <v>JWDD2025071500089</v>
      </c>
      <c r="E4926" s="41" t="str">
        <f>VLOOKUP(F4926,辅助信息!A:B,2,FALSE)</f>
        <v>盘螺</v>
      </c>
      <c r="F4926" s="41" t="s">
        <v>41</v>
      </c>
      <c r="G4926" s="37">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40" t="str">
        <f>VLOOKUP(B4926,辅助信息!E:I,3,FALSE)</f>
        <v>(宜宾兴港三江新区长江工业园保障性租赁住房建设项目-土建)四川省宜宾市翠屏区永善路南段宜宾市三江新区长江工业园区</v>
      </c>
      <c r="J4926" s="41" t="str">
        <f>VLOOKUP(B4926,辅助信息!E:I,4,FALSE)</f>
        <v>赵元虎</v>
      </c>
      <c r="K4926" s="41">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6</v>
      </c>
      <c r="Q4926" s="30" t="str">
        <f>VLOOKUP(B4926,辅助信息!E:M,9,FALSE)</f>
        <v>ZTWM-CDYXGS-XS-2025-0014-宜宾兴港建材-三江新区长江工业园片区保障性租赁住房建设项目</v>
      </c>
      <c r="R4926" s="30" t="str">
        <f>_xlfn._xlws.FILTER(辅助信息!D:D,辅助信息!E:E=B4926)</f>
        <v>宜宾兴港三江新区长江工业园建设项目</v>
      </c>
    </row>
    <row r="4927" hidden="1" spans="2:18">
      <c r="B4927" s="136" t="s">
        <v>194</v>
      </c>
      <c r="C4927" s="105">
        <v>45953</v>
      </c>
      <c r="D4927" s="41" t="str">
        <f>VLOOKUP(B4927,辅助信息!E:K,7,FALSE)</f>
        <v>JWDD2025071500089</v>
      </c>
      <c r="E4927" s="41" t="str">
        <f>VLOOKUP(F4927,辅助信息!A:B,2,FALSE)</f>
        <v>盘螺</v>
      </c>
      <c r="F4927" s="41" t="s">
        <v>26</v>
      </c>
      <c r="G4927" s="37">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40" t="str">
        <f>VLOOKUP(B4927,辅助信息!E:I,3,FALSE)</f>
        <v>(宜宾兴港三江新区长江工业园保障性租赁住房建设项目-土建)四川省宜宾市翠屏区永善路南段宜宾市三江新区长江工业园区</v>
      </c>
      <c r="J4927" s="41" t="str">
        <f>VLOOKUP(B4927,辅助信息!E:I,4,FALSE)</f>
        <v>赵元虎</v>
      </c>
      <c r="K4927" s="41">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6</v>
      </c>
      <c r="Q4927" s="30" t="str">
        <f>VLOOKUP(B4927,辅助信息!E:M,9,FALSE)</f>
        <v>ZTWM-CDYXGS-XS-2025-0014-宜宾兴港建材-三江新区长江工业园片区保障性租赁住房建设项目</v>
      </c>
      <c r="R4927" s="30" t="str">
        <f>_xlfn._xlws.FILTER(辅助信息!D:D,辅助信息!E:E=B4927)</f>
        <v>宜宾兴港三江新区长江工业园建设项目</v>
      </c>
    </row>
    <row r="4928" hidden="1" spans="2:18">
      <c r="B4928" s="136" t="s">
        <v>194</v>
      </c>
      <c r="C4928" s="105">
        <v>45953</v>
      </c>
      <c r="D4928" s="41" t="str">
        <f>VLOOKUP(B4928,辅助信息!E:K,7,FALSE)</f>
        <v>JWDD2025071500089</v>
      </c>
      <c r="E4928" s="41" t="str">
        <f>VLOOKUP(F4928,辅助信息!A:B,2,FALSE)</f>
        <v>螺纹钢</v>
      </c>
      <c r="F4928" s="41" t="s">
        <v>19</v>
      </c>
      <c r="G4928" s="37">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40" t="str">
        <f>VLOOKUP(B4928,辅助信息!E:I,3,FALSE)</f>
        <v>(宜宾兴港三江新区长江工业园保障性租赁住房建设项目-土建)四川省宜宾市翠屏区永善路南段宜宾市三江新区长江工业园区</v>
      </c>
      <c r="J4928" s="41" t="str">
        <f>VLOOKUP(B4928,辅助信息!E:I,4,FALSE)</f>
        <v>赵元虎</v>
      </c>
      <c r="K4928" s="41">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6</v>
      </c>
      <c r="Q4928" s="30" t="str">
        <f>VLOOKUP(B4928,辅助信息!E:M,9,FALSE)</f>
        <v>ZTWM-CDYXGS-XS-2025-0014-宜宾兴港建材-三江新区长江工业园片区保障性租赁住房建设项目</v>
      </c>
      <c r="R4928" s="30" t="str">
        <f>_xlfn._xlws.FILTER(辅助信息!D:D,辅助信息!E:E=B4928)</f>
        <v>宜宾兴港三江新区长江工业园建设项目</v>
      </c>
    </row>
    <row r="4929" hidden="1" spans="2:18">
      <c r="B4929" s="136" t="s">
        <v>194</v>
      </c>
      <c r="C4929" s="105">
        <v>45953</v>
      </c>
      <c r="D4929" s="41" t="str">
        <f>VLOOKUP(B4929,辅助信息!E:K,7,FALSE)</f>
        <v>JWDD2025071500089</v>
      </c>
      <c r="E4929" s="41" t="str">
        <f>VLOOKUP(F4929,辅助信息!A:B,2,FALSE)</f>
        <v>螺纹钢</v>
      </c>
      <c r="F4929" s="41" t="s">
        <v>32</v>
      </c>
      <c r="G4929" s="37">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40" t="str">
        <f>VLOOKUP(B4929,辅助信息!E:I,3,FALSE)</f>
        <v>(宜宾兴港三江新区长江工业园保障性租赁住房建设项目-土建)四川省宜宾市翠屏区永善路南段宜宾市三江新区长江工业园区</v>
      </c>
      <c r="J4929" s="41" t="str">
        <f>VLOOKUP(B4929,辅助信息!E:I,4,FALSE)</f>
        <v>赵元虎</v>
      </c>
      <c r="K4929" s="41">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6</v>
      </c>
      <c r="Q4929" s="30" t="str">
        <f>VLOOKUP(B4929,辅助信息!E:M,9,FALSE)</f>
        <v>ZTWM-CDYXGS-XS-2025-0014-宜宾兴港建材-三江新区长江工业园片区保障性租赁住房建设项目</v>
      </c>
      <c r="R4929" s="30" t="str">
        <f>_xlfn._xlws.FILTER(辅助信息!D:D,辅助信息!E:E=B4929)</f>
        <v>宜宾兴港三江新区长江工业园建设项目</v>
      </c>
    </row>
    <row r="4930" hidden="1" spans="2:18">
      <c r="B4930" s="136" t="s">
        <v>194</v>
      </c>
      <c r="C4930" s="105">
        <v>45953</v>
      </c>
      <c r="D4930" s="41" t="str">
        <f>VLOOKUP(B4930,辅助信息!E:K,7,FALSE)</f>
        <v>JWDD2025071500089</v>
      </c>
      <c r="E4930" s="41" t="str">
        <f>VLOOKUP(F4930,辅助信息!A:B,2,FALSE)</f>
        <v>螺纹钢</v>
      </c>
      <c r="F4930" s="41" t="s">
        <v>30</v>
      </c>
      <c r="G4930" s="37">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40" t="str">
        <f>VLOOKUP(B4930,辅助信息!E:I,3,FALSE)</f>
        <v>(宜宾兴港三江新区长江工业园保障性租赁住房建设项目-土建)四川省宜宾市翠屏区永善路南段宜宾市三江新区长江工业园区</v>
      </c>
      <c r="J4930" s="41" t="str">
        <f>VLOOKUP(B4930,辅助信息!E:I,4,FALSE)</f>
        <v>赵元虎</v>
      </c>
      <c r="K4930" s="41">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6</v>
      </c>
      <c r="Q4930" s="30" t="str">
        <f>VLOOKUP(B4930,辅助信息!E:M,9,FALSE)</f>
        <v>ZTWM-CDYXGS-XS-2025-0014-宜宾兴港建材-三江新区长江工业园片区保障性租赁住房建设项目</v>
      </c>
      <c r="R4930" s="30" t="str">
        <f>_xlfn._xlws.FILTER(辅助信息!D:D,辅助信息!E:E=B4930)</f>
        <v>宜宾兴港三江新区长江工业园建设项目</v>
      </c>
    </row>
    <row r="4931" hidden="1" spans="2:18">
      <c r="B4931" s="136" t="s">
        <v>194</v>
      </c>
      <c r="C4931" s="105">
        <v>45953</v>
      </c>
      <c r="D4931" s="41" t="str">
        <f>VLOOKUP(B4931,辅助信息!E:K,7,FALSE)</f>
        <v>JWDD2025071500089</v>
      </c>
      <c r="E4931" s="41" t="str">
        <f>VLOOKUP(F4931,辅助信息!A:B,2,FALSE)</f>
        <v>螺纹钢</v>
      </c>
      <c r="F4931" s="41" t="s">
        <v>33</v>
      </c>
      <c r="G4931" s="37">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40" t="str">
        <f>VLOOKUP(B4931,辅助信息!E:I,3,FALSE)</f>
        <v>(宜宾兴港三江新区长江工业园保障性租赁住房建设项目-土建)四川省宜宾市翠屏区永善路南段宜宾市三江新区长江工业园区</v>
      </c>
      <c r="J4931" s="41" t="str">
        <f>VLOOKUP(B4931,辅助信息!E:I,4,FALSE)</f>
        <v>赵元虎</v>
      </c>
      <c r="K4931" s="41">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6</v>
      </c>
      <c r="Q4931" s="30" t="str">
        <f>VLOOKUP(B4931,辅助信息!E:M,9,FALSE)</f>
        <v>ZTWM-CDYXGS-XS-2025-0014-宜宾兴港建材-三江新区长江工业园片区保障性租赁住房建设项目</v>
      </c>
      <c r="R4931" s="30" t="str">
        <f>_xlfn._xlws.FILTER(辅助信息!D:D,辅助信息!E:E=B4931)</f>
        <v>宜宾兴港三江新区长江工业园建设项目</v>
      </c>
    </row>
    <row r="4932" hidden="1" spans="2:18">
      <c r="B4932" s="136" t="s">
        <v>194</v>
      </c>
      <c r="C4932" s="105">
        <v>45953</v>
      </c>
      <c r="D4932" s="41" t="str">
        <f>VLOOKUP(B4932,辅助信息!E:K,7,FALSE)</f>
        <v>JWDD2025071500089</v>
      </c>
      <c r="E4932" s="41" t="str">
        <f>VLOOKUP(F4932,辅助信息!A:B,2,FALSE)</f>
        <v>螺纹钢</v>
      </c>
      <c r="F4932" s="41" t="s">
        <v>28</v>
      </c>
      <c r="G4932" s="37">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40" t="str">
        <f>VLOOKUP(B4932,辅助信息!E:I,3,FALSE)</f>
        <v>(宜宾兴港三江新区长江工业园保障性租赁住房建设项目-土建)四川省宜宾市翠屏区永善路南段宜宾市三江新区长江工业园区</v>
      </c>
      <c r="J4932" s="41" t="str">
        <f>VLOOKUP(B4932,辅助信息!E:I,4,FALSE)</f>
        <v>赵元虎</v>
      </c>
      <c r="K4932" s="41">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6</v>
      </c>
      <c r="Q4932" s="30" t="str">
        <f>VLOOKUP(B4932,辅助信息!E:M,9,FALSE)</f>
        <v>ZTWM-CDYXGS-XS-2025-0014-宜宾兴港建材-三江新区长江工业园片区保障性租赁住房建设项目</v>
      </c>
      <c r="R4932" s="30"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6</v>
      </c>
      <c r="Q4933" s="30" t="str">
        <f>VLOOKUP(B4933,辅助信息!E:M,9,FALSE)</f>
        <v>ZTWM-CDYXGS-XS-2025-0014-宜宾兴港建材-三江新区长江工业园片区保障性租赁住房建设项目</v>
      </c>
      <c r="R4933" s="30" t="str">
        <f>_xlfn._xlws.FILTER(辅助信息!D:D,辅助信息!E:E=B4933)</f>
        <v>宜宾兴港三江新区长江工业园建设项目</v>
      </c>
    </row>
    <row r="4934" hidden="1" spans="2:18">
      <c r="B4934" s="136" t="s">
        <v>163</v>
      </c>
      <c r="C4934" s="105">
        <v>45954</v>
      </c>
      <c r="D4934" s="41" t="str">
        <f>VLOOKUP(B4934,辅助信息!E:K,7,FALSE)</f>
        <v>JWDDCD2025052800131</v>
      </c>
      <c r="E4934" s="41" t="str">
        <f>VLOOKUP(F4934,辅助信息!A:B,2,FALSE)</f>
        <v>盘螺</v>
      </c>
      <c r="F4934" s="41" t="s">
        <v>40</v>
      </c>
      <c r="G4934" s="37">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40" t="str">
        <f>VLOOKUP(B4934,辅助信息!E:I,3,FALSE)</f>
        <v>（商投建工达州中医药科技园-4工区-9号楼）达州市通川区达州中医药职业学院犀牛大道北段</v>
      </c>
      <c r="J4934" s="41" t="str">
        <f>VLOOKUP(B4934,辅助信息!E:I,4,FALSE)</f>
        <v>张扬</v>
      </c>
      <c r="K4934" s="41">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6</v>
      </c>
      <c r="Q4934" s="30" t="str">
        <f>VLOOKUP(B4934,辅助信息!E:M,9,FALSE)</f>
        <v>ZTWM-CDGS-XS-2024-0134-商投建工达州中医药科技成果示范园项目</v>
      </c>
      <c r="R4934" s="30" t="str">
        <f>_xlfn._xlws.FILTER(辅助信息!D:D,辅助信息!E:E=B4934)</f>
        <v>商投建工达州中医药科技园</v>
      </c>
    </row>
    <row r="4935" hidden="1" spans="2:18">
      <c r="B4935" s="136" t="s">
        <v>163</v>
      </c>
      <c r="C4935" s="105">
        <v>45954</v>
      </c>
      <c r="D4935" s="41" t="str">
        <f>VLOOKUP(B4935,辅助信息!E:K,7,FALSE)</f>
        <v>JWDDCD2025052800131</v>
      </c>
      <c r="E4935" s="41" t="str">
        <f>VLOOKUP(F4935,辅助信息!A:B,2,FALSE)</f>
        <v>螺纹钢</v>
      </c>
      <c r="F4935" s="41" t="s">
        <v>66</v>
      </c>
      <c r="G4935" s="37">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40" t="str">
        <f>VLOOKUP(B4935,辅助信息!E:I,3,FALSE)</f>
        <v>（商投建工达州中医药科技园-4工区-9号楼）达州市通川区达州中医药职业学院犀牛大道北段</v>
      </c>
      <c r="J4935" s="41" t="str">
        <f>VLOOKUP(B4935,辅助信息!E:I,4,FALSE)</f>
        <v>张扬</v>
      </c>
      <c r="K4935" s="41">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6</v>
      </c>
      <c r="Q4935" s="30" t="str">
        <f>VLOOKUP(B4935,辅助信息!E:M,9,FALSE)</f>
        <v>ZTWM-CDGS-XS-2024-0134-商投建工达州中医药科技成果示范园项目</v>
      </c>
      <c r="R4935" s="30" t="str">
        <f>_xlfn._xlws.FILTER(辅助信息!D:D,辅助信息!E:E=B4935)</f>
        <v>商投建工达州中医药科技园</v>
      </c>
    </row>
    <row r="4936" hidden="1" spans="2:18">
      <c r="B4936" s="136" t="s">
        <v>163</v>
      </c>
      <c r="C4936" s="105">
        <v>45954</v>
      </c>
      <c r="D4936" s="41" t="str">
        <f>VLOOKUP(B4936,辅助信息!E:K,7,FALSE)</f>
        <v>JWDDCD2025052800131</v>
      </c>
      <c r="E4936" s="41" t="str">
        <f>VLOOKUP(F4936,辅助信息!A:B,2,FALSE)</f>
        <v>螺纹钢</v>
      </c>
      <c r="F4936" s="41" t="s">
        <v>45</v>
      </c>
      <c r="G4936" s="37">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40" t="str">
        <f>VLOOKUP(B4936,辅助信息!E:I,3,FALSE)</f>
        <v>（商投建工达州中医药科技园-4工区-9号楼）达州市通川区达州中医药职业学院犀牛大道北段</v>
      </c>
      <c r="J4936" s="41" t="str">
        <f>VLOOKUP(B4936,辅助信息!E:I,4,FALSE)</f>
        <v>张扬</v>
      </c>
      <c r="K4936" s="41">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6</v>
      </c>
      <c r="Q4936" s="30" t="str">
        <f>VLOOKUP(B4936,辅助信息!E:M,9,FALSE)</f>
        <v>ZTWM-CDGS-XS-2024-0134-商投建工达州中医药科技成果示范园项目</v>
      </c>
      <c r="R4936" s="30" t="str">
        <f>_xlfn._xlws.FILTER(辅助信息!D:D,辅助信息!E:E=B4936)</f>
        <v>商投建工达州中医药科技园</v>
      </c>
    </row>
    <row r="4937" hidden="1" spans="2:18">
      <c r="B4937" s="136" t="s">
        <v>163</v>
      </c>
      <c r="C4937" s="105">
        <v>45954</v>
      </c>
      <c r="D4937" s="41" t="str">
        <f>VLOOKUP(B4937,辅助信息!E:K,7,FALSE)</f>
        <v>JWDDCD2025052800131</v>
      </c>
      <c r="E4937" s="41" t="str">
        <f>VLOOKUP(F4937,辅助信息!A:B,2,FALSE)</f>
        <v>螺纹钢</v>
      </c>
      <c r="F4937" s="41" t="s">
        <v>21</v>
      </c>
      <c r="G4937" s="37">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40" t="str">
        <f>VLOOKUP(B4937,辅助信息!E:I,3,FALSE)</f>
        <v>（商投建工达州中医药科技园-4工区-9号楼）达州市通川区达州中医药职业学院犀牛大道北段</v>
      </c>
      <c r="J4937" s="41" t="str">
        <f>VLOOKUP(B4937,辅助信息!E:I,4,FALSE)</f>
        <v>张扬</v>
      </c>
      <c r="K4937" s="41">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6</v>
      </c>
      <c r="Q4937" s="30" t="str">
        <f>VLOOKUP(B4937,辅助信息!E:M,9,FALSE)</f>
        <v>ZTWM-CDGS-XS-2024-0134-商投建工达州中医药科技成果示范园项目</v>
      </c>
      <c r="R4937" s="30"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11</v>
      </c>
      <c r="Q4938" s="30" t="str">
        <f>VLOOKUP(B4938,辅助信息!E:M,9,FALSE)</f>
        <v>ZTWM-CDGS-XS-2025-0156-五冶钢构-2025年九月第一批次钢筋采购合同(三圣乡项目)-中铁物贸成都公司</v>
      </c>
      <c r="R4938" s="30"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11</v>
      </c>
      <c r="Q4939" s="30" t="str">
        <f>VLOOKUP(B4939,辅助信息!E:M,9,FALSE)</f>
        <v>ZTWM-CDGS-XS-2025-0156-五冶钢构-2025年九月第一批次钢筋采购合同(三圣乡项目)-中铁物贸成都公司</v>
      </c>
      <c r="R4939" s="30"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9</v>
      </c>
      <c r="Q4940" s="30" t="str">
        <f>VLOOKUP(B4940,辅助信息!E:M,9,FALSE)</f>
        <v>ZTWM-CDGS-XS-2025-0156-五冶钢构-2025年九月第一批次钢筋采购合同(三圣乡项目)-中铁物贸成都公司</v>
      </c>
      <c r="R4940" s="30"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9</v>
      </c>
      <c r="Q4941" s="30" t="str">
        <f>VLOOKUP(B4941,辅助信息!E:M,9,FALSE)</f>
        <v>ZTWM-CDGS-XS-2025-0156-五冶钢构-2025年九月第一批次钢筋采购合同(三圣乡项目)-中铁物贸成都公司</v>
      </c>
      <c r="R4941" s="30"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9</v>
      </c>
      <c r="Q4942" s="30" t="str">
        <f>VLOOKUP(B4942,辅助信息!E:M,9,FALSE)</f>
        <v>ZTWM-CDGS-XS-2025-0156-五冶钢构-2025年九月第一批次钢筋采购合同(三圣乡项目)-中铁物贸成都公司</v>
      </c>
      <c r="R4942" s="30"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9</v>
      </c>
      <c r="Q4943" s="30" t="str">
        <f>VLOOKUP(B4943,辅助信息!E:M,9,FALSE)</f>
        <v>ZTWM-CDGS-XS-2025-0156-五冶钢构-2025年九月第一批次钢筋采购合同(三圣乡项目)-中铁物贸成都公司</v>
      </c>
      <c r="R4943" s="30"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9</v>
      </c>
      <c r="Q4944" s="30" t="str">
        <f>VLOOKUP(B4944,辅助信息!E:M,9,FALSE)</f>
        <v>ZTWM-CDGS-XS-2025-0156-五冶钢构-2025年九月第一批次钢筋采购合同(三圣乡项目)-中铁物贸成都公司</v>
      </c>
      <c r="R4944" s="30"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9</v>
      </c>
      <c r="Q4945" s="30" t="str">
        <f>VLOOKUP(B4945,辅助信息!E:M,9,FALSE)</f>
        <v>ZTWM-CDGS-XS-2025-0156-五冶钢构-2025年九月第一批次钢筋采购合同(三圣乡项目)-中铁物贸成都公司</v>
      </c>
      <c r="R4945" s="30"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9</v>
      </c>
      <c r="Q4946" s="30" t="str">
        <f>VLOOKUP(B4946,辅助信息!E:M,9,FALSE)</f>
        <v>ZTWM-CDGS-XS-2025-0156-五冶钢构-2025年九月第一批次钢筋采购合同(三圣乡项目)-中铁物贸成都公司</v>
      </c>
      <c r="R4946" s="30"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9</v>
      </c>
      <c r="Q4947" s="30" t="str">
        <f>VLOOKUP(B4947,辅助信息!E:M,9,FALSE)</f>
        <v>ZTWM-CDGS-XS-2025-0156-五冶钢构-2025年九月第一批次钢筋采购合同(三圣乡项目)-中铁物贸成都公司</v>
      </c>
      <c r="R4947" s="30"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9</v>
      </c>
      <c r="Q4948" s="30" t="str">
        <f>VLOOKUP(B4948,辅助信息!E:M,9,FALSE)</f>
        <v>ZTWM-CDGS-XS-2025-0156-五冶钢构-2025年九月第一批次钢筋采购合同(三圣乡项目)-中铁物贸成都公司</v>
      </c>
      <c r="R4948" s="30"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9</v>
      </c>
      <c r="Q4949" s="30" t="str">
        <f>VLOOKUP(B4949,辅助信息!E:M,9,FALSE)</f>
        <v>ZTWM-CDGS-XS-2025-0156-五冶钢构-2025年九月第一批次钢筋采购合同(三圣乡项目)-中铁物贸成都公司</v>
      </c>
      <c r="R4949" s="30"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9</v>
      </c>
      <c r="Q4950" s="30" t="str">
        <f>VLOOKUP(B4950,辅助信息!E:M,9,FALSE)</f>
        <v>ZTWM-CDGS-XS-2025-0156-五冶钢构-2025年九月第一批次钢筋采购合同(三圣乡项目)-中铁物贸成都公司</v>
      </c>
      <c r="R4950" s="30"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9</v>
      </c>
      <c r="Q4951" s="30" t="str">
        <f>VLOOKUP(B4951,辅助信息!E:M,9,FALSE)</f>
        <v>ZTWM-CDGS-XS-2025-0156-五冶钢构-2025年九月第一批次钢筋采购合同(三圣乡项目)-中铁物贸成都公司</v>
      </c>
      <c r="R4951" s="30"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9</v>
      </c>
      <c r="Q4952" s="30" t="str">
        <f>VLOOKUP(B4952,辅助信息!E:M,9,FALSE)</f>
        <v>ZTWM-CDGS-XS-2025-0156-五冶钢构-2025年九月第一批次钢筋采购合同(三圣乡项目)-中铁物贸成都公司</v>
      </c>
      <c r="R4952" s="30"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9</v>
      </c>
      <c r="Q4953" s="30" t="str">
        <f>VLOOKUP(B4953,辅助信息!E:M,9,FALSE)</f>
        <v>ZTWM-CDGS-XS-2025-0156-五冶钢构-2025年九月第一批次钢筋采购合同(三圣乡项目)-中铁物贸成都公司</v>
      </c>
      <c r="R4953" s="30"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9</v>
      </c>
      <c r="Q4954" s="30" t="str">
        <f>VLOOKUP(B4954,辅助信息!E:M,9,FALSE)</f>
        <v>ZTWM-CDGS-XS-2025-0156-五冶钢构-2025年九月第一批次钢筋采购合同(三圣乡项目)-中铁物贸成都公司</v>
      </c>
      <c r="R4954" s="30"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9</v>
      </c>
      <c r="Q4955" s="30" t="str">
        <f>VLOOKUP(B4955,辅助信息!E:M,9,FALSE)</f>
        <v>ZTWM-CDGS-XS-2025-0156-五冶钢构-2025年九月第一批次钢筋采购合同(三圣乡项目)-中铁物贸成都公司</v>
      </c>
      <c r="R4955" s="30"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9</v>
      </c>
      <c r="Q4956" s="30" t="str">
        <f>VLOOKUP(B4956,辅助信息!E:M,9,FALSE)</f>
        <v>ZTWM-CDGS-XS-2025-0156-五冶钢构-2025年九月第一批次钢筋采购合同(三圣乡项目)-中铁物贸成都公司</v>
      </c>
      <c r="R4956" s="30"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9</v>
      </c>
      <c r="Q4957" s="30" t="str">
        <f>VLOOKUP(B4957,辅助信息!E:M,9,FALSE)</f>
        <v>ZTWM-CDGS-XS-2025-0156-五冶钢构-2025年九月第一批次钢筋采购合同(三圣乡项目)-中铁物贸成都公司</v>
      </c>
      <c r="R4957" s="30"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6</v>
      </c>
      <c r="Q4958" s="30" t="str">
        <f>VLOOKUP(B4958,辅助信息!E:M,9,FALSE)</f>
        <v>ZTWM-CDGS-XS-2025-0156-五冶钢构-2025年九月第一批次钢筋采购合同(三圣乡项目)-中铁物贸成都公司</v>
      </c>
      <c r="R4958" s="30"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6</v>
      </c>
      <c r="Q4959" s="30" t="str">
        <f>VLOOKUP(B4959,辅助信息!E:M,9,FALSE)</f>
        <v>ZTWM-CDGS-XS-2025-0156-五冶钢构-2025年九月第一批次钢筋采购合同(三圣乡项目)-中铁物贸成都公司</v>
      </c>
      <c r="R4959" s="30"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6</v>
      </c>
      <c r="Q4960" s="30" t="str">
        <f>VLOOKUP(B4960,辅助信息!E:M,9,FALSE)</f>
        <v>ZTWM-CDGS-XS-2025-0156-五冶钢构-2025年九月第一批次钢筋采购合同(三圣乡项目)-中铁物贸成都公司</v>
      </c>
      <c r="R4960" s="30"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6</v>
      </c>
      <c r="Q4961" s="30" t="str">
        <f>VLOOKUP(B4961,辅助信息!E:M,9,FALSE)</f>
        <v>ZTWM-CDGS-XS-2025-0156-五冶钢构-2025年九月第一批次钢筋采购合同(三圣乡项目)-中铁物贸成都公司</v>
      </c>
      <c r="R4961" s="30"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6</v>
      </c>
      <c r="Q4962" s="30" t="str">
        <f>VLOOKUP(B4962,辅助信息!E:M,9,FALSE)</f>
        <v>ZTWM-CDGS-XS-2025-0156-五冶钢构-2025年九月第一批次钢筋采购合同(三圣乡项目)-中铁物贸成都公司</v>
      </c>
      <c r="R4962" s="30"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6</v>
      </c>
      <c r="Q4963" s="30" t="str">
        <f>VLOOKUP(B4963,辅助信息!E:M,9,FALSE)</f>
        <v>ZTWM-CDGS-XS-2025-0156-五冶钢构-2025年九月第一批次钢筋采购合同(三圣乡项目)-中铁物贸成都公司</v>
      </c>
      <c r="R4963" s="30"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6</v>
      </c>
      <c r="Q4964" s="30" t="str">
        <f>VLOOKUP(B4964,辅助信息!E:M,9,FALSE)</f>
        <v>ZTWM-CDGS-XS-2025-0156-五冶钢构-2025年九月第一批次钢筋采购合同(三圣乡项目)-中铁物贸成都公司</v>
      </c>
      <c r="R4964" s="30"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6</v>
      </c>
      <c r="Q4965" s="30" t="str">
        <f>VLOOKUP(B4965,辅助信息!E:M,9,FALSE)</f>
        <v>ZTWM-CDGS-XS-2025-0156-五冶钢构-2025年九月第一批次钢筋采购合同(三圣乡项目)-中铁物贸成都公司</v>
      </c>
      <c r="R4965" s="30"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6</v>
      </c>
      <c r="Q4966" s="30" t="str">
        <f>VLOOKUP(B4966,辅助信息!E:M,9,FALSE)</f>
        <v>ZTWM-CDGS-XS-2025-0156-五冶钢构-2025年九月第一批次钢筋采购合同(三圣乡项目)-中铁物贸成都公司</v>
      </c>
      <c r="R4966" s="30" t="str">
        <f>_xlfn._xlws.FILTER(辅助信息!D:D,辅助信息!E:E=B4966)</f>
        <v>五冶钢构龙泉东洪片区(70亩、85亩)住宅、商业及配套工程项目</v>
      </c>
    </row>
    <row r="4967" hidden="1" spans="2:18">
      <c r="B4967" s="136" t="s">
        <v>112</v>
      </c>
      <c r="C4967" s="105">
        <v>45954</v>
      </c>
      <c r="D4967" s="41" t="str">
        <f>VLOOKUP(B4967,辅助信息!E:K,7,FALSE)</f>
        <v>JWDDCD2025052800131</v>
      </c>
      <c r="E4967" s="41" t="str">
        <f>VLOOKUP(F4967,辅助信息!A:B,2,FALSE)</f>
        <v>盘螺</v>
      </c>
      <c r="F4967" s="41" t="s">
        <v>49</v>
      </c>
      <c r="G4967" s="37">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40" t="str">
        <f>VLOOKUP(B4967,辅助信息!E:I,3,FALSE)</f>
        <v>（商投建工达州中医药科技园-4工区-10号楼）达州市通川区达州中医药职业学院犀牛大道北段</v>
      </c>
      <c r="J4967" s="41" t="str">
        <f>VLOOKUP(B4967,辅助信息!E:I,4,FALSE)</f>
        <v>张扬</v>
      </c>
      <c r="K4967" s="41">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5</v>
      </c>
      <c r="Q4967" s="30" t="str">
        <f>VLOOKUP(B4967,辅助信息!E:M,9,FALSE)</f>
        <v>ZTWM-CDGS-XS-2024-0134-商投建工达州中医药科技成果示范园项目</v>
      </c>
      <c r="R4967" s="30" t="str">
        <f>_xlfn._xlws.FILTER(辅助信息!D:D,辅助信息!E:E=B4967)</f>
        <v>商投建工达州中医药科技园</v>
      </c>
    </row>
    <row r="4968" hidden="1" spans="2:18">
      <c r="B4968" s="136" t="s">
        <v>112</v>
      </c>
      <c r="C4968" s="105">
        <v>45954</v>
      </c>
      <c r="D4968" s="41" t="str">
        <f>VLOOKUP(B4968,辅助信息!E:K,7,FALSE)</f>
        <v>JWDDCD2025052800131</v>
      </c>
      <c r="E4968" s="41" t="str">
        <f>VLOOKUP(F4968,辅助信息!A:B,2,FALSE)</f>
        <v>盘螺</v>
      </c>
      <c r="F4968" s="41" t="s">
        <v>40</v>
      </c>
      <c r="G4968" s="37">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40" t="str">
        <f>VLOOKUP(B4968,辅助信息!E:I,3,FALSE)</f>
        <v>（商投建工达州中医药科技园-4工区-10号楼）达州市通川区达州中医药职业学院犀牛大道北段</v>
      </c>
      <c r="J4968" s="41" t="str">
        <f>VLOOKUP(B4968,辅助信息!E:I,4,FALSE)</f>
        <v>张扬</v>
      </c>
      <c r="K4968" s="41">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5</v>
      </c>
      <c r="Q4968" s="30" t="str">
        <f>VLOOKUP(B4968,辅助信息!E:M,9,FALSE)</f>
        <v>ZTWM-CDGS-XS-2024-0134-商投建工达州中医药科技成果示范园项目</v>
      </c>
      <c r="R4968" s="30" t="str">
        <f>_xlfn._xlws.FILTER(辅助信息!D:D,辅助信息!E:E=B4968)</f>
        <v>商投建工达州中医药科技园</v>
      </c>
    </row>
    <row r="4969" hidden="1" spans="2:18">
      <c r="B4969" s="136" t="s">
        <v>112</v>
      </c>
      <c r="C4969" s="105">
        <v>45954</v>
      </c>
      <c r="D4969" s="41" t="str">
        <f>VLOOKUP(B4969,辅助信息!E:K,7,FALSE)</f>
        <v>JWDDCD2025052800131</v>
      </c>
      <c r="E4969" s="41" t="str">
        <f>VLOOKUP(F4969,辅助信息!A:B,2,FALSE)</f>
        <v>螺纹钢</v>
      </c>
      <c r="F4969" s="41" t="s">
        <v>32</v>
      </c>
      <c r="G4969" s="37">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40" t="str">
        <f>VLOOKUP(B4969,辅助信息!E:I,3,FALSE)</f>
        <v>（商投建工达州中医药科技园-4工区-10号楼）达州市通川区达州中医药职业学院犀牛大道北段</v>
      </c>
      <c r="J4969" s="41" t="str">
        <f>VLOOKUP(B4969,辅助信息!E:I,4,FALSE)</f>
        <v>张扬</v>
      </c>
      <c r="K4969" s="41">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5</v>
      </c>
      <c r="Q4969" s="30" t="str">
        <f>VLOOKUP(B4969,辅助信息!E:M,9,FALSE)</f>
        <v>ZTWM-CDGS-XS-2024-0134-商投建工达州中医药科技成果示范园项目</v>
      </c>
      <c r="R4969" s="30" t="str">
        <f>_xlfn._xlws.FILTER(辅助信息!D:D,辅助信息!E:E=B4969)</f>
        <v>商投建工达州中医药科技园</v>
      </c>
    </row>
    <row r="4970" hidden="1" spans="2:18">
      <c r="B4970" s="136" t="s">
        <v>112</v>
      </c>
      <c r="C4970" s="105">
        <v>45954</v>
      </c>
      <c r="D4970" s="41" t="str">
        <f>VLOOKUP(B4970,辅助信息!E:K,7,FALSE)</f>
        <v>JWDDCD2025052800131</v>
      </c>
      <c r="E4970" s="41" t="str">
        <f>VLOOKUP(F4970,辅助信息!A:B,2,FALSE)</f>
        <v>螺纹钢</v>
      </c>
      <c r="F4970" s="41" t="s">
        <v>21</v>
      </c>
      <c r="G4970" s="37">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40" t="str">
        <f>VLOOKUP(B4970,辅助信息!E:I,3,FALSE)</f>
        <v>（商投建工达州中医药科技园-4工区-10号楼）达州市通川区达州中医药职业学院犀牛大道北段</v>
      </c>
      <c r="J4970" s="41" t="str">
        <f>VLOOKUP(B4970,辅助信息!E:I,4,FALSE)</f>
        <v>张扬</v>
      </c>
      <c r="K4970" s="41">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5</v>
      </c>
      <c r="Q4970" s="30" t="str">
        <f>VLOOKUP(B4970,辅助信息!E:M,9,FALSE)</f>
        <v>ZTWM-CDGS-XS-2024-0134-商投建工达州中医药科技成果示范园项目</v>
      </c>
      <c r="R4970" s="30" t="str">
        <f>_xlfn._xlws.FILTER(辅助信息!D:D,辅助信息!E:E=B4970)</f>
        <v>商投建工达州中医药科技园</v>
      </c>
    </row>
    <row r="4971" hidden="1" spans="2:18">
      <c r="B4971" s="136" t="s">
        <v>112</v>
      </c>
      <c r="C4971" s="105">
        <v>45954</v>
      </c>
      <c r="D4971" s="41" t="str">
        <f>VLOOKUP(B4971,辅助信息!E:K,7,FALSE)</f>
        <v>JWDDCD2025052800131</v>
      </c>
      <c r="E4971" s="41" t="str">
        <f>VLOOKUP(F4971,辅助信息!A:B,2,FALSE)</f>
        <v>螺纹钢</v>
      </c>
      <c r="F4971" s="41" t="s">
        <v>58</v>
      </c>
      <c r="G4971" s="37">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40" t="str">
        <f>VLOOKUP(B4971,辅助信息!E:I,3,FALSE)</f>
        <v>（商投建工达州中医药科技园-4工区-10号楼）达州市通川区达州中医药职业学院犀牛大道北段</v>
      </c>
      <c r="J4971" s="41" t="str">
        <f>VLOOKUP(B4971,辅助信息!E:I,4,FALSE)</f>
        <v>张扬</v>
      </c>
      <c r="K4971" s="41">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5</v>
      </c>
      <c r="Q4971" s="30" t="str">
        <f>VLOOKUP(B4971,辅助信息!E:M,9,FALSE)</f>
        <v>ZTWM-CDGS-XS-2024-0134-商投建工达州中医药科技成果示范园项目</v>
      </c>
      <c r="R4971" s="30" t="str">
        <f>_xlfn._xlws.FILTER(辅助信息!D:D,辅助信息!E:E=B4971)</f>
        <v>商投建工达州中医药科技园</v>
      </c>
    </row>
    <row r="4972" hidden="1" spans="2:18">
      <c r="B4972" s="136" t="s">
        <v>112</v>
      </c>
      <c r="C4972" s="105">
        <v>45954</v>
      </c>
      <c r="D4972" s="41" t="str">
        <f>VLOOKUP(B4972,辅助信息!E:K,7,FALSE)</f>
        <v>JWDDCD2025052800131</v>
      </c>
      <c r="E4972" s="41" t="str">
        <f>VLOOKUP(F4972,辅助信息!A:B,2,FALSE)</f>
        <v>螺纹钢</v>
      </c>
      <c r="F4972" s="41" t="s">
        <v>46</v>
      </c>
      <c r="G4972" s="37">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40" t="str">
        <f>VLOOKUP(B4972,辅助信息!E:I,3,FALSE)</f>
        <v>（商投建工达州中医药科技园-4工区-10号楼）达州市通川区达州中医药职业学院犀牛大道北段</v>
      </c>
      <c r="J4972" s="41" t="str">
        <f>VLOOKUP(B4972,辅助信息!E:I,4,FALSE)</f>
        <v>张扬</v>
      </c>
      <c r="K4972" s="41">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5</v>
      </c>
      <c r="Q4972" s="30" t="str">
        <f>VLOOKUP(B4972,辅助信息!E:M,9,FALSE)</f>
        <v>ZTWM-CDGS-XS-2024-0134-商投建工达州中医药科技成果示范园项目</v>
      </c>
      <c r="R4972" s="30" t="str">
        <f>_xlfn._xlws.FILTER(辅助信息!D:D,辅助信息!E:E=B4972)</f>
        <v>商投建工达州中医药科技园</v>
      </c>
    </row>
    <row r="4973" hidden="1" spans="2:18">
      <c r="B4973" s="136" t="s">
        <v>81</v>
      </c>
      <c r="C4973" s="105">
        <v>45954</v>
      </c>
      <c r="D4973" s="41" t="str">
        <f>VLOOKUP(B4973,辅助信息!E:K,7,FALSE)</f>
        <v>JWDDCD2025060900080</v>
      </c>
      <c r="E4973" s="41" t="str">
        <f>VLOOKUP(F4973,辅助信息!A:B,2,FALSE)</f>
        <v>盘螺</v>
      </c>
      <c r="F4973" s="41" t="s">
        <v>40</v>
      </c>
      <c r="G4973" s="37">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40" t="str">
        <f>VLOOKUP(B4973,辅助信息!E:I,3,FALSE)</f>
        <v>（华西简阳西城嘉苑）四川省成都市简阳市简城街道高屋村</v>
      </c>
      <c r="J4973" s="41" t="str">
        <f>VLOOKUP(B4973,辅助信息!E:I,4,FALSE)</f>
        <v>张瀚镭</v>
      </c>
      <c r="K4973" s="41">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30" t="str">
        <f>VLOOKUP(B4973,辅助信息!E:M,9,FALSE)</f>
        <v>ZTWM-CDGS-XS-2024-0030-华西集采-简州大道</v>
      </c>
      <c r="R4973" s="30" t="str">
        <f>_xlfn._xlws.FILTER(辅助信息!D:D,辅助信息!E:E=B4973)</f>
        <v>华西简阳西城嘉苑</v>
      </c>
    </row>
    <row r="4974" hidden="1" spans="2:18">
      <c r="B4974" s="136" t="s">
        <v>81</v>
      </c>
      <c r="C4974" s="105">
        <v>45954</v>
      </c>
      <c r="D4974" s="41" t="str">
        <f>VLOOKUP(B4974,辅助信息!E:K,7,FALSE)</f>
        <v>JWDDCD2025060900080</v>
      </c>
      <c r="E4974" s="41" t="str">
        <f>VLOOKUP(F4974,辅助信息!A:B,2,FALSE)</f>
        <v>盘螺</v>
      </c>
      <c r="F4974" s="41" t="s">
        <v>41</v>
      </c>
      <c r="G4974" s="37">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40" t="str">
        <f>VLOOKUP(B4974,辅助信息!E:I,3,FALSE)</f>
        <v>（华西简阳西城嘉苑）四川省成都市简阳市简城街道高屋村</v>
      </c>
      <c r="J4974" s="41" t="str">
        <f>VLOOKUP(B4974,辅助信息!E:I,4,FALSE)</f>
        <v>张瀚镭</v>
      </c>
      <c r="K4974" s="41">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5</v>
      </c>
      <c r="Q4974" s="30" t="str">
        <f>VLOOKUP(B4974,辅助信息!E:M,9,FALSE)</f>
        <v>ZTWM-CDGS-XS-2024-0030-华西集采-简州大道</v>
      </c>
      <c r="R4974" s="30" t="str">
        <f>_xlfn._xlws.FILTER(辅助信息!D:D,辅助信息!E:E=B4974)</f>
        <v>华西简阳西城嘉苑</v>
      </c>
    </row>
    <row r="4975" hidden="1" spans="2:18">
      <c r="B4975" s="136" t="s">
        <v>81</v>
      </c>
      <c r="C4975" s="105">
        <v>45954</v>
      </c>
      <c r="D4975" s="41" t="str">
        <f>VLOOKUP(B4975,辅助信息!E:K,7,FALSE)</f>
        <v>JWDDCD2025060900080</v>
      </c>
      <c r="E4975" s="41" t="str">
        <f>VLOOKUP(F4975,辅助信息!A:B,2,FALSE)</f>
        <v>盘螺</v>
      </c>
      <c r="F4975" s="41" t="s">
        <v>26</v>
      </c>
      <c r="G4975" s="37">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40" t="str">
        <f>VLOOKUP(B4975,辅助信息!E:I,3,FALSE)</f>
        <v>（华西简阳西城嘉苑）四川省成都市简阳市简城街道高屋村</v>
      </c>
      <c r="J4975" s="41" t="str">
        <f>VLOOKUP(B4975,辅助信息!E:I,4,FALSE)</f>
        <v>张瀚镭</v>
      </c>
      <c r="K4975" s="41">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5</v>
      </c>
      <c r="Q4975" s="30" t="str">
        <f>VLOOKUP(B4975,辅助信息!E:M,9,FALSE)</f>
        <v>ZTWM-CDGS-XS-2024-0030-华西集采-简州大道</v>
      </c>
      <c r="R4975" s="30" t="str">
        <f>_xlfn._xlws.FILTER(辅助信息!D:D,辅助信息!E:E=B4975)</f>
        <v>华西简阳西城嘉苑</v>
      </c>
    </row>
    <row r="4976" hidden="1" spans="2:18">
      <c r="B4976" s="136" t="s">
        <v>81</v>
      </c>
      <c r="C4976" s="105">
        <v>45954</v>
      </c>
      <c r="D4976" s="41" t="str">
        <f>VLOOKUP(B4976,辅助信息!E:K,7,FALSE)</f>
        <v>JWDDCD2025060900080</v>
      </c>
      <c r="E4976" s="41" t="str">
        <f>VLOOKUP(F4976,辅助信息!A:B,2,FALSE)</f>
        <v>螺纹钢</v>
      </c>
      <c r="F4976" s="41" t="s">
        <v>32</v>
      </c>
      <c r="G4976" s="37">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40" t="str">
        <f>VLOOKUP(B4976,辅助信息!E:I,3,FALSE)</f>
        <v>（华西简阳西城嘉苑）四川省成都市简阳市简城街道高屋村</v>
      </c>
      <c r="J4976" s="41" t="str">
        <f>VLOOKUP(B4976,辅助信息!E:I,4,FALSE)</f>
        <v>张瀚镭</v>
      </c>
      <c r="K4976" s="41">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5</v>
      </c>
      <c r="Q4976" s="30" t="str">
        <f>VLOOKUP(B4976,辅助信息!E:M,9,FALSE)</f>
        <v>ZTWM-CDGS-XS-2024-0030-华西集采-简州大道</v>
      </c>
      <c r="R4976" s="30" t="str">
        <f>_xlfn._xlws.FILTER(辅助信息!D:D,辅助信息!E:E=B4976)</f>
        <v>华西简阳西城嘉苑</v>
      </c>
    </row>
    <row r="4977" hidden="1" spans="2:18">
      <c r="B4977" s="136" t="s">
        <v>81</v>
      </c>
      <c r="C4977" s="105">
        <v>45954</v>
      </c>
      <c r="D4977" s="41" t="str">
        <f>VLOOKUP(B4977,辅助信息!E:K,7,FALSE)</f>
        <v>JWDDCD2025060900080</v>
      </c>
      <c r="E4977" s="41" t="str">
        <f>VLOOKUP(F4977,辅助信息!A:B,2,FALSE)</f>
        <v>螺纹钢</v>
      </c>
      <c r="F4977" s="41" t="s">
        <v>58</v>
      </c>
      <c r="G4977" s="37">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40" t="str">
        <f>VLOOKUP(B4977,辅助信息!E:I,3,FALSE)</f>
        <v>（华西简阳西城嘉苑）四川省成都市简阳市简城街道高屋村</v>
      </c>
      <c r="J4977" s="41" t="str">
        <f>VLOOKUP(B4977,辅助信息!E:I,4,FALSE)</f>
        <v>张瀚镭</v>
      </c>
      <c r="K4977" s="41">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5</v>
      </c>
      <c r="Q4977" s="30" t="str">
        <f>VLOOKUP(B4977,辅助信息!E:M,9,FALSE)</f>
        <v>ZTWM-CDGS-XS-2024-0030-华西集采-简州大道</v>
      </c>
      <c r="R4977" s="30" t="str">
        <f>_xlfn._xlws.FILTER(辅助信息!D:D,辅助信息!E:E=B4977)</f>
        <v>华西简阳西城嘉苑</v>
      </c>
    </row>
    <row r="4978" hidden="1" spans="2:18">
      <c r="B4978" s="136" t="s">
        <v>81</v>
      </c>
      <c r="C4978" s="105">
        <v>45954</v>
      </c>
      <c r="D4978" s="41" t="str">
        <f>VLOOKUP(B4978,辅助信息!E:K,7,FALSE)</f>
        <v>JWDDCD2025060900080</v>
      </c>
      <c r="E4978" s="41" t="str">
        <f>VLOOKUP(F4978,辅助信息!A:B,2,FALSE)</f>
        <v>螺纹钢</v>
      </c>
      <c r="F4978" s="41" t="s">
        <v>22</v>
      </c>
      <c r="G4978" s="37">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40" t="str">
        <f>VLOOKUP(B4978,辅助信息!E:I,3,FALSE)</f>
        <v>（华西简阳西城嘉苑）四川省成都市简阳市简城街道高屋村</v>
      </c>
      <c r="J4978" s="41" t="str">
        <f>VLOOKUP(B4978,辅助信息!E:I,4,FALSE)</f>
        <v>张瀚镭</v>
      </c>
      <c r="K4978" s="41">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5</v>
      </c>
      <c r="Q4978" s="30" t="str">
        <f>VLOOKUP(B4978,辅助信息!E:M,9,FALSE)</f>
        <v>ZTWM-CDGS-XS-2024-0030-华西集采-简州大道</v>
      </c>
      <c r="R4978" s="30" t="str">
        <f>_xlfn._xlws.FILTER(辅助信息!D:D,辅助信息!E:E=B4978)</f>
        <v>华西简阳西城嘉苑</v>
      </c>
    </row>
    <row r="4979" hidden="1" spans="2:18">
      <c r="B4979" s="136" t="s">
        <v>68</v>
      </c>
      <c r="C4979" s="105">
        <v>45954</v>
      </c>
      <c r="D4979" s="41" t="str">
        <f>VLOOKUP(B4979,辅助信息!E:K,7,FALSE)</f>
        <v>JWDDCD2025052800131</v>
      </c>
      <c r="E4979" s="41" t="str">
        <f>VLOOKUP(F4979,辅助信息!A:B,2,FALSE)</f>
        <v>螺纹钢</v>
      </c>
      <c r="F4979" s="41" t="s">
        <v>30</v>
      </c>
      <c r="G4979" s="37">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40" t="str">
        <f>VLOOKUP(B4979,辅助信息!E:I,3,FALSE)</f>
        <v>（商投建工达州中医药科技园-2工区-景观桥）达州市通川区达州中医药职业学院犀牛大道北段</v>
      </c>
      <c r="J4979" s="41" t="str">
        <f>VLOOKUP(B4979,辅助信息!E:I,4,FALSE)</f>
        <v>李波</v>
      </c>
      <c r="K4979" s="41">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5</v>
      </c>
      <c r="Q4979" s="30" t="str">
        <f>VLOOKUP(B4979,辅助信息!E:M,9,FALSE)</f>
        <v>ZTWM-CDGS-XS-2024-0134-商投建工达州中医药科技成果示范园项目</v>
      </c>
      <c r="R4979" s="30" t="str">
        <f>_xlfn._xlws.FILTER(辅助信息!D:D,辅助信息!E:E=B4979)</f>
        <v>商投建工达州中医药科技园</v>
      </c>
    </row>
    <row r="4980" hidden="1" spans="2:18">
      <c r="B4980" s="136" t="s">
        <v>68</v>
      </c>
      <c r="C4980" s="105">
        <v>45954</v>
      </c>
      <c r="D4980" s="41" t="str">
        <f>VLOOKUP(B4980,辅助信息!E:K,7,FALSE)</f>
        <v>JWDDCD2025052800131</v>
      </c>
      <c r="E4980" s="41" t="str">
        <f>VLOOKUP(F4980,辅助信息!A:B,2,FALSE)</f>
        <v>螺纹钢</v>
      </c>
      <c r="F4980" s="41" t="s">
        <v>21</v>
      </c>
      <c r="G4980" s="37">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40" t="str">
        <f>VLOOKUP(B4980,辅助信息!E:I,3,FALSE)</f>
        <v>（商投建工达州中医药科技园-2工区-景观桥）达州市通川区达州中医药职业学院犀牛大道北段</v>
      </c>
      <c r="J4980" s="41" t="str">
        <f>VLOOKUP(B4980,辅助信息!E:I,4,FALSE)</f>
        <v>李波</v>
      </c>
      <c r="K4980" s="41">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5</v>
      </c>
      <c r="Q4980" s="30" t="str">
        <f>VLOOKUP(B4980,辅助信息!E:M,9,FALSE)</f>
        <v>ZTWM-CDGS-XS-2024-0134-商投建工达州中医药科技成果示范园项目</v>
      </c>
      <c r="R4980" s="30" t="str">
        <f>_xlfn._xlws.FILTER(辅助信息!D:D,辅助信息!E:E=B4980)</f>
        <v>商投建工达州中医药科技园</v>
      </c>
    </row>
    <row r="4981" hidden="1" spans="2:18">
      <c r="B4981" s="136" t="s">
        <v>68</v>
      </c>
      <c r="C4981" s="105">
        <v>45954</v>
      </c>
      <c r="D4981" s="41" t="str">
        <f>VLOOKUP(B4981,辅助信息!E:K,7,FALSE)</f>
        <v>JWDDCD2025052800131</v>
      </c>
      <c r="E4981" s="41" t="str">
        <f>VLOOKUP(F4981,辅助信息!A:B,2,FALSE)</f>
        <v>螺纹钢</v>
      </c>
      <c r="F4981" s="41" t="s">
        <v>58</v>
      </c>
      <c r="G4981" s="37">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40" t="str">
        <f>VLOOKUP(B4981,辅助信息!E:I,3,FALSE)</f>
        <v>（商投建工达州中医药科技园-2工区-景观桥）达州市通川区达州中医药职业学院犀牛大道北段</v>
      </c>
      <c r="J4981" s="41" t="str">
        <f>VLOOKUP(B4981,辅助信息!E:I,4,FALSE)</f>
        <v>李波</v>
      </c>
      <c r="K4981" s="41">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5</v>
      </c>
      <c r="Q4981" s="30" t="str">
        <f>VLOOKUP(B4981,辅助信息!E:M,9,FALSE)</f>
        <v>ZTWM-CDGS-XS-2024-0134-商投建工达州中医药科技成果示范园项目</v>
      </c>
      <c r="R4981" s="30" t="str">
        <f>_xlfn._xlws.FILTER(辅助信息!D:D,辅助信息!E:E=B4981)</f>
        <v>商投建工达州中医药科技园</v>
      </c>
    </row>
    <row r="4982" hidden="1" spans="2:18">
      <c r="B4982" s="136" t="s">
        <v>167</v>
      </c>
      <c r="C4982" s="105">
        <v>45954</v>
      </c>
      <c r="D4982" s="41" t="str">
        <f>VLOOKUP(B4982,辅助信息!E:K,7,FALSE)</f>
        <v>JWDDCD2025102100473</v>
      </c>
      <c r="E4982" s="41" t="str">
        <f>VLOOKUP(F4982,辅助信息!A:B,2,FALSE)</f>
        <v>盘螺</v>
      </c>
      <c r="F4982" s="41" t="s">
        <v>40</v>
      </c>
      <c r="G4982" s="37">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40" t="str">
        <f>VLOOKUP(B4982,辅助信息!E:I,3,FALSE)</f>
        <v>(五冶建设扩建艺体中学二期工程)四川省成都市双流区光荣路成都艺体中学南200米</v>
      </c>
      <c r="J4982" s="41" t="str">
        <f>VLOOKUP(B4982,辅助信息!E:I,4,FALSE)</f>
        <v>谢序强</v>
      </c>
      <c r="K4982" s="41">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30" t="str">
        <f>VLOOKUP(B4982,辅助信息!E:M,9,FALSE)</f>
        <v>ZTWM-CDGS-XS-2025-0073-五冶天府-成都怡心湖片区及龙泉驿医院等项目</v>
      </c>
      <c r="R4982" s="30" t="str">
        <f>_xlfn._xlws.FILTER(辅助信息!D:D,辅助信息!E:E=B4982)</f>
        <v>五冶建设扩建艺体中学二期工程</v>
      </c>
    </row>
    <row r="4983" hidden="1" spans="2:18">
      <c r="B4983" s="136" t="s">
        <v>167</v>
      </c>
      <c r="C4983" s="105">
        <v>45954</v>
      </c>
      <c r="D4983" s="41" t="str">
        <f>VLOOKUP(B4983,辅助信息!E:K,7,FALSE)</f>
        <v>JWDDCD2025102100473</v>
      </c>
      <c r="E4983" s="41" t="str">
        <f>VLOOKUP(F4983,辅助信息!A:B,2,FALSE)</f>
        <v>盘螺</v>
      </c>
      <c r="F4983" s="41" t="s">
        <v>41</v>
      </c>
      <c r="G4983" s="37">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40" t="str">
        <f>VLOOKUP(B4983,辅助信息!E:I,3,FALSE)</f>
        <v>(五冶建设扩建艺体中学二期工程)四川省成都市双流区光荣路成都艺体中学南200米</v>
      </c>
      <c r="J4983" s="41" t="str">
        <f>VLOOKUP(B4983,辅助信息!E:I,4,FALSE)</f>
        <v>谢序强</v>
      </c>
      <c r="K4983" s="41">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30" t="str">
        <f>VLOOKUP(B4983,辅助信息!E:M,9,FALSE)</f>
        <v>ZTWM-CDGS-XS-2025-0073-五冶天府-成都怡心湖片区及龙泉驿医院等项目</v>
      </c>
      <c r="R4983" s="30" t="str">
        <f>_xlfn._xlws.FILTER(辅助信息!D:D,辅助信息!E:E=B4983)</f>
        <v>五冶建设扩建艺体中学二期工程</v>
      </c>
    </row>
    <row r="4984" hidden="1" spans="2:18">
      <c r="B4984" s="136" t="s">
        <v>167</v>
      </c>
      <c r="C4984" s="105">
        <v>45954</v>
      </c>
      <c r="D4984" s="41" t="str">
        <f>VLOOKUP(B4984,辅助信息!E:K,7,FALSE)</f>
        <v>JWDDCD2025102100473</v>
      </c>
      <c r="E4984" s="41" t="str">
        <f>VLOOKUP(F4984,辅助信息!A:B,2,FALSE)</f>
        <v>螺纹钢</v>
      </c>
      <c r="F4984" s="41" t="s">
        <v>27</v>
      </c>
      <c r="G4984" s="37">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40" t="str">
        <f>VLOOKUP(B4984,辅助信息!E:I,3,FALSE)</f>
        <v>(五冶建设扩建艺体中学二期工程)四川省成都市双流区光荣路成都艺体中学南200米</v>
      </c>
      <c r="J4984" s="41" t="str">
        <f>VLOOKUP(B4984,辅助信息!E:I,4,FALSE)</f>
        <v>谢序强</v>
      </c>
      <c r="K4984" s="41">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30" t="str">
        <f>VLOOKUP(B4984,辅助信息!E:M,9,FALSE)</f>
        <v>ZTWM-CDGS-XS-2025-0073-五冶天府-成都怡心湖片区及龙泉驿医院等项目</v>
      </c>
      <c r="R4984" s="30" t="str">
        <f>_xlfn._xlws.FILTER(辅助信息!D:D,辅助信息!E:E=B4984)</f>
        <v>五冶建设扩建艺体中学二期工程</v>
      </c>
    </row>
    <row r="4985" hidden="1" spans="2:18">
      <c r="B4985" s="136" t="s">
        <v>167</v>
      </c>
      <c r="C4985" s="105">
        <v>45954</v>
      </c>
      <c r="D4985" s="41" t="str">
        <f>VLOOKUP(B4985,辅助信息!E:K,7,FALSE)</f>
        <v>JWDDCD2025102100473</v>
      </c>
      <c r="E4985" s="41" t="str">
        <f>VLOOKUP(F4985,辅助信息!A:B,2,FALSE)</f>
        <v>螺纹钢</v>
      </c>
      <c r="F4985" s="41" t="s">
        <v>30</v>
      </c>
      <c r="G4985" s="37">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40" t="str">
        <f>VLOOKUP(B4985,辅助信息!E:I,3,FALSE)</f>
        <v>(五冶建设扩建艺体中学二期工程)四川省成都市双流区光荣路成都艺体中学南200米</v>
      </c>
      <c r="J4985" s="41" t="str">
        <f>VLOOKUP(B4985,辅助信息!E:I,4,FALSE)</f>
        <v>谢序强</v>
      </c>
      <c r="K4985" s="41">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30" t="str">
        <f>VLOOKUP(B4985,辅助信息!E:M,9,FALSE)</f>
        <v>ZTWM-CDGS-XS-2025-0073-五冶天府-成都怡心湖片区及龙泉驿医院等项目</v>
      </c>
      <c r="R4985" s="30" t="str">
        <f>_xlfn._xlws.FILTER(辅助信息!D:D,辅助信息!E:E=B4985)</f>
        <v>五冶建设扩建艺体中学二期工程</v>
      </c>
    </row>
    <row r="4986" hidden="1" spans="2:18">
      <c r="B4986" s="136" t="s">
        <v>167</v>
      </c>
      <c r="C4986" s="105">
        <v>45954</v>
      </c>
      <c r="D4986" s="41" t="str">
        <f>VLOOKUP(B4986,辅助信息!E:K,7,FALSE)</f>
        <v>JWDDCD2025102100473</v>
      </c>
      <c r="E4986" s="41" t="str">
        <f>VLOOKUP(F4986,辅助信息!A:B,2,FALSE)</f>
        <v>螺纹钢</v>
      </c>
      <c r="F4986" s="41" t="s">
        <v>66</v>
      </c>
      <c r="G4986" s="37">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40" t="str">
        <f>VLOOKUP(B4986,辅助信息!E:I,3,FALSE)</f>
        <v>(五冶建设扩建艺体中学二期工程)四川省成都市双流区光荣路成都艺体中学南200米</v>
      </c>
      <c r="J4986" s="41" t="str">
        <f>VLOOKUP(B4986,辅助信息!E:I,4,FALSE)</f>
        <v>谢序强</v>
      </c>
      <c r="K4986" s="41">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30" t="str">
        <f>VLOOKUP(B4986,辅助信息!E:M,9,FALSE)</f>
        <v>ZTWM-CDGS-XS-2025-0073-五冶天府-成都怡心湖片区及龙泉驿医院等项目</v>
      </c>
      <c r="R4986" s="30" t="str">
        <f>_xlfn._xlws.FILTER(辅助信息!D:D,辅助信息!E:E=B4986)</f>
        <v>五冶建设扩建艺体中学二期工程</v>
      </c>
    </row>
    <row r="4987" hidden="1" spans="2:18">
      <c r="B4987" s="136" t="s">
        <v>167</v>
      </c>
      <c r="C4987" s="105">
        <v>45954</v>
      </c>
      <c r="D4987" s="41" t="str">
        <f>VLOOKUP(B4987,辅助信息!E:K,7,FALSE)</f>
        <v>JWDDCD2025102100473</v>
      </c>
      <c r="E4987" s="41" t="str">
        <f>VLOOKUP(F4987,辅助信息!A:B,2,FALSE)</f>
        <v>螺纹钢</v>
      </c>
      <c r="F4987" s="41" t="s">
        <v>82</v>
      </c>
      <c r="G4987" s="37">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40" t="str">
        <f>VLOOKUP(B4987,辅助信息!E:I,3,FALSE)</f>
        <v>(五冶建设扩建艺体中学二期工程)四川省成都市双流区光荣路成都艺体中学南200米</v>
      </c>
      <c r="J4987" s="41" t="str">
        <f>VLOOKUP(B4987,辅助信息!E:I,4,FALSE)</f>
        <v>谢序强</v>
      </c>
      <c r="K4987" s="41">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30" t="str">
        <f>VLOOKUP(B4987,辅助信息!E:M,9,FALSE)</f>
        <v>ZTWM-CDGS-XS-2025-0073-五冶天府-成都怡心湖片区及龙泉驿医院等项目</v>
      </c>
      <c r="R4987" s="30" t="str">
        <f>_xlfn._xlws.FILTER(辅助信息!D:D,辅助信息!E:E=B4987)</f>
        <v>五冶建设扩建艺体中学二期工程</v>
      </c>
    </row>
    <row r="4988" hidden="1" spans="2:18">
      <c r="B4988" s="136" t="s">
        <v>167</v>
      </c>
      <c r="C4988" s="105">
        <v>45954</v>
      </c>
      <c r="D4988" s="41" t="str">
        <f>VLOOKUP(B4988,辅助信息!E:K,7,FALSE)</f>
        <v>JWDDCD2025102100473</v>
      </c>
      <c r="E4988" s="41" t="str">
        <f>VLOOKUP(F4988,辅助信息!A:B,2,FALSE)</f>
        <v>螺纹钢</v>
      </c>
      <c r="F4988" s="41" t="s">
        <v>45</v>
      </c>
      <c r="G4988" s="37">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40" t="str">
        <f>VLOOKUP(B4988,辅助信息!E:I,3,FALSE)</f>
        <v>(五冶建设扩建艺体中学二期工程)四川省成都市双流区光荣路成都艺体中学南200米</v>
      </c>
      <c r="J4988" s="41" t="str">
        <f>VLOOKUP(B4988,辅助信息!E:I,4,FALSE)</f>
        <v>谢序强</v>
      </c>
      <c r="K4988" s="41">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30" t="str">
        <f>VLOOKUP(B4988,辅助信息!E:M,9,FALSE)</f>
        <v>ZTWM-CDGS-XS-2025-0073-五冶天府-成都怡心湖片区及龙泉驿医院等项目</v>
      </c>
      <c r="R4988" s="30" t="str">
        <f>_xlfn._xlws.FILTER(辅助信息!D:D,辅助信息!E:E=B4988)</f>
        <v>五冶建设扩建艺体中学二期工程</v>
      </c>
    </row>
    <row r="4989" hidden="1" spans="2:18">
      <c r="B4989" s="136" t="s">
        <v>167</v>
      </c>
      <c r="C4989" s="105">
        <v>45954</v>
      </c>
      <c r="D4989" s="41" t="str">
        <f>VLOOKUP(B4989,辅助信息!E:K,7,FALSE)</f>
        <v>JWDDCD2025102100473</v>
      </c>
      <c r="E4989" s="41" t="str">
        <f>VLOOKUP(F4989,辅助信息!A:B,2,FALSE)</f>
        <v>螺纹钢</v>
      </c>
      <c r="F4989" s="41" t="s">
        <v>22</v>
      </c>
      <c r="G4989" s="37">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40" t="str">
        <f>VLOOKUP(B4989,辅助信息!E:I,3,FALSE)</f>
        <v>(五冶建设扩建艺体中学二期工程)四川省成都市双流区光荣路成都艺体中学南200米</v>
      </c>
      <c r="J4989" s="41" t="str">
        <f>VLOOKUP(B4989,辅助信息!E:I,4,FALSE)</f>
        <v>谢序强</v>
      </c>
      <c r="K4989" s="41">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30" t="str">
        <f>VLOOKUP(B4989,辅助信息!E:M,9,FALSE)</f>
        <v>ZTWM-CDGS-XS-2025-0073-五冶天府-成都怡心湖片区及龙泉驿医院等项目</v>
      </c>
      <c r="R4989" s="30" t="str">
        <f>_xlfn._xlws.FILTER(辅助信息!D:D,辅助信息!E:E=B4989)</f>
        <v>五冶建设扩建艺体中学二期工程</v>
      </c>
    </row>
    <row r="4990" hidden="1" spans="2:18">
      <c r="B4990" s="136" t="s">
        <v>240</v>
      </c>
      <c r="C4990" s="105">
        <v>45954</v>
      </c>
      <c r="D4990" s="41" t="str">
        <f>VLOOKUP(B4990,辅助信息!E:K,7,FALSE)</f>
        <v>JWDDCD2025092400204</v>
      </c>
      <c r="E4990" s="41" t="str">
        <f>VLOOKUP(F4990,辅助信息!A:B,2,FALSE)</f>
        <v>螺纹钢</v>
      </c>
      <c r="F4990" s="41" t="s">
        <v>32</v>
      </c>
      <c r="G4990" s="37">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40" t="str">
        <f>VLOOKUP(B4990,辅助信息!E:I,3,FALSE)</f>
        <v>(五冶钢构龙泉东洪片区70亩住宅、商业及配套工程项目三标段)成都市龙泉驿外东洪路地铁2号线惠王陵地铁C口</v>
      </c>
      <c r="J4990" s="41" t="str">
        <f>VLOOKUP(B4990,辅助信息!E:I,4,FALSE)</f>
        <v>蒋嗣伟</v>
      </c>
      <c r="K4990" s="41">
        <f>VLOOKUP(J4990,辅助信息!H:I,2,FALSE)</f>
        <v>15014331252</v>
      </c>
      <c r="L4990" s="110">
        <f>VLOOKUP(B4990,辅助信息!E:J,6,FALSE)</f>
        <v>0</v>
      </c>
      <c r="O4990" s="63" t="str">
        <f ca="1" t="shared" si="238"/>
        <v/>
      </c>
      <c r="P4990" s="63" t="str">
        <f ca="1" t="shared" si="239"/>
        <v/>
      </c>
      <c r="Q4990" s="30" t="str">
        <f>VLOOKUP(B4990,辅助信息!E:M,9,FALSE)</f>
        <v>ZTWM-CDGS-XS-2025-0156-五冶钢构-2025年九月第一批次钢筋采购合同(三圣乡项目)-中铁物贸成都公司</v>
      </c>
      <c r="R4990" s="30" t="str">
        <f>_xlfn._xlws.FILTER(辅助信息!D:D,辅助信息!E:E=B4990)</f>
        <v>五冶钢构龙泉东洪片区(70亩、85亩)住宅、商业及配套工程项目</v>
      </c>
    </row>
    <row r="4991" hidden="1" spans="2:18">
      <c r="B4991" s="136" t="s">
        <v>240</v>
      </c>
      <c r="C4991" s="105">
        <v>45954</v>
      </c>
      <c r="D4991" s="41" t="str">
        <f>VLOOKUP(B4991,辅助信息!E:K,7,FALSE)</f>
        <v>JWDDCD2025092400204</v>
      </c>
      <c r="E4991" s="41" t="str">
        <f>VLOOKUP(F4991,辅助信息!A:B,2,FALSE)</f>
        <v>螺纹钢</v>
      </c>
      <c r="F4991" s="41" t="s">
        <v>30</v>
      </c>
      <c r="G4991" s="37">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40" t="str">
        <f>VLOOKUP(B4991,辅助信息!E:I,3,FALSE)</f>
        <v>(五冶钢构龙泉东洪片区70亩住宅、商业及配套工程项目三标段)成都市龙泉驿外东洪路地铁2号线惠王陵地铁C口</v>
      </c>
      <c r="J4991" s="41" t="str">
        <f>VLOOKUP(B4991,辅助信息!E:I,4,FALSE)</f>
        <v>蒋嗣伟</v>
      </c>
      <c r="K4991" s="41">
        <f>VLOOKUP(J4991,辅助信息!H:I,2,FALSE)</f>
        <v>15014331252</v>
      </c>
      <c r="L4991" s="110">
        <f>VLOOKUP(B4991,辅助信息!E:J,6,FALSE)</f>
        <v>0</v>
      </c>
      <c r="O4991" s="63" t="str">
        <f ca="1" t="shared" si="238"/>
        <v/>
      </c>
      <c r="P4991" s="63" t="str">
        <f ca="1" t="shared" si="239"/>
        <v/>
      </c>
      <c r="Q4991" s="30" t="str">
        <f>VLOOKUP(B4991,辅助信息!E:M,9,FALSE)</f>
        <v>ZTWM-CDGS-XS-2025-0156-五冶钢构-2025年九月第一批次钢筋采购合同(三圣乡项目)-中铁物贸成都公司</v>
      </c>
      <c r="R4991" s="30" t="str">
        <f>_xlfn._xlws.FILTER(辅助信息!D:D,辅助信息!E:E=B4991)</f>
        <v>五冶钢构龙泉东洪片区(70亩、85亩)住宅、商业及配套工程项目</v>
      </c>
    </row>
    <row r="4992" hidden="1" spans="2:18">
      <c r="B4992" s="136" t="s">
        <v>225</v>
      </c>
      <c r="C4992" s="105">
        <v>45954</v>
      </c>
      <c r="D4992" s="41" t="str">
        <f>VLOOKUP(B4992,辅助信息!E:K,7,FALSE)</f>
        <v>JWDDCD2025092400210</v>
      </c>
      <c r="E4992" s="41" t="str">
        <f>VLOOKUP(F4992,辅助信息!A:B,2,FALSE)</f>
        <v>盘螺</v>
      </c>
      <c r="F4992" s="41" t="s">
        <v>40</v>
      </c>
      <c r="G4992" s="37">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40" t="str">
        <f>VLOOKUP(B4992,辅助信息!E:I,3,FALSE)</f>
        <v>(五冶钢构龙泉东洪片区85亩住宅、商业及配套工程项目一标段)成都市龙泉驿外东洪路地铁2号线惠王陵地铁C口</v>
      </c>
      <c r="J4992" s="41" t="str">
        <f>VLOOKUP(B4992,辅助信息!E:I,4,FALSE)</f>
        <v>岳工</v>
      </c>
      <c r="K4992" s="41">
        <f>VLOOKUP(J4992,辅助信息!H:I,2,FALSE)</f>
        <v>18599951655</v>
      </c>
      <c r="L4992" s="110">
        <f>VLOOKUP(B4992,辅助信息!E:J,6,FALSE)</f>
        <v>0</v>
      </c>
      <c r="O4992" s="63" t="str">
        <f ca="1" t="shared" si="238"/>
        <v/>
      </c>
      <c r="P4992" s="63" t="str">
        <f ca="1" t="shared" si="239"/>
        <v/>
      </c>
      <c r="Q4992" s="30" t="str">
        <f>VLOOKUP(B4992,辅助信息!E:M,9,FALSE)</f>
        <v>ZTWM-CDGS-XS-2025-0156-五冶钢构-2025年九月第一批次钢筋采购合同(三圣乡项目)-中铁物贸成都公司</v>
      </c>
      <c r="R4992" s="30" t="str">
        <f>_xlfn._xlws.FILTER(辅助信息!D:D,辅助信息!E:E=B4992)</f>
        <v>五冶钢构龙泉东洪片区(70亩、85亩)住宅、商业及配套工程项目</v>
      </c>
    </row>
    <row r="4993" spans="2:18">
      <c r="B4993" s="137" t="s">
        <v>229</v>
      </c>
      <c r="C4993" s="71">
        <v>45959</v>
      </c>
      <c r="D4993" s="121" t="str">
        <f>VLOOKUP(B4993,辅助信息!E:K,7,FALSE)</f>
        <v>JWDDCD2025092400212</v>
      </c>
      <c r="E4993" s="121" t="str">
        <f>VLOOKUP(F4993,辅助信息!A:B,2,FALSE)</f>
        <v>盘螺</v>
      </c>
      <c r="F4993" s="121" t="s">
        <v>40</v>
      </c>
      <c r="G4993" s="122">
        <f>75-34</f>
        <v>41</v>
      </c>
      <c r="H4993" s="135"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7" t="str">
        <f>VLOOKUP(B4993,辅助信息!E:I,3,FALSE)</f>
        <v>(五冶钢构龙泉东洪片区85亩住宅、商业及配套工程项目三标段)成都市龙泉驿外东洪路地铁2号线惠王陵地铁C口</v>
      </c>
      <c r="J4993" s="121" t="str">
        <f>VLOOKUP(B4993,辅助信息!E:I,4,FALSE)</f>
        <v>王军宝</v>
      </c>
      <c r="K4993" s="121">
        <f>VLOOKUP(J4993,辅助信息!H:I,2,FALSE)</f>
        <v>13889142392</v>
      </c>
      <c r="L4993" s="123">
        <f>VLOOKUP(B4993,辅助信息!E:J,6,FALSE)</f>
        <v>0</v>
      </c>
      <c r="M4993" s="92">
        <v>45948</v>
      </c>
      <c r="O4993" s="63">
        <f ca="1" t="shared" si="238"/>
        <v>0</v>
      </c>
      <c r="P4993" s="63">
        <f ca="1" t="shared" si="239"/>
        <v>11</v>
      </c>
      <c r="Q4993" s="30" t="str">
        <f>VLOOKUP(B4993,辅助信息!E:M,9,FALSE)</f>
        <v>ZTWM-CDGS-XS-2025-0156-五冶钢构-2025年九月第一批次钢筋采购合同(三圣乡项目)-中铁物贸成都公司</v>
      </c>
      <c r="R4993" s="30" t="str">
        <f>_xlfn._xlws.FILTER(辅助信息!D:D,辅助信息!E:E=B4993)</f>
        <v>五冶钢构龙泉东洪片区(70亩、85亩)住宅、商业及配套工程项目</v>
      </c>
    </row>
    <row r="4994" spans="2:18">
      <c r="B4994" s="137" t="s">
        <v>228</v>
      </c>
      <c r="C4994" s="71">
        <v>45959</v>
      </c>
      <c r="D4994" s="121" t="str">
        <f>VLOOKUP(B4994,辅助信息!E:K,7,FALSE)</f>
        <v>JWDDCD2025092400190</v>
      </c>
      <c r="E4994" s="121" t="str">
        <f>VLOOKUP(F4994,辅助信息!A:B,2,FALSE)</f>
        <v>盘螺</v>
      </c>
      <c r="F4994" s="121" t="s">
        <v>41</v>
      </c>
      <c r="G4994" s="122">
        <v>16</v>
      </c>
      <c r="H4994" s="135"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7" t="str">
        <f>VLOOKUP(B4994,辅助信息!E:I,3,FALSE)</f>
        <v>(五冶钢构龙泉东洪片区70亩住宅、商业及配套工程项目二标段)成都市龙泉驿外东洪路地铁2号线惠王陵地铁C口</v>
      </c>
      <c r="J4994" s="121" t="str">
        <f>VLOOKUP(B4994,辅助信息!E:I,4,FALSE)</f>
        <v>蒋嗣伟</v>
      </c>
      <c r="K4994" s="121">
        <f>VLOOKUP(J4994,辅助信息!H:I,2,FALSE)</f>
        <v>15014331252</v>
      </c>
      <c r="L4994" s="123">
        <f>VLOOKUP(B4994,辅助信息!E:J,6,FALSE)</f>
        <v>0</v>
      </c>
      <c r="M4994" s="92">
        <v>45948</v>
      </c>
      <c r="O4994" s="63">
        <f ca="1" t="shared" si="238"/>
        <v>0</v>
      </c>
      <c r="P4994" s="63">
        <f ca="1" t="shared" si="239"/>
        <v>11</v>
      </c>
      <c r="Q4994" s="30" t="str">
        <f>VLOOKUP(B4994,辅助信息!E:M,9,FALSE)</f>
        <v>ZTWM-CDGS-XS-2025-0156-五冶钢构-2025年九月第一批次钢筋采购合同(三圣乡项目)-中铁物贸成都公司</v>
      </c>
      <c r="R4994" s="30" t="str">
        <f>_xlfn._xlws.FILTER(辅助信息!D:D,辅助信息!E:E=B4994)</f>
        <v>五冶钢构龙泉东洪片区(70亩、85亩)住宅、商业及配套工程项目</v>
      </c>
    </row>
    <row r="4995" spans="2:18">
      <c r="B4995" s="137" t="s">
        <v>229</v>
      </c>
      <c r="C4995" s="71">
        <v>45959</v>
      </c>
      <c r="D4995" s="121" t="str">
        <f>VLOOKUP(B4995,辅助信息!E:K,7,FALSE)</f>
        <v>JWDDCD2025092400212</v>
      </c>
      <c r="E4995" s="121" t="str">
        <f>VLOOKUP(F4995,辅助信息!A:B,2,FALSE)</f>
        <v>高线</v>
      </c>
      <c r="F4995" s="121" t="s">
        <v>57</v>
      </c>
      <c r="G4995" s="122">
        <v>2</v>
      </c>
      <c r="H4995" s="135"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7" t="str">
        <f>VLOOKUP(B4995,辅助信息!E:I,3,FALSE)</f>
        <v>(五冶钢构龙泉东洪片区85亩住宅、商业及配套工程项目三标段)成都市龙泉驿外东洪路地铁2号线惠王陵地铁C口</v>
      </c>
      <c r="J4995" s="121" t="str">
        <f>VLOOKUP(B4995,辅助信息!E:I,4,FALSE)</f>
        <v>王军宝</v>
      </c>
      <c r="K4995" s="121">
        <f>VLOOKUP(J4995,辅助信息!H:I,2,FALSE)</f>
        <v>13889142392</v>
      </c>
      <c r="L4995" s="123">
        <f>VLOOKUP(B4995,辅助信息!E:J,6,FALSE)</f>
        <v>0</v>
      </c>
      <c r="M4995" s="92">
        <v>45950</v>
      </c>
      <c r="O4995" s="63">
        <f ca="1" t="shared" si="238"/>
        <v>0</v>
      </c>
      <c r="P4995" s="63">
        <f ca="1" t="shared" si="239"/>
        <v>9</v>
      </c>
      <c r="Q4995" s="30" t="str">
        <f>VLOOKUP(B4995,辅助信息!E:M,9,FALSE)</f>
        <v>ZTWM-CDGS-XS-2025-0156-五冶钢构-2025年九月第一批次钢筋采购合同(三圣乡项目)-中铁物贸成都公司</v>
      </c>
      <c r="R4995" s="30" t="str">
        <f>_xlfn._xlws.FILTER(辅助信息!D:D,辅助信息!E:E=B4995)</f>
        <v>五冶钢构龙泉东洪片区(70亩、85亩)住宅、商业及配套工程项目</v>
      </c>
    </row>
    <row r="4996" spans="2:18">
      <c r="B4996" s="137" t="s">
        <v>229</v>
      </c>
      <c r="C4996" s="71">
        <v>45959</v>
      </c>
      <c r="D4996" s="121" t="str">
        <f>VLOOKUP(B4996,辅助信息!E:K,7,FALSE)</f>
        <v>JWDDCD2025092400212</v>
      </c>
      <c r="E4996" s="121" t="str">
        <f>VLOOKUP(F4996,辅助信息!A:B,2,FALSE)</f>
        <v>高线</v>
      </c>
      <c r="F4996" s="121" t="s">
        <v>53</v>
      </c>
      <c r="G4996" s="122">
        <v>2</v>
      </c>
      <c r="H4996" s="135"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7" t="str">
        <f>VLOOKUP(B4996,辅助信息!E:I,3,FALSE)</f>
        <v>(五冶钢构龙泉东洪片区85亩住宅、商业及配套工程项目三标段)成都市龙泉驿外东洪路地铁2号线惠王陵地铁C口</v>
      </c>
      <c r="J4996" s="121" t="str">
        <f>VLOOKUP(B4996,辅助信息!E:I,4,FALSE)</f>
        <v>王军宝</v>
      </c>
      <c r="K4996" s="121">
        <f>VLOOKUP(J4996,辅助信息!H:I,2,FALSE)</f>
        <v>13889142392</v>
      </c>
      <c r="L4996" s="123">
        <f>VLOOKUP(B4996,辅助信息!E:J,6,FALSE)</f>
        <v>0</v>
      </c>
      <c r="M4996" s="92">
        <v>45950</v>
      </c>
      <c r="O4996" s="63">
        <f ca="1" t="shared" si="238"/>
        <v>0</v>
      </c>
      <c r="P4996" s="63">
        <f ca="1" t="shared" si="239"/>
        <v>9</v>
      </c>
      <c r="Q4996" s="30" t="str">
        <f>VLOOKUP(B4996,辅助信息!E:M,9,FALSE)</f>
        <v>ZTWM-CDGS-XS-2025-0156-五冶钢构-2025年九月第一批次钢筋采购合同(三圣乡项目)-中铁物贸成都公司</v>
      </c>
      <c r="R4996" s="30" t="str">
        <f>_xlfn._xlws.FILTER(辅助信息!D:D,辅助信息!E:E=B4996)</f>
        <v>五冶钢构龙泉东洪片区(70亩、85亩)住宅、商业及配套工程项目</v>
      </c>
    </row>
    <row r="4997" spans="2:18">
      <c r="B4997" s="137" t="s">
        <v>229</v>
      </c>
      <c r="C4997" s="71">
        <v>45959</v>
      </c>
      <c r="D4997" s="121" t="str">
        <f>VLOOKUP(B4997,辅助信息!E:K,7,FALSE)</f>
        <v>JWDDCD2025092400212</v>
      </c>
      <c r="E4997" s="121" t="str">
        <f>VLOOKUP(F4997,辅助信息!A:B,2,FALSE)</f>
        <v>盘螺</v>
      </c>
      <c r="F4997" s="121" t="s">
        <v>49</v>
      </c>
      <c r="G4997" s="122">
        <v>2</v>
      </c>
      <c r="H4997" s="135"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7" t="str">
        <f>VLOOKUP(B4997,辅助信息!E:I,3,FALSE)</f>
        <v>(五冶钢构龙泉东洪片区85亩住宅、商业及配套工程项目三标段)成都市龙泉驿外东洪路地铁2号线惠王陵地铁C口</v>
      </c>
      <c r="J4997" s="121" t="str">
        <f>VLOOKUP(B4997,辅助信息!E:I,4,FALSE)</f>
        <v>王军宝</v>
      </c>
      <c r="K4997" s="121">
        <f>VLOOKUP(J4997,辅助信息!H:I,2,FALSE)</f>
        <v>13889142392</v>
      </c>
      <c r="L4997" s="123">
        <f>VLOOKUP(B4997,辅助信息!E:J,6,FALSE)</f>
        <v>0</v>
      </c>
      <c r="M4997" s="92">
        <v>45950</v>
      </c>
      <c r="O4997" s="63">
        <f ca="1" t="shared" si="238"/>
        <v>0</v>
      </c>
      <c r="P4997" s="63">
        <f ca="1" t="shared" si="239"/>
        <v>9</v>
      </c>
      <c r="Q4997" s="30" t="str">
        <f>VLOOKUP(B4997,辅助信息!E:M,9,FALSE)</f>
        <v>ZTWM-CDGS-XS-2025-0156-五冶钢构-2025年九月第一批次钢筋采购合同(三圣乡项目)-中铁物贸成都公司</v>
      </c>
      <c r="R4997" s="30" t="str">
        <f>_xlfn._xlws.FILTER(辅助信息!D:D,辅助信息!E:E=B4997)</f>
        <v>五冶钢构龙泉东洪片区(70亩、85亩)住宅、商业及配套工程项目</v>
      </c>
    </row>
    <row r="4998" spans="2:18">
      <c r="B4998" s="137" t="s">
        <v>229</v>
      </c>
      <c r="C4998" s="71">
        <v>45959</v>
      </c>
      <c r="D4998" s="121" t="str">
        <f>VLOOKUP(B4998,辅助信息!E:K,7,FALSE)</f>
        <v>JWDDCD2025092400212</v>
      </c>
      <c r="E4998" s="121" t="str">
        <f>VLOOKUP(F4998,辅助信息!A:B,2,FALSE)</f>
        <v>盘螺</v>
      </c>
      <c r="F4998" s="121" t="s">
        <v>40</v>
      </c>
      <c r="G4998" s="122">
        <v>8</v>
      </c>
      <c r="H4998" s="135"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7" t="str">
        <f>VLOOKUP(B4998,辅助信息!E:I,3,FALSE)</f>
        <v>(五冶钢构龙泉东洪片区85亩住宅、商业及配套工程项目三标段)成都市龙泉驿外东洪路地铁2号线惠王陵地铁C口</v>
      </c>
      <c r="J4998" s="121" t="str">
        <f>VLOOKUP(B4998,辅助信息!E:I,4,FALSE)</f>
        <v>王军宝</v>
      </c>
      <c r="K4998" s="121">
        <f>VLOOKUP(J4998,辅助信息!H:I,2,FALSE)</f>
        <v>13889142392</v>
      </c>
      <c r="L4998" s="123">
        <f>VLOOKUP(B4998,辅助信息!E:J,6,FALSE)</f>
        <v>0</v>
      </c>
      <c r="M4998" s="92">
        <v>45950</v>
      </c>
      <c r="O4998" s="63">
        <f ca="1" t="shared" si="238"/>
        <v>0</v>
      </c>
      <c r="P4998" s="63">
        <f ca="1" t="shared" si="239"/>
        <v>9</v>
      </c>
      <c r="Q4998" s="30" t="str">
        <f>VLOOKUP(B4998,辅助信息!E:M,9,FALSE)</f>
        <v>ZTWM-CDGS-XS-2025-0156-五冶钢构-2025年九月第一批次钢筋采购合同(三圣乡项目)-中铁物贸成都公司</v>
      </c>
      <c r="R4998" s="30" t="str">
        <f>_xlfn._xlws.FILTER(辅助信息!D:D,辅助信息!E:E=B4998)</f>
        <v>五冶钢构龙泉东洪片区(70亩、85亩)住宅、商业及配套工程项目</v>
      </c>
    </row>
    <row r="4999" spans="2:18">
      <c r="B4999" s="137" t="s">
        <v>229</v>
      </c>
      <c r="C4999" s="71">
        <v>45959</v>
      </c>
      <c r="D4999" s="121" t="str">
        <f>VLOOKUP(B4999,辅助信息!E:K,7,FALSE)</f>
        <v>JWDDCD2025092400212</v>
      </c>
      <c r="E4999" s="121" t="str">
        <f>VLOOKUP(F4999,辅助信息!A:B,2,FALSE)</f>
        <v>盘螺</v>
      </c>
      <c r="F4999" s="121" t="s">
        <v>41</v>
      </c>
      <c r="G4999" s="122">
        <v>20</v>
      </c>
      <c r="H4999" s="135"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7" t="str">
        <f>VLOOKUP(B4999,辅助信息!E:I,3,FALSE)</f>
        <v>(五冶钢构龙泉东洪片区85亩住宅、商业及配套工程项目三标段)成都市龙泉驿外东洪路地铁2号线惠王陵地铁C口</v>
      </c>
      <c r="J4999" s="121" t="str">
        <f>VLOOKUP(B4999,辅助信息!E:I,4,FALSE)</f>
        <v>王军宝</v>
      </c>
      <c r="K4999" s="121">
        <f>VLOOKUP(J4999,辅助信息!H:I,2,FALSE)</f>
        <v>13889142392</v>
      </c>
      <c r="L4999" s="123">
        <f>VLOOKUP(B4999,辅助信息!E:J,6,FALSE)</f>
        <v>0</v>
      </c>
      <c r="M4999" s="92">
        <v>45950</v>
      </c>
      <c r="O4999" s="63">
        <f ca="1" t="shared" si="238"/>
        <v>0</v>
      </c>
      <c r="P4999" s="63">
        <f ca="1" t="shared" si="239"/>
        <v>9</v>
      </c>
      <c r="Q4999" s="30" t="str">
        <f>VLOOKUP(B4999,辅助信息!E:M,9,FALSE)</f>
        <v>ZTWM-CDGS-XS-2025-0156-五冶钢构-2025年九月第一批次钢筋采购合同(三圣乡项目)-中铁物贸成都公司</v>
      </c>
      <c r="R4999" s="30" t="str">
        <f>_xlfn._xlws.FILTER(辅助信息!D:D,辅助信息!E:E=B4999)</f>
        <v>五冶钢构龙泉东洪片区(70亩、85亩)住宅、商业及配套工程项目</v>
      </c>
    </row>
    <row r="5000" spans="2:18">
      <c r="B5000" s="137" t="s">
        <v>229</v>
      </c>
      <c r="C5000" s="71">
        <v>45959</v>
      </c>
      <c r="D5000" s="121" t="str">
        <f>VLOOKUP(B5000,辅助信息!E:K,7,FALSE)</f>
        <v>JWDDCD2025092400212</v>
      </c>
      <c r="E5000" s="121" t="str">
        <f>VLOOKUP(F5000,辅助信息!A:B,2,FALSE)</f>
        <v>螺纹钢</v>
      </c>
      <c r="F5000" s="121" t="s">
        <v>27</v>
      </c>
      <c r="G5000" s="122">
        <v>30</v>
      </c>
      <c r="H5000" s="135"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7" t="str">
        <f>VLOOKUP(B5000,辅助信息!E:I,3,FALSE)</f>
        <v>(五冶钢构龙泉东洪片区85亩住宅、商业及配套工程项目三标段)成都市龙泉驿外东洪路地铁2号线惠王陵地铁C口</v>
      </c>
      <c r="J5000" s="121" t="str">
        <f>VLOOKUP(B5000,辅助信息!E:I,4,FALSE)</f>
        <v>王军宝</v>
      </c>
      <c r="K5000" s="121">
        <f>VLOOKUP(J5000,辅助信息!H:I,2,FALSE)</f>
        <v>13889142392</v>
      </c>
      <c r="L5000" s="123">
        <f>VLOOKUP(B5000,辅助信息!E:J,6,FALSE)</f>
        <v>0</v>
      </c>
      <c r="M5000" s="92">
        <v>45950</v>
      </c>
      <c r="O5000" s="63">
        <f ca="1" t="shared" si="238"/>
        <v>0</v>
      </c>
      <c r="P5000" s="63">
        <f ca="1" t="shared" si="239"/>
        <v>9</v>
      </c>
      <c r="Q5000" s="30" t="str">
        <f>VLOOKUP(B5000,辅助信息!E:M,9,FALSE)</f>
        <v>ZTWM-CDGS-XS-2025-0156-五冶钢构-2025年九月第一批次钢筋采购合同(三圣乡项目)-中铁物贸成都公司</v>
      </c>
      <c r="R5000" s="30" t="str">
        <f>_xlfn._xlws.FILTER(辅助信息!D:D,辅助信息!E:E=B5000)</f>
        <v>五冶钢构龙泉东洪片区(70亩、85亩)住宅、商业及配套工程项目</v>
      </c>
    </row>
    <row r="5001" spans="2:18">
      <c r="B5001" s="137" t="s">
        <v>229</v>
      </c>
      <c r="C5001" s="71">
        <v>45959</v>
      </c>
      <c r="D5001" s="121" t="str">
        <f>VLOOKUP(B5001,辅助信息!E:K,7,FALSE)</f>
        <v>JWDDCD2025092400212</v>
      </c>
      <c r="E5001" s="121" t="str">
        <f>VLOOKUP(F5001,辅助信息!A:B,2,FALSE)</f>
        <v>盘螺</v>
      </c>
      <c r="F5001" s="121" t="s">
        <v>49</v>
      </c>
      <c r="G5001" s="122">
        <v>6</v>
      </c>
      <c r="H5001" s="135"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7" t="str">
        <f>VLOOKUP(B5001,辅助信息!E:I,3,FALSE)</f>
        <v>(五冶钢构龙泉东洪片区85亩住宅、商业及配套工程项目三标段)成都市龙泉驿外东洪路地铁2号线惠王陵地铁C口</v>
      </c>
      <c r="J5001" s="121" t="str">
        <f>VLOOKUP(B5001,辅助信息!E:I,4,FALSE)</f>
        <v>王军宝</v>
      </c>
      <c r="K5001" s="121">
        <f>VLOOKUP(J5001,辅助信息!H:I,2,FALSE)</f>
        <v>13889142392</v>
      </c>
      <c r="L5001" s="123">
        <f>VLOOKUP(B5001,辅助信息!E:J,6,FALSE)</f>
        <v>0</v>
      </c>
      <c r="M5001" s="92">
        <v>45950</v>
      </c>
      <c r="O5001" s="63">
        <f ca="1" t="shared" si="238"/>
        <v>0</v>
      </c>
      <c r="P5001" s="63">
        <f ca="1" t="shared" si="239"/>
        <v>9</v>
      </c>
      <c r="Q5001" s="30" t="str">
        <f>VLOOKUP(B5001,辅助信息!E:M,9,FALSE)</f>
        <v>ZTWM-CDGS-XS-2025-0156-五冶钢构-2025年九月第一批次钢筋采购合同(三圣乡项目)-中铁物贸成都公司</v>
      </c>
      <c r="R5001" s="30" t="str">
        <f>_xlfn._xlws.FILTER(辅助信息!D:D,辅助信息!E:E=B5001)</f>
        <v>五冶钢构龙泉东洪片区(70亩、85亩)住宅、商业及配套工程项目</v>
      </c>
    </row>
    <row r="5002" spans="2:18">
      <c r="B5002" s="137" t="s">
        <v>229</v>
      </c>
      <c r="C5002" s="71">
        <v>45959</v>
      </c>
      <c r="D5002" s="121" t="str">
        <f>VLOOKUP(B5002,辅助信息!E:K,7,FALSE)</f>
        <v>JWDDCD2025092400212</v>
      </c>
      <c r="E5002" s="121" t="str">
        <f>VLOOKUP(F5002,辅助信息!A:B,2,FALSE)</f>
        <v>盘螺</v>
      </c>
      <c r="F5002" s="121" t="s">
        <v>40</v>
      </c>
      <c r="G5002" s="122">
        <v>20</v>
      </c>
      <c r="H5002" s="135"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7" t="str">
        <f>VLOOKUP(B5002,辅助信息!E:I,3,FALSE)</f>
        <v>(五冶钢构龙泉东洪片区85亩住宅、商业及配套工程项目三标段)成都市龙泉驿外东洪路地铁2号线惠王陵地铁C口</v>
      </c>
      <c r="J5002" s="121" t="str">
        <f>VLOOKUP(B5002,辅助信息!E:I,4,FALSE)</f>
        <v>王军宝</v>
      </c>
      <c r="K5002" s="121">
        <f>VLOOKUP(J5002,辅助信息!H:I,2,FALSE)</f>
        <v>13889142392</v>
      </c>
      <c r="L5002" s="123">
        <f>VLOOKUP(B5002,辅助信息!E:J,6,FALSE)</f>
        <v>0</v>
      </c>
      <c r="M5002" s="92">
        <v>45950</v>
      </c>
      <c r="O5002" s="63">
        <f ca="1" t="shared" si="238"/>
        <v>0</v>
      </c>
      <c r="P5002" s="63">
        <f ca="1" t="shared" si="239"/>
        <v>9</v>
      </c>
      <c r="Q5002" s="30" t="str">
        <f>VLOOKUP(B5002,辅助信息!E:M,9,FALSE)</f>
        <v>ZTWM-CDGS-XS-2025-0156-五冶钢构-2025年九月第一批次钢筋采购合同(三圣乡项目)-中铁物贸成都公司</v>
      </c>
      <c r="R5002" s="30" t="str">
        <f>_xlfn._xlws.FILTER(辅助信息!D:D,辅助信息!E:E=B5002)</f>
        <v>五冶钢构龙泉东洪片区(70亩、85亩)住宅、商业及配套工程项目</v>
      </c>
    </row>
    <row r="5003" spans="2:18">
      <c r="B5003" s="137" t="s">
        <v>229</v>
      </c>
      <c r="C5003" s="71">
        <v>45959</v>
      </c>
      <c r="D5003" s="121" t="str">
        <f>VLOOKUP(B5003,辅助信息!E:K,7,FALSE)</f>
        <v>JWDDCD2025092400212</v>
      </c>
      <c r="E5003" s="121" t="str">
        <f>VLOOKUP(F5003,辅助信息!A:B,2,FALSE)</f>
        <v>盘螺</v>
      </c>
      <c r="F5003" s="121" t="s">
        <v>41</v>
      </c>
      <c r="G5003" s="122">
        <v>40</v>
      </c>
      <c r="H5003" s="135"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7" t="str">
        <f>VLOOKUP(B5003,辅助信息!E:I,3,FALSE)</f>
        <v>(五冶钢构龙泉东洪片区85亩住宅、商业及配套工程项目三标段)成都市龙泉驿外东洪路地铁2号线惠王陵地铁C口</v>
      </c>
      <c r="J5003" s="121" t="str">
        <f>VLOOKUP(B5003,辅助信息!E:I,4,FALSE)</f>
        <v>王军宝</v>
      </c>
      <c r="K5003" s="121">
        <f>VLOOKUP(J5003,辅助信息!H:I,2,FALSE)</f>
        <v>13889142392</v>
      </c>
      <c r="L5003" s="123">
        <f>VLOOKUP(B5003,辅助信息!E:J,6,FALSE)</f>
        <v>0</v>
      </c>
      <c r="M5003" s="92">
        <v>45950</v>
      </c>
      <c r="O5003" s="63">
        <f ca="1" t="shared" si="238"/>
        <v>0</v>
      </c>
      <c r="P5003" s="63">
        <f ca="1" t="shared" si="239"/>
        <v>9</v>
      </c>
      <c r="Q5003" s="30" t="str">
        <f>VLOOKUP(B5003,辅助信息!E:M,9,FALSE)</f>
        <v>ZTWM-CDGS-XS-2025-0156-五冶钢构-2025年九月第一批次钢筋采购合同(三圣乡项目)-中铁物贸成都公司</v>
      </c>
      <c r="R5003" s="30" t="str">
        <f>_xlfn._xlws.FILTER(辅助信息!D:D,辅助信息!E:E=B5003)</f>
        <v>五冶钢构龙泉东洪片区(70亩、85亩)住宅、商业及配套工程项目</v>
      </c>
    </row>
    <row r="5004" spans="2:18">
      <c r="B5004" s="137" t="s">
        <v>229</v>
      </c>
      <c r="C5004" s="71">
        <v>45959</v>
      </c>
      <c r="D5004" s="121" t="str">
        <f>VLOOKUP(B5004,辅助信息!E:K,7,FALSE)</f>
        <v>JWDDCD2025092400212</v>
      </c>
      <c r="E5004" s="121" t="str">
        <f>VLOOKUP(F5004,辅助信息!A:B,2,FALSE)</f>
        <v>螺纹钢</v>
      </c>
      <c r="F5004" s="121" t="s">
        <v>27</v>
      </c>
      <c r="G5004" s="122">
        <v>57</v>
      </c>
      <c r="H5004" s="135"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7" t="str">
        <f>VLOOKUP(B5004,辅助信息!E:I,3,FALSE)</f>
        <v>(五冶钢构龙泉东洪片区85亩住宅、商业及配套工程项目三标段)成都市龙泉驿外东洪路地铁2号线惠王陵地铁C口</v>
      </c>
      <c r="J5004" s="121" t="str">
        <f>VLOOKUP(B5004,辅助信息!E:I,4,FALSE)</f>
        <v>王军宝</v>
      </c>
      <c r="K5004" s="121">
        <f>VLOOKUP(J5004,辅助信息!H:I,2,FALSE)</f>
        <v>13889142392</v>
      </c>
      <c r="L5004" s="123">
        <f>VLOOKUP(B5004,辅助信息!E:J,6,FALSE)</f>
        <v>0</v>
      </c>
      <c r="M5004" s="92">
        <v>45950</v>
      </c>
      <c r="O5004" s="63">
        <f ca="1" t="shared" si="238"/>
        <v>0</v>
      </c>
      <c r="P5004" s="63">
        <f ca="1" t="shared" si="239"/>
        <v>9</v>
      </c>
      <c r="Q5004" s="30" t="str">
        <f>VLOOKUP(B5004,辅助信息!E:M,9,FALSE)</f>
        <v>ZTWM-CDGS-XS-2025-0156-五冶钢构-2025年九月第一批次钢筋采购合同(三圣乡项目)-中铁物贸成都公司</v>
      </c>
      <c r="R5004" s="30" t="str">
        <f>_xlfn._xlws.FILTER(辅助信息!D:D,辅助信息!E:E=B5004)</f>
        <v>五冶钢构龙泉东洪片区(70亩、85亩)住宅、商业及配套工程项目</v>
      </c>
    </row>
    <row r="5005" spans="2:18">
      <c r="B5005" s="137" t="s">
        <v>229</v>
      </c>
      <c r="C5005" s="71">
        <v>45959</v>
      </c>
      <c r="D5005" s="121" t="str">
        <f>VLOOKUP(B5005,辅助信息!E:K,7,FALSE)</f>
        <v>JWDDCD2025092400212</v>
      </c>
      <c r="E5005" s="121" t="str">
        <f>VLOOKUP(F5005,辅助信息!A:B,2,FALSE)</f>
        <v>螺纹钢</v>
      </c>
      <c r="F5005" s="121" t="s">
        <v>19</v>
      </c>
      <c r="G5005" s="122">
        <v>9</v>
      </c>
      <c r="H5005" s="135"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7" t="str">
        <f>VLOOKUP(B5005,辅助信息!E:I,3,FALSE)</f>
        <v>(五冶钢构龙泉东洪片区85亩住宅、商业及配套工程项目三标段)成都市龙泉驿外东洪路地铁2号线惠王陵地铁C口</v>
      </c>
      <c r="J5005" s="121" t="str">
        <f>VLOOKUP(B5005,辅助信息!E:I,4,FALSE)</f>
        <v>王军宝</v>
      </c>
      <c r="K5005" s="121">
        <f>VLOOKUP(J5005,辅助信息!H:I,2,FALSE)</f>
        <v>13889142392</v>
      </c>
      <c r="L5005" s="123">
        <f>VLOOKUP(B5005,辅助信息!E:J,6,FALSE)</f>
        <v>0</v>
      </c>
      <c r="M5005" s="92">
        <v>45950</v>
      </c>
      <c r="O5005" s="63">
        <f ca="1" t="shared" si="238"/>
        <v>0</v>
      </c>
      <c r="P5005" s="63">
        <f ca="1" t="shared" si="239"/>
        <v>9</v>
      </c>
      <c r="Q5005" s="30" t="str">
        <f>VLOOKUP(B5005,辅助信息!E:M,9,FALSE)</f>
        <v>ZTWM-CDGS-XS-2025-0156-五冶钢构-2025年九月第一批次钢筋采购合同(三圣乡项目)-中铁物贸成都公司</v>
      </c>
      <c r="R5005" s="30" t="str">
        <f>_xlfn._xlws.FILTER(辅助信息!D:D,辅助信息!E:E=B5005)</f>
        <v>五冶钢构龙泉东洪片区(70亩、85亩)住宅、商业及配套工程项目</v>
      </c>
    </row>
    <row r="5006" spans="2:18">
      <c r="B5006" s="137" t="s">
        <v>229</v>
      </c>
      <c r="C5006" s="71">
        <v>45959</v>
      </c>
      <c r="D5006" s="121" t="str">
        <f>VLOOKUP(B5006,辅助信息!E:K,7,FALSE)</f>
        <v>JWDDCD2025092400212</v>
      </c>
      <c r="E5006" s="121" t="str">
        <f>VLOOKUP(F5006,辅助信息!A:B,2,FALSE)</f>
        <v>螺纹钢</v>
      </c>
      <c r="F5006" s="121" t="s">
        <v>32</v>
      </c>
      <c r="G5006" s="122">
        <v>6</v>
      </c>
      <c r="H5006" s="135"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7" t="str">
        <f>VLOOKUP(B5006,辅助信息!E:I,3,FALSE)</f>
        <v>(五冶钢构龙泉东洪片区85亩住宅、商业及配套工程项目三标段)成都市龙泉驿外东洪路地铁2号线惠王陵地铁C口</v>
      </c>
      <c r="J5006" s="121" t="str">
        <f>VLOOKUP(B5006,辅助信息!E:I,4,FALSE)</f>
        <v>王军宝</v>
      </c>
      <c r="K5006" s="121">
        <f>VLOOKUP(J5006,辅助信息!H:I,2,FALSE)</f>
        <v>13889142392</v>
      </c>
      <c r="L5006" s="123">
        <f>VLOOKUP(B5006,辅助信息!E:J,6,FALSE)</f>
        <v>0</v>
      </c>
      <c r="M5006" s="92">
        <v>45950</v>
      </c>
      <c r="O5006" s="63">
        <f ca="1" t="shared" si="238"/>
        <v>0</v>
      </c>
      <c r="P5006" s="63">
        <f ca="1" t="shared" si="239"/>
        <v>9</v>
      </c>
      <c r="Q5006" s="30" t="str">
        <f>VLOOKUP(B5006,辅助信息!E:M,9,FALSE)</f>
        <v>ZTWM-CDGS-XS-2025-0156-五冶钢构-2025年九月第一批次钢筋采购合同(三圣乡项目)-中铁物贸成都公司</v>
      </c>
      <c r="R5006" s="30" t="str">
        <f>_xlfn._xlws.FILTER(辅助信息!D:D,辅助信息!E:E=B5006)</f>
        <v>五冶钢构龙泉东洪片区(70亩、85亩)住宅、商业及配套工程项目</v>
      </c>
    </row>
    <row r="5007" spans="2:18">
      <c r="B5007" s="137" t="s">
        <v>229</v>
      </c>
      <c r="C5007" s="71">
        <v>45959</v>
      </c>
      <c r="D5007" s="121" t="str">
        <f>VLOOKUP(B5007,辅助信息!E:K,7,FALSE)</f>
        <v>JWDDCD2025092400212</v>
      </c>
      <c r="E5007" s="121" t="str">
        <f>VLOOKUP(F5007,辅助信息!A:B,2,FALSE)</f>
        <v>螺纹钢</v>
      </c>
      <c r="F5007" s="121" t="s">
        <v>30</v>
      </c>
      <c r="G5007" s="122">
        <v>9</v>
      </c>
      <c r="H5007" s="135"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7" t="str">
        <f>VLOOKUP(B5007,辅助信息!E:I,3,FALSE)</f>
        <v>(五冶钢构龙泉东洪片区85亩住宅、商业及配套工程项目三标段)成都市龙泉驿外东洪路地铁2号线惠王陵地铁C口</v>
      </c>
      <c r="J5007" s="121" t="str">
        <f>VLOOKUP(B5007,辅助信息!E:I,4,FALSE)</f>
        <v>王军宝</v>
      </c>
      <c r="K5007" s="121">
        <f>VLOOKUP(J5007,辅助信息!H:I,2,FALSE)</f>
        <v>13889142392</v>
      </c>
      <c r="L5007" s="123">
        <f>VLOOKUP(B5007,辅助信息!E:J,6,FALSE)</f>
        <v>0</v>
      </c>
      <c r="M5007" s="92">
        <v>45950</v>
      </c>
      <c r="O5007" s="63">
        <f ca="1" t="shared" si="238"/>
        <v>0</v>
      </c>
      <c r="P5007" s="63">
        <f ca="1" t="shared" si="239"/>
        <v>9</v>
      </c>
      <c r="Q5007" s="30" t="str">
        <f>VLOOKUP(B5007,辅助信息!E:M,9,FALSE)</f>
        <v>ZTWM-CDGS-XS-2025-0156-五冶钢构-2025年九月第一批次钢筋采购合同(三圣乡项目)-中铁物贸成都公司</v>
      </c>
      <c r="R5007" s="30" t="str">
        <f>_xlfn._xlws.FILTER(辅助信息!D:D,辅助信息!E:E=B5007)</f>
        <v>五冶钢构龙泉东洪片区(70亩、85亩)住宅、商业及配套工程项目</v>
      </c>
    </row>
    <row r="5008" spans="2:18">
      <c r="B5008" s="137" t="s">
        <v>229</v>
      </c>
      <c r="C5008" s="71">
        <v>45959</v>
      </c>
      <c r="D5008" s="121" t="str">
        <f>VLOOKUP(B5008,辅助信息!E:K,7,FALSE)</f>
        <v>JWDDCD2025092400212</v>
      </c>
      <c r="E5008" s="121" t="str">
        <f>VLOOKUP(F5008,辅助信息!A:B,2,FALSE)</f>
        <v>螺纹钢</v>
      </c>
      <c r="F5008" s="121" t="s">
        <v>18</v>
      </c>
      <c r="G5008" s="122">
        <v>6</v>
      </c>
      <c r="H5008" s="135"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7" t="str">
        <f>VLOOKUP(B5008,辅助信息!E:I,3,FALSE)</f>
        <v>(五冶钢构龙泉东洪片区85亩住宅、商业及配套工程项目三标段)成都市龙泉驿外东洪路地铁2号线惠王陵地铁C口</v>
      </c>
      <c r="J5008" s="121" t="str">
        <f>VLOOKUP(B5008,辅助信息!E:I,4,FALSE)</f>
        <v>王军宝</v>
      </c>
      <c r="K5008" s="121">
        <f>VLOOKUP(J5008,辅助信息!H:I,2,FALSE)</f>
        <v>13889142392</v>
      </c>
      <c r="L5008" s="123">
        <f>VLOOKUP(B5008,辅助信息!E:J,6,FALSE)</f>
        <v>0</v>
      </c>
      <c r="M5008" s="92">
        <v>45950</v>
      </c>
      <c r="O5008" s="63">
        <f ca="1" t="shared" si="238"/>
        <v>0</v>
      </c>
      <c r="P5008" s="63">
        <f ca="1" t="shared" si="239"/>
        <v>9</v>
      </c>
      <c r="Q5008" s="30" t="str">
        <f>VLOOKUP(B5008,辅助信息!E:M,9,FALSE)</f>
        <v>ZTWM-CDGS-XS-2025-0156-五冶钢构-2025年九月第一批次钢筋采购合同(三圣乡项目)-中铁物贸成都公司</v>
      </c>
      <c r="R5008" s="30" t="str">
        <f>_xlfn._xlws.FILTER(辅助信息!D:D,辅助信息!E:E=B5008)</f>
        <v>五冶钢构龙泉东洪片区(70亩、85亩)住宅、商业及配套工程项目</v>
      </c>
    </row>
    <row r="5009" spans="2:18">
      <c r="B5009" s="137" t="s">
        <v>229</v>
      </c>
      <c r="C5009" s="71">
        <v>45959</v>
      </c>
      <c r="D5009" s="121" t="str">
        <f>VLOOKUP(B5009,辅助信息!E:K,7,FALSE)</f>
        <v>JWDDCD2025092400212</v>
      </c>
      <c r="E5009" s="121" t="str">
        <f>VLOOKUP(F5009,辅助信息!A:B,2,FALSE)</f>
        <v>螺纹钢</v>
      </c>
      <c r="F5009" s="121" t="s">
        <v>66</v>
      </c>
      <c r="G5009" s="122">
        <v>6</v>
      </c>
      <c r="H5009" s="135"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7" t="str">
        <f>VLOOKUP(B5009,辅助信息!E:I,3,FALSE)</f>
        <v>(五冶钢构龙泉东洪片区85亩住宅、商业及配套工程项目三标段)成都市龙泉驿外东洪路地铁2号线惠王陵地铁C口</v>
      </c>
      <c r="J5009" s="121" t="str">
        <f>VLOOKUP(B5009,辅助信息!E:I,4,FALSE)</f>
        <v>王军宝</v>
      </c>
      <c r="K5009" s="121">
        <f>VLOOKUP(J5009,辅助信息!H:I,2,FALSE)</f>
        <v>13889142392</v>
      </c>
      <c r="L5009" s="123">
        <f>VLOOKUP(B5009,辅助信息!E:J,6,FALSE)</f>
        <v>0</v>
      </c>
      <c r="M5009" s="92">
        <v>45950</v>
      </c>
      <c r="O5009" s="63">
        <f ca="1" t="shared" si="238"/>
        <v>0</v>
      </c>
      <c r="P5009" s="63">
        <f ca="1" t="shared" si="239"/>
        <v>9</v>
      </c>
      <c r="Q5009" s="30" t="str">
        <f>VLOOKUP(B5009,辅助信息!E:M,9,FALSE)</f>
        <v>ZTWM-CDGS-XS-2025-0156-五冶钢构-2025年九月第一批次钢筋采购合同(三圣乡项目)-中铁物贸成都公司</v>
      </c>
      <c r="R5009" s="30" t="str">
        <f>_xlfn._xlws.FILTER(辅助信息!D:D,辅助信息!E:E=B5009)</f>
        <v>五冶钢构龙泉东洪片区(70亩、85亩)住宅、商业及配套工程项目</v>
      </c>
    </row>
    <row r="5010" spans="2:18">
      <c r="B5010" s="137" t="s">
        <v>229</v>
      </c>
      <c r="C5010" s="71">
        <v>45959</v>
      </c>
      <c r="D5010" s="121" t="str">
        <f>VLOOKUP(B5010,辅助信息!E:K,7,FALSE)</f>
        <v>JWDDCD2025092400212</v>
      </c>
      <c r="E5010" s="121" t="str">
        <f>VLOOKUP(F5010,辅助信息!A:B,2,FALSE)</f>
        <v>螺纹钢</v>
      </c>
      <c r="F5010" s="121" t="s">
        <v>58</v>
      </c>
      <c r="G5010" s="122">
        <v>6</v>
      </c>
      <c r="H5010" s="135"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7" t="str">
        <f>VLOOKUP(B5010,辅助信息!E:I,3,FALSE)</f>
        <v>(五冶钢构龙泉东洪片区85亩住宅、商业及配套工程项目三标段)成都市龙泉驿外东洪路地铁2号线惠王陵地铁C口</v>
      </c>
      <c r="J5010" s="121" t="str">
        <f>VLOOKUP(B5010,辅助信息!E:I,4,FALSE)</f>
        <v>王军宝</v>
      </c>
      <c r="K5010" s="121">
        <f>VLOOKUP(J5010,辅助信息!H:I,2,FALSE)</f>
        <v>13889142392</v>
      </c>
      <c r="L5010" s="123">
        <f>VLOOKUP(B5010,辅助信息!E:J,6,FALSE)</f>
        <v>0</v>
      </c>
      <c r="M5010" s="92">
        <v>45950</v>
      </c>
      <c r="O5010" s="63">
        <f ca="1" t="shared" si="238"/>
        <v>0</v>
      </c>
      <c r="P5010" s="63">
        <f ca="1" t="shared" si="239"/>
        <v>9</v>
      </c>
      <c r="Q5010" s="30" t="str">
        <f>VLOOKUP(B5010,辅助信息!E:M,9,FALSE)</f>
        <v>ZTWM-CDGS-XS-2025-0156-五冶钢构-2025年九月第一批次钢筋采购合同(三圣乡项目)-中铁物贸成都公司</v>
      </c>
      <c r="R5010" s="30" t="str">
        <f>_xlfn._xlws.FILTER(辅助信息!D:D,辅助信息!E:E=B5010)</f>
        <v>五冶钢构龙泉东洪片区(70亩、85亩)住宅、商业及配套工程项目</v>
      </c>
    </row>
    <row r="5011" spans="2:18">
      <c r="B5011" s="137" t="s">
        <v>229</v>
      </c>
      <c r="C5011" s="71">
        <v>45959</v>
      </c>
      <c r="D5011" s="121" t="str">
        <f>VLOOKUP(B5011,辅助信息!E:K,7,FALSE)</f>
        <v>JWDDCD2025092400212</v>
      </c>
      <c r="E5011" s="121" t="str">
        <f>VLOOKUP(F5011,辅助信息!A:B,2,FALSE)</f>
        <v>螺纹钢</v>
      </c>
      <c r="F5011" s="121" t="s">
        <v>46</v>
      </c>
      <c r="G5011" s="122">
        <v>9</v>
      </c>
      <c r="H5011" s="135"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7" t="str">
        <f>VLOOKUP(B5011,辅助信息!E:I,3,FALSE)</f>
        <v>(五冶钢构龙泉东洪片区85亩住宅、商业及配套工程项目三标段)成都市龙泉驿外东洪路地铁2号线惠王陵地铁C口</v>
      </c>
      <c r="J5011" s="121" t="str">
        <f>VLOOKUP(B5011,辅助信息!E:I,4,FALSE)</f>
        <v>王军宝</v>
      </c>
      <c r="K5011" s="121">
        <f>VLOOKUP(J5011,辅助信息!H:I,2,FALSE)</f>
        <v>13889142392</v>
      </c>
      <c r="L5011" s="123">
        <f>VLOOKUP(B5011,辅助信息!E:J,6,FALSE)</f>
        <v>0</v>
      </c>
      <c r="M5011" s="92">
        <v>45950</v>
      </c>
      <c r="O5011" s="63">
        <f ca="1" t="shared" si="238"/>
        <v>0</v>
      </c>
      <c r="P5011" s="63">
        <f ca="1" t="shared" si="239"/>
        <v>9</v>
      </c>
      <c r="Q5011" s="30" t="str">
        <f>VLOOKUP(B5011,辅助信息!E:M,9,FALSE)</f>
        <v>ZTWM-CDGS-XS-2025-0156-五冶钢构-2025年九月第一批次钢筋采购合同(三圣乡项目)-中铁物贸成都公司</v>
      </c>
      <c r="R5011" s="30" t="str">
        <f>_xlfn._xlws.FILTER(辅助信息!D:D,辅助信息!E:E=B5011)</f>
        <v>五冶钢构龙泉东洪片区(70亩、85亩)住宅、商业及配套工程项目</v>
      </c>
    </row>
    <row r="5012" spans="2:18">
      <c r="B5012" s="137" t="s">
        <v>229</v>
      </c>
      <c r="C5012" s="71">
        <v>45959</v>
      </c>
      <c r="D5012" s="121" t="str">
        <f>VLOOKUP(B5012,辅助信息!E:K,7,FALSE)</f>
        <v>JWDDCD2025092400212</v>
      </c>
      <c r="E5012" s="121" t="str">
        <f>VLOOKUP(F5012,辅助信息!A:B,2,FALSE)</f>
        <v>螺纹钢</v>
      </c>
      <c r="F5012" s="121" t="s">
        <v>22</v>
      </c>
      <c r="G5012" s="122">
        <v>21</v>
      </c>
      <c r="H5012" s="135"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7" t="str">
        <f>VLOOKUP(B5012,辅助信息!E:I,3,FALSE)</f>
        <v>(五冶钢构龙泉东洪片区85亩住宅、商业及配套工程项目三标段)成都市龙泉驿外东洪路地铁2号线惠王陵地铁C口</v>
      </c>
      <c r="J5012" s="121" t="str">
        <f>VLOOKUP(B5012,辅助信息!E:I,4,FALSE)</f>
        <v>王军宝</v>
      </c>
      <c r="K5012" s="121">
        <f>VLOOKUP(J5012,辅助信息!H:I,2,FALSE)</f>
        <v>13889142392</v>
      </c>
      <c r="L5012" s="123">
        <f>VLOOKUP(B5012,辅助信息!E:J,6,FALSE)</f>
        <v>0</v>
      </c>
      <c r="M5012" s="92">
        <v>45950</v>
      </c>
      <c r="O5012" s="63">
        <f ca="1" t="shared" si="238"/>
        <v>0</v>
      </c>
      <c r="P5012" s="63">
        <f ca="1" t="shared" si="239"/>
        <v>9</v>
      </c>
      <c r="Q5012" s="30" t="str">
        <f>VLOOKUP(B5012,辅助信息!E:M,9,FALSE)</f>
        <v>ZTWM-CDGS-XS-2025-0156-五冶钢构-2025年九月第一批次钢筋采购合同(三圣乡项目)-中铁物贸成都公司</v>
      </c>
      <c r="R5012" s="30" t="str">
        <f>_xlfn._xlws.FILTER(辅助信息!D:D,辅助信息!E:E=B5012)</f>
        <v>五冶钢构龙泉东洪片区(70亩、85亩)住宅、商业及配套工程项目</v>
      </c>
    </row>
    <row r="5013" spans="2:18">
      <c r="B5013" s="137" t="s">
        <v>228</v>
      </c>
      <c r="C5013" s="71">
        <v>45959</v>
      </c>
      <c r="D5013" s="121" t="str">
        <f>VLOOKUP(B5013,辅助信息!E:K,7,FALSE)</f>
        <v>JWDDCD2025092400190</v>
      </c>
      <c r="E5013" s="121" t="str">
        <f>VLOOKUP(F5013,辅助信息!A:B,2,FALSE)</f>
        <v>高线</v>
      </c>
      <c r="F5013" s="121" t="s">
        <v>53</v>
      </c>
      <c r="G5013" s="122">
        <v>2</v>
      </c>
      <c r="H5013" s="135"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7" t="str">
        <f>VLOOKUP(B5013,辅助信息!E:I,3,FALSE)</f>
        <v>(五冶钢构龙泉东洪片区70亩住宅、商业及配套工程项目二标段)成都市龙泉驿外东洪路地铁2号线惠王陵地铁C口</v>
      </c>
      <c r="J5013" s="121" t="str">
        <f>VLOOKUP(B5013,辅助信息!E:I,4,FALSE)</f>
        <v>蒋嗣伟</v>
      </c>
      <c r="K5013" s="121">
        <f>VLOOKUP(J5013,辅助信息!H:I,2,FALSE)</f>
        <v>15014331252</v>
      </c>
      <c r="L5013" s="123">
        <f>VLOOKUP(B5013,辅助信息!E:J,6,FALSE)</f>
        <v>0</v>
      </c>
      <c r="M5013" s="92">
        <v>45953</v>
      </c>
      <c r="O5013" s="63">
        <f ca="1" t="shared" si="238"/>
        <v>0</v>
      </c>
      <c r="P5013" s="63">
        <f ca="1" t="shared" si="239"/>
        <v>6</v>
      </c>
      <c r="Q5013" s="30" t="str">
        <f>VLOOKUP(B5013,辅助信息!E:M,9,FALSE)</f>
        <v>ZTWM-CDGS-XS-2025-0156-五冶钢构-2025年九月第一批次钢筋采购合同(三圣乡项目)-中铁物贸成都公司</v>
      </c>
      <c r="R5013" s="30" t="str">
        <f>_xlfn._xlws.FILTER(辅助信息!D:D,辅助信息!E:E=B5013)</f>
        <v>五冶钢构龙泉东洪片区(70亩、85亩)住宅、商业及配套工程项目</v>
      </c>
    </row>
    <row r="5014" hidden="1" spans="2:18">
      <c r="B5014" s="137" t="s">
        <v>240</v>
      </c>
      <c r="C5014" s="71">
        <v>45958</v>
      </c>
      <c r="D5014" s="121" t="str">
        <f>VLOOKUP(B5014,辅助信息!E:K,7,FALSE)</f>
        <v>JWDDCD2025092400204</v>
      </c>
      <c r="E5014" s="121" t="str">
        <f>VLOOKUP(F5014,辅助信息!A:B,2,FALSE)</f>
        <v>螺纹钢</v>
      </c>
      <c r="F5014" s="121" t="s">
        <v>32</v>
      </c>
      <c r="G5014" s="122">
        <v>30</v>
      </c>
      <c r="H5014" s="135">
        <f>IF(SUMIFS('[1]2025年已发货'!$E:$E,'[1]2025年已发货'!$F:$F,C5014,'[1]2025年已发货'!$C:$C,F5014,'[1]2025年已发货'!$G:$G,I5014,'[1]2025年已发货'!$H:$H,J5014)=0,"未发货",SUMIFS('[1]2025年已发货'!$E:$E,'[1]2025年已发货'!$F:$F,C5014,'[1]2025年已发货'!$C:$C,F5014,'[1]2025年已发货'!$G:$G,I5014,'[1]2025年已发货'!$H:$H,J5014))</f>
        <v>30</v>
      </c>
      <c r="I5014" s="157" t="str">
        <f>VLOOKUP(B5014,辅助信息!E:I,3,FALSE)</f>
        <v>(五冶钢构龙泉东洪片区70亩住宅、商业及配套工程项目三标段)成都市龙泉驿外东洪路地铁2号线惠王陵地铁C口</v>
      </c>
      <c r="J5014" s="121" t="str">
        <f>VLOOKUP(B5014,辅助信息!E:I,4,FALSE)</f>
        <v>蒋嗣伟</v>
      </c>
      <c r="K5014" s="121">
        <f>VLOOKUP(J5014,辅助信息!H:I,2,FALSE)</f>
        <v>15014331252</v>
      </c>
      <c r="L5014" s="123">
        <f>VLOOKUP(B5014,辅助信息!E:J,6,FALSE)</f>
        <v>0</v>
      </c>
      <c r="M5014" s="92">
        <v>45954</v>
      </c>
      <c r="O5014" s="63">
        <f ca="1" t="shared" si="238"/>
        <v>0</v>
      </c>
      <c r="P5014" s="63">
        <f ca="1" t="shared" si="239"/>
        <v>5</v>
      </c>
      <c r="Q5014" s="30" t="str">
        <f>VLOOKUP(B5014,辅助信息!E:M,9,FALSE)</f>
        <v>ZTWM-CDGS-XS-2025-0156-五冶钢构-2025年九月第一批次钢筋采购合同(三圣乡项目)-中铁物贸成都公司</v>
      </c>
      <c r="R5014" s="30" t="str">
        <f>_xlfn._xlws.FILTER(辅助信息!D:D,辅助信息!E:E=B5014)</f>
        <v>五冶钢构龙泉东洪片区(70亩、85亩)住宅、商业及配套工程项目</v>
      </c>
    </row>
    <row r="5015" hidden="1" spans="2:18">
      <c r="B5015" s="137" t="s">
        <v>240</v>
      </c>
      <c r="C5015" s="71">
        <v>45958</v>
      </c>
      <c r="D5015" s="121" t="str">
        <f>VLOOKUP(B5015,辅助信息!E:K,7,FALSE)</f>
        <v>JWDDCD2025092400204</v>
      </c>
      <c r="E5015" s="121" t="str">
        <f>VLOOKUP(F5015,辅助信息!A:B,2,FALSE)</f>
        <v>螺纹钢</v>
      </c>
      <c r="F5015" s="121" t="s">
        <v>30</v>
      </c>
      <c r="G5015" s="122">
        <v>6</v>
      </c>
      <c r="H5015" s="135">
        <f>IF(SUMIFS('[1]2025年已发货'!$E:$E,'[1]2025年已发货'!$F:$F,C5015,'[1]2025年已发货'!$C:$C,F5015,'[1]2025年已发货'!$G:$G,I5015,'[1]2025年已发货'!$H:$H,J5015)=0,"未发货",SUMIFS('[1]2025年已发货'!$E:$E,'[1]2025年已发货'!$F:$F,C5015,'[1]2025年已发货'!$C:$C,F5015,'[1]2025年已发货'!$G:$G,I5015,'[1]2025年已发货'!$H:$H,J5015))</f>
        <v>5</v>
      </c>
      <c r="I5015" s="157" t="str">
        <f>VLOOKUP(B5015,辅助信息!E:I,3,FALSE)</f>
        <v>(五冶钢构龙泉东洪片区70亩住宅、商业及配套工程项目三标段)成都市龙泉驿外东洪路地铁2号线惠王陵地铁C口</v>
      </c>
      <c r="J5015" s="121" t="str">
        <f>VLOOKUP(B5015,辅助信息!E:I,4,FALSE)</f>
        <v>蒋嗣伟</v>
      </c>
      <c r="K5015" s="121">
        <f>VLOOKUP(J5015,辅助信息!H:I,2,FALSE)</f>
        <v>15014331252</v>
      </c>
      <c r="L5015" s="123">
        <f>VLOOKUP(B5015,辅助信息!E:J,6,FALSE)</f>
        <v>0</v>
      </c>
      <c r="M5015" s="92">
        <v>45954</v>
      </c>
      <c r="O5015" s="63">
        <f ca="1" t="shared" si="238"/>
        <v>0</v>
      </c>
      <c r="P5015" s="63">
        <f ca="1" t="shared" si="239"/>
        <v>5</v>
      </c>
      <c r="Q5015" s="30" t="str">
        <f>VLOOKUP(B5015,辅助信息!E:M,9,FALSE)</f>
        <v>ZTWM-CDGS-XS-2025-0156-五冶钢构-2025年九月第一批次钢筋采购合同(三圣乡项目)-中铁物贸成都公司</v>
      </c>
      <c r="R5015" s="30" t="str">
        <f>_xlfn._xlws.FILTER(辅助信息!D:D,辅助信息!E:E=B5015)</f>
        <v>五冶钢构龙泉东洪片区(70亩、85亩)住宅、商业及配套工程项目</v>
      </c>
    </row>
    <row r="5016" spans="2:18">
      <c r="B5016" s="137" t="s">
        <v>225</v>
      </c>
      <c r="C5016" s="71">
        <v>45959</v>
      </c>
      <c r="D5016" s="121" t="str">
        <f>VLOOKUP(B5016,辅助信息!E:K,7,FALSE)</f>
        <v>JWDDCD2025092400210</v>
      </c>
      <c r="E5016" s="121" t="str">
        <f>VLOOKUP(F5016,辅助信息!A:B,2,FALSE)</f>
        <v>盘螺</v>
      </c>
      <c r="F5016" s="121" t="s">
        <v>40</v>
      </c>
      <c r="G5016" s="122">
        <v>35</v>
      </c>
      <c r="H5016" s="135"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7" t="str">
        <f>VLOOKUP(B5016,辅助信息!E:I,3,FALSE)</f>
        <v>(五冶钢构龙泉东洪片区85亩住宅、商业及配套工程项目一标段)成都市龙泉驿外东洪路地铁2号线惠王陵地铁C口</v>
      </c>
      <c r="J5016" s="121" t="str">
        <f>VLOOKUP(B5016,辅助信息!E:I,4,FALSE)</f>
        <v>岳工</v>
      </c>
      <c r="K5016" s="121">
        <f>VLOOKUP(J5016,辅助信息!H:I,2,FALSE)</f>
        <v>18599951655</v>
      </c>
      <c r="L5016" s="123">
        <f>VLOOKUP(B5016,辅助信息!E:J,6,FALSE)</f>
        <v>0</v>
      </c>
      <c r="M5016" s="92">
        <v>45954</v>
      </c>
      <c r="O5016" s="63">
        <f ca="1" t="shared" si="238"/>
        <v>0</v>
      </c>
      <c r="P5016" s="63">
        <f ca="1" t="shared" si="239"/>
        <v>5</v>
      </c>
      <c r="Q5016" s="30" t="str">
        <f>VLOOKUP(B5016,辅助信息!E:M,9,FALSE)</f>
        <v>ZTWM-CDGS-XS-2025-0156-五冶钢构-2025年九月第一批次钢筋采购合同(三圣乡项目)-中铁物贸成都公司</v>
      </c>
      <c r="R5016" s="30" t="str">
        <f>_xlfn._xlws.FILTER(辅助信息!D:D,辅助信息!E:E=B5016)</f>
        <v>五冶钢构龙泉东洪片区(70亩、85亩)住宅、商业及配套工程项目</v>
      </c>
    </row>
    <row r="5017" hidden="1" spans="2:18">
      <c r="B5017" s="136" t="s">
        <v>150</v>
      </c>
      <c r="C5017" s="71">
        <v>45958</v>
      </c>
      <c r="D5017" s="41" t="str">
        <f>VLOOKUP(B5017,辅助信息!E:K,7,FALSE)</f>
        <v>JWDDCD2025050800101</v>
      </c>
      <c r="E5017" s="41" t="str">
        <f>VLOOKUP(F5017,辅助信息!A:B,2,FALSE)</f>
        <v>盘螺</v>
      </c>
      <c r="F5017" s="41" t="s">
        <v>41</v>
      </c>
      <c r="G5017" s="37">
        <v>20</v>
      </c>
      <c r="H5017" s="135">
        <f>IF(SUMIFS('[1]2025年已发货'!$E:$E,'[1]2025年已发货'!$F:$F,C5017,'[1]2025年已发货'!$C:$C,F5017,'[1]2025年已发货'!$G:$G,I5017,'[1]2025年已发货'!$H:$H,J5017)=0,"未发货",SUMIFS('[1]2025年已发货'!$E:$E,'[1]2025年已发货'!$F:$F,C5017,'[1]2025年已发货'!$C:$C,F5017,'[1]2025年已发货'!$G:$G,I5017,'[1]2025年已发货'!$H:$H,J5017))</f>
        <v>20</v>
      </c>
      <c r="I5017" s="40" t="str">
        <f>VLOOKUP(B5017,辅助信息!E:I,3,FALSE)</f>
        <v>(中铁科研院宜宾泥溪项目)中铁科研院集团有限公司宜宾市泥溪东互通式立交下穿成贵客专铁路工程项目钢筋加工厂</v>
      </c>
      <c r="J5017" s="41" t="str">
        <f>VLOOKUP(B5017,辅助信息!E:I,4,FALSE)</f>
        <v>蔡鹏</v>
      </c>
      <c r="K5017" s="41">
        <f>VLOOKUP(J5017,辅助信息!H:I,2,FALSE)</f>
        <v>19130850820</v>
      </c>
      <c r="L5017" s="110" t="str">
        <f>VLOOKUP(B5017,辅助信息!E:J,6,FALSE)</f>
        <v>装货前联系收货人核实到场规格，货物最下面用方木垫下方便卸货</v>
      </c>
      <c r="M5017" s="92">
        <v>45954</v>
      </c>
      <c r="O5017" s="63">
        <f ca="1" t="shared" si="238"/>
        <v>0</v>
      </c>
      <c r="P5017" s="63">
        <f ca="1" t="shared" si="239"/>
        <v>5</v>
      </c>
      <c r="Q5017" s="30" t="str">
        <f>VLOOKUP(B5017,辅助信息!E:M,9,FALSE)</f>
        <v>ZTWM-CDGS-XS-2025-0050-中铁科研院-宜宾泥溪项目</v>
      </c>
      <c r="R5017" s="30" t="str">
        <f>_xlfn._xlws.FILTER(辅助信息!D:D,辅助信息!E:E=B5017)</f>
        <v>中铁科研院宜宾泥溪项目</v>
      </c>
    </row>
    <row r="5018" hidden="1" spans="2:18">
      <c r="B5018" s="136" t="s">
        <v>150</v>
      </c>
      <c r="C5018" s="71">
        <v>45958</v>
      </c>
      <c r="D5018" s="41" t="str">
        <f>VLOOKUP(B5018,辅助信息!E:K,7,FALSE)</f>
        <v>JWDDCD2025050800101</v>
      </c>
      <c r="E5018" s="41" t="str">
        <f>VLOOKUP(F5018,辅助信息!A:B,2,FALSE)</f>
        <v>盘螺</v>
      </c>
      <c r="F5018" s="41" t="s">
        <v>26</v>
      </c>
      <c r="G5018" s="37">
        <v>40</v>
      </c>
      <c r="H5018" s="135">
        <f>IF(SUMIFS('[1]2025年已发货'!$E:$E,'[1]2025年已发货'!$F:$F,C5018,'[1]2025年已发货'!$C:$C,F5018,'[1]2025年已发货'!$G:$G,I5018,'[1]2025年已发货'!$H:$H,J5018)=0,"未发货",SUMIFS('[1]2025年已发货'!$E:$E,'[1]2025年已发货'!$F:$F,C5018,'[1]2025年已发货'!$C:$C,F5018,'[1]2025年已发货'!$G:$G,I5018,'[1]2025年已发货'!$H:$H,J5018))</f>
        <v>40</v>
      </c>
      <c r="I5018" s="40" t="str">
        <f>VLOOKUP(B5018,辅助信息!E:I,3,FALSE)</f>
        <v>(中铁科研院宜宾泥溪项目)中铁科研院集团有限公司宜宾市泥溪东互通式立交下穿成贵客专铁路工程项目钢筋加工厂</v>
      </c>
      <c r="J5018" s="41" t="str">
        <f>VLOOKUP(B5018,辅助信息!E:I,4,FALSE)</f>
        <v>蔡鹏</v>
      </c>
      <c r="K5018" s="41">
        <f>VLOOKUP(J5018,辅助信息!H:I,2,FALSE)</f>
        <v>19130850820</v>
      </c>
      <c r="L5018" s="110" t="str">
        <f>VLOOKUP(B5018,辅助信息!E:J,6,FALSE)</f>
        <v>装货前联系收货人核实到场规格，货物最下面用方木垫下方便卸货</v>
      </c>
      <c r="M5018" s="92">
        <v>45954</v>
      </c>
      <c r="O5018" s="63">
        <f ca="1" t="shared" si="238"/>
        <v>0</v>
      </c>
      <c r="P5018" s="63">
        <f ca="1" t="shared" si="239"/>
        <v>5</v>
      </c>
      <c r="Q5018" s="30" t="str">
        <f>VLOOKUP(B5018,辅助信息!E:M,9,FALSE)</f>
        <v>ZTWM-CDGS-XS-2025-0050-中铁科研院-宜宾泥溪项目</v>
      </c>
      <c r="R5018" s="30" t="str">
        <f>_xlfn._xlws.FILTER(辅助信息!D:D,辅助信息!E:E=B5018)</f>
        <v>中铁科研院宜宾泥溪项目</v>
      </c>
    </row>
    <row r="5019" hidden="1" spans="2:18">
      <c r="B5019" s="136" t="s">
        <v>150</v>
      </c>
      <c r="C5019" s="71">
        <v>45958</v>
      </c>
      <c r="D5019" s="41" t="str">
        <f>VLOOKUP(B5019,辅助信息!E:K,7,FALSE)</f>
        <v>JWDDCD2025050800101</v>
      </c>
      <c r="E5019" s="41" t="str">
        <f>VLOOKUP(F5019,辅助信息!A:B,2,FALSE)</f>
        <v>螺纹钢</v>
      </c>
      <c r="F5019" s="41" t="s">
        <v>32</v>
      </c>
      <c r="G5019" s="37">
        <v>11</v>
      </c>
      <c r="H5019" s="135">
        <f>IF(SUMIFS('[1]2025年已发货'!$E:$E,'[1]2025年已发货'!$F:$F,C5019,'[1]2025年已发货'!$C:$C,F5019,'[1]2025年已发货'!$G:$G,I5019,'[1]2025年已发货'!$H:$H,J5019)=0,"未发货",SUMIFS('[1]2025年已发货'!$E:$E,'[1]2025年已发货'!$F:$F,C5019,'[1]2025年已发货'!$C:$C,F5019,'[1]2025年已发货'!$G:$G,I5019,'[1]2025年已发货'!$H:$H,J5019))</f>
        <v>11</v>
      </c>
      <c r="I5019" s="40" t="str">
        <f>VLOOKUP(B5019,辅助信息!E:I,3,FALSE)</f>
        <v>(中铁科研院宜宾泥溪项目)中铁科研院集团有限公司宜宾市泥溪东互通式立交下穿成贵客专铁路工程项目钢筋加工厂</v>
      </c>
      <c r="J5019" s="41" t="str">
        <f>VLOOKUP(B5019,辅助信息!E:I,4,FALSE)</f>
        <v>蔡鹏</v>
      </c>
      <c r="K5019" s="41">
        <f>VLOOKUP(J5019,辅助信息!H:I,2,FALSE)</f>
        <v>19130850820</v>
      </c>
      <c r="L5019" s="110" t="str">
        <f>VLOOKUP(B5019,辅助信息!E:J,6,FALSE)</f>
        <v>装货前联系收货人核实到场规格，货物最下面用方木垫下方便卸货</v>
      </c>
      <c r="M5019" s="92">
        <v>45954</v>
      </c>
      <c r="O5019" s="63">
        <f ca="1" t="shared" si="238"/>
        <v>0</v>
      </c>
      <c r="P5019" s="63">
        <f ca="1" t="shared" si="239"/>
        <v>5</v>
      </c>
      <c r="Q5019" s="30" t="str">
        <f>VLOOKUP(B5019,辅助信息!E:M,9,FALSE)</f>
        <v>ZTWM-CDGS-XS-2025-0050-中铁科研院-宜宾泥溪项目</v>
      </c>
      <c r="R5019" s="30" t="str">
        <f>_xlfn._xlws.FILTER(辅助信息!D:D,辅助信息!E:E=B5019)</f>
        <v>中铁科研院宜宾泥溪项目</v>
      </c>
    </row>
    <row r="5020" spans="2:18">
      <c r="B5020" s="136" t="s">
        <v>224</v>
      </c>
      <c r="C5020" s="71">
        <v>45959</v>
      </c>
      <c r="D5020" s="41" t="str">
        <f>VLOOKUP(B5020,辅助信息!E:K,7,FALSE)</f>
        <v>JWDDCD2025092400188</v>
      </c>
      <c r="E5020" s="41" t="str">
        <f>VLOOKUP(F5020,辅助信息!A:B,2,FALSE)</f>
        <v>螺纹钢</v>
      </c>
      <c r="F5020" s="98" t="s">
        <v>27</v>
      </c>
      <c r="G5020" s="37">
        <v>35</v>
      </c>
      <c r="H5020" s="135">
        <v>35</v>
      </c>
      <c r="I5020" s="40" t="str">
        <f>VLOOKUP(B5020,辅助信息!E:I,3,FALSE)</f>
        <v>(五冶钢构龙泉东洪片区70亩住宅、商业及配套工程项目一标段)成都市龙泉驿外东洪路地铁2号线惠王陵地铁C口</v>
      </c>
      <c r="J5020" s="41" t="str">
        <f>VLOOKUP(B5020,辅助信息!E:I,4,FALSE)</f>
        <v>邹爱国</v>
      </c>
      <c r="K5020" s="41">
        <f>VLOOKUP(J5020,辅助信息!H:I,2,FALSE)</f>
        <v>13540231225</v>
      </c>
      <c r="L5020" s="110">
        <f>VLOOKUP(B5020,辅助信息!E:J,6,FALSE)</f>
        <v>0</v>
      </c>
      <c r="M5020" s="92">
        <v>45954</v>
      </c>
      <c r="O5020" s="63">
        <f ca="1" t="shared" si="238"/>
        <v>0</v>
      </c>
      <c r="P5020" s="63">
        <f ca="1" t="shared" si="239"/>
        <v>5</v>
      </c>
      <c r="Q5020" s="30" t="str">
        <f>VLOOKUP(B5020,辅助信息!E:M,9,FALSE)</f>
        <v>ZTWM-CDGS-XS-2025-0156-五冶钢构-2025年九月第一批次钢筋采购合同(三圣乡项目)-中铁物贸成都公司</v>
      </c>
      <c r="R5020" s="30" t="str">
        <f>_xlfn._xlws.FILTER(辅助信息!D:D,辅助信息!E:E=B5020)</f>
        <v>五冶钢构龙泉东洪片区(70亩、85亩)住宅、商业及配套工程项目</v>
      </c>
    </row>
    <row r="5021" spans="2:18">
      <c r="B5021" s="136" t="s">
        <v>224</v>
      </c>
      <c r="C5021" s="71">
        <v>45959</v>
      </c>
      <c r="D5021" s="41" t="str">
        <f>VLOOKUP(B5021,辅助信息!E:K,7,FALSE)</f>
        <v>JWDDCD2025092400188</v>
      </c>
      <c r="E5021" s="41" t="str">
        <f>VLOOKUP(F5021,辅助信息!A:B,2,FALSE)</f>
        <v>螺纹钢</v>
      </c>
      <c r="F5021" s="41" t="s">
        <v>27</v>
      </c>
      <c r="G5021" s="37">
        <v>10</v>
      </c>
      <c r="H5021" s="135">
        <v>10</v>
      </c>
      <c r="I5021" s="40" t="str">
        <f>VLOOKUP(B5021,辅助信息!E:I,3,FALSE)</f>
        <v>(五冶钢构龙泉东洪片区70亩住宅、商业及配套工程项目一标段)成都市龙泉驿外东洪路地铁2号线惠王陵地铁C口</v>
      </c>
      <c r="J5021" s="41" t="str">
        <f>VLOOKUP(B5021,辅助信息!E:I,4,FALSE)</f>
        <v>邹爱国</v>
      </c>
      <c r="K5021" s="41">
        <f>VLOOKUP(J5021,辅助信息!H:I,2,FALSE)</f>
        <v>13540231225</v>
      </c>
      <c r="L5021" s="110">
        <f>VLOOKUP(B5021,辅助信息!E:J,6,FALSE)</f>
        <v>0</v>
      </c>
      <c r="M5021" s="92">
        <v>45954</v>
      </c>
      <c r="O5021" s="63">
        <f ca="1" t="shared" si="238"/>
        <v>0</v>
      </c>
      <c r="P5021" s="63">
        <f ca="1" t="shared" si="239"/>
        <v>5</v>
      </c>
      <c r="Q5021" s="30" t="str">
        <f>VLOOKUP(B5021,辅助信息!E:M,9,FALSE)</f>
        <v>ZTWM-CDGS-XS-2025-0156-五冶钢构-2025年九月第一批次钢筋采购合同(三圣乡项目)-中铁物贸成都公司</v>
      </c>
      <c r="R5021" s="30" t="str">
        <f>_xlfn._xlws.FILTER(辅助信息!D:D,辅助信息!E:E=B5021)</f>
        <v>五冶钢构龙泉东洪片区(70亩、85亩)住宅、商业及配套工程项目</v>
      </c>
    </row>
    <row r="5022" spans="2:18">
      <c r="B5022" s="136" t="s">
        <v>224</v>
      </c>
      <c r="C5022" s="71">
        <v>45959</v>
      </c>
      <c r="D5022" s="41" t="str">
        <f>VLOOKUP(B5022,辅助信息!E:K,7,FALSE)</f>
        <v>JWDDCD2025092400188</v>
      </c>
      <c r="E5022" s="41" t="str">
        <f>VLOOKUP(F5022,辅助信息!A:B,2,FALSE)</f>
        <v>螺纹钢</v>
      </c>
      <c r="F5022" s="41" t="s">
        <v>19</v>
      </c>
      <c r="G5022" s="37">
        <v>10</v>
      </c>
      <c r="H5022" s="135">
        <f>IF(SUMIFS('[1]2025年已发货'!$E:$E,'[1]2025年已发货'!$F:$F,C5022,'[1]2025年已发货'!$C:$C,F5022,'[1]2025年已发货'!$G:$G,I5022,'[1]2025年已发货'!$H:$H,J5022)=0,"未发货",SUMIFS('[1]2025年已发货'!$E:$E,'[1]2025年已发货'!$F:$F,C5022,'[1]2025年已发货'!$C:$C,F5022,'[1]2025年已发货'!$G:$G,I5022,'[1]2025年已发货'!$H:$H,J5022))</f>
        <v>10</v>
      </c>
      <c r="I5022" s="40" t="str">
        <f>VLOOKUP(B5022,辅助信息!E:I,3,FALSE)</f>
        <v>(五冶钢构龙泉东洪片区70亩住宅、商业及配套工程项目一标段)成都市龙泉驿外东洪路地铁2号线惠王陵地铁C口</v>
      </c>
      <c r="J5022" s="41" t="str">
        <f>VLOOKUP(B5022,辅助信息!E:I,4,FALSE)</f>
        <v>邹爱国</v>
      </c>
      <c r="K5022" s="41">
        <f>VLOOKUP(J5022,辅助信息!H:I,2,FALSE)</f>
        <v>13540231225</v>
      </c>
      <c r="L5022" s="110">
        <f>VLOOKUP(B5022,辅助信息!E:J,6,FALSE)</f>
        <v>0</v>
      </c>
      <c r="M5022" s="92">
        <v>45954</v>
      </c>
      <c r="O5022" s="63">
        <f ca="1" t="shared" si="238"/>
        <v>0</v>
      </c>
      <c r="P5022" s="63">
        <f ca="1" t="shared" si="239"/>
        <v>5</v>
      </c>
      <c r="Q5022" s="30" t="str">
        <f>VLOOKUP(B5022,辅助信息!E:M,9,FALSE)</f>
        <v>ZTWM-CDGS-XS-2025-0156-五冶钢构-2025年九月第一批次钢筋采购合同(三圣乡项目)-中铁物贸成都公司</v>
      </c>
      <c r="R5022" s="30" t="str">
        <f>_xlfn._xlws.FILTER(辅助信息!D:D,辅助信息!E:E=B5022)</f>
        <v>五冶钢构龙泉东洪片区(70亩、85亩)住宅、商业及配套工程项目</v>
      </c>
    </row>
    <row r="5023" spans="2:18">
      <c r="B5023" s="136" t="s">
        <v>224</v>
      </c>
      <c r="C5023" s="71">
        <v>45959</v>
      </c>
      <c r="D5023" s="41" t="str">
        <f>VLOOKUP(B5023,辅助信息!E:K,7,FALSE)</f>
        <v>JWDDCD2025092400188</v>
      </c>
      <c r="E5023" s="41" t="str">
        <f>VLOOKUP(F5023,辅助信息!A:B,2,FALSE)</f>
        <v>螺纹钢</v>
      </c>
      <c r="F5023" s="41" t="s">
        <v>32</v>
      </c>
      <c r="G5023" s="37">
        <v>10</v>
      </c>
      <c r="H5023" s="135">
        <f>IF(SUMIFS('[1]2025年已发货'!$E:$E,'[1]2025年已发货'!$F:$F,C5023,'[1]2025年已发货'!$C:$C,F5023,'[1]2025年已发货'!$G:$G,I5023,'[1]2025年已发货'!$H:$H,J5023)=0,"未发货",SUMIFS('[1]2025年已发货'!$E:$E,'[1]2025年已发货'!$F:$F,C5023,'[1]2025年已发货'!$C:$C,F5023,'[1]2025年已发货'!$G:$G,I5023,'[1]2025年已发货'!$H:$H,J5023))</f>
        <v>10</v>
      </c>
      <c r="I5023" s="40" t="str">
        <f>VLOOKUP(B5023,辅助信息!E:I,3,FALSE)</f>
        <v>(五冶钢构龙泉东洪片区70亩住宅、商业及配套工程项目一标段)成都市龙泉驿外东洪路地铁2号线惠王陵地铁C口</v>
      </c>
      <c r="J5023" s="41" t="str">
        <f>VLOOKUP(B5023,辅助信息!E:I,4,FALSE)</f>
        <v>邹爱国</v>
      </c>
      <c r="K5023" s="41">
        <f>VLOOKUP(J5023,辅助信息!H:I,2,FALSE)</f>
        <v>13540231225</v>
      </c>
      <c r="L5023" s="110">
        <f>VLOOKUP(B5023,辅助信息!E:J,6,FALSE)</f>
        <v>0</v>
      </c>
      <c r="M5023" s="92">
        <v>45954</v>
      </c>
      <c r="O5023" s="63">
        <f ca="1" t="shared" si="238"/>
        <v>0</v>
      </c>
      <c r="P5023" s="63">
        <f ca="1" t="shared" si="239"/>
        <v>5</v>
      </c>
      <c r="Q5023" s="30" t="str">
        <f>VLOOKUP(B5023,辅助信息!E:M,9,FALSE)</f>
        <v>ZTWM-CDGS-XS-2025-0156-五冶钢构-2025年九月第一批次钢筋采购合同(三圣乡项目)-中铁物贸成都公司</v>
      </c>
      <c r="R5023" s="30" t="str">
        <f>_xlfn._xlws.FILTER(辅助信息!D:D,辅助信息!E:E=B5023)</f>
        <v>五冶钢构龙泉东洪片区(70亩、85亩)住宅、商业及配套工程项目</v>
      </c>
    </row>
    <row r="5024" spans="2:18">
      <c r="B5024" s="136" t="s">
        <v>224</v>
      </c>
      <c r="C5024" s="71">
        <v>45959</v>
      </c>
      <c r="D5024" s="41" t="str">
        <f>VLOOKUP(B5024,辅助信息!E:K,7,FALSE)</f>
        <v>JWDDCD2025092400188</v>
      </c>
      <c r="E5024" s="41" t="str">
        <f>VLOOKUP(F5024,辅助信息!A:B,2,FALSE)</f>
        <v>螺纹钢</v>
      </c>
      <c r="F5024" s="41" t="s">
        <v>30</v>
      </c>
      <c r="G5024" s="37">
        <v>10</v>
      </c>
      <c r="H5024" s="135">
        <f>IF(SUMIFS('[1]2025年已发货'!$E:$E,'[1]2025年已发货'!$F:$F,C5024,'[1]2025年已发货'!$C:$C,F5024,'[1]2025年已发货'!$G:$G,I5024,'[1]2025年已发货'!$H:$H,J5024)=0,"未发货",SUMIFS('[1]2025年已发货'!$E:$E,'[1]2025年已发货'!$F:$F,C5024,'[1]2025年已发货'!$C:$C,F5024,'[1]2025年已发货'!$G:$G,I5024,'[1]2025年已发货'!$H:$H,J5024))</f>
        <v>10</v>
      </c>
      <c r="I5024" s="40" t="str">
        <f>VLOOKUP(B5024,辅助信息!E:I,3,FALSE)</f>
        <v>(五冶钢构龙泉东洪片区70亩住宅、商业及配套工程项目一标段)成都市龙泉驿外东洪路地铁2号线惠王陵地铁C口</v>
      </c>
      <c r="J5024" s="41" t="str">
        <f>VLOOKUP(B5024,辅助信息!E:I,4,FALSE)</f>
        <v>邹爱国</v>
      </c>
      <c r="K5024" s="41">
        <f>VLOOKUP(J5024,辅助信息!H:I,2,FALSE)</f>
        <v>13540231225</v>
      </c>
      <c r="L5024" s="110">
        <f>VLOOKUP(B5024,辅助信息!E:J,6,FALSE)</f>
        <v>0</v>
      </c>
      <c r="M5024" s="92">
        <v>45954</v>
      </c>
      <c r="O5024" s="63">
        <f ca="1" t="shared" si="238"/>
        <v>0</v>
      </c>
      <c r="P5024" s="63">
        <f ca="1" t="shared" si="239"/>
        <v>5</v>
      </c>
      <c r="Q5024" s="30" t="str">
        <f>VLOOKUP(B5024,辅助信息!E:M,9,FALSE)</f>
        <v>ZTWM-CDGS-XS-2025-0156-五冶钢构-2025年九月第一批次钢筋采购合同(三圣乡项目)-中铁物贸成都公司</v>
      </c>
      <c r="R5024" s="30" t="str">
        <f>_xlfn._xlws.FILTER(辅助信息!D:D,辅助信息!E:E=B5024)</f>
        <v>五冶钢构龙泉东洪片区(70亩、85亩)住宅、商业及配套工程项目</v>
      </c>
    </row>
    <row r="5025" spans="2:18">
      <c r="B5025" s="136" t="s">
        <v>224</v>
      </c>
      <c r="C5025" s="71">
        <v>45959</v>
      </c>
      <c r="D5025" s="41" t="str">
        <f>VLOOKUP(B5025,辅助信息!E:K,7,FALSE)</f>
        <v>JWDDCD2025092400188</v>
      </c>
      <c r="E5025" s="41" t="str">
        <f>VLOOKUP(F5025,辅助信息!A:B,2,FALSE)</f>
        <v>螺纹钢</v>
      </c>
      <c r="F5025" s="41" t="s">
        <v>33</v>
      </c>
      <c r="G5025" s="37">
        <v>10</v>
      </c>
      <c r="H5025" s="135">
        <f>IF(SUMIFS('[1]2025年已发货'!$E:$E,'[1]2025年已发货'!$F:$F,C5025,'[1]2025年已发货'!$C:$C,F5025,'[1]2025年已发货'!$G:$G,I5025,'[1]2025年已发货'!$H:$H,J5025)=0,"未发货",SUMIFS('[1]2025年已发货'!$E:$E,'[1]2025年已发货'!$F:$F,C5025,'[1]2025年已发货'!$C:$C,F5025,'[1]2025年已发货'!$G:$G,I5025,'[1]2025年已发货'!$H:$H,J5025))</f>
        <v>10</v>
      </c>
      <c r="I5025" s="40" t="str">
        <f>VLOOKUP(B5025,辅助信息!E:I,3,FALSE)</f>
        <v>(五冶钢构龙泉东洪片区70亩住宅、商业及配套工程项目一标段)成都市龙泉驿外东洪路地铁2号线惠王陵地铁C口</v>
      </c>
      <c r="J5025" s="41" t="str">
        <f>VLOOKUP(B5025,辅助信息!E:I,4,FALSE)</f>
        <v>邹爱国</v>
      </c>
      <c r="K5025" s="41">
        <f>VLOOKUP(J5025,辅助信息!H:I,2,FALSE)</f>
        <v>13540231225</v>
      </c>
      <c r="L5025" s="110">
        <f>VLOOKUP(B5025,辅助信息!E:J,6,FALSE)</f>
        <v>0</v>
      </c>
      <c r="M5025" s="92">
        <v>45954</v>
      </c>
      <c r="O5025" s="63">
        <f ca="1" t="shared" si="238"/>
        <v>0</v>
      </c>
      <c r="P5025" s="63">
        <f ca="1" t="shared" si="239"/>
        <v>5</v>
      </c>
      <c r="Q5025" s="30" t="str">
        <f>VLOOKUP(B5025,辅助信息!E:M,9,FALSE)</f>
        <v>ZTWM-CDGS-XS-2025-0156-五冶钢构-2025年九月第一批次钢筋采购合同(三圣乡项目)-中铁物贸成都公司</v>
      </c>
      <c r="R5025" s="30" t="str">
        <f>_xlfn._xlws.FILTER(辅助信息!D:D,辅助信息!E:E=B5025)</f>
        <v>五冶钢构龙泉东洪片区(70亩、85亩)住宅、商业及配套工程项目</v>
      </c>
    </row>
    <row r="5026" spans="2:18">
      <c r="B5026" s="136" t="s">
        <v>224</v>
      </c>
      <c r="C5026" s="71">
        <v>45959</v>
      </c>
      <c r="D5026" s="41" t="str">
        <f>VLOOKUP(B5026,辅助信息!E:K,7,FALSE)</f>
        <v>JWDDCD2025092400188</v>
      </c>
      <c r="E5026" s="41" t="str">
        <f>VLOOKUP(F5026,辅助信息!A:B,2,FALSE)</f>
        <v>螺纹钢</v>
      </c>
      <c r="F5026" s="41" t="s">
        <v>28</v>
      </c>
      <c r="G5026" s="37">
        <v>10</v>
      </c>
      <c r="H5026" s="135">
        <f>IF(SUMIFS('[1]2025年已发货'!$E:$E,'[1]2025年已发货'!$F:$F,C5026,'[1]2025年已发货'!$C:$C,F5026,'[1]2025年已发货'!$G:$G,I5026,'[1]2025年已发货'!$H:$H,J5026)=0,"未发货",SUMIFS('[1]2025年已发货'!$E:$E,'[1]2025年已发货'!$F:$F,C5026,'[1]2025年已发货'!$C:$C,F5026,'[1]2025年已发货'!$G:$G,I5026,'[1]2025年已发货'!$H:$H,J5026))</f>
        <v>10</v>
      </c>
      <c r="I5026" s="40" t="str">
        <f>VLOOKUP(B5026,辅助信息!E:I,3,FALSE)</f>
        <v>(五冶钢构龙泉东洪片区70亩住宅、商业及配套工程项目一标段)成都市龙泉驿外东洪路地铁2号线惠王陵地铁C口</v>
      </c>
      <c r="J5026" s="41" t="str">
        <f>VLOOKUP(B5026,辅助信息!E:I,4,FALSE)</f>
        <v>邹爱国</v>
      </c>
      <c r="K5026" s="41">
        <f>VLOOKUP(J5026,辅助信息!H:I,2,FALSE)</f>
        <v>13540231225</v>
      </c>
      <c r="L5026" s="110">
        <f>VLOOKUP(B5026,辅助信息!E:J,6,FALSE)</f>
        <v>0</v>
      </c>
      <c r="M5026" s="92">
        <v>45954</v>
      </c>
      <c r="O5026" s="63">
        <f ca="1" t="shared" si="238"/>
        <v>0</v>
      </c>
      <c r="P5026" s="63">
        <f ca="1" t="shared" si="239"/>
        <v>5</v>
      </c>
      <c r="Q5026" s="30" t="str">
        <f>VLOOKUP(B5026,辅助信息!E:M,9,FALSE)</f>
        <v>ZTWM-CDGS-XS-2025-0156-五冶钢构-2025年九月第一批次钢筋采购合同(三圣乡项目)-中铁物贸成都公司</v>
      </c>
      <c r="R5026" s="30" t="str">
        <f>_xlfn._xlws.FILTER(辅助信息!D:D,辅助信息!E:E=B5026)</f>
        <v>五冶钢构龙泉东洪片区(70亩、85亩)住宅、商业及配套工程项目</v>
      </c>
    </row>
    <row r="5027" spans="2:18">
      <c r="B5027" s="136" t="s">
        <v>224</v>
      </c>
      <c r="C5027" s="71">
        <v>45959</v>
      </c>
      <c r="D5027" s="41" t="str">
        <f>VLOOKUP(B5027,辅助信息!E:K,7,FALSE)</f>
        <v>JWDDCD2025092400188</v>
      </c>
      <c r="E5027" s="41" t="str">
        <f>VLOOKUP(F5027,辅助信息!A:B,2,FALSE)</f>
        <v>螺纹钢</v>
      </c>
      <c r="F5027" s="41" t="s">
        <v>18</v>
      </c>
      <c r="G5027" s="37">
        <v>10</v>
      </c>
      <c r="H5027" s="135">
        <f>IF(SUMIFS('[1]2025年已发货'!$E:$E,'[1]2025年已发货'!$F:$F,C5027,'[1]2025年已发货'!$C:$C,F5027,'[1]2025年已发货'!$G:$G,I5027,'[1]2025年已发货'!$H:$H,J5027)=0,"未发货",SUMIFS('[1]2025年已发货'!$E:$E,'[1]2025年已发货'!$F:$F,C5027,'[1]2025年已发货'!$C:$C,F5027,'[1]2025年已发货'!$G:$G,I5027,'[1]2025年已发货'!$H:$H,J5027))</f>
        <v>10</v>
      </c>
      <c r="I5027" s="40" t="str">
        <f>VLOOKUP(B5027,辅助信息!E:I,3,FALSE)</f>
        <v>(五冶钢构龙泉东洪片区70亩住宅、商业及配套工程项目一标段)成都市龙泉驿外东洪路地铁2号线惠王陵地铁C口</v>
      </c>
      <c r="J5027" s="41" t="str">
        <f>VLOOKUP(B5027,辅助信息!E:I,4,FALSE)</f>
        <v>邹爱国</v>
      </c>
      <c r="K5027" s="41">
        <f>VLOOKUP(J5027,辅助信息!H:I,2,FALSE)</f>
        <v>13540231225</v>
      </c>
      <c r="L5027" s="110">
        <f>VLOOKUP(B5027,辅助信息!E:J,6,FALSE)</f>
        <v>0</v>
      </c>
      <c r="M5027" s="92">
        <v>45954</v>
      </c>
      <c r="O5027" s="63">
        <f ca="1" t="shared" si="238"/>
        <v>0</v>
      </c>
      <c r="P5027" s="63">
        <f ca="1" t="shared" si="239"/>
        <v>5</v>
      </c>
      <c r="Q5027" s="30" t="str">
        <f>VLOOKUP(B5027,辅助信息!E:M,9,FALSE)</f>
        <v>ZTWM-CDGS-XS-2025-0156-五冶钢构-2025年九月第一批次钢筋采购合同(三圣乡项目)-中铁物贸成都公司</v>
      </c>
      <c r="R5027" s="30" t="str">
        <f>_xlfn._xlws.FILTER(辅助信息!D:D,辅助信息!E:E=B5027)</f>
        <v>五冶钢构龙泉东洪片区(70亩、85亩)住宅、商业及配套工程项目</v>
      </c>
    </row>
    <row r="5028" hidden="1" spans="1:18">
      <c r="A5028" s="72" t="s">
        <v>100</v>
      </c>
      <c r="B5028" s="136" t="s">
        <v>208</v>
      </c>
      <c r="C5028" s="71">
        <v>45957</v>
      </c>
      <c r="D5028" s="41" t="str">
        <f>VLOOKUP(B5028,辅助信息!E:K,7,FALSE)</f>
        <v>JWDDCD2025102100480</v>
      </c>
      <c r="E5028" s="41" t="str">
        <f>VLOOKUP(F5028,辅助信息!A:B,2,FALSE)</f>
        <v>高线</v>
      </c>
      <c r="F5028" s="41" t="s">
        <v>53</v>
      </c>
      <c r="G5028" s="37">
        <v>2.5</v>
      </c>
      <c r="H5028" s="135">
        <f>IF(SUMIFS('[1]2025年已发货'!$E:$E,'[1]2025年已发货'!$F:$F,C5028,'[1]2025年已发货'!$C:$C,F5028,'[1]2025年已发货'!$G:$G,I5028,'[1]2025年已发货'!$H:$H,J5028)=0,"未发货",SUMIFS('[1]2025年已发货'!$E:$E,'[1]2025年已发货'!$F:$F,C5028,'[1]2025年已发货'!$C:$C,F5028,'[1]2025年已发货'!$G:$G,I5028,'[1]2025年已发货'!$H:$H,J5028))</f>
        <v>2.5</v>
      </c>
      <c r="I5028" s="40" t="str">
        <f>VLOOKUP(B5028,辅助信息!E:I,3,FALSE)</f>
        <v>(五冶建设锦江区林家坝片区20号地块商业项目)锦江区泰昌路锦江28亩项目部</v>
      </c>
      <c r="J5028" s="41" t="str">
        <f>VLOOKUP(B5028,辅助信息!E:I,4,FALSE)</f>
        <v>陶杰</v>
      </c>
      <c r="K5028" s="41">
        <f>VLOOKUP(J5028,辅助信息!H:I,2,FALSE)</f>
        <v>13980247952</v>
      </c>
      <c r="L5028" s="110" t="str">
        <f>VLOOKUP(B5028,辅助信息!E:J,6,FALSE)</f>
        <v>联系实际收货人（陶杰13980247952）五冶建设送货单,6份材质书,锈货不收，装货前联系收货人核实到场规格,没提前告知进场规格现场不给予接收</v>
      </c>
      <c r="M5028" s="92">
        <v>45954</v>
      </c>
      <c r="O5028" s="63">
        <f ca="1" t="shared" ref="O5028:O5091" si="240">IF(OR(M5028="",N5028&lt;&gt;""),"",MAX(M5028-TODAY(),0))</f>
        <v>0</v>
      </c>
      <c r="P5028" s="63">
        <f ca="1" t="shared" ref="P5028:P5091" si="241">IF(M5028="","",IF(N5028&lt;&gt;"",MAX(N5028-M5028,0),IF(TODAY()&gt;M5028,TODAY()-M5028,0)))</f>
        <v>5</v>
      </c>
      <c r="Q5028" s="30" t="str">
        <f>VLOOKUP(B5028,辅助信息!E:M,9,FALSE)</f>
        <v>ZTWM-CDGS-XS-2025-0073-五冶天府-成都怡心湖片区及龙泉驿医院等项目</v>
      </c>
      <c r="R5028" s="30" t="str">
        <f>_xlfn._xlws.FILTER(辅助信息!D:D,辅助信息!E:E=B5028)</f>
        <v>五冶建设锦江区林家坝片区20号地块商业项目</v>
      </c>
    </row>
    <row r="5029" hidden="1" spans="1:18">
      <c r="A5029" s="72"/>
      <c r="B5029" s="136" t="s">
        <v>208</v>
      </c>
      <c r="C5029" s="71">
        <v>45957</v>
      </c>
      <c r="D5029" s="41" t="str">
        <f>VLOOKUP(B5029,辅助信息!E:K,7,FALSE)</f>
        <v>JWDDCD2025102100480</v>
      </c>
      <c r="E5029" s="41" t="str">
        <f>VLOOKUP(F5029,辅助信息!A:B,2,FALSE)</f>
        <v>盘螺</v>
      </c>
      <c r="F5029" s="41" t="s">
        <v>40</v>
      </c>
      <c r="G5029" s="37">
        <v>2.5</v>
      </c>
      <c r="H5029" s="135">
        <f>IF(SUMIFS('[1]2025年已发货'!$E:$E,'[1]2025年已发货'!$F:$F,C5029,'[1]2025年已发货'!$C:$C,F5029,'[1]2025年已发货'!$G:$G,I5029,'[1]2025年已发货'!$H:$H,J5029)=0,"未发货",SUMIFS('[1]2025年已发货'!$E:$E,'[1]2025年已发货'!$F:$F,C5029,'[1]2025年已发货'!$C:$C,F5029,'[1]2025年已发货'!$G:$G,I5029,'[1]2025年已发货'!$H:$H,J5029))</f>
        <v>2.5</v>
      </c>
      <c r="I5029" s="40" t="str">
        <f>VLOOKUP(B5029,辅助信息!E:I,3,FALSE)</f>
        <v>(五冶建设锦江区林家坝片区20号地块商业项目)锦江区泰昌路锦江28亩项目部</v>
      </c>
      <c r="J5029" s="41" t="str">
        <f>VLOOKUP(B5029,辅助信息!E:I,4,FALSE)</f>
        <v>陶杰</v>
      </c>
      <c r="K5029" s="41">
        <f>VLOOKUP(J5029,辅助信息!H:I,2,FALSE)</f>
        <v>13980247952</v>
      </c>
      <c r="L5029" s="110" t="str">
        <f>VLOOKUP(B5029,辅助信息!E:J,6,FALSE)</f>
        <v>联系实际收货人（陶杰13980247952）五冶建设送货单,6份材质书,锈货不收，装货前联系收货人核实到场规格,没提前告知进场规格现场不给予接收</v>
      </c>
      <c r="M5029" s="92">
        <v>45954</v>
      </c>
      <c r="O5029" s="63">
        <f ca="1" t="shared" si="240"/>
        <v>0</v>
      </c>
      <c r="P5029" s="63">
        <f ca="1" t="shared" si="241"/>
        <v>5</v>
      </c>
      <c r="Q5029" s="30" t="str">
        <f>VLOOKUP(B5029,辅助信息!E:M,9,FALSE)</f>
        <v>ZTWM-CDGS-XS-2025-0073-五冶天府-成都怡心湖片区及龙泉驿医院等项目</v>
      </c>
      <c r="R5029" s="30" t="str">
        <f>_xlfn._xlws.FILTER(辅助信息!D:D,辅助信息!E:E=B5029)</f>
        <v>五冶建设锦江区林家坝片区20号地块商业项目</v>
      </c>
    </row>
    <row r="5030" hidden="1" spans="1:18">
      <c r="A5030" s="72"/>
      <c r="B5030" s="136" t="s">
        <v>208</v>
      </c>
      <c r="C5030" s="71">
        <v>45957</v>
      </c>
      <c r="D5030" s="41" t="str">
        <f>VLOOKUP(B5030,辅助信息!E:K,7,FALSE)</f>
        <v>JWDDCD2025102100480</v>
      </c>
      <c r="E5030" s="41" t="str">
        <f>VLOOKUP(F5030,辅助信息!A:B,2,FALSE)</f>
        <v>盘螺</v>
      </c>
      <c r="F5030" s="41" t="s">
        <v>41</v>
      </c>
      <c r="G5030" s="37">
        <v>2.5</v>
      </c>
      <c r="H5030" s="135">
        <f>IF(SUMIFS('[1]2025年已发货'!$E:$E,'[1]2025年已发货'!$F:$F,C5030,'[1]2025年已发货'!$C:$C,F5030,'[1]2025年已发货'!$G:$G,I5030,'[1]2025年已发货'!$H:$H,J5030)=0,"未发货",SUMIFS('[1]2025年已发货'!$E:$E,'[1]2025年已发货'!$F:$F,C5030,'[1]2025年已发货'!$C:$C,F5030,'[1]2025年已发货'!$G:$G,I5030,'[1]2025年已发货'!$H:$H,J5030))</f>
        <v>2.5</v>
      </c>
      <c r="I5030" s="40" t="str">
        <f>VLOOKUP(B5030,辅助信息!E:I,3,FALSE)</f>
        <v>(五冶建设锦江区林家坝片区20号地块商业项目)锦江区泰昌路锦江28亩项目部</v>
      </c>
      <c r="J5030" s="41" t="str">
        <f>VLOOKUP(B5030,辅助信息!E:I,4,FALSE)</f>
        <v>陶杰</v>
      </c>
      <c r="K5030" s="41">
        <f>VLOOKUP(J5030,辅助信息!H:I,2,FALSE)</f>
        <v>13980247952</v>
      </c>
      <c r="L5030" s="110" t="str">
        <f>VLOOKUP(B5030,辅助信息!E:J,6,FALSE)</f>
        <v>联系实际收货人（陶杰13980247952）五冶建设送货单,6份材质书,锈货不收，装货前联系收货人核实到场规格,没提前告知进场规格现场不给予接收</v>
      </c>
      <c r="M5030" s="92">
        <v>45954</v>
      </c>
      <c r="O5030" s="63">
        <f ca="1" t="shared" si="240"/>
        <v>0</v>
      </c>
      <c r="P5030" s="63">
        <f ca="1" t="shared" si="241"/>
        <v>5</v>
      </c>
      <c r="Q5030" s="30" t="str">
        <f>VLOOKUP(B5030,辅助信息!E:M,9,FALSE)</f>
        <v>ZTWM-CDGS-XS-2025-0073-五冶天府-成都怡心湖片区及龙泉驿医院等项目</v>
      </c>
      <c r="R5030" s="30" t="str">
        <f>_xlfn._xlws.FILTER(辅助信息!D:D,辅助信息!E:E=B5030)</f>
        <v>五冶建设锦江区林家坝片区20号地块商业项目</v>
      </c>
    </row>
    <row r="5031" hidden="1" spans="1:18">
      <c r="A5031" s="72"/>
      <c r="B5031" s="136" t="s">
        <v>208</v>
      </c>
      <c r="C5031" s="71">
        <v>45957</v>
      </c>
      <c r="D5031" s="41" t="str">
        <f>VLOOKUP(B5031,辅助信息!E:K,7,FALSE)</f>
        <v>JWDDCD2025102100480</v>
      </c>
      <c r="E5031" s="41" t="str">
        <f>VLOOKUP(F5031,辅助信息!A:B,2,FALSE)</f>
        <v>螺纹钢</v>
      </c>
      <c r="F5031" s="41" t="s">
        <v>27</v>
      </c>
      <c r="G5031" s="37">
        <v>2.5</v>
      </c>
      <c r="H5031" s="135">
        <f>IF(SUMIFS('[1]2025年已发货'!$E:$E,'[1]2025年已发货'!$F:$F,C5031,'[1]2025年已发货'!$C:$C,F5031,'[1]2025年已发货'!$G:$G,I5031,'[1]2025年已发货'!$H:$H,J5031)=0,"未发货",SUMIFS('[1]2025年已发货'!$E:$E,'[1]2025年已发货'!$F:$F,C5031,'[1]2025年已发货'!$C:$C,F5031,'[1]2025年已发货'!$G:$G,I5031,'[1]2025年已发货'!$H:$H,J5031))</f>
        <v>2.5</v>
      </c>
      <c r="I5031" s="40" t="str">
        <f>VLOOKUP(B5031,辅助信息!E:I,3,FALSE)</f>
        <v>(五冶建设锦江区林家坝片区20号地块商业项目)锦江区泰昌路锦江28亩项目部</v>
      </c>
      <c r="J5031" s="41" t="str">
        <f>VLOOKUP(B5031,辅助信息!E:I,4,FALSE)</f>
        <v>陶杰</v>
      </c>
      <c r="K5031" s="41">
        <f>VLOOKUP(J5031,辅助信息!H:I,2,FALSE)</f>
        <v>13980247952</v>
      </c>
      <c r="L5031" s="110" t="str">
        <f>VLOOKUP(B5031,辅助信息!E:J,6,FALSE)</f>
        <v>联系实际收货人（陶杰13980247952）五冶建设送货单,6份材质书,锈货不收，装货前联系收货人核实到场规格,没提前告知进场规格现场不给予接收</v>
      </c>
      <c r="M5031" s="92">
        <v>45954</v>
      </c>
      <c r="O5031" s="63">
        <f ca="1" t="shared" si="240"/>
        <v>0</v>
      </c>
      <c r="P5031" s="63">
        <f ca="1" t="shared" si="241"/>
        <v>5</v>
      </c>
      <c r="Q5031" s="30" t="str">
        <f>VLOOKUP(B5031,辅助信息!E:M,9,FALSE)</f>
        <v>ZTWM-CDGS-XS-2025-0073-五冶天府-成都怡心湖片区及龙泉驿医院等项目</v>
      </c>
      <c r="R5031" s="30" t="str">
        <f>_xlfn._xlws.FILTER(辅助信息!D:D,辅助信息!E:E=B5031)</f>
        <v>五冶建设锦江区林家坝片区20号地块商业项目</v>
      </c>
    </row>
    <row r="5032" hidden="1" spans="1:18">
      <c r="A5032" s="72"/>
      <c r="B5032" s="136" t="s">
        <v>208</v>
      </c>
      <c r="C5032" s="71">
        <v>45957</v>
      </c>
      <c r="D5032" s="41" t="str">
        <f>VLOOKUP(B5032,辅助信息!E:K,7,FALSE)</f>
        <v>JWDDCD2025102100480</v>
      </c>
      <c r="E5032" s="41" t="str">
        <f>VLOOKUP(F5032,辅助信息!A:B,2,FALSE)</f>
        <v>螺纹钢</v>
      </c>
      <c r="F5032" s="41" t="s">
        <v>19</v>
      </c>
      <c r="G5032" s="37">
        <v>10</v>
      </c>
      <c r="H5032" s="135">
        <f>IF(SUMIFS('[1]2025年已发货'!$E:$E,'[1]2025年已发货'!$F:$F,C5032,'[1]2025年已发货'!$C:$C,F5032,'[1]2025年已发货'!$G:$G,I5032,'[1]2025年已发货'!$H:$H,J5032)=0,"未发货",SUMIFS('[1]2025年已发货'!$E:$E,'[1]2025年已发货'!$F:$F,C5032,'[1]2025年已发货'!$C:$C,F5032,'[1]2025年已发货'!$G:$G,I5032,'[1]2025年已发货'!$H:$H,J5032))</f>
        <v>10</v>
      </c>
      <c r="I5032" s="40" t="str">
        <f>VLOOKUP(B5032,辅助信息!E:I,3,FALSE)</f>
        <v>(五冶建设锦江区林家坝片区20号地块商业项目)锦江区泰昌路锦江28亩项目部</v>
      </c>
      <c r="J5032" s="41" t="str">
        <f>VLOOKUP(B5032,辅助信息!E:I,4,FALSE)</f>
        <v>陶杰</v>
      </c>
      <c r="K5032" s="41">
        <f>VLOOKUP(J5032,辅助信息!H:I,2,FALSE)</f>
        <v>13980247952</v>
      </c>
      <c r="L5032" s="110" t="str">
        <f>VLOOKUP(B5032,辅助信息!E:J,6,FALSE)</f>
        <v>联系实际收货人（陶杰13980247952）五冶建设送货单,6份材质书,锈货不收，装货前联系收货人核实到场规格,没提前告知进场规格现场不给予接收</v>
      </c>
      <c r="M5032" s="92">
        <v>45954</v>
      </c>
      <c r="O5032" s="63">
        <f ca="1" t="shared" si="240"/>
        <v>0</v>
      </c>
      <c r="P5032" s="63">
        <f ca="1" t="shared" si="241"/>
        <v>5</v>
      </c>
      <c r="Q5032" s="30" t="str">
        <f>VLOOKUP(B5032,辅助信息!E:M,9,FALSE)</f>
        <v>ZTWM-CDGS-XS-2025-0073-五冶天府-成都怡心湖片区及龙泉驿医院等项目</v>
      </c>
      <c r="R5032" s="30" t="str">
        <f>_xlfn._xlws.FILTER(辅助信息!D:D,辅助信息!E:E=B5032)</f>
        <v>五冶建设锦江区林家坝片区20号地块商业项目</v>
      </c>
    </row>
    <row r="5033" hidden="1" spans="1:18">
      <c r="A5033" s="72"/>
      <c r="B5033" s="136" t="s">
        <v>208</v>
      </c>
      <c r="C5033" s="71">
        <v>45957</v>
      </c>
      <c r="D5033" s="41" t="str">
        <f>VLOOKUP(B5033,辅助信息!E:K,7,FALSE)</f>
        <v>JWDDCD2025102100480</v>
      </c>
      <c r="E5033" s="41" t="str">
        <f>VLOOKUP(F5033,辅助信息!A:B,2,FALSE)</f>
        <v>螺纹钢</v>
      </c>
      <c r="F5033" s="41" t="s">
        <v>32</v>
      </c>
      <c r="G5033" s="37">
        <v>5</v>
      </c>
      <c r="H5033" s="135">
        <f>IF(SUMIFS('[1]2025年已发货'!$E:$E,'[1]2025年已发货'!$F:$F,C5033,'[1]2025年已发货'!$C:$C,F5033,'[1]2025年已发货'!$G:$G,I5033,'[1]2025年已发货'!$H:$H,J5033)=0,"未发货",SUMIFS('[1]2025年已发货'!$E:$E,'[1]2025年已发货'!$F:$F,C5033,'[1]2025年已发货'!$C:$C,F5033,'[1]2025年已发货'!$G:$G,I5033,'[1]2025年已发货'!$H:$H,J5033))</f>
        <v>5</v>
      </c>
      <c r="I5033" s="40" t="str">
        <f>VLOOKUP(B5033,辅助信息!E:I,3,FALSE)</f>
        <v>(五冶建设锦江区林家坝片区20号地块商业项目)锦江区泰昌路锦江28亩项目部</v>
      </c>
      <c r="J5033" s="41" t="str">
        <f>VLOOKUP(B5033,辅助信息!E:I,4,FALSE)</f>
        <v>陶杰</v>
      </c>
      <c r="K5033" s="41">
        <f>VLOOKUP(J5033,辅助信息!H:I,2,FALSE)</f>
        <v>13980247952</v>
      </c>
      <c r="L5033" s="110" t="str">
        <f>VLOOKUP(B5033,辅助信息!E:J,6,FALSE)</f>
        <v>联系实际收货人（陶杰13980247952）五冶建设送货单,6份材质书,锈货不收，装货前联系收货人核实到场规格,没提前告知进场规格现场不给予接收</v>
      </c>
      <c r="M5033" s="92">
        <v>45954</v>
      </c>
      <c r="O5033" s="63">
        <f ca="1" t="shared" si="240"/>
        <v>0</v>
      </c>
      <c r="P5033" s="63">
        <f ca="1" t="shared" si="241"/>
        <v>5</v>
      </c>
      <c r="Q5033" s="30" t="str">
        <f>VLOOKUP(B5033,辅助信息!E:M,9,FALSE)</f>
        <v>ZTWM-CDGS-XS-2025-0073-五冶天府-成都怡心湖片区及龙泉驿医院等项目</v>
      </c>
      <c r="R5033" s="30" t="str">
        <f>_xlfn._xlws.FILTER(辅助信息!D:D,辅助信息!E:E=B5033)</f>
        <v>五冶建设锦江区林家坝片区20号地块商业项目</v>
      </c>
    </row>
    <row r="5034" hidden="1" spans="1:18">
      <c r="A5034" s="72"/>
      <c r="B5034" s="136" t="s">
        <v>208</v>
      </c>
      <c r="C5034" s="71">
        <v>45957</v>
      </c>
      <c r="D5034" s="41" t="str">
        <f>VLOOKUP(B5034,辅助信息!E:K,7,FALSE)</f>
        <v>JWDDCD2025102100480</v>
      </c>
      <c r="E5034" s="41" t="str">
        <f>VLOOKUP(F5034,辅助信息!A:B,2,FALSE)</f>
        <v>螺纹钢</v>
      </c>
      <c r="F5034" s="41" t="s">
        <v>28</v>
      </c>
      <c r="G5034" s="37">
        <v>2.5</v>
      </c>
      <c r="H5034" s="135">
        <f>IF(SUMIFS('[1]2025年已发货'!$E:$E,'[1]2025年已发货'!$F:$F,C5034,'[1]2025年已发货'!$C:$C,F5034,'[1]2025年已发货'!$G:$G,I5034,'[1]2025年已发货'!$H:$H,J5034)=0,"未发货",SUMIFS('[1]2025年已发货'!$E:$E,'[1]2025年已发货'!$F:$F,C5034,'[1]2025年已发货'!$C:$C,F5034,'[1]2025年已发货'!$G:$G,I5034,'[1]2025年已发货'!$H:$H,J5034))</f>
        <v>2.5</v>
      </c>
      <c r="I5034" s="40" t="str">
        <f>VLOOKUP(B5034,辅助信息!E:I,3,FALSE)</f>
        <v>(五冶建设锦江区林家坝片区20号地块商业项目)锦江区泰昌路锦江28亩项目部</v>
      </c>
      <c r="J5034" s="41" t="str">
        <f>VLOOKUP(B5034,辅助信息!E:I,4,FALSE)</f>
        <v>陶杰</v>
      </c>
      <c r="K5034" s="41">
        <f>VLOOKUP(J5034,辅助信息!H:I,2,FALSE)</f>
        <v>13980247952</v>
      </c>
      <c r="L5034" s="110" t="str">
        <f>VLOOKUP(B5034,辅助信息!E:J,6,FALSE)</f>
        <v>联系实际收货人（陶杰13980247952）五冶建设送货单,6份材质书,锈货不收，装货前联系收货人核实到场规格,没提前告知进场规格现场不给予接收</v>
      </c>
      <c r="M5034" s="92">
        <v>45954</v>
      </c>
      <c r="O5034" s="63">
        <f ca="1" t="shared" si="240"/>
        <v>0</v>
      </c>
      <c r="P5034" s="63">
        <f ca="1" t="shared" si="241"/>
        <v>5</v>
      </c>
      <c r="Q5034" s="30" t="str">
        <f>VLOOKUP(B5034,辅助信息!E:M,9,FALSE)</f>
        <v>ZTWM-CDGS-XS-2025-0073-五冶天府-成都怡心湖片区及龙泉驿医院等项目</v>
      </c>
      <c r="R5034" s="30" t="str">
        <f>_xlfn._xlws.FILTER(辅助信息!D:D,辅助信息!E:E=B5034)</f>
        <v>五冶建设锦江区林家坝片区20号地块商业项目</v>
      </c>
    </row>
    <row r="5035" hidden="1" spans="1:18">
      <c r="A5035" s="72"/>
      <c r="B5035" s="136" t="s">
        <v>208</v>
      </c>
      <c r="C5035" s="71">
        <v>45957</v>
      </c>
      <c r="D5035" s="41" t="str">
        <f>VLOOKUP(B5035,辅助信息!E:K,7,FALSE)</f>
        <v>JWDDCD2025102100480</v>
      </c>
      <c r="E5035" s="41" t="str">
        <f>VLOOKUP(F5035,辅助信息!A:B,2,FALSE)</f>
        <v>螺纹钢</v>
      </c>
      <c r="F5035" s="41" t="s">
        <v>18</v>
      </c>
      <c r="G5035" s="37">
        <f>80-2.5</f>
        <v>77.5</v>
      </c>
      <c r="H5035" s="135">
        <f>IF(SUMIFS('[1]2025年已发货'!$E:$E,'[1]2025年已发货'!$F:$F,C5035,'[1]2025年已发货'!$C:$C,F5035,'[1]2025年已发货'!$G:$G,I5035,'[1]2025年已发货'!$H:$H,J5035)=0,"未发货",SUMIFS('[1]2025年已发货'!$E:$E,'[1]2025年已发货'!$F:$F,C5035,'[1]2025年已发货'!$C:$C,F5035,'[1]2025年已发货'!$G:$G,I5035,'[1]2025年已发货'!$H:$H,J5035))</f>
        <v>78</v>
      </c>
      <c r="I5035" s="40" t="str">
        <f>VLOOKUP(B5035,辅助信息!E:I,3,FALSE)</f>
        <v>(五冶建设锦江区林家坝片区20号地块商业项目)锦江区泰昌路锦江28亩项目部</v>
      </c>
      <c r="J5035" s="41" t="str">
        <f>VLOOKUP(B5035,辅助信息!E:I,4,FALSE)</f>
        <v>陶杰</v>
      </c>
      <c r="K5035" s="41">
        <f>VLOOKUP(J5035,辅助信息!H:I,2,FALSE)</f>
        <v>13980247952</v>
      </c>
      <c r="L5035" s="110" t="str">
        <f>VLOOKUP(B5035,辅助信息!E:J,6,FALSE)</f>
        <v>联系实际收货人（陶杰13980247952）五冶建设送货单,6份材质书,锈货不收，装货前联系收货人核实到场规格,没提前告知进场规格现场不给予接收</v>
      </c>
      <c r="M5035" s="92">
        <v>45954</v>
      </c>
      <c r="O5035" s="63">
        <f ca="1" t="shared" si="240"/>
        <v>0</v>
      </c>
      <c r="P5035" s="63">
        <f ca="1" t="shared" si="241"/>
        <v>5</v>
      </c>
      <c r="Q5035" s="30" t="str">
        <f>VLOOKUP(B5035,辅助信息!E:M,9,FALSE)</f>
        <v>ZTWM-CDGS-XS-2025-0073-五冶天府-成都怡心湖片区及龙泉驿医院等项目</v>
      </c>
      <c r="R5035" s="30" t="str">
        <f>_xlfn._xlws.FILTER(辅助信息!D:D,辅助信息!E:E=B5035)</f>
        <v>五冶建设锦江区林家坝片区20号地块商业项目</v>
      </c>
    </row>
    <row r="5036" hidden="1" spans="2:18">
      <c r="B5036" s="136" t="s">
        <v>231</v>
      </c>
      <c r="C5036" s="71">
        <v>45957</v>
      </c>
      <c r="D5036" s="41" t="str">
        <f>VLOOKUP(B5036,辅助信息!E:K,7,FALSE)</f>
        <v>JWDDCD2025102100481</v>
      </c>
      <c r="E5036" s="41" t="str">
        <f>VLOOKUP(F5036,辅助信息!A:B,2,FALSE)</f>
        <v>盘螺</v>
      </c>
      <c r="F5036" s="41" t="s">
        <v>40</v>
      </c>
      <c r="G5036" s="37">
        <v>4</v>
      </c>
      <c r="H5036" s="135">
        <f>IF(SUMIFS('[1]2025年已发货'!$E:$E,'[1]2025年已发货'!$F:$F,C5036,'[1]2025年已发货'!$C:$C,F5036,'[1]2025年已发货'!$G:$G,I5036,'[1]2025年已发货'!$H:$H,J5036)=0,"未发货",SUMIFS('[1]2025年已发货'!$E:$E,'[1]2025年已发货'!$F:$F,C5036,'[1]2025年已发货'!$C:$C,F5036,'[1]2025年已发货'!$G:$G,I5036,'[1]2025年已发货'!$H:$H,J5036))</f>
        <v>4</v>
      </c>
      <c r="I5036" s="40" t="str">
        <f>VLOOKUP(B5036,辅助信息!E:I,3,FALSE)</f>
        <v>(五冶建设成都盐道街中学初中部改扩建工程-一标)四川省成都市锦江区春熙路街道盐道街4号（盐道街中学初中部）</v>
      </c>
      <c r="J5036" s="41" t="str">
        <f>VLOOKUP(B5036,辅助信息!E:I,4,FALSE)</f>
        <v>谢鑫</v>
      </c>
      <c r="K5036" s="41">
        <f>VLOOKUP(J5036,辅助信息!H:I,2,FALSE)</f>
        <v>18228465067</v>
      </c>
      <c r="L5036" s="110" t="str">
        <f>VLOOKUP(B5036,辅助信息!E:J,6,FALSE)</f>
        <v>联系实际收货人（易前刚18228465067）五冶建设送货单,6份材质书,锈货不收，装货前联系收货人核实到场规格,没提前告知进场规格现场不给予接收</v>
      </c>
      <c r="M5036" s="92">
        <v>45956</v>
      </c>
      <c r="O5036" s="63">
        <f ca="1" t="shared" si="240"/>
        <v>0</v>
      </c>
      <c r="P5036" s="63">
        <f ca="1" t="shared" si="241"/>
        <v>3</v>
      </c>
      <c r="Q5036" s="30" t="str">
        <f>VLOOKUP(B5036,辅助信息!E:M,9,FALSE)</f>
        <v>ZTWM-CDGS-XS-2025-0073-五冶天府-成都怡心湖片区及龙泉驿医院等项目</v>
      </c>
      <c r="R5036" s="30" t="str">
        <f>_xlfn._xlws.FILTER(辅助信息!D:D,辅助信息!E:E=B5036)</f>
        <v>五冶建设成都盐道街中学初中部改扩建工程</v>
      </c>
    </row>
    <row r="5037" hidden="1" spans="2:18">
      <c r="B5037" s="136" t="s">
        <v>231</v>
      </c>
      <c r="C5037" s="71">
        <v>45957</v>
      </c>
      <c r="D5037" s="41" t="str">
        <f>VLOOKUP(B5037,辅助信息!E:K,7,FALSE)</f>
        <v>JWDDCD2025102100481</v>
      </c>
      <c r="E5037" s="41" t="str">
        <f>VLOOKUP(F5037,辅助信息!A:B,2,FALSE)</f>
        <v>盘螺</v>
      </c>
      <c r="F5037" s="41" t="s">
        <v>41</v>
      </c>
      <c r="G5037" s="37">
        <v>4</v>
      </c>
      <c r="H5037" s="135">
        <f>IF(SUMIFS('[1]2025年已发货'!$E:$E,'[1]2025年已发货'!$F:$F,C5037,'[1]2025年已发货'!$C:$C,F5037,'[1]2025年已发货'!$G:$G,I5037,'[1]2025年已发货'!$H:$H,J5037)=0,"未发货",SUMIFS('[1]2025年已发货'!$E:$E,'[1]2025年已发货'!$F:$F,C5037,'[1]2025年已发货'!$C:$C,F5037,'[1]2025年已发货'!$G:$G,I5037,'[1]2025年已发货'!$H:$H,J5037))</f>
        <v>4</v>
      </c>
      <c r="I5037" s="40" t="str">
        <f>VLOOKUP(B5037,辅助信息!E:I,3,FALSE)</f>
        <v>(五冶建设成都盐道街中学初中部改扩建工程-一标)四川省成都市锦江区春熙路街道盐道街4号（盐道街中学初中部）</v>
      </c>
      <c r="J5037" s="41" t="str">
        <f>VLOOKUP(B5037,辅助信息!E:I,4,FALSE)</f>
        <v>谢鑫</v>
      </c>
      <c r="K5037" s="41">
        <f>VLOOKUP(J5037,辅助信息!H:I,2,FALSE)</f>
        <v>18228465067</v>
      </c>
      <c r="L5037" s="110" t="str">
        <f>VLOOKUP(B5037,辅助信息!E:J,6,FALSE)</f>
        <v>联系实际收货人（易前刚18228465067）五冶建设送货单,6份材质书,锈货不收，装货前联系收货人核实到场规格,没提前告知进场规格现场不给予接收</v>
      </c>
      <c r="M5037" s="92">
        <v>45956</v>
      </c>
      <c r="O5037" s="63">
        <f ca="1" t="shared" si="240"/>
        <v>0</v>
      </c>
      <c r="P5037" s="63">
        <f ca="1" t="shared" si="241"/>
        <v>3</v>
      </c>
      <c r="Q5037" s="30" t="str">
        <f>VLOOKUP(B5037,辅助信息!E:M,9,FALSE)</f>
        <v>ZTWM-CDGS-XS-2025-0073-五冶天府-成都怡心湖片区及龙泉驿医院等项目</v>
      </c>
      <c r="R5037" s="30" t="str">
        <f>_xlfn._xlws.FILTER(辅助信息!D:D,辅助信息!E:E=B5037)</f>
        <v>五冶建设成都盐道街中学初中部改扩建工程</v>
      </c>
    </row>
    <row r="5038" hidden="1" spans="2:18">
      <c r="B5038" s="136" t="s">
        <v>231</v>
      </c>
      <c r="C5038" s="71">
        <v>45957</v>
      </c>
      <c r="D5038" s="41" t="str">
        <f>VLOOKUP(B5038,辅助信息!E:K,7,FALSE)</f>
        <v>JWDDCD2025102100481</v>
      </c>
      <c r="E5038" s="41" t="str">
        <f>VLOOKUP(F5038,辅助信息!A:B,2,FALSE)</f>
        <v>盘螺</v>
      </c>
      <c r="F5038" s="41" t="s">
        <v>26</v>
      </c>
      <c r="G5038" s="37">
        <v>16</v>
      </c>
      <c r="H5038" s="135">
        <f>IF(SUMIFS('[1]2025年已发货'!$E:$E,'[1]2025年已发货'!$F:$F,C5038,'[1]2025年已发货'!$C:$C,F5038,'[1]2025年已发货'!$G:$G,I5038,'[1]2025年已发货'!$H:$H,J5038)=0,"未发货",SUMIFS('[1]2025年已发货'!$E:$E,'[1]2025年已发货'!$F:$F,C5038,'[1]2025年已发货'!$C:$C,F5038,'[1]2025年已发货'!$G:$G,I5038,'[1]2025年已发货'!$H:$H,J5038))</f>
        <v>16</v>
      </c>
      <c r="I5038" s="40" t="str">
        <f>VLOOKUP(B5038,辅助信息!E:I,3,FALSE)</f>
        <v>(五冶建设成都盐道街中学初中部改扩建工程-一标)四川省成都市锦江区春熙路街道盐道街4号（盐道街中学初中部）</v>
      </c>
      <c r="J5038" s="41" t="str">
        <f>VLOOKUP(B5038,辅助信息!E:I,4,FALSE)</f>
        <v>谢鑫</v>
      </c>
      <c r="K5038" s="41">
        <f>VLOOKUP(J5038,辅助信息!H:I,2,FALSE)</f>
        <v>18228465067</v>
      </c>
      <c r="L5038" s="110" t="str">
        <f>VLOOKUP(B5038,辅助信息!E:J,6,FALSE)</f>
        <v>联系实际收货人（易前刚18228465067）五冶建设送货单,6份材质书,锈货不收，装货前联系收货人核实到场规格,没提前告知进场规格现场不给予接收</v>
      </c>
      <c r="M5038" s="92">
        <v>45956</v>
      </c>
      <c r="O5038" s="63">
        <f ca="1" t="shared" si="240"/>
        <v>0</v>
      </c>
      <c r="P5038" s="63">
        <f ca="1" t="shared" si="241"/>
        <v>3</v>
      </c>
      <c r="Q5038" s="30" t="str">
        <f>VLOOKUP(B5038,辅助信息!E:M,9,FALSE)</f>
        <v>ZTWM-CDGS-XS-2025-0073-五冶天府-成都怡心湖片区及龙泉驿医院等项目</v>
      </c>
      <c r="R5038" s="30" t="str">
        <f>_xlfn._xlws.FILTER(辅助信息!D:D,辅助信息!E:E=B5038)</f>
        <v>五冶建设成都盐道街中学初中部改扩建工程</v>
      </c>
    </row>
    <row r="5039" hidden="1" spans="2:18">
      <c r="B5039" s="136" t="s">
        <v>231</v>
      </c>
      <c r="C5039" s="71">
        <v>45957</v>
      </c>
      <c r="D5039" s="41" t="str">
        <f>VLOOKUP(B5039,辅助信息!E:K,7,FALSE)</f>
        <v>JWDDCD2025102100481</v>
      </c>
      <c r="E5039" s="41" t="str">
        <f>VLOOKUP(F5039,辅助信息!A:B,2,FALSE)</f>
        <v>螺纹钢</v>
      </c>
      <c r="F5039" s="41" t="s">
        <v>18</v>
      </c>
      <c r="G5039" s="37">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40" t="str">
        <f>VLOOKUP(B5039,辅助信息!E:I,3,FALSE)</f>
        <v>(五冶建设成都盐道街中学初中部改扩建工程-一标)四川省成都市锦江区春熙路街道盐道街4号（盐道街中学初中部）</v>
      </c>
      <c r="J5039" s="41" t="str">
        <f>VLOOKUP(B5039,辅助信息!E:I,4,FALSE)</f>
        <v>谢鑫</v>
      </c>
      <c r="K5039" s="41">
        <f>VLOOKUP(J5039,辅助信息!H:I,2,FALSE)</f>
        <v>18228465067</v>
      </c>
      <c r="L5039" s="110" t="str">
        <f>VLOOKUP(B5039,辅助信息!E:J,6,FALSE)</f>
        <v>联系实际收货人（易前刚18228465067）五冶建设送货单,6份材质书,锈货不收，装货前联系收货人核实到场规格,没提前告知进场规格现场不给予接收</v>
      </c>
      <c r="M5039" s="92">
        <v>45956</v>
      </c>
      <c r="O5039" s="63">
        <f ca="1" t="shared" si="240"/>
        <v>0</v>
      </c>
      <c r="P5039" s="63">
        <f ca="1" t="shared" si="241"/>
        <v>3</v>
      </c>
      <c r="Q5039" s="30" t="str">
        <f>VLOOKUP(B5039,辅助信息!E:M,9,FALSE)</f>
        <v>ZTWM-CDGS-XS-2025-0073-五冶天府-成都怡心湖片区及龙泉驿医院等项目</v>
      </c>
      <c r="R5039" s="30" t="str">
        <f>_xlfn._xlws.FILTER(辅助信息!D:D,辅助信息!E:E=B5039)</f>
        <v>五冶建设成都盐道街中学初中部改扩建工程</v>
      </c>
    </row>
    <row r="5040" hidden="1" spans="2:18">
      <c r="B5040" s="136" t="s">
        <v>231</v>
      </c>
      <c r="C5040" s="71">
        <v>45957</v>
      </c>
      <c r="D5040" s="41" t="str">
        <f>VLOOKUP(B5040,辅助信息!E:K,7,FALSE)</f>
        <v>JWDDCD2025102100481</v>
      </c>
      <c r="E5040" s="41" t="str">
        <f>VLOOKUP(F5040,辅助信息!A:B,2,FALSE)</f>
        <v>螺纹钢</v>
      </c>
      <c r="F5040" s="41" t="s">
        <v>65</v>
      </c>
      <c r="G5040" s="37">
        <v>6</v>
      </c>
      <c r="H5040" s="135">
        <f>IF(SUMIFS('[1]2025年已发货'!$E:$E,'[1]2025年已发货'!$F:$F,C5040,'[1]2025年已发货'!$C:$C,F5040,'[1]2025年已发货'!$G:$G,I5040,'[1]2025年已发货'!$H:$H,J5040)=0,"未发货",SUMIFS('[1]2025年已发货'!$E:$E,'[1]2025年已发货'!$F:$F,C5040,'[1]2025年已发货'!$C:$C,F5040,'[1]2025年已发货'!$G:$G,I5040,'[1]2025年已发货'!$H:$H,J5040))</f>
        <v>6</v>
      </c>
      <c r="I5040" s="40" t="str">
        <f>VLOOKUP(B5040,辅助信息!E:I,3,FALSE)</f>
        <v>(五冶建设成都盐道街中学初中部改扩建工程-一标)四川省成都市锦江区春熙路街道盐道街4号（盐道街中学初中部）</v>
      </c>
      <c r="J5040" s="41" t="str">
        <f>VLOOKUP(B5040,辅助信息!E:I,4,FALSE)</f>
        <v>谢鑫</v>
      </c>
      <c r="K5040" s="41">
        <f>VLOOKUP(J5040,辅助信息!H:I,2,FALSE)</f>
        <v>18228465067</v>
      </c>
      <c r="L5040" s="110" t="str">
        <f>VLOOKUP(B5040,辅助信息!E:J,6,FALSE)</f>
        <v>联系实际收货人（易前刚18228465067）五冶建设送货单,6份材质书,锈货不收，装货前联系收货人核实到场规格,没提前告知进场规格现场不给予接收</v>
      </c>
      <c r="M5040" s="92">
        <v>45956</v>
      </c>
      <c r="O5040" s="63">
        <f ca="1" t="shared" si="240"/>
        <v>0</v>
      </c>
      <c r="P5040" s="63">
        <f ca="1" t="shared" si="241"/>
        <v>3</v>
      </c>
      <c r="Q5040" s="30" t="str">
        <f>VLOOKUP(B5040,辅助信息!E:M,9,FALSE)</f>
        <v>ZTWM-CDGS-XS-2025-0073-五冶天府-成都怡心湖片区及龙泉驿医院等项目</v>
      </c>
      <c r="R5040" s="30" t="str">
        <f>_xlfn._xlws.FILTER(辅助信息!D:D,辅助信息!E:E=B5040)</f>
        <v>五冶建设成都盐道街中学初中部改扩建工程</v>
      </c>
    </row>
    <row r="5041" hidden="1" spans="2:18">
      <c r="B5041" s="136" t="s">
        <v>167</v>
      </c>
      <c r="C5041" s="71">
        <v>45957</v>
      </c>
      <c r="D5041" s="41" t="str">
        <f>VLOOKUP(B5041,辅助信息!E:K,7,FALSE)</f>
        <v>JWDDCD2025102100473</v>
      </c>
      <c r="E5041" s="41" t="str">
        <f>VLOOKUP(F5041,辅助信息!A:B,2,FALSE)</f>
        <v>盘螺</v>
      </c>
      <c r="F5041" s="41" t="s">
        <v>49</v>
      </c>
      <c r="G5041" s="37">
        <v>4</v>
      </c>
      <c r="H5041" s="135">
        <v>4</v>
      </c>
      <c r="I5041" s="40" t="str">
        <f>VLOOKUP(B5041,辅助信息!E:I,3,FALSE)</f>
        <v>(五冶建设扩建艺体中学二期工程)四川省成都市双流区光荣路成都艺体中学南200米</v>
      </c>
      <c r="J5041" s="41" t="str">
        <f>VLOOKUP(B5041,辅助信息!E:I,4,FALSE)</f>
        <v>谢序强</v>
      </c>
      <c r="K5041" s="41">
        <f>VLOOKUP(J5041,辅助信息!H:I,2,FALSE)</f>
        <v>13458588232</v>
      </c>
      <c r="L5041" s="110"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2">
        <v>45957</v>
      </c>
      <c r="O5041" s="63">
        <f ca="1" t="shared" si="240"/>
        <v>0</v>
      </c>
      <c r="P5041" s="63">
        <f ca="1" t="shared" si="241"/>
        <v>2</v>
      </c>
      <c r="Q5041" s="30" t="str">
        <f>VLOOKUP(B5041,辅助信息!E:M,9,FALSE)</f>
        <v>ZTWM-CDGS-XS-2025-0073-五冶天府-成都怡心湖片区及龙泉驿医院等项目</v>
      </c>
      <c r="R5041" s="30" t="str">
        <f>_xlfn._xlws.FILTER(辅助信息!D:D,辅助信息!E:E=B5041)</f>
        <v>五冶建设扩建艺体中学二期工程</v>
      </c>
    </row>
    <row r="5042" hidden="1" spans="2:18">
      <c r="B5042" s="136" t="s">
        <v>167</v>
      </c>
      <c r="C5042" s="71">
        <v>45957</v>
      </c>
      <c r="D5042" s="41" t="str">
        <f>VLOOKUP(B5042,辅助信息!E:K,7,FALSE)</f>
        <v>JWDDCD2025102100473</v>
      </c>
      <c r="E5042" s="41" t="str">
        <f>VLOOKUP(F5042,辅助信息!A:B,2,FALSE)</f>
        <v>盘螺</v>
      </c>
      <c r="F5042" s="41" t="s">
        <v>40</v>
      </c>
      <c r="G5042" s="37">
        <v>6</v>
      </c>
      <c r="H5042" s="135">
        <v>6</v>
      </c>
      <c r="I5042" s="40" t="str">
        <f>VLOOKUP(B5042,辅助信息!E:I,3,FALSE)</f>
        <v>(五冶建设扩建艺体中学二期工程)四川省成都市双流区光荣路成都艺体中学南200米</v>
      </c>
      <c r="J5042" s="41" t="str">
        <f>VLOOKUP(B5042,辅助信息!E:I,4,FALSE)</f>
        <v>谢序强</v>
      </c>
      <c r="K5042" s="41">
        <f>VLOOKUP(J5042,辅助信息!H:I,2,FALSE)</f>
        <v>13458588232</v>
      </c>
      <c r="L5042" s="110"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2">
        <v>45957</v>
      </c>
      <c r="O5042" s="63">
        <f ca="1" t="shared" si="240"/>
        <v>0</v>
      </c>
      <c r="P5042" s="63">
        <f ca="1" t="shared" si="241"/>
        <v>2</v>
      </c>
      <c r="Q5042" s="30" t="str">
        <f>VLOOKUP(B5042,辅助信息!E:M,9,FALSE)</f>
        <v>ZTWM-CDGS-XS-2025-0073-五冶天府-成都怡心湖片区及龙泉驿医院等项目</v>
      </c>
      <c r="R5042" s="30" t="str">
        <f>_xlfn._xlws.FILTER(辅助信息!D:D,辅助信息!E:E=B5042)</f>
        <v>五冶建设扩建艺体中学二期工程</v>
      </c>
    </row>
    <row r="5043" hidden="1" spans="2:18">
      <c r="B5043" s="136" t="s">
        <v>167</v>
      </c>
      <c r="C5043" s="71">
        <v>45957</v>
      </c>
      <c r="D5043" s="41" t="str">
        <f>VLOOKUP(B5043,辅助信息!E:K,7,FALSE)</f>
        <v>JWDDCD2025102100473</v>
      </c>
      <c r="E5043" s="41" t="str">
        <f>VLOOKUP(F5043,辅助信息!A:B,2,FALSE)</f>
        <v>盘螺</v>
      </c>
      <c r="F5043" s="41" t="s">
        <v>41</v>
      </c>
      <c r="G5043" s="37">
        <v>6</v>
      </c>
      <c r="H5043" s="135">
        <v>6</v>
      </c>
      <c r="I5043" s="40" t="str">
        <f>VLOOKUP(B5043,辅助信息!E:I,3,FALSE)</f>
        <v>(五冶建设扩建艺体中学二期工程)四川省成都市双流区光荣路成都艺体中学南200米</v>
      </c>
      <c r="J5043" s="41" t="str">
        <f>VLOOKUP(B5043,辅助信息!E:I,4,FALSE)</f>
        <v>谢序强</v>
      </c>
      <c r="K5043" s="41">
        <f>VLOOKUP(J5043,辅助信息!H:I,2,FALSE)</f>
        <v>13458588232</v>
      </c>
      <c r="L5043" s="110"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2">
        <v>45957</v>
      </c>
      <c r="O5043" s="63">
        <f ca="1" t="shared" si="240"/>
        <v>0</v>
      </c>
      <c r="P5043" s="63">
        <f ca="1" t="shared" si="241"/>
        <v>2</v>
      </c>
      <c r="Q5043" s="30" t="str">
        <f>VLOOKUP(B5043,辅助信息!E:M,9,FALSE)</f>
        <v>ZTWM-CDGS-XS-2025-0073-五冶天府-成都怡心湖片区及龙泉驿医院等项目</v>
      </c>
      <c r="R5043" s="30" t="str">
        <f>_xlfn._xlws.FILTER(辅助信息!D:D,辅助信息!E:E=B5043)</f>
        <v>五冶建设扩建艺体中学二期工程</v>
      </c>
    </row>
    <row r="5044" hidden="1" spans="2:18">
      <c r="B5044" s="136" t="s">
        <v>167</v>
      </c>
      <c r="C5044" s="71">
        <v>45957</v>
      </c>
      <c r="D5044" s="41" t="str">
        <f>VLOOKUP(B5044,辅助信息!E:K,7,FALSE)</f>
        <v>JWDDCD2025102100473</v>
      </c>
      <c r="E5044" s="41" t="str">
        <f>VLOOKUP(F5044,辅助信息!A:B,2,FALSE)</f>
        <v>螺纹钢</v>
      </c>
      <c r="F5044" s="41" t="s">
        <v>27</v>
      </c>
      <c r="G5044" s="37">
        <v>45</v>
      </c>
      <c r="H5044" s="135">
        <v>45</v>
      </c>
      <c r="I5044" s="40" t="str">
        <f>VLOOKUP(B5044,辅助信息!E:I,3,FALSE)</f>
        <v>(五冶建设扩建艺体中学二期工程)四川省成都市双流区光荣路成都艺体中学南200米</v>
      </c>
      <c r="J5044" s="41" t="str">
        <f>VLOOKUP(B5044,辅助信息!E:I,4,FALSE)</f>
        <v>谢序强</v>
      </c>
      <c r="K5044" s="41">
        <f>VLOOKUP(J5044,辅助信息!H:I,2,FALSE)</f>
        <v>13458588232</v>
      </c>
      <c r="L5044" s="110"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2">
        <v>45957</v>
      </c>
      <c r="O5044" s="63">
        <f ca="1" t="shared" si="240"/>
        <v>0</v>
      </c>
      <c r="P5044" s="63">
        <f ca="1" t="shared" si="241"/>
        <v>2</v>
      </c>
      <c r="Q5044" s="30" t="str">
        <f>VLOOKUP(B5044,辅助信息!E:M,9,FALSE)</f>
        <v>ZTWM-CDGS-XS-2025-0073-五冶天府-成都怡心湖片区及龙泉驿医院等项目</v>
      </c>
      <c r="R5044" s="30" t="str">
        <f>_xlfn._xlws.FILTER(辅助信息!D:D,辅助信息!E:E=B5044)</f>
        <v>五冶建设扩建艺体中学二期工程</v>
      </c>
    </row>
    <row r="5045" hidden="1" spans="2:18">
      <c r="B5045" s="136" t="s">
        <v>167</v>
      </c>
      <c r="C5045" s="71">
        <v>45957</v>
      </c>
      <c r="D5045" s="41" t="str">
        <f>VLOOKUP(B5045,辅助信息!E:K,7,FALSE)</f>
        <v>JWDDCD2025102100473</v>
      </c>
      <c r="E5045" s="41" t="str">
        <f>VLOOKUP(F5045,辅助信息!A:B,2,FALSE)</f>
        <v>螺纹钢</v>
      </c>
      <c r="F5045" s="41" t="s">
        <v>21</v>
      </c>
      <c r="G5045" s="37">
        <v>3</v>
      </c>
      <c r="H5045" s="135">
        <v>3</v>
      </c>
      <c r="I5045" s="40" t="str">
        <f>VLOOKUP(B5045,辅助信息!E:I,3,FALSE)</f>
        <v>(五冶建设扩建艺体中学二期工程)四川省成都市双流区光荣路成都艺体中学南200米</v>
      </c>
      <c r="J5045" s="41" t="str">
        <f>VLOOKUP(B5045,辅助信息!E:I,4,FALSE)</f>
        <v>谢序强</v>
      </c>
      <c r="K5045" s="41">
        <f>VLOOKUP(J5045,辅助信息!H:I,2,FALSE)</f>
        <v>13458588232</v>
      </c>
      <c r="L5045" s="110"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2">
        <v>45957</v>
      </c>
      <c r="O5045" s="63">
        <f ca="1" t="shared" si="240"/>
        <v>0</v>
      </c>
      <c r="P5045" s="63">
        <f ca="1" t="shared" si="241"/>
        <v>2</v>
      </c>
      <c r="Q5045" s="30" t="str">
        <f>VLOOKUP(B5045,辅助信息!E:M,9,FALSE)</f>
        <v>ZTWM-CDGS-XS-2025-0073-五冶天府-成都怡心湖片区及龙泉驿医院等项目</v>
      </c>
      <c r="R5045" s="30" t="str">
        <f>_xlfn._xlws.FILTER(辅助信息!D:D,辅助信息!E:E=B5045)</f>
        <v>五冶建设扩建艺体中学二期工程</v>
      </c>
    </row>
    <row r="5046" hidden="1" spans="2:18">
      <c r="B5046" s="136" t="s">
        <v>167</v>
      </c>
      <c r="C5046" s="71">
        <v>45957</v>
      </c>
      <c r="D5046" s="41" t="str">
        <f>VLOOKUP(B5046,辅助信息!E:K,7,FALSE)</f>
        <v>JWDDCD2025102100473</v>
      </c>
      <c r="E5046" s="41" t="str">
        <f>VLOOKUP(F5046,辅助信息!A:B,2,FALSE)</f>
        <v>螺纹钢</v>
      </c>
      <c r="F5046" s="41" t="s">
        <v>22</v>
      </c>
      <c r="G5046" s="37">
        <v>40</v>
      </c>
      <c r="H5046" s="135">
        <v>40</v>
      </c>
      <c r="I5046" s="40" t="str">
        <f>VLOOKUP(B5046,辅助信息!E:I,3,FALSE)</f>
        <v>(五冶建设扩建艺体中学二期工程)四川省成都市双流区光荣路成都艺体中学南200米</v>
      </c>
      <c r="J5046" s="41" t="str">
        <f>VLOOKUP(B5046,辅助信息!E:I,4,FALSE)</f>
        <v>谢序强</v>
      </c>
      <c r="K5046" s="41">
        <f>VLOOKUP(J5046,辅助信息!H:I,2,FALSE)</f>
        <v>13458588232</v>
      </c>
      <c r="L5046" s="110"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2">
        <v>45957</v>
      </c>
      <c r="O5046" s="63">
        <f ca="1" t="shared" si="240"/>
        <v>0</v>
      </c>
      <c r="P5046" s="63">
        <f ca="1" t="shared" si="241"/>
        <v>2</v>
      </c>
      <c r="Q5046" s="30" t="str">
        <f>VLOOKUP(B5046,辅助信息!E:M,9,FALSE)</f>
        <v>ZTWM-CDGS-XS-2025-0073-五冶天府-成都怡心湖片区及龙泉驿医院等项目</v>
      </c>
      <c r="R5046" s="30" t="str">
        <f>_xlfn._xlws.FILTER(辅助信息!D:D,辅助信息!E:E=B5046)</f>
        <v>五冶建设扩建艺体中学二期工程</v>
      </c>
    </row>
    <row r="5047" spans="2:18">
      <c r="B5047" s="136" t="s">
        <v>47</v>
      </c>
      <c r="C5047" s="71">
        <v>45959</v>
      </c>
      <c r="D5047" s="41" t="str">
        <f>VLOOKUP(B5047,辅助信息!E:K,7,FALSE)</f>
        <v>JWDDCD2025052800131</v>
      </c>
      <c r="E5047" s="41" t="str">
        <f>VLOOKUP(F5047,辅助信息!A:B,2,FALSE)</f>
        <v>盘螺</v>
      </c>
      <c r="F5047" s="41" t="s">
        <v>40</v>
      </c>
      <c r="G5047" s="37">
        <v>30</v>
      </c>
      <c r="H5047" s="135"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40" t="str">
        <f>VLOOKUP(B5047,辅助信息!E:I,3,FALSE)</f>
        <v>（商投建工达州中医药科技园-1工区）达州市通川区达州中医药职业学院犀牛大道北段</v>
      </c>
      <c r="J5047" s="41" t="str">
        <f>VLOOKUP(B5047,辅助信息!E:I,4,FALSE)</f>
        <v>程黄刚</v>
      </c>
      <c r="K5047" s="41">
        <f>VLOOKUP(J5047,辅助信息!H:I,2,FALSE)</f>
        <v>15108211617</v>
      </c>
      <c r="L5047" s="110" t="str">
        <f>VLOOKUP(B5047,辅助信息!E:J,6,FALSE)</f>
        <v>控制炉批号！多了现场不收！,优先安排达钢,提前联系到场规格及数量</v>
      </c>
      <c r="M5047" s="92">
        <v>45957</v>
      </c>
      <c r="O5047" s="63">
        <f ca="1" t="shared" si="240"/>
        <v>0</v>
      </c>
      <c r="P5047" s="63">
        <f ca="1" t="shared" si="241"/>
        <v>2</v>
      </c>
      <c r="Q5047" s="30" t="str">
        <f>VLOOKUP(B5047,辅助信息!E:M,9,FALSE)</f>
        <v>ZTWM-CDGS-XS-2024-0134-商投建工达州中医药科技成果示范园项目</v>
      </c>
      <c r="R5047" s="30" t="str">
        <f>_xlfn._xlws.FILTER(辅助信息!D:D,辅助信息!E:E=B5047)</f>
        <v>商投建工达州中医药科技园</v>
      </c>
    </row>
    <row r="5048" spans="2:18">
      <c r="B5048" s="136" t="s">
        <v>47</v>
      </c>
      <c r="C5048" s="71">
        <v>45959</v>
      </c>
      <c r="D5048" s="41" t="str">
        <f>VLOOKUP(B5048,辅助信息!E:K,7,FALSE)</f>
        <v>JWDDCD2025052800131</v>
      </c>
      <c r="E5048" s="41" t="str">
        <f>VLOOKUP(F5048,辅助信息!A:B,2,FALSE)</f>
        <v>盘螺</v>
      </c>
      <c r="F5048" s="41" t="s">
        <v>41</v>
      </c>
      <c r="G5048" s="37">
        <v>15</v>
      </c>
      <c r="H5048" s="135"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40" t="str">
        <f>VLOOKUP(B5048,辅助信息!E:I,3,FALSE)</f>
        <v>（商投建工达州中医药科技园-1工区）达州市通川区达州中医药职业学院犀牛大道北段</v>
      </c>
      <c r="J5048" s="41" t="str">
        <f>VLOOKUP(B5048,辅助信息!E:I,4,FALSE)</f>
        <v>程黄刚</v>
      </c>
      <c r="K5048" s="41">
        <f>VLOOKUP(J5048,辅助信息!H:I,2,FALSE)</f>
        <v>15108211617</v>
      </c>
      <c r="L5048" s="110" t="str">
        <f>VLOOKUP(B5048,辅助信息!E:J,6,FALSE)</f>
        <v>控制炉批号！多了现场不收！,优先安排达钢,提前联系到场规格及数量</v>
      </c>
      <c r="M5048" s="92">
        <v>45957</v>
      </c>
      <c r="O5048" s="63">
        <f ca="1" t="shared" si="240"/>
        <v>0</v>
      </c>
      <c r="P5048" s="63">
        <f ca="1" t="shared" si="241"/>
        <v>2</v>
      </c>
      <c r="Q5048" s="30" t="str">
        <f>VLOOKUP(B5048,辅助信息!E:M,9,FALSE)</f>
        <v>ZTWM-CDGS-XS-2024-0134-商投建工达州中医药科技成果示范园项目</v>
      </c>
      <c r="R5048" s="30" t="str">
        <f>_xlfn._xlws.FILTER(辅助信息!D:D,辅助信息!E:E=B5048)</f>
        <v>商投建工达州中医药科技园</v>
      </c>
    </row>
    <row r="5049" spans="2:18">
      <c r="B5049" s="136" t="s">
        <v>47</v>
      </c>
      <c r="C5049" s="71">
        <v>45959</v>
      </c>
      <c r="D5049" s="41" t="str">
        <f>VLOOKUP(B5049,辅助信息!E:K,7,FALSE)</f>
        <v>JWDDCD2025052800131</v>
      </c>
      <c r="E5049" s="41" t="str">
        <f>VLOOKUP(F5049,辅助信息!A:B,2,FALSE)</f>
        <v>螺纹钢</v>
      </c>
      <c r="F5049" s="41" t="s">
        <v>33</v>
      </c>
      <c r="G5049" s="37">
        <v>6</v>
      </c>
      <c r="H5049" s="135"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40" t="str">
        <f>VLOOKUP(B5049,辅助信息!E:I,3,FALSE)</f>
        <v>（商投建工达州中医药科技园-1工区）达州市通川区达州中医药职业学院犀牛大道北段</v>
      </c>
      <c r="J5049" s="41" t="str">
        <f>VLOOKUP(B5049,辅助信息!E:I,4,FALSE)</f>
        <v>程黄刚</v>
      </c>
      <c r="K5049" s="41">
        <f>VLOOKUP(J5049,辅助信息!H:I,2,FALSE)</f>
        <v>15108211617</v>
      </c>
      <c r="L5049" s="110" t="str">
        <f>VLOOKUP(B5049,辅助信息!E:J,6,FALSE)</f>
        <v>控制炉批号！多了现场不收！,优先安排达钢,提前联系到场规格及数量</v>
      </c>
      <c r="M5049" s="92">
        <v>45957</v>
      </c>
      <c r="O5049" s="63">
        <f ca="1" t="shared" si="240"/>
        <v>0</v>
      </c>
      <c r="P5049" s="63">
        <f ca="1" t="shared" si="241"/>
        <v>2</v>
      </c>
      <c r="Q5049" s="30" t="str">
        <f>VLOOKUP(B5049,辅助信息!E:M,9,FALSE)</f>
        <v>ZTWM-CDGS-XS-2024-0134-商投建工达州中医药科技成果示范园项目</v>
      </c>
      <c r="R5049" s="30" t="str">
        <f>_xlfn._xlws.FILTER(辅助信息!D:D,辅助信息!E:E=B5049)</f>
        <v>商投建工达州中医药科技园</v>
      </c>
    </row>
    <row r="5050" hidden="1" spans="2:18">
      <c r="B5050" s="136" t="s">
        <v>47</v>
      </c>
      <c r="C5050" s="71">
        <v>45957</v>
      </c>
      <c r="D5050" s="41" t="str">
        <f>VLOOKUP(B5050,辅助信息!E:K,7,FALSE)</f>
        <v>JWDDCD2025052800131</v>
      </c>
      <c r="E5050" s="41" t="str">
        <f>VLOOKUP(F5050,辅助信息!A:B,2,FALSE)</f>
        <v>螺纹钢</v>
      </c>
      <c r="F5050" s="41" t="s">
        <v>66</v>
      </c>
      <c r="G5050" s="37">
        <v>6</v>
      </c>
      <c r="H5050" s="135">
        <f>IF(SUMIFS('[1]2025年已发货'!$E:$E,'[1]2025年已发货'!$F:$F,C5050,'[1]2025年已发货'!$C:$C,F5050,'[1]2025年已发货'!$G:$G,I5050,'[1]2025年已发货'!$H:$H,J5050)=0,"未发货",SUMIFS('[1]2025年已发货'!$E:$E,'[1]2025年已发货'!$F:$F,C5050,'[1]2025年已发货'!$C:$C,F5050,'[1]2025年已发货'!$G:$G,I5050,'[1]2025年已发货'!$H:$H,J5050))</f>
        <v>6</v>
      </c>
      <c r="I5050" s="40" t="str">
        <f>VLOOKUP(B5050,辅助信息!E:I,3,FALSE)</f>
        <v>（商投建工达州中医药科技园-1工区）达州市通川区达州中医药职业学院犀牛大道北段</v>
      </c>
      <c r="J5050" s="41" t="str">
        <f>VLOOKUP(B5050,辅助信息!E:I,4,FALSE)</f>
        <v>程黄刚</v>
      </c>
      <c r="K5050" s="41">
        <f>VLOOKUP(J5050,辅助信息!H:I,2,FALSE)</f>
        <v>15108211617</v>
      </c>
      <c r="L5050" s="110" t="str">
        <f>VLOOKUP(B5050,辅助信息!E:J,6,FALSE)</f>
        <v>控制炉批号！多了现场不收！,优先安排达钢,提前联系到场规格及数量</v>
      </c>
      <c r="M5050" s="92">
        <v>45957</v>
      </c>
      <c r="O5050" s="63">
        <f ca="1" t="shared" si="240"/>
        <v>0</v>
      </c>
      <c r="P5050" s="63">
        <f ca="1" t="shared" si="241"/>
        <v>2</v>
      </c>
      <c r="Q5050" s="30" t="str">
        <f>VLOOKUP(B5050,辅助信息!E:M,9,FALSE)</f>
        <v>ZTWM-CDGS-XS-2024-0134-商投建工达州中医药科技成果示范园项目</v>
      </c>
      <c r="R5050" s="30" t="str">
        <f>_xlfn._xlws.FILTER(辅助信息!D:D,辅助信息!E:E=B5050)</f>
        <v>商投建工达州中医药科技园</v>
      </c>
    </row>
    <row r="5051" hidden="1" spans="2:18">
      <c r="B5051" s="136" t="s">
        <v>47</v>
      </c>
      <c r="C5051" s="71">
        <v>45957</v>
      </c>
      <c r="D5051" s="41" t="str">
        <f>VLOOKUP(B5051,辅助信息!E:K,7,FALSE)</f>
        <v>JWDDCD2025052800131</v>
      </c>
      <c r="E5051" s="41" t="str">
        <f>VLOOKUP(F5051,辅助信息!A:B,2,FALSE)</f>
        <v>螺纹钢</v>
      </c>
      <c r="F5051" s="41" t="s">
        <v>45</v>
      </c>
      <c r="G5051" s="37">
        <v>6</v>
      </c>
      <c r="H5051" s="135">
        <f>IF(SUMIFS('[1]2025年已发货'!$E:$E,'[1]2025年已发货'!$F:$F,C5051,'[1]2025年已发货'!$C:$C,F5051,'[1]2025年已发货'!$G:$G,I5051,'[1]2025年已发货'!$H:$H,J5051)=0,"未发货",SUMIFS('[1]2025年已发货'!$E:$E,'[1]2025年已发货'!$F:$F,C5051,'[1]2025年已发货'!$C:$C,F5051,'[1]2025年已发货'!$G:$G,I5051,'[1]2025年已发货'!$H:$H,J5051))</f>
        <v>6</v>
      </c>
      <c r="I5051" s="40" t="str">
        <f>VLOOKUP(B5051,辅助信息!E:I,3,FALSE)</f>
        <v>（商投建工达州中医药科技园-1工区）达州市通川区达州中医药职业学院犀牛大道北段</v>
      </c>
      <c r="J5051" s="41" t="str">
        <f>VLOOKUP(B5051,辅助信息!E:I,4,FALSE)</f>
        <v>程黄刚</v>
      </c>
      <c r="K5051" s="41">
        <f>VLOOKUP(J5051,辅助信息!H:I,2,FALSE)</f>
        <v>15108211617</v>
      </c>
      <c r="L5051" s="110" t="str">
        <f>VLOOKUP(B5051,辅助信息!E:J,6,FALSE)</f>
        <v>控制炉批号！多了现场不收！,优先安排达钢,提前联系到场规格及数量</v>
      </c>
      <c r="M5051" s="92">
        <v>45957</v>
      </c>
      <c r="O5051" s="63">
        <f ca="1" t="shared" si="240"/>
        <v>0</v>
      </c>
      <c r="P5051" s="63">
        <f ca="1" t="shared" si="241"/>
        <v>2</v>
      </c>
      <c r="Q5051" s="30" t="str">
        <f>VLOOKUP(B5051,辅助信息!E:M,9,FALSE)</f>
        <v>ZTWM-CDGS-XS-2024-0134-商投建工达州中医药科技成果示范园项目</v>
      </c>
      <c r="R5051" s="30" t="str">
        <f>_xlfn._xlws.FILTER(辅助信息!D:D,辅助信息!E:E=B5051)</f>
        <v>商投建工达州中医药科技园</v>
      </c>
    </row>
    <row r="5052" hidden="1" spans="2:18">
      <c r="B5052" s="136" t="s">
        <v>47</v>
      </c>
      <c r="C5052" s="71">
        <v>45957</v>
      </c>
      <c r="D5052" s="41" t="str">
        <f>VLOOKUP(B5052,辅助信息!E:K,7,FALSE)</f>
        <v>JWDDCD2025052800131</v>
      </c>
      <c r="E5052" s="41" t="str">
        <f>VLOOKUP(F5052,辅助信息!A:B,2,FALSE)</f>
        <v>螺纹钢</v>
      </c>
      <c r="F5052" s="41" t="s">
        <v>21</v>
      </c>
      <c r="G5052" s="37">
        <v>6</v>
      </c>
      <c r="H5052" s="135">
        <f>IF(SUMIFS('[1]2025年已发货'!$E:$E,'[1]2025年已发货'!$F:$F,C5052,'[1]2025年已发货'!$C:$C,F5052,'[1]2025年已发货'!$G:$G,I5052,'[1]2025年已发货'!$H:$H,J5052)=0,"未发货",SUMIFS('[1]2025年已发货'!$E:$E,'[1]2025年已发货'!$F:$F,C5052,'[1]2025年已发货'!$C:$C,F5052,'[1]2025年已发货'!$G:$G,I5052,'[1]2025年已发货'!$H:$H,J5052))</f>
        <v>6</v>
      </c>
      <c r="I5052" s="40" t="str">
        <f>VLOOKUP(B5052,辅助信息!E:I,3,FALSE)</f>
        <v>（商投建工达州中医药科技园-1工区）达州市通川区达州中医药职业学院犀牛大道北段</v>
      </c>
      <c r="J5052" s="41" t="str">
        <f>VLOOKUP(B5052,辅助信息!E:I,4,FALSE)</f>
        <v>程黄刚</v>
      </c>
      <c r="K5052" s="41">
        <f>VLOOKUP(J5052,辅助信息!H:I,2,FALSE)</f>
        <v>15108211617</v>
      </c>
      <c r="L5052" s="110" t="str">
        <f>VLOOKUP(B5052,辅助信息!E:J,6,FALSE)</f>
        <v>控制炉批号！多了现场不收！,优先安排达钢,提前联系到场规格及数量</v>
      </c>
      <c r="M5052" s="92">
        <v>45957</v>
      </c>
      <c r="O5052" s="63">
        <f ca="1" t="shared" si="240"/>
        <v>0</v>
      </c>
      <c r="P5052" s="63">
        <f ca="1" t="shared" si="241"/>
        <v>2</v>
      </c>
      <c r="Q5052" s="30" t="str">
        <f>VLOOKUP(B5052,辅助信息!E:M,9,FALSE)</f>
        <v>ZTWM-CDGS-XS-2024-0134-商投建工达州中医药科技成果示范园项目</v>
      </c>
      <c r="R5052" s="30" t="str">
        <f>_xlfn._xlws.FILTER(辅助信息!D:D,辅助信息!E:E=B5052)</f>
        <v>商投建工达州中医药科技园</v>
      </c>
    </row>
    <row r="5053" hidden="1" spans="2:18">
      <c r="B5053" s="136" t="s">
        <v>47</v>
      </c>
      <c r="C5053" s="71">
        <v>45957</v>
      </c>
      <c r="D5053" s="41" t="str">
        <f>VLOOKUP(B5053,辅助信息!E:K,7,FALSE)</f>
        <v>JWDDCD2025052800131</v>
      </c>
      <c r="E5053" s="41" t="str">
        <f>VLOOKUP(F5053,辅助信息!A:B,2,FALSE)</f>
        <v>螺纹钢</v>
      </c>
      <c r="F5053" s="41" t="s">
        <v>58</v>
      </c>
      <c r="G5053" s="37">
        <v>9</v>
      </c>
      <c r="H5053" s="135">
        <f>IF(SUMIFS('[1]2025年已发货'!$E:$E,'[1]2025年已发货'!$F:$F,C5053,'[1]2025年已发货'!$C:$C,F5053,'[1]2025年已发货'!$G:$G,I5053,'[1]2025年已发货'!$H:$H,J5053)=0,"未发货",SUMIFS('[1]2025年已发货'!$E:$E,'[1]2025年已发货'!$F:$F,C5053,'[1]2025年已发货'!$C:$C,F5053,'[1]2025年已发货'!$G:$G,I5053,'[1]2025年已发货'!$H:$H,J5053))</f>
        <v>9</v>
      </c>
      <c r="I5053" s="40" t="str">
        <f>VLOOKUP(B5053,辅助信息!E:I,3,FALSE)</f>
        <v>（商投建工达州中医药科技园-1工区）达州市通川区达州中医药职业学院犀牛大道北段</v>
      </c>
      <c r="J5053" s="41" t="str">
        <f>VLOOKUP(B5053,辅助信息!E:I,4,FALSE)</f>
        <v>程黄刚</v>
      </c>
      <c r="K5053" s="41">
        <f>VLOOKUP(J5053,辅助信息!H:I,2,FALSE)</f>
        <v>15108211617</v>
      </c>
      <c r="L5053" s="110" t="str">
        <f>VLOOKUP(B5053,辅助信息!E:J,6,FALSE)</f>
        <v>控制炉批号！多了现场不收！,优先安排达钢,提前联系到场规格及数量</v>
      </c>
      <c r="M5053" s="92">
        <v>45957</v>
      </c>
      <c r="O5053" s="63">
        <f ca="1" t="shared" si="240"/>
        <v>0</v>
      </c>
      <c r="P5053" s="63">
        <f ca="1" t="shared" si="241"/>
        <v>2</v>
      </c>
      <c r="Q5053" s="30" t="str">
        <f>VLOOKUP(B5053,辅助信息!E:M,9,FALSE)</f>
        <v>ZTWM-CDGS-XS-2024-0134-商投建工达州中医药科技成果示范园项目</v>
      </c>
      <c r="R5053" s="30" t="str">
        <f>_xlfn._xlws.FILTER(辅助信息!D:D,辅助信息!E:E=B5053)</f>
        <v>商投建工达州中医药科技园</v>
      </c>
    </row>
    <row r="5054" hidden="1" spans="2:18">
      <c r="B5054" s="136" t="s">
        <v>47</v>
      </c>
      <c r="C5054" s="71">
        <v>45957</v>
      </c>
      <c r="D5054" s="41" t="str">
        <f>VLOOKUP(B5054,辅助信息!E:K,7,FALSE)</f>
        <v>JWDDCD2025052800131</v>
      </c>
      <c r="E5054" s="41" t="str">
        <f>VLOOKUP(F5054,辅助信息!A:B,2,FALSE)</f>
        <v>螺纹钢</v>
      </c>
      <c r="F5054" s="41" t="s">
        <v>46</v>
      </c>
      <c r="G5054" s="37">
        <v>9</v>
      </c>
      <c r="H5054" s="135">
        <f>IF(SUMIFS('[1]2025年已发货'!$E:$E,'[1]2025年已发货'!$F:$F,C5054,'[1]2025年已发货'!$C:$C,F5054,'[1]2025年已发货'!$G:$G,I5054,'[1]2025年已发货'!$H:$H,J5054)=0,"未发货",SUMIFS('[1]2025年已发货'!$E:$E,'[1]2025年已发货'!$F:$F,C5054,'[1]2025年已发货'!$C:$C,F5054,'[1]2025年已发货'!$G:$G,I5054,'[1]2025年已发货'!$H:$H,J5054))</f>
        <v>9</v>
      </c>
      <c r="I5054" s="40" t="str">
        <f>VLOOKUP(B5054,辅助信息!E:I,3,FALSE)</f>
        <v>（商投建工达州中医药科技园-1工区）达州市通川区达州中医药职业学院犀牛大道北段</v>
      </c>
      <c r="J5054" s="41" t="str">
        <f>VLOOKUP(B5054,辅助信息!E:I,4,FALSE)</f>
        <v>程黄刚</v>
      </c>
      <c r="K5054" s="41">
        <f>VLOOKUP(J5054,辅助信息!H:I,2,FALSE)</f>
        <v>15108211617</v>
      </c>
      <c r="L5054" s="110" t="str">
        <f>VLOOKUP(B5054,辅助信息!E:J,6,FALSE)</f>
        <v>控制炉批号！多了现场不收！,优先安排达钢,提前联系到场规格及数量</v>
      </c>
      <c r="M5054" s="92">
        <v>45957</v>
      </c>
      <c r="O5054" s="63">
        <f ca="1" t="shared" si="240"/>
        <v>0</v>
      </c>
      <c r="P5054" s="63">
        <f ca="1" t="shared" si="241"/>
        <v>2</v>
      </c>
      <c r="Q5054" s="30" t="str">
        <f>VLOOKUP(B5054,辅助信息!E:M,9,FALSE)</f>
        <v>ZTWM-CDGS-XS-2024-0134-商投建工达州中医药科技成果示范园项目</v>
      </c>
      <c r="R5054" s="30" t="str">
        <f>_xlfn._xlws.FILTER(辅助信息!D:D,辅助信息!E:E=B5054)</f>
        <v>商投建工达州中医药科技园</v>
      </c>
    </row>
    <row r="5055" hidden="1" spans="1:18">
      <c r="A5055" s="72" t="s">
        <v>100</v>
      </c>
      <c r="B5055" s="136" t="s">
        <v>167</v>
      </c>
      <c r="C5055" s="71">
        <v>45957</v>
      </c>
      <c r="D5055" s="41" t="str">
        <f>VLOOKUP(B5055,辅助信息!E:K,7,FALSE)</f>
        <v>JWDDCD2025102100473</v>
      </c>
      <c r="E5055" s="41" t="str">
        <f>VLOOKUP(F5055,辅助信息!A:B,2,FALSE)</f>
        <v>螺纹钢</v>
      </c>
      <c r="F5055" s="41" t="s">
        <v>27</v>
      </c>
      <c r="G5055" s="37">
        <v>15</v>
      </c>
      <c r="H5055" s="135">
        <v>15</v>
      </c>
      <c r="I5055" s="40" t="str">
        <f>VLOOKUP(B5055,辅助信息!E:I,3,FALSE)</f>
        <v>(五冶建设扩建艺体中学二期工程)四川省成都市双流区光荣路成都艺体中学南200米</v>
      </c>
      <c r="J5055" s="41" t="str">
        <f>VLOOKUP(B5055,辅助信息!E:I,4,FALSE)</f>
        <v>谢序强</v>
      </c>
      <c r="K5055" s="41">
        <f>VLOOKUP(J5055,辅助信息!H:I,2,FALSE)</f>
        <v>13458588232</v>
      </c>
      <c r="L5055" s="110"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2">
        <v>45957</v>
      </c>
      <c r="O5055" s="63">
        <f ca="1" t="shared" si="240"/>
        <v>0</v>
      </c>
      <c r="P5055" s="63">
        <f ca="1" t="shared" si="241"/>
        <v>2</v>
      </c>
      <c r="Q5055" s="30" t="str">
        <f>VLOOKUP(B5055,辅助信息!E:M,9,FALSE)</f>
        <v>ZTWM-CDGS-XS-2025-0073-五冶天府-成都怡心湖片区及龙泉驿医院等项目</v>
      </c>
      <c r="R5055" s="30" t="str">
        <f>_xlfn._xlws.FILTER(辅助信息!D:D,辅助信息!E:E=B5055)</f>
        <v>五冶建设扩建艺体中学二期工程</v>
      </c>
    </row>
    <row r="5056" hidden="1" spans="1:18">
      <c r="A5056" s="72"/>
      <c r="B5056" s="136" t="s">
        <v>167</v>
      </c>
      <c r="C5056" s="71">
        <v>45957</v>
      </c>
      <c r="D5056" s="41" t="str">
        <f>VLOOKUP(B5056,辅助信息!E:K,7,FALSE)</f>
        <v>JWDDCD2025102100473</v>
      </c>
      <c r="E5056" s="41" t="str">
        <f>VLOOKUP(F5056,辅助信息!A:B,2,FALSE)</f>
        <v>螺纹钢</v>
      </c>
      <c r="F5056" s="41" t="s">
        <v>82</v>
      </c>
      <c r="G5056" s="37">
        <v>10</v>
      </c>
      <c r="H5056" s="135">
        <v>10</v>
      </c>
      <c r="I5056" s="40" t="str">
        <f>VLOOKUP(B5056,辅助信息!E:I,3,FALSE)</f>
        <v>(五冶建设扩建艺体中学二期工程)四川省成都市双流区光荣路成都艺体中学南200米</v>
      </c>
      <c r="J5056" s="41" t="str">
        <f>VLOOKUP(B5056,辅助信息!E:I,4,FALSE)</f>
        <v>谢序强</v>
      </c>
      <c r="K5056" s="41">
        <f>VLOOKUP(J5056,辅助信息!H:I,2,FALSE)</f>
        <v>13458588232</v>
      </c>
      <c r="L5056" s="110"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2">
        <v>45957</v>
      </c>
      <c r="O5056" s="63">
        <f ca="1" t="shared" si="240"/>
        <v>0</v>
      </c>
      <c r="P5056" s="63">
        <f ca="1" t="shared" si="241"/>
        <v>2</v>
      </c>
      <c r="Q5056" s="30" t="str">
        <f>VLOOKUP(B5056,辅助信息!E:M,9,FALSE)</f>
        <v>ZTWM-CDGS-XS-2025-0073-五冶天府-成都怡心湖片区及龙泉驿医院等项目</v>
      </c>
      <c r="R5056" s="30" t="str">
        <f>_xlfn._xlws.FILTER(辅助信息!D:D,辅助信息!E:E=B5056)</f>
        <v>五冶建设扩建艺体中学二期工程</v>
      </c>
    </row>
    <row r="5057" hidden="1" spans="1:18">
      <c r="A5057" s="72"/>
      <c r="B5057" s="136" t="s">
        <v>167</v>
      </c>
      <c r="C5057" s="71">
        <v>45957</v>
      </c>
      <c r="D5057" s="41" t="str">
        <f>VLOOKUP(B5057,辅助信息!E:K,7,FALSE)</f>
        <v>JWDDCD2025102100473</v>
      </c>
      <c r="E5057" s="41" t="str">
        <f>VLOOKUP(F5057,辅助信息!A:B,2,FALSE)</f>
        <v>螺纹钢</v>
      </c>
      <c r="F5057" s="41" t="s">
        <v>22</v>
      </c>
      <c r="G5057" s="37">
        <v>10</v>
      </c>
      <c r="H5057" s="135">
        <v>10</v>
      </c>
      <c r="I5057" s="40" t="str">
        <f>VLOOKUP(B5057,辅助信息!E:I,3,FALSE)</f>
        <v>(五冶建设扩建艺体中学二期工程)四川省成都市双流区光荣路成都艺体中学南200米</v>
      </c>
      <c r="J5057" s="41" t="str">
        <f>VLOOKUP(B5057,辅助信息!E:I,4,FALSE)</f>
        <v>谢序强</v>
      </c>
      <c r="K5057" s="41">
        <f>VLOOKUP(J5057,辅助信息!H:I,2,FALSE)</f>
        <v>13458588232</v>
      </c>
      <c r="L5057" s="110"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2">
        <v>45957</v>
      </c>
      <c r="O5057" s="63">
        <f ca="1" t="shared" si="240"/>
        <v>0</v>
      </c>
      <c r="P5057" s="63">
        <f ca="1" t="shared" si="241"/>
        <v>2</v>
      </c>
      <c r="Q5057" s="30" t="str">
        <f>VLOOKUP(B5057,辅助信息!E:M,9,FALSE)</f>
        <v>ZTWM-CDGS-XS-2025-0073-五冶天府-成都怡心湖片区及龙泉驿医院等项目</v>
      </c>
      <c r="R5057" s="30" t="str">
        <f>_xlfn._xlws.FILTER(辅助信息!D:D,辅助信息!E:E=B5057)</f>
        <v>五冶建设扩建艺体中学二期工程</v>
      </c>
    </row>
    <row r="5058" hidden="1" spans="2:18">
      <c r="B5058" s="136" t="s">
        <v>194</v>
      </c>
      <c r="C5058" s="71">
        <v>45958</v>
      </c>
      <c r="D5058" s="41" t="str">
        <f>VLOOKUP(B5058,辅助信息!E:K,7,FALSE)</f>
        <v>JWDD2025071500089</v>
      </c>
      <c r="E5058" s="41" t="str">
        <f>VLOOKUP(F5058,辅助信息!A:B,2,FALSE)</f>
        <v>盘螺</v>
      </c>
      <c r="F5058" s="41" t="s">
        <v>40</v>
      </c>
      <c r="G5058" s="37">
        <v>35</v>
      </c>
      <c r="H5058" s="135">
        <f>IF(SUMIFS('[1]2025年已发货'!$E:$E,'[1]2025年已发货'!$F:$F,C5058,'[1]2025年已发货'!$C:$C,F5058,'[1]2025年已发货'!$G:$G,I5058,'[1]2025年已发货'!$H:$H,J5058)=0,"未发货",SUMIFS('[1]2025年已发货'!$E:$E,'[1]2025年已发货'!$F:$F,C5058,'[1]2025年已发货'!$C:$C,F5058,'[1]2025年已发货'!$G:$G,I5058,'[1]2025年已发货'!$H:$H,J5058))</f>
        <v>35</v>
      </c>
      <c r="I5058" s="40" t="str">
        <f>VLOOKUP(B5058,辅助信息!E:I,3,FALSE)</f>
        <v>(宜宾兴港三江新区长江工业园保障性租赁住房建设项目-土建)四川省宜宾市翠屏区永善路南段宜宾市三江新区长江工业园区</v>
      </c>
      <c r="J5058" s="41" t="str">
        <f>VLOOKUP(B5058,辅助信息!E:I,4,FALSE)</f>
        <v>赵元虎</v>
      </c>
      <c r="K5058" s="41">
        <f>VLOOKUP(J5058,辅助信息!H:I,2,FALSE)</f>
        <v>13684167136</v>
      </c>
      <c r="L5058" s="110" t="str">
        <f>VLOOKUP(B5058,辅助信息!E:J,6,FALSE)</f>
        <v>现场要求调度统一联系指定收货人，不单独发司机位置。锈货不收，装货前联系收货人核实到场规格,没提前告知进场规格现场不给予接收</v>
      </c>
      <c r="M5058" s="92">
        <v>45957</v>
      </c>
      <c r="O5058" s="63">
        <f ca="1" t="shared" si="240"/>
        <v>0</v>
      </c>
      <c r="P5058" s="63">
        <f ca="1" t="shared" si="241"/>
        <v>2</v>
      </c>
      <c r="Q5058" s="30" t="str">
        <f>VLOOKUP(B5058,辅助信息!E:M,9,FALSE)</f>
        <v>ZTWM-CDYXGS-XS-2025-0014-宜宾兴港建材-三江新区长江工业园片区保障性租赁住房建设项目</v>
      </c>
      <c r="R5058" s="30" t="str">
        <f>_xlfn._xlws.FILTER(辅助信息!D:D,辅助信息!E:E=B5058)</f>
        <v>宜宾兴港三江新区长江工业园建设项目</v>
      </c>
    </row>
    <row r="5059" hidden="1" spans="2:18">
      <c r="B5059" s="136" t="s">
        <v>194</v>
      </c>
      <c r="C5059" s="71">
        <v>45958</v>
      </c>
      <c r="D5059" s="41" t="str">
        <f>VLOOKUP(B5059,辅助信息!E:K,7,FALSE)</f>
        <v>JWDD2025071500089</v>
      </c>
      <c r="E5059" s="41" t="str">
        <f>VLOOKUP(F5059,辅助信息!A:B,2,FALSE)</f>
        <v>螺纹钢</v>
      </c>
      <c r="F5059" s="41" t="s">
        <v>27</v>
      </c>
      <c r="G5059" s="37">
        <v>10</v>
      </c>
      <c r="H5059" s="135">
        <f>IF(SUMIFS('[1]2025年已发货'!$E:$E,'[1]2025年已发货'!$F:$F,C5059,'[1]2025年已发货'!$C:$C,F5059,'[1]2025年已发货'!$G:$G,I5059,'[1]2025年已发货'!$H:$H,J5059)=0,"未发货",SUMIFS('[1]2025年已发货'!$E:$E,'[1]2025年已发货'!$F:$F,C5059,'[1]2025年已发货'!$C:$C,F5059,'[1]2025年已发货'!$G:$G,I5059,'[1]2025年已发货'!$H:$H,J5059))</f>
        <v>10</v>
      </c>
      <c r="I5059" s="40" t="str">
        <f>VLOOKUP(B5059,辅助信息!E:I,3,FALSE)</f>
        <v>(宜宾兴港三江新区长江工业园保障性租赁住房建设项目-土建)四川省宜宾市翠屏区永善路南段宜宾市三江新区长江工业园区</v>
      </c>
      <c r="J5059" s="41" t="str">
        <f>VLOOKUP(B5059,辅助信息!E:I,4,FALSE)</f>
        <v>赵元虎</v>
      </c>
      <c r="K5059" s="41">
        <f>VLOOKUP(J5059,辅助信息!H:I,2,FALSE)</f>
        <v>13684167136</v>
      </c>
      <c r="L5059" s="110" t="str">
        <f>VLOOKUP(B5059,辅助信息!E:J,6,FALSE)</f>
        <v>现场要求调度统一联系指定收货人，不单独发司机位置。锈货不收，装货前联系收货人核实到场规格,没提前告知进场规格现场不给予接收</v>
      </c>
      <c r="M5059" s="92">
        <v>45957</v>
      </c>
      <c r="O5059" s="63">
        <f ca="1" t="shared" si="240"/>
        <v>0</v>
      </c>
      <c r="P5059" s="63">
        <f ca="1" t="shared" si="241"/>
        <v>2</v>
      </c>
      <c r="Q5059" s="30" t="str">
        <f>VLOOKUP(B5059,辅助信息!E:M,9,FALSE)</f>
        <v>ZTWM-CDYXGS-XS-2025-0014-宜宾兴港建材-三江新区长江工业园片区保障性租赁住房建设项目</v>
      </c>
      <c r="R5059" s="30" t="str">
        <f>_xlfn._xlws.FILTER(辅助信息!D:D,辅助信息!E:E=B5059)</f>
        <v>宜宾兴港三江新区长江工业园建设项目</v>
      </c>
    </row>
    <row r="5060" hidden="1" spans="2:18">
      <c r="B5060" s="136" t="s">
        <v>194</v>
      </c>
      <c r="C5060" s="71">
        <v>45958</v>
      </c>
      <c r="D5060" s="41" t="str">
        <f>VLOOKUP(B5060,辅助信息!E:K,7,FALSE)</f>
        <v>JWDD2025071500089</v>
      </c>
      <c r="E5060" s="41" t="str">
        <f>VLOOKUP(F5060,辅助信息!A:B,2,FALSE)</f>
        <v>螺纹钢</v>
      </c>
      <c r="F5060" s="41" t="s">
        <v>32</v>
      </c>
      <c r="G5060" s="37">
        <v>35</v>
      </c>
      <c r="H5060" s="135">
        <f>IF(SUMIFS('[1]2025年已发货'!$E:$E,'[1]2025年已发货'!$F:$F,C5060,'[1]2025年已发货'!$C:$C,F5060,'[1]2025年已发货'!$G:$G,I5060,'[1]2025年已发货'!$H:$H,J5060)=0,"未发货",SUMIFS('[1]2025年已发货'!$E:$E,'[1]2025年已发货'!$F:$F,C5060,'[1]2025年已发货'!$C:$C,F5060,'[1]2025年已发货'!$G:$G,I5060,'[1]2025年已发货'!$H:$H,J5060))</f>
        <v>35</v>
      </c>
      <c r="I5060" s="40" t="str">
        <f>VLOOKUP(B5060,辅助信息!E:I,3,FALSE)</f>
        <v>(宜宾兴港三江新区长江工业园保障性租赁住房建设项目-土建)四川省宜宾市翠屏区永善路南段宜宾市三江新区长江工业园区</v>
      </c>
      <c r="J5060" s="41" t="str">
        <f>VLOOKUP(B5060,辅助信息!E:I,4,FALSE)</f>
        <v>赵元虎</v>
      </c>
      <c r="K5060" s="41">
        <f>VLOOKUP(J5060,辅助信息!H:I,2,FALSE)</f>
        <v>13684167136</v>
      </c>
      <c r="L5060" s="110" t="str">
        <f>VLOOKUP(B5060,辅助信息!E:J,6,FALSE)</f>
        <v>现场要求调度统一联系指定收货人，不单独发司机位置。锈货不收，装货前联系收货人核实到场规格,没提前告知进场规格现场不给予接收</v>
      </c>
      <c r="M5060" s="92">
        <v>45957</v>
      </c>
      <c r="O5060" s="63">
        <f ca="1" t="shared" si="240"/>
        <v>0</v>
      </c>
      <c r="P5060" s="63">
        <f ca="1" t="shared" si="241"/>
        <v>2</v>
      </c>
      <c r="Q5060" s="30" t="str">
        <f>VLOOKUP(B5060,辅助信息!E:M,9,FALSE)</f>
        <v>ZTWM-CDYXGS-XS-2025-0014-宜宾兴港建材-三江新区长江工业园片区保障性租赁住房建设项目</v>
      </c>
      <c r="R5060" s="30" t="str">
        <f>_xlfn._xlws.FILTER(辅助信息!D:D,辅助信息!E:E=B5060)</f>
        <v>宜宾兴港三江新区长江工业园建设项目</v>
      </c>
    </row>
    <row r="5061" hidden="1" spans="2:18">
      <c r="B5061" s="136" t="s">
        <v>194</v>
      </c>
      <c r="C5061" s="71">
        <v>45958</v>
      </c>
      <c r="D5061" s="41" t="str">
        <f>VLOOKUP(B5061,辅助信息!E:K,7,FALSE)</f>
        <v>JWDD2025071500089</v>
      </c>
      <c r="E5061" s="41" t="str">
        <f>VLOOKUP(F5061,辅助信息!A:B,2,FALSE)</f>
        <v>螺纹钢</v>
      </c>
      <c r="F5061" s="41" t="s">
        <v>33</v>
      </c>
      <c r="G5061" s="37">
        <v>5</v>
      </c>
      <c r="H5061" s="135">
        <f>IF(SUMIFS('[1]2025年已发货'!$E:$E,'[1]2025年已发货'!$F:$F,C5061,'[1]2025年已发货'!$C:$C,F5061,'[1]2025年已发货'!$G:$G,I5061,'[1]2025年已发货'!$H:$H,J5061)=0,"未发货",SUMIFS('[1]2025年已发货'!$E:$E,'[1]2025年已发货'!$F:$F,C5061,'[1]2025年已发货'!$C:$C,F5061,'[1]2025年已发货'!$G:$G,I5061,'[1]2025年已发货'!$H:$H,J5061))</f>
        <v>5</v>
      </c>
      <c r="I5061" s="40" t="str">
        <f>VLOOKUP(B5061,辅助信息!E:I,3,FALSE)</f>
        <v>(宜宾兴港三江新区长江工业园保障性租赁住房建设项目-土建)四川省宜宾市翠屏区永善路南段宜宾市三江新区长江工业园区</v>
      </c>
      <c r="J5061" s="41" t="str">
        <f>VLOOKUP(B5061,辅助信息!E:I,4,FALSE)</f>
        <v>赵元虎</v>
      </c>
      <c r="K5061" s="41">
        <f>VLOOKUP(J5061,辅助信息!H:I,2,FALSE)</f>
        <v>13684167136</v>
      </c>
      <c r="L5061" s="110" t="str">
        <f>VLOOKUP(B5061,辅助信息!E:J,6,FALSE)</f>
        <v>现场要求调度统一联系指定收货人，不单独发司机位置。锈货不收，装货前联系收货人核实到场规格,没提前告知进场规格现场不给予接收</v>
      </c>
      <c r="M5061" s="92">
        <v>45957</v>
      </c>
      <c r="O5061" s="63">
        <f ca="1" t="shared" si="240"/>
        <v>0</v>
      </c>
      <c r="P5061" s="63">
        <f ca="1" t="shared" si="241"/>
        <v>2</v>
      </c>
      <c r="Q5061" s="30" t="str">
        <f>VLOOKUP(B5061,辅助信息!E:M,9,FALSE)</f>
        <v>ZTWM-CDYXGS-XS-2025-0014-宜宾兴港建材-三江新区长江工业园片区保障性租赁住房建设项目</v>
      </c>
      <c r="R5061" s="30" t="str">
        <f>_xlfn._xlws.FILTER(辅助信息!D:D,辅助信息!E:E=B5061)</f>
        <v>宜宾兴港三江新区长江工业园建设项目</v>
      </c>
    </row>
    <row r="5062" hidden="1" spans="2:18">
      <c r="B5062" s="136" t="s">
        <v>194</v>
      </c>
      <c r="C5062" s="71">
        <v>45958</v>
      </c>
      <c r="D5062" s="41" t="str">
        <f>VLOOKUP(B5062,辅助信息!E:K,7,FALSE)</f>
        <v>JWDD2025071500089</v>
      </c>
      <c r="E5062" s="41" t="str">
        <f>VLOOKUP(F5062,辅助信息!A:B,2,FALSE)</f>
        <v>螺纹钢</v>
      </c>
      <c r="F5062" s="41" t="s">
        <v>28</v>
      </c>
      <c r="G5062" s="37">
        <v>10</v>
      </c>
      <c r="H5062" s="135">
        <f>IF(SUMIFS('[1]2025年已发货'!$E:$E,'[1]2025年已发货'!$F:$F,C5062,'[1]2025年已发货'!$C:$C,F5062,'[1]2025年已发货'!$G:$G,I5062,'[1]2025年已发货'!$H:$H,J5062)=0,"未发货",SUMIFS('[1]2025年已发货'!$E:$E,'[1]2025年已发货'!$F:$F,C5062,'[1]2025年已发货'!$C:$C,F5062,'[1]2025年已发货'!$G:$G,I5062,'[1]2025年已发货'!$H:$H,J5062))</f>
        <v>10</v>
      </c>
      <c r="I5062" s="40" t="str">
        <f>VLOOKUP(B5062,辅助信息!E:I,3,FALSE)</f>
        <v>(宜宾兴港三江新区长江工业园保障性租赁住房建设项目-土建)四川省宜宾市翠屏区永善路南段宜宾市三江新区长江工业园区</v>
      </c>
      <c r="J5062" s="41" t="str">
        <f>VLOOKUP(B5062,辅助信息!E:I,4,FALSE)</f>
        <v>赵元虎</v>
      </c>
      <c r="K5062" s="41">
        <f>VLOOKUP(J5062,辅助信息!H:I,2,FALSE)</f>
        <v>13684167136</v>
      </c>
      <c r="L5062" s="110" t="str">
        <f>VLOOKUP(B5062,辅助信息!E:J,6,FALSE)</f>
        <v>现场要求调度统一联系指定收货人，不单独发司机位置。锈货不收，装货前联系收货人核实到场规格,没提前告知进场规格现场不给予接收</v>
      </c>
      <c r="M5062" s="92">
        <v>45957</v>
      </c>
      <c r="O5062" s="63">
        <f ca="1" t="shared" si="240"/>
        <v>0</v>
      </c>
      <c r="P5062" s="63">
        <f ca="1" t="shared" si="241"/>
        <v>2</v>
      </c>
      <c r="Q5062" s="30" t="str">
        <f>VLOOKUP(B5062,辅助信息!E:M,9,FALSE)</f>
        <v>ZTWM-CDYXGS-XS-2025-0014-宜宾兴港建材-三江新区长江工业园片区保障性租赁住房建设项目</v>
      </c>
      <c r="R5062" s="30" t="str">
        <f>_xlfn._xlws.FILTER(辅助信息!D:D,辅助信息!E:E=B5062)</f>
        <v>宜宾兴港三江新区长江工业园建设项目</v>
      </c>
    </row>
    <row r="5063" hidden="1" spans="2:18">
      <c r="B5063" s="136" t="s">
        <v>194</v>
      </c>
      <c r="C5063" s="71">
        <v>45958</v>
      </c>
      <c r="D5063" s="41" t="str">
        <f>VLOOKUP(B5063,辅助信息!E:K,7,FALSE)</f>
        <v>JWDD2025071500089</v>
      </c>
      <c r="E5063" s="41" t="str">
        <f>VLOOKUP(F5063,辅助信息!A:B,2,FALSE)</f>
        <v>螺纹钢</v>
      </c>
      <c r="F5063" s="41" t="s">
        <v>18</v>
      </c>
      <c r="G5063" s="37">
        <v>10</v>
      </c>
      <c r="H5063" s="135">
        <f>IF(SUMIFS('[1]2025年已发货'!$E:$E,'[1]2025年已发货'!$F:$F,C5063,'[1]2025年已发货'!$C:$C,F5063,'[1]2025年已发货'!$G:$G,I5063,'[1]2025年已发货'!$H:$H,J5063)=0,"未发货",SUMIFS('[1]2025年已发货'!$E:$E,'[1]2025年已发货'!$F:$F,C5063,'[1]2025年已发货'!$C:$C,F5063,'[1]2025年已发货'!$G:$G,I5063,'[1]2025年已发货'!$H:$H,J5063))</f>
        <v>10</v>
      </c>
      <c r="I5063" s="40" t="str">
        <f>VLOOKUP(B5063,辅助信息!E:I,3,FALSE)</f>
        <v>(宜宾兴港三江新区长江工业园保障性租赁住房建设项目-土建)四川省宜宾市翠屏区永善路南段宜宾市三江新区长江工业园区</v>
      </c>
      <c r="J5063" s="41" t="str">
        <f>VLOOKUP(B5063,辅助信息!E:I,4,FALSE)</f>
        <v>赵元虎</v>
      </c>
      <c r="K5063" s="41">
        <f>VLOOKUP(J5063,辅助信息!H:I,2,FALSE)</f>
        <v>13684167136</v>
      </c>
      <c r="L5063" s="110" t="str">
        <f>VLOOKUP(B5063,辅助信息!E:J,6,FALSE)</f>
        <v>现场要求调度统一联系指定收货人，不单独发司机位置。锈货不收，装货前联系收货人核实到场规格,没提前告知进场规格现场不给予接收</v>
      </c>
      <c r="M5063" s="92">
        <v>45957</v>
      </c>
      <c r="O5063" s="63">
        <f ca="1" t="shared" si="240"/>
        <v>0</v>
      </c>
      <c r="P5063" s="63">
        <f ca="1" t="shared" si="241"/>
        <v>2</v>
      </c>
      <c r="Q5063" s="30" t="str">
        <f>VLOOKUP(B5063,辅助信息!E:M,9,FALSE)</f>
        <v>ZTWM-CDYXGS-XS-2025-0014-宜宾兴港建材-三江新区长江工业园片区保障性租赁住房建设项目</v>
      </c>
      <c r="R5063" s="30" t="str">
        <f>_xlfn._xlws.FILTER(辅助信息!D:D,辅助信息!E:E=B5063)</f>
        <v>宜宾兴港三江新区长江工业园建设项目</v>
      </c>
    </row>
    <row r="5064" spans="2:18">
      <c r="B5064" s="136" t="s">
        <v>231</v>
      </c>
      <c r="C5064" s="71">
        <v>45959</v>
      </c>
      <c r="D5064" s="41" t="str">
        <f>VLOOKUP(B5064,辅助信息!E:K,7,FALSE)</f>
        <v>JWDDCD2025102100481</v>
      </c>
      <c r="E5064" s="41" t="str">
        <f>VLOOKUP(F5064,辅助信息!A:B,2,FALSE)</f>
        <v>盘螺</v>
      </c>
      <c r="F5064" s="41" t="s">
        <v>26</v>
      </c>
      <c r="G5064" s="37">
        <v>4</v>
      </c>
      <c r="H5064" s="135">
        <f>IF(SUMIFS('[1]2025年已发货'!$E:$E,'[1]2025年已发货'!$F:$F,C5064,'[1]2025年已发货'!$C:$C,F5064,'[1]2025年已发货'!$G:$G,I5064,'[1]2025年已发货'!$H:$H,J5064)=0,"未发货",SUMIFS('[1]2025年已发货'!$E:$E,'[1]2025年已发货'!$F:$F,C5064,'[1]2025年已发货'!$C:$C,F5064,'[1]2025年已发货'!$G:$G,I5064,'[1]2025年已发货'!$H:$H,J5064))</f>
        <v>4</v>
      </c>
      <c r="I5064" s="40" t="str">
        <f>VLOOKUP(B5064,辅助信息!E:I,3,FALSE)</f>
        <v>(五冶建设成都盐道街中学初中部改扩建工程-一标)四川省成都市锦江区春熙路街道盐道街4号（盐道街中学初中部）</v>
      </c>
      <c r="J5064" s="41" t="str">
        <f>VLOOKUP(B5064,辅助信息!E:I,4,FALSE)</f>
        <v>谢鑫</v>
      </c>
      <c r="K5064" s="41">
        <f>VLOOKUP(J5064,辅助信息!H:I,2,FALSE)</f>
        <v>18228465067</v>
      </c>
      <c r="L5064" s="110" t="str">
        <f>VLOOKUP(B5064,辅助信息!E:J,6,FALSE)</f>
        <v>联系实际收货人（易前刚18228465067）五冶建设送货单,6份材质书,锈货不收，装货前联系收货人核实到场规格,没提前告知进场规格现场不给予接收</v>
      </c>
      <c r="M5064" s="92">
        <v>45957</v>
      </c>
      <c r="O5064" s="63">
        <f ca="1" t="shared" si="240"/>
        <v>0</v>
      </c>
      <c r="P5064" s="63">
        <f ca="1" t="shared" si="241"/>
        <v>2</v>
      </c>
      <c r="Q5064" s="30" t="str">
        <f>VLOOKUP(B5064,辅助信息!E:M,9,FALSE)</f>
        <v>ZTWM-CDGS-XS-2025-0073-五冶天府-成都怡心湖片区及龙泉驿医院等项目</v>
      </c>
      <c r="R5064" s="30" t="str">
        <f>_xlfn._xlws.FILTER(辅助信息!D:D,辅助信息!E:E=B5064)</f>
        <v>五冶建设成都盐道街中学初中部改扩建工程</v>
      </c>
    </row>
    <row r="5065" spans="2:18">
      <c r="B5065" s="136" t="s">
        <v>231</v>
      </c>
      <c r="C5065" s="71">
        <v>45959</v>
      </c>
      <c r="D5065" s="41" t="str">
        <f>VLOOKUP(B5065,辅助信息!E:K,7,FALSE)</f>
        <v>JWDDCD2025102100481</v>
      </c>
      <c r="E5065" s="41" t="str">
        <f>VLOOKUP(F5065,辅助信息!A:B,2,FALSE)</f>
        <v>螺纹钢</v>
      </c>
      <c r="F5065" s="41" t="s">
        <v>19</v>
      </c>
      <c r="G5065" s="37">
        <v>10</v>
      </c>
      <c r="H5065" s="135">
        <f>IF(SUMIFS('[1]2025年已发货'!$E:$E,'[1]2025年已发货'!$F:$F,C5065,'[1]2025年已发货'!$C:$C,F5065,'[1]2025年已发货'!$G:$G,I5065,'[1]2025年已发货'!$H:$H,J5065)=0,"未发货",SUMIFS('[1]2025年已发货'!$E:$E,'[1]2025年已发货'!$F:$F,C5065,'[1]2025年已发货'!$C:$C,F5065,'[1]2025年已发货'!$G:$G,I5065,'[1]2025年已发货'!$H:$H,J5065))</f>
        <v>10</v>
      </c>
      <c r="I5065" s="40" t="str">
        <f>VLOOKUP(B5065,辅助信息!E:I,3,FALSE)</f>
        <v>(五冶建设成都盐道街中学初中部改扩建工程-一标)四川省成都市锦江区春熙路街道盐道街4号（盐道街中学初中部）</v>
      </c>
      <c r="J5065" s="41" t="str">
        <f>VLOOKUP(B5065,辅助信息!E:I,4,FALSE)</f>
        <v>谢鑫</v>
      </c>
      <c r="K5065" s="41">
        <f>VLOOKUP(J5065,辅助信息!H:I,2,FALSE)</f>
        <v>18228465067</v>
      </c>
      <c r="L5065" s="110" t="str">
        <f>VLOOKUP(B5065,辅助信息!E:J,6,FALSE)</f>
        <v>联系实际收货人（易前刚18228465067）五冶建设送货单,6份材质书,锈货不收，装货前联系收货人核实到场规格,没提前告知进场规格现场不给予接收</v>
      </c>
      <c r="M5065" s="92">
        <v>45957</v>
      </c>
      <c r="O5065" s="63">
        <f ca="1" t="shared" si="240"/>
        <v>0</v>
      </c>
      <c r="P5065" s="63">
        <f ca="1" t="shared" si="241"/>
        <v>2</v>
      </c>
      <c r="Q5065" s="30" t="str">
        <f>VLOOKUP(B5065,辅助信息!E:M,9,FALSE)</f>
        <v>ZTWM-CDGS-XS-2025-0073-五冶天府-成都怡心湖片区及龙泉驿医院等项目</v>
      </c>
      <c r="R5065" s="30" t="str">
        <f>_xlfn._xlws.FILTER(辅助信息!D:D,辅助信息!E:E=B5065)</f>
        <v>五冶建设成都盐道街中学初中部改扩建工程</v>
      </c>
    </row>
    <row r="5066" spans="2:18">
      <c r="B5066" s="136" t="s">
        <v>231</v>
      </c>
      <c r="C5066" s="71">
        <v>45959</v>
      </c>
      <c r="D5066" s="41" t="str">
        <f>VLOOKUP(B5066,辅助信息!E:K,7,FALSE)</f>
        <v>JWDDCD2025102100481</v>
      </c>
      <c r="E5066" s="41" t="str">
        <f>VLOOKUP(F5066,辅助信息!A:B,2,FALSE)</f>
        <v>螺纹钢</v>
      </c>
      <c r="F5066" s="41" t="s">
        <v>32</v>
      </c>
      <c r="G5066" s="37">
        <v>2.5</v>
      </c>
      <c r="H5066" s="135">
        <f>IF(SUMIFS('[1]2025年已发货'!$E:$E,'[1]2025年已发货'!$F:$F,C5066,'[1]2025年已发货'!$C:$C,F5066,'[1]2025年已发货'!$G:$G,I5066,'[1]2025年已发货'!$H:$H,J5066)=0,"未发货",SUMIFS('[1]2025年已发货'!$E:$E,'[1]2025年已发货'!$F:$F,C5066,'[1]2025年已发货'!$C:$C,F5066,'[1]2025年已发货'!$G:$G,I5066,'[1]2025年已发货'!$H:$H,J5066))</f>
        <v>2.5</v>
      </c>
      <c r="I5066" s="40" t="str">
        <f>VLOOKUP(B5066,辅助信息!E:I,3,FALSE)</f>
        <v>(五冶建设成都盐道街中学初中部改扩建工程-一标)四川省成都市锦江区春熙路街道盐道街4号（盐道街中学初中部）</v>
      </c>
      <c r="J5066" s="41" t="str">
        <f>VLOOKUP(B5066,辅助信息!E:I,4,FALSE)</f>
        <v>谢鑫</v>
      </c>
      <c r="K5066" s="41">
        <f>VLOOKUP(J5066,辅助信息!H:I,2,FALSE)</f>
        <v>18228465067</v>
      </c>
      <c r="L5066" s="110" t="str">
        <f>VLOOKUP(B5066,辅助信息!E:J,6,FALSE)</f>
        <v>联系实际收货人（易前刚18228465067）五冶建设送货单,6份材质书,锈货不收，装货前联系收货人核实到场规格,没提前告知进场规格现场不给予接收</v>
      </c>
      <c r="M5066" s="92">
        <v>45957</v>
      </c>
      <c r="O5066" s="63">
        <f ca="1" t="shared" si="240"/>
        <v>0</v>
      </c>
      <c r="P5066" s="63">
        <f ca="1" t="shared" si="241"/>
        <v>2</v>
      </c>
      <c r="Q5066" s="30" t="str">
        <f>VLOOKUP(B5066,辅助信息!E:M,9,FALSE)</f>
        <v>ZTWM-CDGS-XS-2025-0073-五冶天府-成都怡心湖片区及龙泉驿医院等项目</v>
      </c>
      <c r="R5066" s="30" t="str">
        <f>_xlfn._xlws.FILTER(辅助信息!D:D,辅助信息!E:E=B5066)</f>
        <v>五冶建设成都盐道街中学初中部改扩建工程</v>
      </c>
    </row>
    <row r="5067" spans="2:18">
      <c r="B5067" s="136" t="s">
        <v>231</v>
      </c>
      <c r="C5067" s="71">
        <v>45959</v>
      </c>
      <c r="D5067" s="41" t="str">
        <f>VLOOKUP(B5067,辅助信息!E:K,7,FALSE)</f>
        <v>JWDDCD2025102100481</v>
      </c>
      <c r="E5067" s="41" t="str">
        <f>VLOOKUP(F5067,辅助信息!A:B,2,FALSE)</f>
        <v>螺纹钢</v>
      </c>
      <c r="F5067" s="41" t="s">
        <v>33</v>
      </c>
      <c r="G5067" s="37">
        <v>10</v>
      </c>
      <c r="H5067" s="135">
        <f>IF(SUMIFS('[1]2025年已发货'!$E:$E,'[1]2025年已发货'!$F:$F,C5067,'[1]2025年已发货'!$C:$C,F5067,'[1]2025年已发货'!$G:$G,I5067,'[1]2025年已发货'!$H:$H,J5067)=0,"未发货",SUMIFS('[1]2025年已发货'!$E:$E,'[1]2025年已发货'!$F:$F,C5067,'[1]2025年已发货'!$C:$C,F5067,'[1]2025年已发货'!$G:$G,I5067,'[1]2025年已发货'!$H:$H,J5067))</f>
        <v>10</v>
      </c>
      <c r="I5067" s="40" t="str">
        <f>VLOOKUP(B5067,辅助信息!E:I,3,FALSE)</f>
        <v>(五冶建设成都盐道街中学初中部改扩建工程-一标)四川省成都市锦江区春熙路街道盐道街4号（盐道街中学初中部）</v>
      </c>
      <c r="J5067" s="41" t="str">
        <f>VLOOKUP(B5067,辅助信息!E:I,4,FALSE)</f>
        <v>谢鑫</v>
      </c>
      <c r="K5067" s="41">
        <f>VLOOKUP(J5067,辅助信息!H:I,2,FALSE)</f>
        <v>18228465067</v>
      </c>
      <c r="L5067" s="110" t="str">
        <f>VLOOKUP(B5067,辅助信息!E:J,6,FALSE)</f>
        <v>联系实际收货人（易前刚18228465067）五冶建设送货单,6份材质书,锈货不收，装货前联系收货人核实到场规格,没提前告知进场规格现场不给予接收</v>
      </c>
      <c r="M5067" s="92">
        <v>45957</v>
      </c>
      <c r="O5067" s="63">
        <f ca="1" t="shared" si="240"/>
        <v>0</v>
      </c>
      <c r="P5067" s="63">
        <f ca="1" t="shared" si="241"/>
        <v>2</v>
      </c>
      <c r="Q5067" s="30" t="str">
        <f>VLOOKUP(B5067,辅助信息!E:M,9,FALSE)</f>
        <v>ZTWM-CDGS-XS-2025-0073-五冶天府-成都怡心湖片区及龙泉驿医院等项目</v>
      </c>
      <c r="R5067" s="30" t="str">
        <f>_xlfn._xlws.FILTER(辅助信息!D:D,辅助信息!E:E=B5067)</f>
        <v>五冶建设成都盐道街中学初中部改扩建工程</v>
      </c>
    </row>
    <row r="5068" spans="2:18">
      <c r="B5068" s="136" t="s">
        <v>231</v>
      </c>
      <c r="C5068" s="71">
        <v>45959</v>
      </c>
      <c r="D5068" s="41" t="str">
        <f>VLOOKUP(B5068,辅助信息!E:K,7,FALSE)</f>
        <v>JWDDCD2025102100481</v>
      </c>
      <c r="E5068" s="41" t="str">
        <f>VLOOKUP(F5068,辅助信息!A:B,2,FALSE)</f>
        <v>螺纹钢</v>
      </c>
      <c r="F5068" s="41" t="s">
        <v>28</v>
      </c>
      <c r="G5068" s="37">
        <v>5</v>
      </c>
      <c r="H5068" s="135">
        <f>IF(SUMIFS('[1]2025年已发货'!$E:$E,'[1]2025年已发货'!$F:$F,C5068,'[1]2025年已发货'!$C:$C,F5068,'[1]2025年已发货'!$G:$G,I5068,'[1]2025年已发货'!$H:$H,J5068)=0,"未发货",SUMIFS('[1]2025年已发货'!$E:$E,'[1]2025年已发货'!$F:$F,C5068,'[1]2025年已发货'!$C:$C,F5068,'[1]2025年已发货'!$G:$G,I5068,'[1]2025年已发货'!$H:$H,J5068))</f>
        <v>5</v>
      </c>
      <c r="I5068" s="40" t="str">
        <f>VLOOKUP(B5068,辅助信息!E:I,3,FALSE)</f>
        <v>(五冶建设成都盐道街中学初中部改扩建工程-一标)四川省成都市锦江区春熙路街道盐道街4号（盐道街中学初中部）</v>
      </c>
      <c r="J5068" s="41" t="str">
        <f>VLOOKUP(B5068,辅助信息!E:I,4,FALSE)</f>
        <v>谢鑫</v>
      </c>
      <c r="K5068" s="41">
        <f>VLOOKUP(J5068,辅助信息!H:I,2,FALSE)</f>
        <v>18228465067</v>
      </c>
      <c r="L5068" s="110" t="str">
        <f>VLOOKUP(B5068,辅助信息!E:J,6,FALSE)</f>
        <v>联系实际收货人（易前刚18228465067）五冶建设送货单,6份材质书,锈货不收，装货前联系收货人核实到场规格,没提前告知进场规格现场不给予接收</v>
      </c>
      <c r="M5068" s="92">
        <v>45957</v>
      </c>
      <c r="O5068" s="63">
        <f ca="1" t="shared" si="240"/>
        <v>0</v>
      </c>
      <c r="P5068" s="63">
        <f ca="1" t="shared" si="241"/>
        <v>2</v>
      </c>
      <c r="Q5068" s="30" t="str">
        <f>VLOOKUP(B5068,辅助信息!E:M,9,FALSE)</f>
        <v>ZTWM-CDGS-XS-2025-0073-五冶天府-成都怡心湖片区及龙泉驿医院等项目</v>
      </c>
      <c r="R5068" s="30" t="str">
        <f>_xlfn._xlws.FILTER(辅助信息!D:D,辅助信息!E:E=B5068)</f>
        <v>五冶建设成都盐道街中学初中部改扩建工程</v>
      </c>
    </row>
    <row r="5069" spans="2:18">
      <c r="B5069" s="136" t="s">
        <v>231</v>
      </c>
      <c r="C5069" s="71">
        <v>45959</v>
      </c>
      <c r="D5069" s="41" t="str">
        <f>VLOOKUP(B5069,辅助信息!E:K,7,FALSE)</f>
        <v>JWDDCD2025102100481</v>
      </c>
      <c r="E5069" s="41" t="str">
        <f>VLOOKUP(F5069,辅助信息!A:B,2,FALSE)</f>
        <v>螺纹钢</v>
      </c>
      <c r="F5069" s="41" t="s">
        <v>18</v>
      </c>
      <c r="G5069" s="37">
        <v>5</v>
      </c>
      <c r="H5069" s="135">
        <f>IF(SUMIFS('[1]2025年已发货'!$E:$E,'[1]2025年已发货'!$F:$F,C5069,'[1]2025年已发货'!$C:$C,F5069,'[1]2025年已发货'!$G:$G,I5069,'[1]2025年已发货'!$H:$H,J5069)=0,"未发货",SUMIFS('[1]2025年已发货'!$E:$E,'[1]2025年已发货'!$F:$F,C5069,'[1]2025年已发货'!$C:$C,F5069,'[1]2025年已发货'!$G:$G,I5069,'[1]2025年已发货'!$H:$H,J5069))</f>
        <v>5</v>
      </c>
      <c r="I5069" s="40" t="str">
        <f>VLOOKUP(B5069,辅助信息!E:I,3,FALSE)</f>
        <v>(五冶建设成都盐道街中学初中部改扩建工程-一标)四川省成都市锦江区春熙路街道盐道街4号（盐道街中学初中部）</v>
      </c>
      <c r="J5069" s="41" t="str">
        <f>VLOOKUP(B5069,辅助信息!E:I,4,FALSE)</f>
        <v>谢鑫</v>
      </c>
      <c r="K5069" s="41">
        <f>VLOOKUP(J5069,辅助信息!H:I,2,FALSE)</f>
        <v>18228465067</v>
      </c>
      <c r="L5069" s="110" t="str">
        <f>VLOOKUP(B5069,辅助信息!E:J,6,FALSE)</f>
        <v>联系实际收货人（易前刚18228465067）五冶建设送货单,6份材质书,锈货不收，装货前联系收货人核实到场规格,没提前告知进场规格现场不给予接收</v>
      </c>
      <c r="M5069" s="92">
        <v>45957</v>
      </c>
      <c r="O5069" s="63">
        <f ca="1" t="shared" si="240"/>
        <v>0</v>
      </c>
      <c r="P5069" s="63">
        <f ca="1" t="shared" si="241"/>
        <v>2</v>
      </c>
      <c r="Q5069" s="30" t="str">
        <f>VLOOKUP(B5069,辅助信息!E:M,9,FALSE)</f>
        <v>ZTWM-CDGS-XS-2025-0073-五冶天府-成都怡心湖片区及龙泉驿医院等项目</v>
      </c>
      <c r="R5069" s="30" t="str">
        <f>_xlfn._xlws.FILTER(辅助信息!D:D,辅助信息!E:E=B5069)</f>
        <v>五冶建设成都盐道街中学初中部改扩建工程</v>
      </c>
    </row>
    <row r="5070" spans="2:18">
      <c r="B5070" s="136" t="s">
        <v>81</v>
      </c>
      <c r="C5070" s="71">
        <v>45959</v>
      </c>
      <c r="D5070" s="41" t="str">
        <f>VLOOKUP(B5070,辅助信息!E:K,7,FALSE)</f>
        <v>JWDDCD2025060900080</v>
      </c>
      <c r="E5070" s="41" t="str">
        <f>VLOOKUP(F5070,辅助信息!A:B,2,FALSE)</f>
        <v>盘螺</v>
      </c>
      <c r="F5070" s="41" t="s">
        <v>49</v>
      </c>
      <c r="G5070" s="37">
        <v>8</v>
      </c>
      <c r="H5070" s="135" t="str">
        <f>IF(SUMIFS('[1]2025年已发货'!$E:$E,'[1]2025年已发货'!$F:$F,C5070,'[1]2025年已发货'!$C:$C,F5070,'[1]2025年已发货'!$G:$G,I5070,'[1]2025年已发货'!$H:$H,J5070)=0,"未发货",SUMIFS('[1]2025年已发货'!$E:$E,'[1]2025年已发货'!$F:$F,C5070,'[1]2025年已发货'!$C:$C,F5070,'[1]2025年已发货'!$G:$G,I5070,'[1]2025年已发货'!$H:$H,J5070))</f>
        <v>未发货</v>
      </c>
      <c r="I5070" s="40" t="str">
        <f>VLOOKUP(B5070,辅助信息!E:I,3,FALSE)</f>
        <v>（华西简阳西城嘉苑）四川省成都市简阳市简城街道高屋村</v>
      </c>
      <c r="J5070" s="41" t="str">
        <f>VLOOKUP(B5070,辅助信息!E:I,4,FALSE)</f>
        <v>张瀚镭</v>
      </c>
      <c r="K5070" s="41">
        <f>VLOOKUP(J5070,辅助信息!H:I,2,FALSE)</f>
        <v>15884666220</v>
      </c>
      <c r="L5070" s="110" t="str">
        <f>VLOOKUP(B5070,辅助信息!E:J,6,FALSE)</f>
        <v>现场禁止使用氢能源挂车！优先威钢发货,我方卸车,新老国标钢厂不加价可直发，因陕钢多次出现磅差，项目拒绝使用</v>
      </c>
      <c r="M5070" s="92">
        <v>45959</v>
      </c>
      <c r="O5070" s="63">
        <f ca="1" t="shared" si="240"/>
        <v>0</v>
      </c>
      <c r="P5070" s="63">
        <f ca="1" t="shared" si="241"/>
        <v>0</v>
      </c>
      <c r="Q5070" s="30" t="str">
        <f>VLOOKUP(B5070,辅助信息!E:M,9,FALSE)</f>
        <v>ZTWM-CDGS-XS-2024-0030-华西集采-简州大道</v>
      </c>
      <c r="R5070" s="30" t="str">
        <f>_xlfn._xlws.FILTER(辅助信息!D:D,辅助信息!E:E=B5070)</f>
        <v>华西简阳西城嘉苑</v>
      </c>
    </row>
    <row r="5071" spans="2:18">
      <c r="B5071" s="136" t="s">
        <v>81</v>
      </c>
      <c r="C5071" s="71">
        <v>45959</v>
      </c>
      <c r="D5071" s="41" t="str">
        <f>VLOOKUP(B5071,辅助信息!E:K,7,FALSE)</f>
        <v>JWDDCD2025060900080</v>
      </c>
      <c r="E5071" s="41" t="str">
        <f>VLOOKUP(F5071,辅助信息!A:B,2,FALSE)</f>
        <v>盘螺</v>
      </c>
      <c r="F5071" s="41" t="s">
        <v>41</v>
      </c>
      <c r="G5071" s="37">
        <v>12</v>
      </c>
      <c r="H5071" s="135" t="str">
        <f>IF(SUMIFS('[1]2025年已发货'!$E:$E,'[1]2025年已发货'!$F:$F,C5071,'[1]2025年已发货'!$C:$C,F5071,'[1]2025年已发货'!$G:$G,I5071,'[1]2025年已发货'!$H:$H,J5071)=0,"未发货",SUMIFS('[1]2025年已发货'!$E:$E,'[1]2025年已发货'!$F:$F,C5071,'[1]2025年已发货'!$C:$C,F5071,'[1]2025年已发货'!$G:$G,I5071,'[1]2025年已发货'!$H:$H,J5071))</f>
        <v>未发货</v>
      </c>
      <c r="I5071" s="40" t="str">
        <f>VLOOKUP(B5071,辅助信息!E:I,3,FALSE)</f>
        <v>（华西简阳西城嘉苑）四川省成都市简阳市简城街道高屋村</v>
      </c>
      <c r="J5071" s="41" t="str">
        <f>VLOOKUP(B5071,辅助信息!E:I,4,FALSE)</f>
        <v>张瀚镭</v>
      </c>
      <c r="K5071" s="41">
        <f>VLOOKUP(J5071,辅助信息!H:I,2,FALSE)</f>
        <v>15884666220</v>
      </c>
      <c r="L5071" s="110" t="str">
        <f>VLOOKUP(B5071,辅助信息!E:J,6,FALSE)</f>
        <v>现场禁止使用氢能源挂车！优先威钢发货,我方卸车,新老国标钢厂不加价可直发，因陕钢多次出现磅差，项目拒绝使用</v>
      </c>
      <c r="M5071" s="92">
        <v>45959</v>
      </c>
      <c r="O5071" s="63">
        <f ca="1" t="shared" si="240"/>
        <v>0</v>
      </c>
      <c r="P5071" s="63">
        <f ca="1" t="shared" si="241"/>
        <v>0</v>
      </c>
      <c r="Q5071" s="30" t="str">
        <f>VLOOKUP(B5071,辅助信息!E:M,9,FALSE)</f>
        <v>ZTWM-CDGS-XS-2024-0030-华西集采-简州大道</v>
      </c>
      <c r="R5071" s="30" t="str">
        <f>_xlfn._xlws.FILTER(辅助信息!D:D,辅助信息!E:E=B5071)</f>
        <v>华西简阳西城嘉苑</v>
      </c>
    </row>
    <row r="5072" spans="2:18">
      <c r="B5072" s="136" t="s">
        <v>81</v>
      </c>
      <c r="C5072" s="71">
        <v>45959</v>
      </c>
      <c r="D5072" s="41" t="str">
        <f>VLOOKUP(B5072,辅助信息!E:K,7,FALSE)</f>
        <v>JWDDCD2025060900080</v>
      </c>
      <c r="E5072" s="41" t="str">
        <f>VLOOKUP(F5072,辅助信息!A:B,2,FALSE)</f>
        <v>盘螺</v>
      </c>
      <c r="F5072" s="41" t="s">
        <v>26</v>
      </c>
      <c r="G5072" s="37">
        <v>50</v>
      </c>
      <c r="H5072" s="135">
        <f>IF(SUMIFS('[1]2025年已发货'!$E:$E,'[1]2025年已发货'!$F:$F,C5072,'[1]2025年已发货'!$C:$C,F5072,'[1]2025年已发货'!$G:$G,I5072,'[1]2025年已发货'!$H:$H,J5072)=0,"未发货",SUMIFS('[1]2025年已发货'!$E:$E,'[1]2025年已发货'!$F:$F,C5072,'[1]2025年已发货'!$C:$C,F5072,'[1]2025年已发货'!$G:$G,I5072,'[1]2025年已发货'!$H:$H,J5072))</f>
        <v>35</v>
      </c>
      <c r="I5072" s="40" t="str">
        <f>VLOOKUP(B5072,辅助信息!E:I,3,FALSE)</f>
        <v>（华西简阳西城嘉苑）四川省成都市简阳市简城街道高屋村</v>
      </c>
      <c r="J5072" s="41" t="str">
        <f>VLOOKUP(B5072,辅助信息!E:I,4,FALSE)</f>
        <v>张瀚镭</v>
      </c>
      <c r="K5072" s="41">
        <f>VLOOKUP(J5072,辅助信息!H:I,2,FALSE)</f>
        <v>15884666220</v>
      </c>
      <c r="L5072" s="110" t="str">
        <f>VLOOKUP(B5072,辅助信息!E:J,6,FALSE)</f>
        <v>现场禁止使用氢能源挂车！优先威钢发货,我方卸车,新老国标钢厂不加价可直发，因陕钢多次出现磅差，项目拒绝使用</v>
      </c>
      <c r="M5072" s="92">
        <v>45959</v>
      </c>
      <c r="O5072" s="63">
        <f ca="1" t="shared" si="240"/>
        <v>0</v>
      </c>
      <c r="P5072" s="63">
        <f ca="1" t="shared" si="241"/>
        <v>0</v>
      </c>
      <c r="Q5072" s="30" t="str">
        <f>VLOOKUP(B5072,辅助信息!E:M,9,FALSE)</f>
        <v>ZTWM-CDGS-XS-2024-0030-华西集采-简州大道</v>
      </c>
      <c r="R5072" s="30" t="str">
        <f>_xlfn._xlws.FILTER(辅助信息!D:D,辅助信息!E:E=B5072)</f>
        <v>华西简阳西城嘉苑</v>
      </c>
    </row>
    <row r="5073" spans="2:18">
      <c r="B5073" s="136" t="s">
        <v>240</v>
      </c>
      <c r="C5073" s="71">
        <v>45959</v>
      </c>
      <c r="D5073" s="41" t="str">
        <f>VLOOKUP(B5073,辅助信息!E:K,7,FALSE)</f>
        <v>JWDDCD2025092400204</v>
      </c>
      <c r="E5073" s="41" t="str">
        <f>VLOOKUP(F5073,辅助信息!A:B,2,FALSE)</f>
        <v>高线</v>
      </c>
      <c r="F5073" s="41" t="s">
        <v>53</v>
      </c>
      <c r="G5073" s="37">
        <v>2.5</v>
      </c>
      <c r="H5073" s="135" t="str">
        <f>IF(SUMIFS('[1]2025年已发货'!$E:$E,'[1]2025年已发货'!$F:$F,C5073,'[1]2025年已发货'!$C:$C,F5073,'[1]2025年已发货'!$G:$G,I5073,'[1]2025年已发货'!$H:$H,J5073)=0,"未发货",SUMIFS('[1]2025年已发货'!$E:$E,'[1]2025年已发货'!$F:$F,C5073,'[1]2025年已发货'!$C:$C,F5073,'[1]2025年已发货'!$G:$G,I5073,'[1]2025年已发货'!$H:$H,J5073))</f>
        <v>未发货</v>
      </c>
      <c r="I5073" s="40" t="str">
        <f>VLOOKUP(B5073,辅助信息!E:I,3,FALSE)</f>
        <v>(五冶钢构龙泉东洪片区70亩住宅、商业及配套工程项目三标段)成都市龙泉驿外东洪路地铁2号线惠王陵地铁C口</v>
      </c>
      <c r="J5073" s="41" t="str">
        <f>VLOOKUP(B5073,辅助信息!E:I,4,FALSE)</f>
        <v>蒋嗣伟</v>
      </c>
      <c r="K5073" s="41">
        <f>VLOOKUP(J5073,辅助信息!H:I,2,FALSE)</f>
        <v>15014331252</v>
      </c>
      <c r="L5073" s="110">
        <f>VLOOKUP(B5073,辅助信息!E:J,6,FALSE)</f>
        <v>0</v>
      </c>
      <c r="M5073" s="92">
        <v>45959</v>
      </c>
      <c r="O5073" s="63">
        <f ca="1" t="shared" si="240"/>
        <v>0</v>
      </c>
      <c r="P5073" s="63">
        <f ca="1" t="shared" si="241"/>
        <v>0</v>
      </c>
      <c r="Q5073" s="30" t="str">
        <f>VLOOKUP(B5073,辅助信息!E:M,9,FALSE)</f>
        <v>ZTWM-CDGS-XS-2025-0156-五冶钢构-2025年九月第一批次钢筋采购合同(三圣乡项目)-中铁物贸成都公司</v>
      </c>
      <c r="R5073" s="30" t="str">
        <f>_xlfn._xlws.FILTER(辅助信息!D:D,辅助信息!E:E=B5073)</f>
        <v>五冶钢构龙泉东洪片区(70亩、85亩)住宅、商业及配套工程项目</v>
      </c>
    </row>
    <row r="5074" spans="2:18">
      <c r="B5074" s="136" t="s">
        <v>240</v>
      </c>
      <c r="C5074" s="71">
        <v>45959</v>
      </c>
      <c r="D5074" s="41" t="str">
        <f>VLOOKUP(B5074,辅助信息!E:K,7,FALSE)</f>
        <v>JWDDCD2025092400204</v>
      </c>
      <c r="E5074" s="41" t="str">
        <f>VLOOKUP(F5074,辅助信息!A:B,2,FALSE)</f>
        <v>盘螺</v>
      </c>
      <c r="F5074" s="41" t="s">
        <v>41</v>
      </c>
      <c r="G5074" s="37">
        <v>15</v>
      </c>
      <c r="H5074" s="135" t="str">
        <f>IF(SUMIFS('[1]2025年已发货'!$E:$E,'[1]2025年已发货'!$F:$F,C5074,'[1]2025年已发货'!$C:$C,F5074,'[1]2025年已发货'!$G:$G,I5074,'[1]2025年已发货'!$H:$H,J5074)=0,"未发货",SUMIFS('[1]2025年已发货'!$E:$E,'[1]2025年已发货'!$F:$F,C5074,'[1]2025年已发货'!$C:$C,F5074,'[1]2025年已发货'!$G:$G,I5074,'[1]2025年已发货'!$H:$H,J5074))</f>
        <v>未发货</v>
      </c>
      <c r="I5074" s="40" t="str">
        <f>VLOOKUP(B5074,辅助信息!E:I,3,FALSE)</f>
        <v>(五冶钢构龙泉东洪片区70亩住宅、商业及配套工程项目三标段)成都市龙泉驿外东洪路地铁2号线惠王陵地铁C口</v>
      </c>
      <c r="J5074" s="41" t="str">
        <f>VLOOKUP(B5074,辅助信息!E:I,4,FALSE)</f>
        <v>蒋嗣伟</v>
      </c>
      <c r="K5074" s="41">
        <f>VLOOKUP(J5074,辅助信息!H:I,2,FALSE)</f>
        <v>15014331252</v>
      </c>
      <c r="L5074" s="110">
        <f>VLOOKUP(B5074,辅助信息!E:J,6,FALSE)</f>
        <v>0</v>
      </c>
      <c r="M5074" s="92">
        <v>45959</v>
      </c>
      <c r="O5074" s="63">
        <f ca="1" t="shared" si="240"/>
        <v>0</v>
      </c>
      <c r="P5074" s="63">
        <f ca="1" t="shared" si="241"/>
        <v>0</v>
      </c>
      <c r="Q5074" s="30" t="str">
        <f>VLOOKUP(B5074,辅助信息!E:M,9,FALSE)</f>
        <v>ZTWM-CDGS-XS-2025-0156-五冶钢构-2025年九月第一批次钢筋采购合同(三圣乡项目)-中铁物贸成都公司</v>
      </c>
      <c r="R5074" s="30" t="str">
        <f>_xlfn._xlws.FILTER(辅助信息!D:D,辅助信息!E:E=B5074)</f>
        <v>五冶钢构龙泉东洪片区(70亩、85亩)住宅、商业及配套工程项目</v>
      </c>
    </row>
    <row r="5075" spans="2:18">
      <c r="B5075" s="136" t="s">
        <v>240</v>
      </c>
      <c r="C5075" s="71">
        <v>45959</v>
      </c>
      <c r="D5075" s="41" t="str">
        <f>VLOOKUP(B5075,辅助信息!E:K,7,FALSE)</f>
        <v>JWDDCD2025092400204</v>
      </c>
      <c r="E5075" s="41" t="str">
        <f>VLOOKUP(F5075,辅助信息!A:B,2,FALSE)</f>
        <v>螺纹钢</v>
      </c>
      <c r="F5075" s="41" t="s">
        <v>19</v>
      </c>
      <c r="G5075" s="37">
        <v>10</v>
      </c>
      <c r="H5075" s="135" t="str">
        <f>IF(SUMIFS('[1]2025年已发货'!$E:$E,'[1]2025年已发货'!$F:$F,C5075,'[1]2025年已发货'!$C:$C,F5075,'[1]2025年已发货'!$G:$G,I5075,'[1]2025年已发货'!$H:$H,J5075)=0,"未发货",SUMIFS('[1]2025年已发货'!$E:$E,'[1]2025年已发货'!$F:$F,C5075,'[1]2025年已发货'!$C:$C,F5075,'[1]2025年已发货'!$G:$G,I5075,'[1]2025年已发货'!$H:$H,J5075))</f>
        <v>未发货</v>
      </c>
      <c r="I5075" s="40" t="str">
        <f>VLOOKUP(B5075,辅助信息!E:I,3,FALSE)</f>
        <v>(五冶钢构龙泉东洪片区70亩住宅、商业及配套工程项目三标段)成都市龙泉驿外东洪路地铁2号线惠王陵地铁C口</v>
      </c>
      <c r="J5075" s="41" t="str">
        <f>VLOOKUP(B5075,辅助信息!E:I,4,FALSE)</f>
        <v>蒋嗣伟</v>
      </c>
      <c r="K5075" s="41">
        <f>VLOOKUP(J5075,辅助信息!H:I,2,FALSE)</f>
        <v>15014331252</v>
      </c>
      <c r="L5075" s="110">
        <f>VLOOKUP(B5075,辅助信息!E:J,6,FALSE)</f>
        <v>0</v>
      </c>
      <c r="M5075" s="92">
        <v>45959</v>
      </c>
      <c r="O5075" s="63">
        <f ca="1" t="shared" si="240"/>
        <v>0</v>
      </c>
      <c r="P5075" s="63">
        <f ca="1" t="shared" si="241"/>
        <v>0</v>
      </c>
      <c r="Q5075" s="30" t="str">
        <f>VLOOKUP(B5075,辅助信息!E:M,9,FALSE)</f>
        <v>ZTWM-CDGS-XS-2025-0156-五冶钢构-2025年九月第一批次钢筋采购合同(三圣乡项目)-中铁物贸成都公司</v>
      </c>
      <c r="R5075" s="30" t="str">
        <f>_xlfn._xlws.FILTER(辅助信息!D:D,辅助信息!E:E=B5075)</f>
        <v>五冶钢构龙泉东洪片区(70亩、85亩)住宅、商业及配套工程项目</v>
      </c>
    </row>
    <row r="5076" spans="2:18">
      <c r="B5076" s="136" t="s">
        <v>240</v>
      </c>
      <c r="C5076" s="71">
        <v>45959</v>
      </c>
      <c r="D5076" s="41" t="str">
        <f>VLOOKUP(B5076,辅助信息!E:K,7,FALSE)</f>
        <v>JWDDCD2025092400204</v>
      </c>
      <c r="E5076" s="41" t="str">
        <f>VLOOKUP(F5076,辅助信息!A:B,2,FALSE)</f>
        <v>螺纹钢</v>
      </c>
      <c r="F5076" s="41" t="s">
        <v>32</v>
      </c>
      <c r="G5076" s="37">
        <v>60</v>
      </c>
      <c r="H5076" s="135" t="str">
        <f>IF(SUMIFS('[1]2025年已发货'!$E:$E,'[1]2025年已发货'!$F:$F,C5076,'[1]2025年已发货'!$C:$C,F5076,'[1]2025年已发货'!$G:$G,I5076,'[1]2025年已发货'!$H:$H,J5076)=0,"未发货",SUMIFS('[1]2025年已发货'!$E:$E,'[1]2025年已发货'!$F:$F,C5076,'[1]2025年已发货'!$C:$C,F5076,'[1]2025年已发货'!$G:$G,I5076,'[1]2025年已发货'!$H:$H,J5076))</f>
        <v>未发货</v>
      </c>
      <c r="I5076" s="40" t="str">
        <f>VLOOKUP(B5076,辅助信息!E:I,3,FALSE)</f>
        <v>(五冶钢构龙泉东洪片区70亩住宅、商业及配套工程项目三标段)成都市龙泉驿外东洪路地铁2号线惠王陵地铁C口</v>
      </c>
      <c r="J5076" s="41" t="str">
        <f>VLOOKUP(B5076,辅助信息!E:I,4,FALSE)</f>
        <v>蒋嗣伟</v>
      </c>
      <c r="K5076" s="41">
        <f>VLOOKUP(J5076,辅助信息!H:I,2,FALSE)</f>
        <v>15014331252</v>
      </c>
      <c r="L5076" s="110">
        <f>VLOOKUP(B5076,辅助信息!E:J,6,FALSE)</f>
        <v>0</v>
      </c>
      <c r="M5076" s="92">
        <v>45959</v>
      </c>
      <c r="O5076" s="63">
        <f ca="1" t="shared" si="240"/>
        <v>0</v>
      </c>
      <c r="P5076" s="63">
        <f ca="1" t="shared" si="241"/>
        <v>0</v>
      </c>
      <c r="Q5076" s="30" t="str">
        <f>VLOOKUP(B5076,辅助信息!E:M,9,FALSE)</f>
        <v>ZTWM-CDGS-XS-2025-0156-五冶钢构-2025年九月第一批次钢筋采购合同(三圣乡项目)-中铁物贸成都公司</v>
      </c>
      <c r="R5076" s="30" t="str">
        <f>_xlfn._xlws.FILTER(辅助信息!D:D,辅助信息!E:E=B5076)</f>
        <v>五冶钢构龙泉东洪片区(70亩、85亩)住宅、商业及配套工程项目</v>
      </c>
    </row>
    <row r="5077" spans="2:18">
      <c r="B5077" s="136" t="s">
        <v>240</v>
      </c>
      <c r="C5077" s="71">
        <v>45959</v>
      </c>
      <c r="D5077" s="41" t="str">
        <f>VLOOKUP(B5077,辅助信息!E:K,7,FALSE)</f>
        <v>JWDDCD2025092400204</v>
      </c>
      <c r="E5077" s="41" t="str">
        <f>VLOOKUP(F5077,辅助信息!A:B,2,FALSE)</f>
        <v>螺纹钢</v>
      </c>
      <c r="F5077" s="41" t="s">
        <v>33</v>
      </c>
      <c r="G5077" s="37">
        <v>6</v>
      </c>
      <c r="H5077" s="135" t="str">
        <f>IF(SUMIFS('[1]2025年已发货'!$E:$E,'[1]2025年已发货'!$F:$F,C5077,'[1]2025年已发货'!$C:$C,F5077,'[1]2025年已发货'!$G:$G,I5077,'[1]2025年已发货'!$H:$H,J5077)=0,"未发货",SUMIFS('[1]2025年已发货'!$E:$E,'[1]2025年已发货'!$F:$F,C5077,'[1]2025年已发货'!$C:$C,F5077,'[1]2025年已发货'!$G:$G,I5077,'[1]2025年已发货'!$H:$H,J5077))</f>
        <v>未发货</v>
      </c>
      <c r="I5077" s="40" t="str">
        <f>VLOOKUP(B5077,辅助信息!E:I,3,FALSE)</f>
        <v>(五冶钢构龙泉东洪片区70亩住宅、商业及配套工程项目三标段)成都市龙泉驿外东洪路地铁2号线惠王陵地铁C口</v>
      </c>
      <c r="J5077" s="41" t="str">
        <f>VLOOKUP(B5077,辅助信息!E:I,4,FALSE)</f>
        <v>蒋嗣伟</v>
      </c>
      <c r="K5077" s="41">
        <f>VLOOKUP(J5077,辅助信息!H:I,2,FALSE)</f>
        <v>15014331252</v>
      </c>
      <c r="L5077" s="110">
        <f>VLOOKUP(B5077,辅助信息!E:J,6,FALSE)</f>
        <v>0</v>
      </c>
      <c r="M5077" s="92">
        <v>45959</v>
      </c>
      <c r="O5077" s="63">
        <f ca="1" t="shared" si="240"/>
        <v>0</v>
      </c>
      <c r="P5077" s="63">
        <f ca="1" t="shared" si="241"/>
        <v>0</v>
      </c>
      <c r="Q5077" s="30" t="str">
        <f>VLOOKUP(B5077,辅助信息!E:M,9,FALSE)</f>
        <v>ZTWM-CDGS-XS-2025-0156-五冶钢构-2025年九月第一批次钢筋采购合同(三圣乡项目)-中铁物贸成都公司</v>
      </c>
      <c r="R5077" s="30" t="str">
        <f>_xlfn._xlws.FILTER(辅助信息!D:D,辅助信息!E:E=B5077)</f>
        <v>五冶钢构龙泉东洪片区(70亩、85亩)住宅、商业及配套工程项目</v>
      </c>
    </row>
    <row r="5078" spans="2:18">
      <c r="B5078" s="136" t="s">
        <v>240</v>
      </c>
      <c r="C5078" s="71">
        <v>45959</v>
      </c>
      <c r="D5078" s="41" t="str">
        <f>VLOOKUP(B5078,辅助信息!E:K,7,FALSE)</f>
        <v>JWDDCD2025092400204</v>
      </c>
      <c r="E5078" s="41" t="str">
        <f>VLOOKUP(F5078,辅助信息!A:B,2,FALSE)</f>
        <v>螺纹钢</v>
      </c>
      <c r="F5078" s="41" t="s">
        <v>18</v>
      </c>
      <c r="G5078" s="37">
        <v>10</v>
      </c>
      <c r="H5078" s="135" t="str">
        <f>IF(SUMIFS('[1]2025年已发货'!$E:$E,'[1]2025年已发货'!$F:$F,C5078,'[1]2025年已发货'!$C:$C,F5078,'[1]2025年已发货'!$G:$G,I5078,'[1]2025年已发货'!$H:$H,J5078)=0,"未发货",SUMIFS('[1]2025年已发货'!$E:$E,'[1]2025年已发货'!$F:$F,C5078,'[1]2025年已发货'!$C:$C,F5078,'[1]2025年已发货'!$G:$G,I5078,'[1]2025年已发货'!$H:$H,J5078))</f>
        <v>未发货</v>
      </c>
      <c r="I5078" s="40" t="str">
        <f>VLOOKUP(B5078,辅助信息!E:I,3,FALSE)</f>
        <v>(五冶钢构龙泉东洪片区70亩住宅、商业及配套工程项目三标段)成都市龙泉驿外东洪路地铁2号线惠王陵地铁C口</v>
      </c>
      <c r="J5078" s="41" t="str">
        <f>VLOOKUP(B5078,辅助信息!E:I,4,FALSE)</f>
        <v>蒋嗣伟</v>
      </c>
      <c r="K5078" s="41">
        <f>VLOOKUP(J5078,辅助信息!H:I,2,FALSE)</f>
        <v>15014331252</v>
      </c>
      <c r="L5078" s="110">
        <f>VLOOKUP(B5078,辅助信息!E:J,6,FALSE)</f>
        <v>0</v>
      </c>
      <c r="M5078" s="92">
        <v>45959</v>
      </c>
      <c r="O5078" s="63">
        <f ca="1" t="shared" si="240"/>
        <v>0</v>
      </c>
      <c r="P5078" s="63">
        <f ca="1" t="shared" si="241"/>
        <v>0</v>
      </c>
      <c r="Q5078" s="30" t="str">
        <f>VLOOKUP(B5078,辅助信息!E:M,9,FALSE)</f>
        <v>ZTWM-CDGS-XS-2025-0156-五冶钢构-2025年九月第一批次钢筋采购合同(三圣乡项目)-中铁物贸成都公司</v>
      </c>
      <c r="R5078" s="30" t="str">
        <f>_xlfn._xlws.FILTER(辅助信息!D:D,辅助信息!E:E=B5078)</f>
        <v>五冶钢构龙泉东洪片区(70亩、85亩)住宅、商业及配套工程项目</v>
      </c>
    </row>
    <row r="5079" spans="2:18">
      <c r="B5079" s="136" t="s">
        <v>240</v>
      </c>
      <c r="C5079" s="71">
        <v>45959</v>
      </c>
      <c r="D5079" s="41" t="str">
        <f>VLOOKUP(B5079,辅助信息!E:K,7,FALSE)</f>
        <v>JWDDCD2025092400204</v>
      </c>
      <c r="E5079" s="41" t="str">
        <f>VLOOKUP(F5079,辅助信息!A:B,2,FALSE)</f>
        <v>螺纹钢</v>
      </c>
      <c r="F5079" s="41" t="s">
        <v>66</v>
      </c>
      <c r="G5079" s="37">
        <v>3</v>
      </c>
      <c r="H5079" s="135" t="str">
        <f>IF(SUMIFS('[1]2025年已发货'!$E:$E,'[1]2025年已发货'!$F:$F,C5079,'[1]2025年已发货'!$C:$C,F5079,'[1]2025年已发货'!$G:$G,I5079,'[1]2025年已发货'!$H:$H,J5079)=0,"未发货",SUMIFS('[1]2025年已发货'!$E:$E,'[1]2025年已发货'!$F:$F,C5079,'[1]2025年已发货'!$C:$C,F5079,'[1]2025年已发货'!$G:$G,I5079,'[1]2025年已发货'!$H:$H,J5079))</f>
        <v>未发货</v>
      </c>
      <c r="I5079" s="40" t="str">
        <f>VLOOKUP(B5079,辅助信息!E:I,3,FALSE)</f>
        <v>(五冶钢构龙泉东洪片区70亩住宅、商业及配套工程项目三标段)成都市龙泉驿外东洪路地铁2号线惠王陵地铁C口</v>
      </c>
      <c r="J5079" s="41" t="str">
        <f>VLOOKUP(B5079,辅助信息!E:I,4,FALSE)</f>
        <v>蒋嗣伟</v>
      </c>
      <c r="K5079" s="41">
        <f>VLOOKUP(J5079,辅助信息!H:I,2,FALSE)</f>
        <v>15014331252</v>
      </c>
      <c r="L5079" s="110">
        <f>VLOOKUP(B5079,辅助信息!E:J,6,FALSE)</f>
        <v>0</v>
      </c>
      <c r="M5079" s="92">
        <v>45959</v>
      </c>
      <c r="O5079" s="63">
        <f ca="1" t="shared" si="240"/>
        <v>0</v>
      </c>
      <c r="P5079" s="63">
        <f ca="1" t="shared" si="241"/>
        <v>0</v>
      </c>
      <c r="Q5079" s="30" t="str">
        <f>VLOOKUP(B5079,辅助信息!E:M,9,FALSE)</f>
        <v>ZTWM-CDGS-XS-2025-0156-五冶钢构-2025年九月第一批次钢筋采购合同(三圣乡项目)-中铁物贸成都公司</v>
      </c>
      <c r="R5079" s="30" t="str">
        <f>_xlfn._xlws.FILTER(辅助信息!D:D,辅助信息!E:E=B5079)</f>
        <v>五冶钢构龙泉东洪片区(70亩、85亩)住宅、商业及配套工程项目</v>
      </c>
    </row>
    <row r="5080" spans="2:18">
      <c r="B5080" s="136" t="s">
        <v>240</v>
      </c>
      <c r="C5080" s="71">
        <v>45959</v>
      </c>
      <c r="D5080" s="41" t="str">
        <f>VLOOKUP(B5080,辅助信息!E:K,7,FALSE)</f>
        <v>JWDDCD2025092400204</v>
      </c>
      <c r="E5080" s="41" t="str">
        <f>VLOOKUP(F5080,辅助信息!A:B,2,FALSE)</f>
        <v>螺纹钢</v>
      </c>
      <c r="F5080" s="41" t="s">
        <v>45</v>
      </c>
      <c r="G5080" s="37">
        <v>3</v>
      </c>
      <c r="H5080" s="135" t="str">
        <f>IF(SUMIFS('[1]2025年已发货'!$E:$E,'[1]2025年已发货'!$F:$F,C5080,'[1]2025年已发货'!$C:$C,F5080,'[1]2025年已发货'!$G:$G,I5080,'[1]2025年已发货'!$H:$H,J5080)=0,"未发货",SUMIFS('[1]2025年已发货'!$E:$E,'[1]2025年已发货'!$F:$F,C5080,'[1]2025年已发货'!$C:$C,F5080,'[1]2025年已发货'!$G:$G,I5080,'[1]2025年已发货'!$H:$H,J5080))</f>
        <v>未发货</v>
      </c>
      <c r="I5080" s="40" t="str">
        <f>VLOOKUP(B5080,辅助信息!E:I,3,FALSE)</f>
        <v>(五冶钢构龙泉东洪片区70亩住宅、商业及配套工程项目三标段)成都市龙泉驿外东洪路地铁2号线惠王陵地铁C口</v>
      </c>
      <c r="J5080" s="41" t="str">
        <f>VLOOKUP(B5080,辅助信息!E:I,4,FALSE)</f>
        <v>蒋嗣伟</v>
      </c>
      <c r="K5080" s="41">
        <f>VLOOKUP(J5080,辅助信息!H:I,2,FALSE)</f>
        <v>15014331252</v>
      </c>
      <c r="L5080" s="110">
        <f>VLOOKUP(B5080,辅助信息!E:J,6,FALSE)</f>
        <v>0</v>
      </c>
      <c r="M5080" s="92">
        <v>45959</v>
      </c>
      <c r="O5080" s="63">
        <f ca="1" t="shared" si="240"/>
        <v>0</v>
      </c>
      <c r="P5080" s="63">
        <f ca="1" t="shared" si="241"/>
        <v>0</v>
      </c>
      <c r="Q5080" s="30" t="str">
        <f>VLOOKUP(B5080,辅助信息!E:M,9,FALSE)</f>
        <v>ZTWM-CDGS-XS-2025-0156-五冶钢构-2025年九月第一批次钢筋采购合同(三圣乡项目)-中铁物贸成都公司</v>
      </c>
      <c r="R5080" s="30" t="str">
        <f>_xlfn._xlws.FILTER(辅助信息!D:D,辅助信息!E:E=B5080)</f>
        <v>五冶钢构龙泉东洪片区(70亩、85亩)住宅、商业及配套工程项目</v>
      </c>
    </row>
    <row r="5081" spans="2:18">
      <c r="B5081" s="136" t="s">
        <v>240</v>
      </c>
      <c r="C5081" s="71">
        <v>45959</v>
      </c>
      <c r="D5081" s="41" t="str">
        <f>VLOOKUP(B5081,辅助信息!E:K,7,FALSE)</f>
        <v>JWDDCD2025092400204</v>
      </c>
      <c r="E5081" s="41" t="str">
        <f>VLOOKUP(F5081,辅助信息!A:B,2,FALSE)</f>
        <v>螺纹钢</v>
      </c>
      <c r="F5081" s="41" t="s">
        <v>58</v>
      </c>
      <c r="G5081" s="37">
        <v>3</v>
      </c>
      <c r="H5081" s="135" t="str">
        <f>IF(SUMIFS('[1]2025年已发货'!$E:$E,'[1]2025年已发货'!$F:$F,C5081,'[1]2025年已发货'!$C:$C,F5081,'[1]2025年已发货'!$G:$G,I5081,'[1]2025年已发货'!$H:$H,J5081)=0,"未发货",SUMIFS('[1]2025年已发货'!$E:$E,'[1]2025年已发货'!$F:$F,C5081,'[1]2025年已发货'!$C:$C,F5081,'[1]2025年已发货'!$G:$G,I5081,'[1]2025年已发货'!$H:$H,J5081))</f>
        <v>未发货</v>
      </c>
      <c r="I5081" s="40" t="str">
        <f>VLOOKUP(B5081,辅助信息!E:I,3,FALSE)</f>
        <v>(五冶钢构龙泉东洪片区70亩住宅、商业及配套工程项目三标段)成都市龙泉驿外东洪路地铁2号线惠王陵地铁C口</v>
      </c>
      <c r="J5081" s="41" t="str">
        <f>VLOOKUP(B5081,辅助信息!E:I,4,FALSE)</f>
        <v>蒋嗣伟</v>
      </c>
      <c r="K5081" s="41">
        <f>VLOOKUP(J5081,辅助信息!H:I,2,FALSE)</f>
        <v>15014331252</v>
      </c>
      <c r="L5081" s="110">
        <f>VLOOKUP(B5081,辅助信息!E:J,6,FALSE)</f>
        <v>0</v>
      </c>
      <c r="M5081" s="92">
        <v>45959</v>
      </c>
      <c r="O5081" s="63">
        <f ca="1" t="shared" si="240"/>
        <v>0</v>
      </c>
      <c r="P5081" s="63">
        <f ca="1" t="shared" si="241"/>
        <v>0</v>
      </c>
      <c r="Q5081" s="30" t="str">
        <f>VLOOKUP(B5081,辅助信息!E:M,9,FALSE)</f>
        <v>ZTWM-CDGS-XS-2025-0156-五冶钢构-2025年九月第一批次钢筋采购合同(三圣乡项目)-中铁物贸成都公司</v>
      </c>
      <c r="R5081" s="30" t="str">
        <f>_xlfn._xlws.FILTER(辅助信息!D:D,辅助信息!E:E=B5081)</f>
        <v>五冶钢构龙泉东洪片区(70亩、85亩)住宅、商业及配套工程项目</v>
      </c>
    </row>
    <row r="5082" spans="2:18">
      <c r="B5082" s="136" t="s">
        <v>240</v>
      </c>
      <c r="C5082" s="71">
        <v>45959</v>
      </c>
      <c r="D5082" s="41" t="str">
        <f>VLOOKUP(B5082,辅助信息!E:K,7,FALSE)</f>
        <v>JWDDCD2025092400204</v>
      </c>
      <c r="E5082" s="41" t="str">
        <f>VLOOKUP(F5082,辅助信息!A:B,2,FALSE)</f>
        <v>螺纹钢</v>
      </c>
      <c r="F5082" s="41" t="s">
        <v>46</v>
      </c>
      <c r="G5082" s="37">
        <v>6</v>
      </c>
      <c r="H5082" s="135" t="str">
        <f>IF(SUMIFS('[1]2025年已发货'!$E:$E,'[1]2025年已发货'!$F:$F,C5082,'[1]2025年已发货'!$C:$C,F5082,'[1]2025年已发货'!$G:$G,I5082,'[1]2025年已发货'!$H:$H,J5082)=0,"未发货",SUMIFS('[1]2025年已发货'!$E:$E,'[1]2025年已发货'!$F:$F,C5082,'[1]2025年已发货'!$C:$C,F5082,'[1]2025年已发货'!$G:$G,I5082,'[1]2025年已发货'!$H:$H,J5082))</f>
        <v>未发货</v>
      </c>
      <c r="I5082" s="40" t="str">
        <f>VLOOKUP(B5082,辅助信息!E:I,3,FALSE)</f>
        <v>(五冶钢构龙泉东洪片区70亩住宅、商业及配套工程项目三标段)成都市龙泉驿外东洪路地铁2号线惠王陵地铁C口</v>
      </c>
      <c r="J5082" s="41" t="str">
        <f>VLOOKUP(B5082,辅助信息!E:I,4,FALSE)</f>
        <v>蒋嗣伟</v>
      </c>
      <c r="K5082" s="41">
        <f>VLOOKUP(J5082,辅助信息!H:I,2,FALSE)</f>
        <v>15014331252</v>
      </c>
      <c r="L5082" s="110">
        <f>VLOOKUP(B5082,辅助信息!E:J,6,FALSE)</f>
        <v>0</v>
      </c>
      <c r="M5082" s="92">
        <v>45959</v>
      </c>
      <c r="O5082" s="63">
        <f ca="1" t="shared" si="240"/>
        <v>0</v>
      </c>
      <c r="P5082" s="63">
        <f ca="1" t="shared" si="241"/>
        <v>0</v>
      </c>
      <c r="Q5082" s="30" t="str">
        <f>VLOOKUP(B5082,辅助信息!E:M,9,FALSE)</f>
        <v>ZTWM-CDGS-XS-2025-0156-五冶钢构-2025年九月第一批次钢筋采购合同(三圣乡项目)-中铁物贸成都公司</v>
      </c>
      <c r="R5082" s="30" t="str">
        <f>_xlfn._xlws.FILTER(辅助信息!D:D,辅助信息!E:E=B5082)</f>
        <v>五冶钢构龙泉东洪片区(70亩、85亩)住宅、商业及配套工程项目</v>
      </c>
    </row>
    <row r="5083" spans="2:18">
      <c r="B5083" s="136" t="s">
        <v>240</v>
      </c>
      <c r="C5083" s="71">
        <v>45959</v>
      </c>
      <c r="D5083" s="41" t="str">
        <f>VLOOKUP(B5083,辅助信息!E:K,7,FALSE)</f>
        <v>JWDDCD2025092400204</v>
      </c>
      <c r="E5083" s="41" t="str">
        <f>VLOOKUP(F5083,辅助信息!A:B,2,FALSE)</f>
        <v>螺纹钢</v>
      </c>
      <c r="F5083" s="41" t="s">
        <v>22</v>
      </c>
      <c r="G5083" s="37">
        <v>25</v>
      </c>
      <c r="H5083" s="135" t="str">
        <f>IF(SUMIFS('[1]2025年已发货'!$E:$E,'[1]2025年已发货'!$F:$F,C5083,'[1]2025年已发货'!$C:$C,F5083,'[1]2025年已发货'!$G:$G,I5083,'[1]2025年已发货'!$H:$H,J5083)=0,"未发货",SUMIFS('[1]2025年已发货'!$E:$E,'[1]2025年已发货'!$F:$F,C5083,'[1]2025年已发货'!$C:$C,F5083,'[1]2025年已发货'!$G:$G,I5083,'[1]2025年已发货'!$H:$H,J5083))</f>
        <v>未发货</v>
      </c>
      <c r="I5083" s="40" t="str">
        <f>VLOOKUP(B5083,辅助信息!E:I,3,FALSE)</f>
        <v>(五冶钢构龙泉东洪片区70亩住宅、商业及配套工程项目三标段)成都市龙泉驿外东洪路地铁2号线惠王陵地铁C口</v>
      </c>
      <c r="J5083" s="41" t="str">
        <f>VLOOKUP(B5083,辅助信息!E:I,4,FALSE)</f>
        <v>蒋嗣伟</v>
      </c>
      <c r="K5083" s="41">
        <f>VLOOKUP(J5083,辅助信息!H:I,2,FALSE)</f>
        <v>15014331252</v>
      </c>
      <c r="L5083" s="110">
        <f>VLOOKUP(B5083,辅助信息!E:J,6,FALSE)</f>
        <v>0</v>
      </c>
      <c r="M5083" s="92">
        <v>45959</v>
      </c>
      <c r="O5083" s="63">
        <f ca="1" t="shared" si="240"/>
        <v>0</v>
      </c>
      <c r="P5083" s="63">
        <f ca="1" t="shared" si="241"/>
        <v>0</v>
      </c>
      <c r="Q5083" s="30" t="str">
        <f>VLOOKUP(B5083,辅助信息!E:M,9,FALSE)</f>
        <v>ZTWM-CDGS-XS-2025-0156-五冶钢构-2025年九月第一批次钢筋采购合同(三圣乡项目)-中铁物贸成都公司</v>
      </c>
      <c r="R5083" s="30" t="str">
        <f>_xlfn._xlws.FILTER(辅助信息!D:D,辅助信息!E:E=B5083)</f>
        <v>五冶钢构龙泉东洪片区(70亩、85亩)住宅、商业及配套工程项目</v>
      </c>
    </row>
    <row r="5084" spans="2:18">
      <c r="B5084" s="136" t="s">
        <v>31</v>
      </c>
      <c r="C5084" s="71">
        <v>45959</v>
      </c>
      <c r="D5084" s="41" t="str">
        <f>VLOOKUP(B5084,辅助信息!E:K,7,FALSE)</f>
        <v>JWDDCD2024121000136</v>
      </c>
      <c r="E5084" s="41" t="str">
        <f>VLOOKUP(F5084,辅助信息!A:B,2,FALSE)</f>
        <v>盘螺</v>
      </c>
      <c r="F5084" s="41" t="s">
        <v>49</v>
      </c>
      <c r="G5084" s="37">
        <v>24</v>
      </c>
      <c r="H5084" s="135" t="str">
        <f>IF(SUMIFS('[1]2025年已发货'!$E:$E,'[1]2025年已发货'!$F:$F,C5084,'[1]2025年已发货'!$C:$C,F5084,'[1]2025年已发货'!$G:$G,I5084,'[1]2025年已发货'!$H:$H,J5084)=0,"未发货",SUMIFS('[1]2025年已发货'!$E:$E,'[1]2025年已发货'!$F:$F,C5084,'[1]2025年已发货'!$C:$C,F5084,'[1]2025年已发货'!$G:$G,I5084,'[1]2025年已发货'!$H:$H,J5084))</f>
        <v>未发货</v>
      </c>
      <c r="I5084" s="40" t="str">
        <f>VLOOKUP(B5084,辅助信息!E:I,3,FALSE)</f>
        <v>（四川商建-射洪城乡一体化项目）遂宁市射洪市忠新幼儿园北侧约220米新溪小区</v>
      </c>
      <c r="J5084" s="41" t="str">
        <f>VLOOKUP(B5084,辅助信息!E:I,4,FALSE)</f>
        <v>柏子刚</v>
      </c>
      <c r="K5084" s="41">
        <f>VLOOKUP(J5084,辅助信息!H:I,2,FALSE)</f>
        <v>15692885305</v>
      </c>
      <c r="L5084" s="110" t="str">
        <f>VLOOKUP(B5084,辅助信息!E:J,6,FALSE)</f>
        <v>提前联系到场规格及数量</v>
      </c>
      <c r="M5084" s="92">
        <v>45959</v>
      </c>
      <c r="O5084" s="63">
        <f ca="1" t="shared" si="240"/>
        <v>0</v>
      </c>
      <c r="P5084" s="63">
        <f ca="1" t="shared" si="241"/>
        <v>0</v>
      </c>
      <c r="Q5084" s="30" t="str">
        <f>VLOOKUP(B5084,辅助信息!E:M,9,FALSE)</f>
        <v>ZTWM-CDGS-XS-2024-0179-四川商投-射洪城乡一体化建设项目</v>
      </c>
      <c r="R5084" s="30" t="str">
        <f>_xlfn._xlws.FILTER(辅助信息!D:D,辅助信息!E:E=B5084)</f>
        <v>四川商建
射洪城乡一体化项目</v>
      </c>
    </row>
    <row r="5085" spans="2:18">
      <c r="B5085" s="136" t="s">
        <v>31</v>
      </c>
      <c r="C5085" s="71">
        <v>45959</v>
      </c>
      <c r="D5085" s="41" t="str">
        <f>VLOOKUP(B5085,辅助信息!E:K,7,FALSE)</f>
        <v>JWDDCD2024121000136</v>
      </c>
      <c r="E5085" s="41" t="str">
        <f>VLOOKUP(F5085,辅助信息!A:B,2,FALSE)</f>
        <v>螺纹钢</v>
      </c>
      <c r="F5085" s="41" t="s">
        <v>19</v>
      </c>
      <c r="G5085" s="37">
        <v>11</v>
      </c>
      <c r="H5085" s="135" t="str">
        <f>IF(SUMIFS('[1]2025年已发货'!$E:$E,'[1]2025年已发货'!$F:$F,C5085,'[1]2025年已发货'!$C:$C,F5085,'[1]2025年已发货'!$G:$G,I5085,'[1]2025年已发货'!$H:$H,J5085)=0,"未发货",SUMIFS('[1]2025年已发货'!$E:$E,'[1]2025年已发货'!$F:$F,C5085,'[1]2025年已发货'!$C:$C,F5085,'[1]2025年已发货'!$G:$G,I5085,'[1]2025年已发货'!$H:$H,J5085))</f>
        <v>未发货</v>
      </c>
      <c r="I5085" s="40" t="str">
        <f>VLOOKUP(B5085,辅助信息!E:I,3,FALSE)</f>
        <v>（四川商建-射洪城乡一体化项目）遂宁市射洪市忠新幼儿园北侧约220米新溪小区</v>
      </c>
      <c r="J5085" s="41" t="str">
        <f>VLOOKUP(B5085,辅助信息!E:I,4,FALSE)</f>
        <v>柏子刚</v>
      </c>
      <c r="K5085" s="41">
        <f>VLOOKUP(J5085,辅助信息!H:I,2,FALSE)</f>
        <v>15692885305</v>
      </c>
      <c r="L5085" s="110" t="str">
        <f>VLOOKUP(B5085,辅助信息!E:J,6,FALSE)</f>
        <v>提前联系到场规格及数量</v>
      </c>
      <c r="M5085" s="92">
        <v>45959</v>
      </c>
      <c r="O5085" s="63">
        <f ca="1" t="shared" si="240"/>
        <v>0</v>
      </c>
      <c r="P5085" s="63">
        <f ca="1" t="shared" si="241"/>
        <v>0</v>
      </c>
      <c r="Q5085" s="30" t="str">
        <f>VLOOKUP(B5085,辅助信息!E:M,9,FALSE)</f>
        <v>ZTWM-CDGS-XS-2024-0179-四川商投-射洪城乡一体化建设项目</v>
      </c>
      <c r="R5085" s="30" t="str">
        <f>_xlfn._xlws.FILTER(辅助信息!D:D,辅助信息!E:E=B5085)</f>
        <v>四川商建
射洪城乡一体化项目</v>
      </c>
    </row>
    <row r="5086" spans="2:18">
      <c r="B5086" s="136" t="s">
        <v>31</v>
      </c>
      <c r="C5086" s="71">
        <v>45959</v>
      </c>
      <c r="D5086" s="41" t="str">
        <f>VLOOKUP(B5086,辅助信息!E:K,7,FALSE)</f>
        <v>JWDDCD2024121000136</v>
      </c>
      <c r="E5086" s="41" t="str">
        <f>VLOOKUP(F5086,辅助信息!A:B,2,FALSE)</f>
        <v>螺纹钢</v>
      </c>
      <c r="F5086" s="41" t="s">
        <v>22</v>
      </c>
      <c r="G5086" s="37">
        <v>35</v>
      </c>
      <c r="H5086" s="135" t="str">
        <f>IF(SUMIFS('[1]2025年已发货'!$E:$E,'[1]2025年已发货'!$F:$F,C5086,'[1]2025年已发货'!$C:$C,F5086,'[1]2025年已发货'!$G:$G,I5086,'[1]2025年已发货'!$H:$H,J5086)=0,"未发货",SUMIFS('[1]2025年已发货'!$E:$E,'[1]2025年已发货'!$F:$F,C5086,'[1]2025年已发货'!$C:$C,F5086,'[1]2025年已发货'!$G:$G,I5086,'[1]2025年已发货'!$H:$H,J5086))</f>
        <v>未发货</v>
      </c>
      <c r="I5086" s="40" t="str">
        <f>VLOOKUP(B5086,辅助信息!E:I,3,FALSE)</f>
        <v>（四川商建-射洪城乡一体化项目）遂宁市射洪市忠新幼儿园北侧约220米新溪小区</v>
      </c>
      <c r="J5086" s="41" t="str">
        <f>VLOOKUP(B5086,辅助信息!E:I,4,FALSE)</f>
        <v>柏子刚</v>
      </c>
      <c r="K5086" s="41">
        <f>VLOOKUP(J5086,辅助信息!H:I,2,FALSE)</f>
        <v>15692885305</v>
      </c>
      <c r="L5086" s="110" t="str">
        <f>VLOOKUP(B5086,辅助信息!E:J,6,FALSE)</f>
        <v>提前联系到场规格及数量</v>
      </c>
      <c r="M5086" s="92">
        <v>45959</v>
      </c>
      <c r="O5086" s="63">
        <f ca="1" t="shared" si="240"/>
        <v>0</v>
      </c>
      <c r="P5086" s="63">
        <f ca="1" t="shared" si="241"/>
        <v>0</v>
      </c>
      <c r="Q5086" s="30" t="str">
        <f>VLOOKUP(B5086,辅助信息!E:M,9,FALSE)</f>
        <v>ZTWM-CDGS-XS-2024-0179-四川商投-射洪城乡一体化建设项目</v>
      </c>
      <c r="R5086" s="30" t="str">
        <f>_xlfn._xlws.FILTER(辅助信息!D:D,辅助信息!E:E=B5086)</f>
        <v>四川商建
射洪城乡一体化项目</v>
      </c>
    </row>
    <row r="5087" spans="2:18">
      <c r="B5087" s="136" t="s">
        <v>224</v>
      </c>
      <c r="C5087" s="71">
        <v>45959</v>
      </c>
      <c r="D5087" s="41" t="str">
        <f>VLOOKUP(B5087,辅助信息!E:K,7,FALSE)</f>
        <v>JWDDCD2025092400188</v>
      </c>
      <c r="E5087" s="41" t="str">
        <f>VLOOKUP(F5087,辅助信息!A:B,2,FALSE)</f>
        <v>盘螺</v>
      </c>
      <c r="F5087" s="41" t="s">
        <v>49</v>
      </c>
      <c r="G5087" s="37">
        <v>6</v>
      </c>
      <c r="H5087" s="135">
        <f>IF(SUMIFS('[1]2025年已发货'!$E:$E,'[1]2025年已发货'!$F:$F,C5087,'[1]2025年已发货'!$C:$C,F5087,'[1]2025年已发货'!$G:$G,I5087,'[1]2025年已发货'!$H:$H,J5087)=0,"未发货",SUMIFS('[1]2025年已发货'!$E:$E,'[1]2025年已发货'!$F:$F,C5087,'[1]2025年已发货'!$C:$C,F5087,'[1]2025年已发货'!$G:$G,I5087,'[1]2025年已发货'!$H:$H,J5087))</f>
        <v>6</v>
      </c>
      <c r="I5087" s="40" t="str">
        <f>VLOOKUP(B5087,辅助信息!E:I,3,FALSE)</f>
        <v>(五冶钢构龙泉东洪片区70亩住宅、商业及配套工程项目一标段)成都市龙泉驿外东洪路地铁2号线惠王陵地铁C口</v>
      </c>
      <c r="J5087" s="41" t="str">
        <f>VLOOKUP(B5087,辅助信息!E:I,4,FALSE)</f>
        <v>邹爱国</v>
      </c>
      <c r="K5087" s="41">
        <f>VLOOKUP(J5087,辅助信息!H:I,2,FALSE)</f>
        <v>13540231225</v>
      </c>
      <c r="L5087" s="110">
        <f>VLOOKUP(B5087,辅助信息!E:J,6,FALSE)</f>
        <v>0</v>
      </c>
      <c r="M5087" s="92">
        <v>45959</v>
      </c>
      <c r="O5087" s="63">
        <f ca="1" t="shared" si="240"/>
        <v>0</v>
      </c>
      <c r="P5087" s="63">
        <f ca="1" t="shared" si="241"/>
        <v>0</v>
      </c>
      <c r="Q5087" s="30" t="str">
        <f>VLOOKUP(B5087,辅助信息!E:M,9,FALSE)</f>
        <v>ZTWM-CDGS-XS-2025-0156-五冶钢构-2025年九月第一批次钢筋采购合同(三圣乡项目)-中铁物贸成都公司</v>
      </c>
      <c r="R5087" s="30" t="str">
        <f>_xlfn._xlws.FILTER(辅助信息!D:D,辅助信息!E:E=B5087)</f>
        <v>五冶钢构龙泉东洪片区(70亩、85亩)住宅、商业及配套工程项目</v>
      </c>
    </row>
    <row r="5088" spans="2:18">
      <c r="B5088" s="136" t="s">
        <v>224</v>
      </c>
      <c r="C5088" s="71">
        <v>45959</v>
      </c>
      <c r="D5088" s="41" t="str">
        <f>VLOOKUP(B5088,辅助信息!E:K,7,FALSE)</f>
        <v>JWDDCD2025092400188</v>
      </c>
      <c r="E5088" s="41" t="str">
        <f>VLOOKUP(F5088,辅助信息!A:B,2,FALSE)</f>
        <v>盘螺</v>
      </c>
      <c r="F5088" s="41" t="s">
        <v>40</v>
      </c>
      <c r="G5088" s="37">
        <v>30</v>
      </c>
      <c r="H5088" s="135">
        <f>IF(SUMIFS('[1]2025年已发货'!$E:$E,'[1]2025年已发货'!$F:$F,C5088,'[1]2025年已发货'!$C:$C,F5088,'[1]2025年已发货'!$G:$G,I5088,'[1]2025年已发货'!$H:$H,J5088)=0,"未发货",SUMIFS('[1]2025年已发货'!$E:$E,'[1]2025年已发货'!$F:$F,C5088,'[1]2025年已发货'!$C:$C,F5088,'[1]2025年已发货'!$G:$G,I5088,'[1]2025年已发货'!$H:$H,J5088))</f>
        <v>30</v>
      </c>
      <c r="I5088" s="40" t="str">
        <f>VLOOKUP(B5088,辅助信息!E:I,3,FALSE)</f>
        <v>(五冶钢构龙泉东洪片区70亩住宅、商业及配套工程项目一标段)成都市龙泉驿外东洪路地铁2号线惠王陵地铁C口</v>
      </c>
      <c r="J5088" s="41" t="str">
        <f>VLOOKUP(B5088,辅助信息!E:I,4,FALSE)</f>
        <v>邹爱国</v>
      </c>
      <c r="K5088" s="41">
        <f>VLOOKUP(J5088,辅助信息!H:I,2,FALSE)</f>
        <v>13540231225</v>
      </c>
      <c r="L5088" s="110">
        <f>VLOOKUP(B5088,辅助信息!E:J,6,FALSE)</f>
        <v>0</v>
      </c>
      <c r="M5088" s="92">
        <v>45959</v>
      </c>
      <c r="O5088" s="63">
        <f ca="1" t="shared" si="240"/>
        <v>0</v>
      </c>
      <c r="P5088" s="63">
        <f ca="1" t="shared" si="241"/>
        <v>0</v>
      </c>
      <c r="Q5088" s="30" t="str">
        <f>VLOOKUP(B5088,辅助信息!E:M,9,FALSE)</f>
        <v>ZTWM-CDGS-XS-2025-0156-五冶钢构-2025年九月第一批次钢筋采购合同(三圣乡项目)-中铁物贸成都公司</v>
      </c>
      <c r="R5088" s="30" t="str">
        <f>_xlfn._xlws.FILTER(辅助信息!D:D,辅助信息!E:E=B5088)</f>
        <v>五冶钢构龙泉东洪片区(70亩、85亩)住宅、商业及配套工程项目</v>
      </c>
    </row>
    <row r="5089" spans="2:18">
      <c r="B5089" s="136" t="s">
        <v>226</v>
      </c>
      <c r="C5089" s="71">
        <v>45959</v>
      </c>
      <c r="D5089" s="41" t="str">
        <f>VLOOKUP(B5089,辅助信息!E:K,7,FALSE)</f>
        <v>JWDDCD2025092400211</v>
      </c>
      <c r="E5089" s="41" t="str">
        <f>VLOOKUP(F5089,辅助信息!A:B,2,FALSE)</f>
        <v>盘螺</v>
      </c>
      <c r="F5089" s="41" t="s">
        <v>40</v>
      </c>
      <c r="G5089" s="37">
        <v>35</v>
      </c>
      <c r="H5089" s="135">
        <f>IF(SUMIFS('[1]2025年已发货'!$E:$E,'[1]2025年已发货'!$F:$F,C5089,'[1]2025年已发货'!$C:$C,F5089,'[1]2025年已发货'!$G:$G,I5089,'[1]2025年已发货'!$H:$H,J5089)=0,"未发货",SUMIFS('[1]2025年已发货'!$E:$E,'[1]2025年已发货'!$F:$F,C5089,'[1]2025年已发货'!$C:$C,F5089,'[1]2025年已发货'!$G:$G,I5089,'[1]2025年已发货'!$H:$H,J5089))</f>
        <v>35</v>
      </c>
      <c r="I5089" s="40" t="str">
        <f>VLOOKUP(B5089,辅助信息!E:I,3,FALSE)</f>
        <v>(五冶钢构龙泉东洪片区85亩住宅、商业及配套工程项目二标段)成都市龙泉驿外东洪路地铁2号线惠王陵地铁C口</v>
      </c>
      <c r="J5089" s="41" t="str">
        <f>VLOOKUP(B5089,辅助信息!E:I,4,FALSE)</f>
        <v>李渊</v>
      </c>
      <c r="K5089" s="41">
        <f>VLOOKUP(J5089,辅助信息!H:I,2,FALSE)</f>
        <v>18381013849</v>
      </c>
      <c r="L5089" s="110">
        <f>VLOOKUP(B5089,辅助信息!E:J,6,FALSE)</f>
        <v>0</v>
      </c>
      <c r="M5089" s="160">
        <v>45959</v>
      </c>
      <c r="O5089" s="63">
        <f ca="1" t="shared" si="240"/>
        <v>0</v>
      </c>
      <c r="P5089" s="63">
        <f ca="1" t="shared" si="241"/>
        <v>0</v>
      </c>
      <c r="Q5089" s="30" t="str">
        <f>VLOOKUP(B5089,辅助信息!E:M,9,FALSE)</f>
        <v>ZTWM-CDGS-XS-2025-0156-五冶钢构-2025年九月第一批次钢筋采购合同(三圣乡项目)-中铁物贸成都公司</v>
      </c>
      <c r="R5089" s="30" t="str">
        <f>_xlfn._xlws.FILTER(辅助信息!D:D,辅助信息!E:E=B5089)</f>
        <v>五冶钢构龙泉东洪片区(70亩、85亩)住宅、商业及配套工程项目</v>
      </c>
    </row>
    <row r="5090" spans="2:18">
      <c r="B5090" s="136" t="s">
        <v>226</v>
      </c>
      <c r="C5090" s="71">
        <v>45959</v>
      </c>
      <c r="D5090" s="41" t="str">
        <f>VLOOKUP(B5090,辅助信息!E:K,7,FALSE)</f>
        <v>JWDDCD2025092400211</v>
      </c>
      <c r="E5090" s="41" t="str">
        <f>VLOOKUP(F5090,辅助信息!A:B,2,FALSE)</f>
        <v>螺纹钢</v>
      </c>
      <c r="F5090" s="41" t="s">
        <v>19</v>
      </c>
      <c r="G5090" s="37">
        <v>10</v>
      </c>
      <c r="H5090" s="135">
        <f>IF(SUMIFS('[1]2025年已发货'!$E:$E,'[1]2025年已发货'!$F:$F,C5090,'[1]2025年已发货'!$C:$C,F5090,'[1]2025年已发货'!$G:$G,I5090,'[1]2025年已发货'!$H:$H,J5090)=0,"未发货",SUMIFS('[1]2025年已发货'!$E:$E,'[1]2025年已发货'!$F:$F,C5090,'[1]2025年已发货'!$C:$C,F5090,'[1]2025年已发货'!$G:$G,I5090,'[1]2025年已发货'!$H:$H,J5090))</f>
        <v>12.5</v>
      </c>
      <c r="I5090" s="40" t="str">
        <f>VLOOKUP(B5090,辅助信息!E:I,3,FALSE)</f>
        <v>(五冶钢构龙泉东洪片区85亩住宅、商业及配套工程项目二标段)成都市龙泉驿外东洪路地铁2号线惠王陵地铁C口</v>
      </c>
      <c r="J5090" s="41" t="str">
        <f>VLOOKUP(B5090,辅助信息!E:I,4,FALSE)</f>
        <v>李渊</v>
      </c>
      <c r="K5090" s="41">
        <f>VLOOKUP(J5090,辅助信息!H:I,2,FALSE)</f>
        <v>18381013849</v>
      </c>
      <c r="L5090" s="110">
        <f>VLOOKUP(B5090,辅助信息!E:J,6,FALSE)</f>
        <v>0</v>
      </c>
      <c r="M5090" s="160">
        <v>45959</v>
      </c>
      <c r="O5090" s="63">
        <f ca="1" t="shared" si="240"/>
        <v>0</v>
      </c>
      <c r="P5090" s="63">
        <f ca="1" t="shared" si="241"/>
        <v>0</v>
      </c>
      <c r="Q5090" s="30" t="str">
        <f>VLOOKUP(B5090,辅助信息!E:M,9,FALSE)</f>
        <v>ZTWM-CDGS-XS-2025-0156-五冶钢构-2025年九月第一批次钢筋采购合同(三圣乡项目)-中铁物贸成都公司</v>
      </c>
      <c r="R5090" s="30" t="str">
        <f>_xlfn._xlws.FILTER(辅助信息!D:D,辅助信息!E:E=B5090)</f>
        <v>五冶钢构龙泉东洪片区(70亩、85亩)住宅、商业及配套工程项目</v>
      </c>
    </row>
    <row r="5091" spans="2:18">
      <c r="B5091" s="136" t="s">
        <v>226</v>
      </c>
      <c r="C5091" s="71">
        <v>45959</v>
      </c>
      <c r="D5091" s="41" t="str">
        <f>VLOOKUP(B5091,辅助信息!E:K,7,FALSE)</f>
        <v>JWDDCD2025092400211</v>
      </c>
      <c r="E5091" s="41" t="str">
        <f>VLOOKUP(F5091,辅助信息!A:B,2,FALSE)</f>
        <v>螺纹钢</v>
      </c>
      <c r="F5091" s="41" t="s">
        <v>32</v>
      </c>
      <c r="G5091" s="37">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12.5</v>
      </c>
      <c r="I5091" s="40" t="str">
        <f>VLOOKUP(B5091,辅助信息!E:I,3,FALSE)</f>
        <v>(五冶钢构龙泉东洪片区85亩住宅、商业及配套工程项目二标段)成都市龙泉驿外东洪路地铁2号线惠王陵地铁C口</v>
      </c>
      <c r="J5091" s="41" t="str">
        <f>VLOOKUP(B5091,辅助信息!E:I,4,FALSE)</f>
        <v>李渊</v>
      </c>
      <c r="K5091" s="41">
        <f>VLOOKUP(J5091,辅助信息!H:I,2,FALSE)</f>
        <v>18381013849</v>
      </c>
      <c r="L5091" s="110">
        <f>VLOOKUP(B5091,辅助信息!E:J,6,FALSE)</f>
        <v>0</v>
      </c>
      <c r="M5091" s="160">
        <v>45959</v>
      </c>
      <c r="O5091" s="63">
        <f ca="1" t="shared" si="240"/>
        <v>0</v>
      </c>
      <c r="P5091" s="63">
        <f ca="1" t="shared" si="241"/>
        <v>0</v>
      </c>
      <c r="Q5091" s="30" t="str">
        <f>VLOOKUP(B5091,辅助信息!E:M,9,FALSE)</f>
        <v>ZTWM-CDGS-XS-2025-0156-五冶钢构-2025年九月第一批次钢筋采购合同(三圣乡项目)-中铁物贸成都公司</v>
      </c>
      <c r="R5091" s="30" t="str">
        <f>_xlfn._xlws.FILTER(辅助信息!D:D,辅助信息!E:E=B5091)</f>
        <v>五冶钢构龙泉东洪片区(70亩、85亩)住宅、商业及配套工程项目</v>
      </c>
    </row>
    <row r="5092" spans="2:18">
      <c r="B5092" s="136" t="s">
        <v>226</v>
      </c>
      <c r="C5092" s="71">
        <v>45959</v>
      </c>
      <c r="D5092" s="41" t="str">
        <f>VLOOKUP(B5092,辅助信息!E:K,7,FALSE)</f>
        <v>JWDDCD2025092400211</v>
      </c>
      <c r="E5092" s="41" t="str">
        <f>VLOOKUP(F5092,辅助信息!A:B,2,FALSE)</f>
        <v>螺纹钢</v>
      </c>
      <c r="F5092" s="41" t="s">
        <v>30</v>
      </c>
      <c r="G5092" s="37">
        <v>15</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40" t="str">
        <f>VLOOKUP(B5092,辅助信息!E:I,3,FALSE)</f>
        <v>(五冶钢构龙泉东洪片区85亩住宅、商业及配套工程项目二标段)成都市龙泉驿外东洪路地铁2号线惠王陵地铁C口</v>
      </c>
      <c r="J5092" s="41" t="str">
        <f>VLOOKUP(B5092,辅助信息!E:I,4,FALSE)</f>
        <v>李渊</v>
      </c>
      <c r="K5092" s="41">
        <f>VLOOKUP(J5092,辅助信息!H:I,2,FALSE)</f>
        <v>18381013849</v>
      </c>
      <c r="L5092" s="110">
        <f>VLOOKUP(B5092,辅助信息!E:J,6,FALSE)</f>
        <v>0</v>
      </c>
      <c r="M5092" s="160">
        <v>45959</v>
      </c>
      <c r="O5092" s="63">
        <f ca="1">IF(OR(M5092="",N5092&lt;&gt;""),"",MAX(M5092-TODAY(),0))</f>
        <v>0</v>
      </c>
      <c r="P5092" s="63">
        <f ca="1">IF(M5092="","",IF(N5092&lt;&gt;"",MAX(N5092-M5092,0),IF(TODAY()&gt;M5092,TODAY()-M5092,0)))</f>
        <v>0</v>
      </c>
      <c r="Q5092" s="30" t="str">
        <f>VLOOKUP(B5092,辅助信息!E:M,9,FALSE)</f>
        <v>ZTWM-CDGS-XS-2025-0156-五冶钢构-2025年九月第一批次钢筋采购合同(三圣乡项目)-中铁物贸成都公司</v>
      </c>
      <c r="R5092" s="30" t="str">
        <f>_xlfn._xlws.FILTER(辅助信息!D:D,辅助信息!E:E=B5092)</f>
        <v>五冶钢构龙泉东洪片区(70亩、85亩)住宅、商业及配套工程项目</v>
      </c>
    </row>
  </sheetData>
  <protectedRanges>
    <protectedRange sqref="M3348:M3353" name="区域1"/>
  </protectedRanges>
  <autoFilter ref="A1:Q5092">
    <filterColumn colId="2">
      <filters>
        <dateGroupItem year="2025" month="10" day="29"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092">
    <cfRule type="expression" dxfId="4" priority="9218">
      <formula>AND(NOT(HasFormula(D5029)),D5029&lt;&gt;"")</formula>
    </cfRule>
    <cfRule type="expression" dxfId="3" priority="9219">
      <formula>AND(NOT(HasFormula(XFD5027)),XFD5027&lt;&gt;"")</formula>
    </cfRule>
  </conditionalFormatting>
  <conditionalFormatting sqref="H1047527:H1048576">
    <cfRule type="expression" dxfId="4" priority="7701">
      <formula>AND(NOT(HasFormula(D1)),D1&lt;&gt;"")</formula>
    </cfRule>
    <cfRule type="expression" dxfId="3" priority="7702">
      <formula>AND(NOT(HasFormula(XFD1047527)),XFD1047527&lt;&gt;"")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93:H1047526">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D1047521:E1048576">
    <cfRule type="expression" dxfId="4" priority="7661">
      <formula>AND(NOT(HasFormula(XFD1)),XFD1&lt;&gt;"")</formula>
    </cfRule>
    <cfRule type="expression" dxfId="3" priority="7662">
      <formula>AND(NOT(HasFormula(XEZ1047521)),XEZ1047521&lt;&gt;"")</formula>
    </cfRule>
  </conditionalFormatting>
  <conditionalFormatting sqref="I1047527:L1048576">
    <cfRule type="expression" dxfId="4" priority="7763">
      <formula>AND(NOT(HasFormula(E1)),E1&lt;&gt;"")</formula>
    </cfRule>
    <cfRule type="expression" dxfId="3" priority="7764">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40" workbookViewId="0">
      <pane xSplit="2" topLeftCell="C1" activePane="topRight" state="frozen"/>
      <selection/>
      <selection pane="topRight" activeCell="D62" sqref="D62"/>
    </sheetView>
  </sheetViews>
  <sheetFormatPr defaultColWidth="9" defaultRowHeight="13.5"/>
  <cols>
    <col min="1" max="1" width="16.25" style="27" customWidth="1"/>
    <col min="2" max="2" width="8.875" style="27" customWidth="1"/>
    <col min="3" max="3" width="7.25" style="28" customWidth="1"/>
    <col min="4" max="4" width="43.75" style="29" customWidth="1"/>
    <col min="5" max="5" width="52.125" style="27" customWidth="1"/>
    <col min="6" max="6" width="25.125" style="27" customWidth="1"/>
    <col min="7" max="7" width="75.875" style="30" customWidth="1"/>
    <col min="8" max="8" width="8.25" style="27" customWidth="1"/>
    <col min="9" max="9" width="10.875" style="27" customWidth="1"/>
    <col min="10" max="10" width="79" style="31" customWidth="1"/>
    <col min="11" max="11" width="26.5" style="32" customWidth="1"/>
    <col min="12" max="12" width="14.75" style="32" hidden="1" customWidth="1"/>
    <col min="13" max="13" width="79.375" style="32" customWidth="1"/>
  </cols>
  <sheetData>
    <row r="1" ht="14.25" customHeight="1" spans="1:13">
      <c r="A1" s="33" t="s">
        <v>4</v>
      </c>
      <c r="B1" s="33" t="s">
        <v>3</v>
      </c>
      <c r="C1" s="34"/>
      <c r="D1" s="35" t="s">
        <v>16</v>
      </c>
      <c r="E1" s="36" t="s">
        <v>243</v>
      </c>
      <c r="F1" s="36" t="s">
        <v>244</v>
      </c>
      <c r="G1" s="35" t="s">
        <v>7</v>
      </c>
      <c r="H1" s="36" t="s">
        <v>8</v>
      </c>
      <c r="I1" s="36" t="s">
        <v>9</v>
      </c>
      <c r="J1" s="36" t="s">
        <v>245</v>
      </c>
      <c r="K1" s="33" t="s">
        <v>2</v>
      </c>
      <c r="L1" s="48" t="s">
        <v>246</v>
      </c>
      <c r="M1" s="33" t="s">
        <v>15</v>
      </c>
    </row>
    <row r="2" spans="1:13">
      <c r="A2" s="37" t="s">
        <v>57</v>
      </c>
      <c r="B2" s="37" t="s">
        <v>247</v>
      </c>
      <c r="C2" s="38"/>
      <c r="D2" s="39" t="s">
        <v>248</v>
      </c>
      <c r="E2" s="40" t="s">
        <v>248</v>
      </c>
      <c r="F2" s="41" t="s">
        <v>249</v>
      </c>
      <c r="G2" s="40" t="s">
        <v>250</v>
      </c>
      <c r="H2" s="41" t="s">
        <v>251</v>
      </c>
      <c r="I2" s="41">
        <v>18980927613</v>
      </c>
      <c r="J2" s="46" t="s">
        <v>252</v>
      </c>
      <c r="K2" s="49"/>
      <c r="L2" s="48"/>
      <c r="M2" s="48"/>
    </row>
    <row r="3" spans="1:13">
      <c r="A3" s="37" t="s">
        <v>53</v>
      </c>
      <c r="B3" s="37" t="s">
        <v>247</v>
      </c>
      <c r="C3" s="38"/>
      <c r="D3" s="39" t="s">
        <v>253</v>
      </c>
      <c r="E3" s="40" t="s">
        <v>253</v>
      </c>
      <c r="F3" s="41" t="s">
        <v>254</v>
      </c>
      <c r="G3" s="40" t="s">
        <v>255</v>
      </c>
      <c r="H3" s="41" t="s">
        <v>256</v>
      </c>
      <c r="I3" s="41">
        <v>18308463588</v>
      </c>
      <c r="J3" s="46" t="s">
        <v>257</v>
      </c>
      <c r="K3" s="49"/>
      <c r="L3" s="48"/>
      <c r="M3" s="48"/>
    </row>
    <row r="4" spans="1:13">
      <c r="A4" s="37" t="s">
        <v>51</v>
      </c>
      <c r="B4" s="37" t="s">
        <v>247</v>
      </c>
      <c r="C4" s="38"/>
      <c r="D4" s="39" t="s">
        <v>258</v>
      </c>
      <c r="E4" s="40" t="s">
        <v>258</v>
      </c>
      <c r="F4" s="41" t="s">
        <v>259</v>
      </c>
      <c r="G4" s="42" t="s">
        <v>260</v>
      </c>
      <c r="H4" s="41" t="s">
        <v>261</v>
      </c>
      <c r="I4" s="41">
        <v>18683358310</v>
      </c>
      <c r="J4" s="46" t="s">
        <v>262</v>
      </c>
      <c r="K4" s="49"/>
      <c r="L4" s="48"/>
      <c r="M4" s="48"/>
    </row>
    <row r="5" spans="1:13">
      <c r="A5" s="37" t="s">
        <v>61</v>
      </c>
      <c r="B5" s="37" t="s">
        <v>247</v>
      </c>
      <c r="C5" s="38"/>
      <c r="D5" s="39" t="s">
        <v>44</v>
      </c>
      <c r="E5" s="40" t="s">
        <v>44</v>
      </c>
      <c r="F5" s="41" t="s">
        <v>263</v>
      </c>
      <c r="G5" s="40" t="s">
        <v>264</v>
      </c>
      <c r="H5" s="41" t="s">
        <v>265</v>
      </c>
      <c r="I5" s="41">
        <v>18384145895</v>
      </c>
      <c r="J5" s="46" t="s">
        <v>266</v>
      </c>
      <c r="K5" s="50" t="s">
        <v>267</v>
      </c>
      <c r="L5" s="48"/>
      <c r="M5" s="40" t="s">
        <v>268</v>
      </c>
    </row>
    <row r="6" spans="1:13">
      <c r="A6" s="41"/>
      <c r="B6" s="41"/>
      <c r="C6" s="38"/>
      <c r="D6" s="39" t="s">
        <v>81</v>
      </c>
      <c r="E6" s="40" t="s">
        <v>81</v>
      </c>
      <c r="F6" s="41" t="s">
        <v>269</v>
      </c>
      <c r="G6" s="40" t="s">
        <v>270</v>
      </c>
      <c r="H6" s="41" t="s">
        <v>271</v>
      </c>
      <c r="I6" s="41">
        <v>15884666220</v>
      </c>
      <c r="J6" s="46" t="s">
        <v>272</v>
      </c>
      <c r="K6" s="50" t="s">
        <v>273</v>
      </c>
      <c r="L6" s="48"/>
      <c r="M6" s="40" t="s">
        <v>274</v>
      </c>
    </row>
    <row r="7" spans="1:13">
      <c r="A7" s="37" t="s">
        <v>49</v>
      </c>
      <c r="B7" s="37" t="s">
        <v>119</v>
      </c>
      <c r="C7" s="38"/>
      <c r="D7" s="39" t="s">
        <v>275</v>
      </c>
      <c r="E7" s="40" t="s">
        <v>275</v>
      </c>
      <c r="F7" s="41" t="s">
        <v>276</v>
      </c>
      <c r="G7" s="40" t="s">
        <v>277</v>
      </c>
      <c r="H7" s="41" t="s">
        <v>278</v>
      </c>
      <c r="I7" s="41">
        <v>18180498749</v>
      </c>
      <c r="J7" s="46" t="s">
        <v>279</v>
      </c>
      <c r="K7" s="51" t="s">
        <v>280</v>
      </c>
      <c r="L7" s="48"/>
      <c r="M7" s="48"/>
    </row>
    <row r="8" spans="1:13">
      <c r="A8" s="37" t="s">
        <v>40</v>
      </c>
      <c r="B8" s="37" t="s">
        <v>119</v>
      </c>
      <c r="C8" s="38"/>
      <c r="D8" s="39" t="s">
        <v>92</v>
      </c>
      <c r="E8" s="40" t="s">
        <v>92</v>
      </c>
      <c r="F8" s="41" t="s">
        <v>281</v>
      </c>
      <c r="G8" s="40" t="s">
        <v>282</v>
      </c>
      <c r="H8" s="41" t="s">
        <v>283</v>
      </c>
      <c r="I8" s="41">
        <v>13458642015</v>
      </c>
      <c r="J8" s="46" t="s">
        <v>284</v>
      </c>
      <c r="K8" s="50" t="s">
        <v>285</v>
      </c>
      <c r="L8" s="48"/>
      <c r="M8" s="40" t="s">
        <v>286</v>
      </c>
    </row>
    <row r="9" spans="1:13">
      <c r="A9" s="37" t="s">
        <v>41</v>
      </c>
      <c r="B9" s="37" t="s">
        <v>119</v>
      </c>
      <c r="C9" s="38"/>
      <c r="D9" s="39" t="s">
        <v>287</v>
      </c>
      <c r="E9" s="43" t="s">
        <v>48</v>
      </c>
      <c r="F9" s="41" t="s">
        <v>281</v>
      </c>
      <c r="G9" s="40" t="str">
        <f>"("&amp;(E9)&amp;")"&amp;"成都市简阳市白金山水库"</f>
        <v>(华西颐海-科创农业生态谷-1号钢筋房)成都市简阳市白金山水库</v>
      </c>
      <c r="H9" s="41" t="s">
        <v>283</v>
      </c>
      <c r="I9" s="41">
        <v>13458642015</v>
      </c>
      <c r="J9" s="46" t="s">
        <v>284</v>
      </c>
      <c r="K9" s="50" t="s">
        <v>288</v>
      </c>
      <c r="L9" s="48"/>
      <c r="M9" s="40" t="s">
        <v>289</v>
      </c>
    </row>
    <row r="10" spans="1:13">
      <c r="A10" s="37" t="s">
        <v>26</v>
      </c>
      <c r="B10" s="37" t="s">
        <v>119</v>
      </c>
      <c r="C10" s="38"/>
      <c r="D10" s="39" t="s">
        <v>287</v>
      </c>
      <c r="E10" s="43" t="s">
        <v>290</v>
      </c>
      <c r="F10" s="41" t="s">
        <v>281</v>
      </c>
      <c r="G10" s="40" t="str">
        <f>"("&amp;(E10)&amp;")"&amp;"成都市简阳市白金山水库"</f>
        <v>(华西颐海-科创农业生态谷-2号钢筋房)成都市简阳市白金山水库</v>
      </c>
      <c r="H10" s="41" t="s">
        <v>283</v>
      </c>
      <c r="I10" s="41">
        <v>13458642015</v>
      </c>
      <c r="J10" s="46" t="s">
        <v>284</v>
      </c>
      <c r="K10" s="50" t="s">
        <v>288</v>
      </c>
      <c r="L10" s="48"/>
      <c r="M10" s="40" t="s">
        <v>289</v>
      </c>
    </row>
    <row r="11" spans="1:13">
      <c r="A11" s="37"/>
      <c r="B11" s="37"/>
      <c r="C11" s="38"/>
      <c r="D11" s="39" t="s">
        <v>291</v>
      </c>
      <c r="E11" s="40" t="s">
        <v>291</v>
      </c>
      <c r="F11" s="41" t="s">
        <v>292</v>
      </c>
      <c r="G11" s="40" t="s">
        <v>293</v>
      </c>
      <c r="H11" s="41" t="s">
        <v>294</v>
      </c>
      <c r="I11" s="41">
        <v>18683201292</v>
      </c>
      <c r="J11" s="46" t="s">
        <v>266</v>
      </c>
      <c r="K11" s="50" t="s">
        <v>295</v>
      </c>
      <c r="L11" s="48"/>
      <c r="M11" s="40" t="s">
        <v>296</v>
      </c>
    </row>
    <row r="12" spans="1:13">
      <c r="A12" s="37" t="s">
        <v>27</v>
      </c>
      <c r="B12" s="37" t="s">
        <v>116</v>
      </c>
      <c r="C12" s="38"/>
      <c r="D12" s="39" t="s">
        <v>297</v>
      </c>
      <c r="E12" s="40" t="s">
        <v>297</v>
      </c>
      <c r="F12" s="41" t="s">
        <v>298</v>
      </c>
      <c r="G12" s="40" t="s">
        <v>299</v>
      </c>
      <c r="H12" s="41" t="s">
        <v>300</v>
      </c>
      <c r="I12" s="41">
        <v>19982812229</v>
      </c>
      <c r="J12" s="46"/>
      <c r="K12" s="50" t="s">
        <v>301</v>
      </c>
      <c r="L12" s="48"/>
      <c r="M12" s="40"/>
    </row>
    <row r="13" spans="1:13">
      <c r="A13" s="37" t="s">
        <v>19</v>
      </c>
      <c r="B13" s="37" t="s">
        <v>116</v>
      </c>
      <c r="C13" s="38"/>
      <c r="D13" s="39" t="s">
        <v>145</v>
      </c>
      <c r="E13" s="40" t="s">
        <v>145</v>
      </c>
      <c r="F13" s="41" t="s">
        <v>302</v>
      </c>
      <c r="G13" s="40" t="s">
        <v>303</v>
      </c>
      <c r="H13" s="41" t="s">
        <v>304</v>
      </c>
      <c r="I13" s="41">
        <v>15528785906</v>
      </c>
      <c r="J13" s="46" t="s">
        <v>305</v>
      </c>
      <c r="K13" s="50" t="s">
        <v>306</v>
      </c>
      <c r="L13" s="48"/>
      <c r="M13" s="40"/>
    </row>
    <row r="14" spans="1:13">
      <c r="A14" s="37" t="s">
        <v>32</v>
      </c>
      <c r="B14" s="37" t="s">
        <v>116</v>
      </c>
      <c r="C14" s="38"/>
      <c r="D14" s="39" t="s">
        <v>307</v>
      </c>
      <c r="E14" s="40" t="s">
        <v>47</v>
      </c>
      <c r="F14" s="41" t="s">
        <v>308</v>
      </c>
      <c r="G14" s="40" t="s">
        <v>309</v>
      </c>
      <c r="H14" s="44" t="s">
        <v>310</v>
      </c>
      <c r="I14" s="41">
        <v>15108211617</v>
      </c>
      <c r="J14" s="46" t="s">
        <v>311</v>
      </c>
      <c r="K14" s="50" t="s">
        <v>312</v>
      </c>
      <c r="L14" s="48"/>
      <c r="M14" s="40" t="s">
        <v>313</v>
      </c>
    </row>
    <row r="15" spans="1:13">
      <c r="A15" s="37" t="s">
        <v>30</v>
      </c>
      <c r="B15" s="37" t="s">
        <v>116</v>
      </c>
      <c r="C15" s="38"/>
      <c r="D15" s="39" t="s">
        <v>307</v>
      </c>
      <c r="E15" s="40" t="s">
        <v>68</v>
      </c>
      <c r="F15" s="41" t="s">
        <v>308</v>
      </c>
      <c r="G15" s="40" t="s">
        <v>314</v>
      </c>
      <c r="H15" s="44" t="s">
        <v>315</v>
      </c>
      <c r="I15" s="41">
        <v>18381899787</v>
      </c>
      <c r="J15" s="46" t="s">
        <v>311</v>
      </c>
      <c r="K15" s="50" t="s">
        <v>312</v>
      </c>
      <c r="L15" s="48"/>
      <c r="M15" s="40" t="s">
        <v>313</v>
      </c>
    </row>
    <row r="16" spans="1:13">
      <c r="A16" s="37" t="s">
        <v>33</v>
      </c>
      <c r="B16" s="37" t="s">
        <v>116</v>
      </c>
      <c r="C16" s="38"/>
      <c r="D16" s="39" t="s">
        <v>307</v>
      </c>
      <c r="E16" s="40" t="s">
        <v>232</v>
      </c>
      <c r="F16" s="41" t="s">
        <v>308</v>
      </c>
      <c r="G16" s="40" t="s">
        <v>316</v>
      </c>
      <c r="H16" s="44" t="s">
        <v>315</v>
      </c>
      <c r="I16" s="41">
        <v>18381899787</v>
      </c>
      <c r="J16" s="46" t="s">
        <v>311</v>
      </c>
      <c r="K16" s="50" t="s">
        <v>312</v>
      </c>
      <c r="L16" s="48"/>
      <c r="M16" s="40" t="s">
        <v>313</v>
      </c>
    </row>
    <row r="17" spans="1:13">
      <c r="A17" s="37" t="s">
        <v>28</v>
      </c>
      <c r="B17" s="37" t="s">
        <v>116</v>
      </c>
      <c r="C17" s="38"/>
      <c r="D17" s="39" t="s">
        <v>307</v>
      </c>
      <c r="E17" s="40" t="s">
        <v>159</v>
      </c>
      <c r="F17" s="41" t="s">
        <v>308</v>
      </c>
      <c r="G17" s="40" t="s">
        <v>317</v>
      </c>
      <c r="H17" s="44" t="s">
        <v>310</v>
      </c>
      <c r="I17" s="41">
        <v>15108211617</v>
      </c>
      <c r="J17" s="46" t="s">
        <v>311</v>
      </c>
      <c r="K17" s="50" t="s">
        <v>312</v>
      </c>
      <c r="L17" s="48"/>
      <c r="M17" s="40" t="s">
        <v>313</v>
      </c>
    </row>
    <row r="18" spans="1:13">
      <c r="A18" s="37" t="s">
        <v>18</v>
      </c>
      <c r="B18" s="37" t="s">
        <v>116</v>
      </c>
      <c r="C18" s="38"/>
      <c r="D18" s="39" t="s">
        <v>307</v>
      </c>
      <c r="E18" s="40" t="s">
        <v>69</v>
      </c>
      <c r="F18" s="41" t="s">
        <v>308</v>
      </c>
      <c r="G18" s="40" t="s">
        <v>318</v>
      </c>
      <c r="H18" s="44" t="s">
        <v>319</v>
      </c>
      <c r="I18" s="41">
        <v>18381904567</v>
      </c>
      <c r="J18" s="46" t="s">
        <v>311</v>
      </c>
      <c r="K18" s="50" t="s">
        <v>312</v>
      </c>
      <c r="L18" s="48"/>
      <c r="M18" s="40" t="s">
        <v>313</v>
      </c>
    </row>
    <row r="19" spans="1:13">
      <c r="A19" s="37" t="s">
        <v>65</v>
      </c>
      <c r="B19" s="37" t="s">
        <v>116</v>
      </c>
      <c r="C19" s="38"/>
      <c r="D19" s="39" t="s">
        <v>307</v>
      </c>
      <c r="E19" s="40" t="s">
        <v>179</v>
      </c>
      <c r="F19" s="41" t="s">
        <v>308</v>
      </c>
      <c r="G19" s="40" t="s">
        <v>320</v>
      </c>
      <c r="H19" s="44" t="s">
        <v>319</v>
      </c>
      <c r="I19" s="41">
        <v>18381904567</v>
      </c>
      <c r="J19" s="46" t="s">
        <v>311</v>
      </c>
      <c r="K19" s="50" t="s">
        <v>312</v>
      </c>
      <c r="L19" s="48"/>
      <c r="M19" s="40" t="s">
        <v>313</v>
      </c>
    </row>
    <row r="20" ht="12.95" customHeight="1" spans="1:13">
      <c r="A20" s="37" t="s">
        <v>52</v>
      </c>
      <c r="B20" s="37" t="s">
        <v>116</v>
      </c>
      <c r="C20" s="38"/>
      <c r="D20" s="39" t="s">
        <v>307</v>
      </c>
      <c r="E20" s="40" t="s">
        <v>56</v>
      </c>
      <c r="F20" s="41" t="s">
        <v>308</v>
      </c>
      <c r="G20" s="40" t="s">
        <v>321</v>
      </c>
      <c r="H20" s="44" t="s">
        <v>319</v>
      </c>
      <c r="I20" s="41">
        <v>18381904567</v>
      </c>
      <c r="J20" s="46" t="s">
        <v>311</v>
      </c>
      <c r="K20" s="50" t="s">
        <v>312</v>
      </c>
      <c r="L20" s="48"/>
      <c r="M20" s="40" t="s">
        <v>313</v>
      </c>
    </row>
    <row r="21" ht="12.95" customHeight="1" spans="1:13">
      <c r="A21" s="37"/>
      <c r="B21" s="37"/>
      <c r="C21" s="38"/>
      <c r="D21" s="39" t="s">
        <v>307</v>
      </c>
      <c r="E21" s="40" t="s">
        <v>180</v>
      </c>
      <c r="F21" s="41" t="s">
        <v>308</v>
      </c>
      <c r="G21" s="40" t="s">
        <v>322</v>
      </c>
      <c r="H21" s="44" t="s">
        <v>319</v>
      </c>
      <c r="I21" s="41">
        <v>18381904567</v>
      </c>
      <c r="J21" s="46" t="s">
        <v>311</v>
      </c>
      <c r="K21" s="50" t="s">
        <v>312</v>
      </c>
      <c r="L21" s="48"/>
      <c r="M21" s="40" t="s">
        <v>313</v>
      </c>
    </row>
    <row r="22" ht="12.95" customHeight="1" spans="1:13">
      <c r="A22" s="37" t="s">
        <v>111</v>
      </c>
      <c r="B22" s="37" t="s">
        <v>116</v>
      </c>
      <c r="C22" s="38"/>
      <c r="D22" s="39" t="s">
        <v>307</v>
      </c>
      <c r="E22" s="40" t="s">
        <v>163</v>
      </c>
      <c r="F22" s="41" t="s">
        <v>308</v>
      </c>
      <c r="G22" s="40" t="s">
        <v>323</v>
      </c>
      <c r="H22" s="44" t="s">
        <v>319</v>
      </c>
      <c r="I22" s="41">
        <v>18381904567</v>
      </c>
      <c r="J22" s="46" t="s">
        <v>311</v>
      </c>
      <c r="K22" s="50" t="s">
        <v>312</v>
      </c>
      <c r="L22" s="48"/>
      <c r="M22" s="40" t="s">
        <v>313</v>
      </c>
    </row>
    <row r="23" ht="12.95" customHeight="1" spans="1:13">
      <c r="A23" s="37" t="s">
        <v>76</v>
      </c>
      <c r="B23" s="37" t="s">
        <v>116</v>
      </c>
      <c r="C23" s="38"/>
      <c r="D23" s="39" t="s">
        <v>307</v>
      </c>
      <c r="E23" s="40" t="s">
        <v>112</v>
      </c>
      <c r="F23" s="41" t="s">
        <v>308</v>
      </c>
      <c r="G23" s="40" t="s">
        <v>324</v>
      </c>
      <c r="H23" s="44" t="s">
        <v>319</v>
      </c>
      <c r="I23" s="41">
        <v>18381904567</v>
      </c>
      <c r="J23" s="46" t="s">
        <v>311</v>
      </c>
      <c r="K23" s="50" t="s">
        <v>312</v>
      </c>
      <c r="L23" s="48"/>
      <c r="M23" s="40" t="s">
        <v>313</v>
      </c>
    </row>
    <row r="24" spans="1:13">
      <c r="A24" s="37" t="s">
        <v>90</v>
      </c>
      <c r="B24" s="37" t="s">
        <v>116</v>
      </c>
      <c r="C24" s="38"/>
      <c r="D24" s="39" t="s">
        <v>307</v>
      </c>
      <c r="E24" s="40" t="s">
        <v>147</v>
      </c>
      <c r="F24" s="41" t="s">
        <v>308</v>
      </c>
      <c r="G24" s="40" t="s">
        <v>325</v>
      </c>
      <c r="H24" s="44" t="s">
        <v>319</v>
      </c>
      <c r="I24" s="41">
        <v>18381904567</v>
      </c>
      <c r="J24" s="46" t="s">
        <v>311</v>
      </c>
      <c r="K24" s="50" t="s">
        <v>312</v>
      </c>
      <c r="L24" s="48"/>
      <c r="M24" s="40" t="s">
        <v>313</v>
      </c>
    </row>
    <row r="25" spans="1:13">
      <c r="A25" s="37" t="s">
        <v>130</v>
      </c>
      <c r="B25" s="37" t="s">
        <v>116</v>
      </c>
      <c r="C25" s="38"/>
      <c r="D25" s="39" t="s">
        <v>326</v>
      </c>
      <c r="E25" s="40" t="s">
        <v>326</v>
      </c>
      <c r="F25" s="41" t="s">
        <v>327</v>
      </c>
      <c r="G25" s="40" t="s">
        <v>328</v>
      </c>
      <c r="H25" s="41" t="s">
        <v>329</v>
      </c>
      <c r="I25" s="41">
        <v>15283947738</v>
      </c>
      <c r="J25" s="46" t="s">
        <v>330</v>
      </c>
      <c r="K25" s="50" t="s">
        <v>331</v>
      </c>
      <c r="L25" s="48"/>
      <c r="M25" s="40" t="s">
        <v>332</v>
      </c>
    </row>
    <row r="26" spans="1:13">
      <c r="A26" s="37" t="s">
        <v>138</v>
      </c>
      <c r="B26" s="37" t="s">
        <v>116</v>
      </c>
      <c r="C26" s="38"/>
      <c r="D26" s="39" t="s">
        <v>333</v>
      </c>
      <c r="E26" s="40" t="s">
        <v>31</v>
      </c>
      <c r="F26" s="41" t="s">
        <v>308</v>
      </c>
      <c r="G26" s="40" t="s">
        <v>334</v>
      </c>
      <c r="H26" s="41" t="s">
        <v>335</v>
      </c>
      <c r="I26" s="41">
        <v>15692885305</v>
      </c>
      <c r="J26" s="46" t="s">
        <v>38</v>
      </c>
      <c r="K26" s="50" t="s">
        <v>336</v>
      </c>
      <c r="L26" s="48"/>
      <c r="M26" s="40" t="s">
        <v>337</v>
      </c>
    </row>
    <row r="27" spans="1:13">
      <c r="A27" s="37" t="s">
        <v>133</v>
      </c>
      <c r="B27" s="37" t="s">
        <v>116</v>
      </c>
      <c r="C27" s="38"/>
      <c r="D27" s="45" t="s">
        <v>338</v>
      </c>
      <c r="E27" s="40" t="s">
        <v>106</v>
      </c>
      <c r="F27" s="41" t="s">
        <v>339</v>
      </c>
      <c r="G27" s="40" t="s">
        <v>122</v>
      </c>
      <c r="H27" s="41" t="s">
        <v>123</v>
      </c>
      <c r="I27" s="41">
        <v>15228205853</v>
      </c>
      <c r="J27" s="46" t="s">
        <v>124</v>
      </c>
      <c r="K27" s="51" t="s">
        <v>121</v>
      </c>
      <c r="L27" s="48"/>
      <c r="M27" s="40" t="s">
        <v>340</v>
      </c>
    </row>
    <row r="28" spans="1:13">
      <c r="A28" s="37" t="s">
        <v>91</v>
      </c>
      <c r="B28" s="37" t="s">
        <v>116</v>
      </c>
      <c r="C28" s="38"/>
      <c r="D28" s="45" t="s">
        <v>338</v>
      </c>
      <c r="E28" s="40" t="s">
        <v>107</v>
      </c>
      <c r="F28" s="41" t="s">
        <v>339</v>
      </c>
      <c r="G28" s="40"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1" t="s">
        <v>123</v>
      </c>
      <c r="I28" s="41">
        <v>15228205853</v>
      </c>
      <c r="J28" s="46" t="s">
        <v>124</v>
      </c>
      <c r="K28" s="50" t="s">
        <v>121</v>
      </c>
      <c r="L28" s="48"/>
      <c r="M28" s="40" t="s">
        <v>340</v>
      </c>
    </row>
    <row r="29" spans="1:13">
      <c r="A29" s="37" t="s">
        <v>77</v>
      </c>
      <c r="B29" s="37" t="s">
        <v>116</v>
      </c>
      <c r="C29" s="38"/>
      <c r="D29" s="45" t="s">
        <v>338</v>
      </c>
      <c r="E29" s="40" t="s">
        <v>155</v>
      </c>
      <c r="F29" s="41" t="s">
        <v>339</v>
      </c>
      <c r="G29" s="40" t="str">
        <f>"("&amp;E29&amp;")"&amp;"宜宾市高县月江镇三转湾(308亩平场项目)"</f>
        <v>(五冶钢构宜宾高县月江镇建设项目-308亩平场项目)宜宾市高县月江镇三转湾(308亩平场项目)</v>
      </c>
      <c r="H29" s="41" t="s">
        <v>123</v>
      </c>
      <c r="I29" s="41">
        <v>15228205853</v>
      </c>
      <c r="J29" s="46" t="s">
        <v>124</v>
      </c>
      <c r="K29" s="50" t="s">
        <v>121</v>
      </c>
      <c r="L29" s="48"/>
      <c r="M29" s="40" t="s">
        <v>340</v>
      </c>
    </row>
    <row r="30" spans="1:13">
      <c r="A30" s="37" t="s">
        <v>86</v>
      </c>
      <c r="B30" s="37" t="s">
        <v>116</v>
      </c>
      <c r="C30" s="38"/>
      <c r="D30" s="45" t="s">
        <v>338</v>
      </c>
      <c r="E30" s="40" t="s">
        <v>171</v>
      </c>
      <c r="F30" s="41" t="s">
        <v>339</v>
      </c>
      <c r="G30" s="40" t="str">
        <f>"("&amp;E30&amp;")"&amp;"四川省宜宾市高县高县庆符镇鹅卵新农村高县广久大道(庆符厂房项目)"</f>
        <v>(五冶钢构宜宾南溪区项目土建4标)四川省宜宾市高县高县庆符镇鹅卵新农村高县广久大道(庆符厂房项目)</v>
      </c>
      <c r="H30" s="41" t="s">
        <v>123</v>
      </c>
      <c r="I30" s="41">
        <v>15228205853</v>
      </c>
      <c r="J30" s="46" t="s">
        <v>124</v>
      </c>
      <c r="K30" s="50" t="s">
        <v>121</v>
      </c>
      <c r="L30" s="48"/>
      <c r="M30" s="40" t="s">
        <v>340</v>
      </c>
    </row>
    <row r="31" spans="1:13">
      <c r="A31" s="41"/>
      <c r="B31" s="41"/>
      <c r="C31" s="38"/>
      <c r="D31" s="39" t="s">
        <v>341</v>
      </c>
      <c r="E31" s="46" t="s">
        <v>17</v>
      </c>
      <c r="F31" s="41" t="s">
        <v>342</v>
      </c>
      <c r="G31" s="40" t="s">
        <v>343</v>
      </c>
      <c r="H31" s="41" t="s">
        <v>344</v>
      </c>
      <c r="I31" s="41">
        <v>13658059919</v>
      </c>
      <c r="J31" s="46" t="s">
        <v>345</v>
      </c>
      <c r="K31" s="51" t="s">
        <v>346</v>
      </c>
      <c r="L31" s="51" t="s">
        <v>347</v>
      </c>
      <c r="M31" s="40" t="s">
        <v>348</v>
      </c>
    </row>
    <row r="32" spans="1:13">
      <c r="A32" s="37" t="s">
        <v>66</v>
      </c>
      <c r="B32" s="37" t="s">
        <v>116</v>
      </c>
      <c r="C32" s="38"/>
      <c r="D32" s="39" t="s">
        <v>341</v>
      </c>
      <c r="E32" s="46" t="s">
        <v>39</v>
      </c>
      <c r="F32" s="41" t="s">
        <v>342</v>
      </c>
      <c r="G32" s="40" t="s">
        <v>349</v>
      </c>
      <c r="H32" s="41" t="s">
        <v>344</v>
      </c>
      <c r="I32" s="41">
        <v>13658059919</v>
      </c>
      <c r="J32" s="46" t="s">
        <v>345</v>
      </c>
      <c r="K32" s="50" t="s">
        <v>346</v>
      </c>
      <c r="L32" s="51" t="s">
        <v>347</v>
      </c>
      <c r="M32" s="40" t="s">
        <v>348</v>
      </c>
    </row>
    <row r="33" spans="1:13">
      <c r="A33" s="37" t="s">
        <v>82</v>
      </c>
      <c r="B33" s="37" t="s">
        <v>116</v>
      </c>
      <c r="C33" s="38"/>
      <c r="D33" s="39" t="s">
        <v>341</v>
      </c>
      <c r="E33" s="46" t="s">
        <v>43</v>
      </c>
      <c r="F33" s="41" t="s">
        <v>342</v>
      </c>
      <c r="G33" s="40" t="s">
        <v>350</v>
      </c>
      <c r="H33" s="41" t="s">
        <v>351</v>
      </c>
      <c r="I33" s="41">
        <v>15982487227</v>
      </c>
      <c r="J33" s="46" t="s">
        <v>345</v>
      </c>
      <c r="K33" s="50" t="s">
        <v>346</v>
      </c>
      <c r="L33" s="51" t="s">
        <v>347</v>
      </c>
      <c r="M33" s="40" t="s">
        <v>348</v>
      </c>
    </row>
    <row r="34" spans="1:13">
      <c r="A34" s="37" t="s">
        <v>45</v>
      </c>
      <c r="B34" s="37" t="s">
        <v>116</v>
      </c>
      <c r="C34" s="38"/>
      <c r="D34" s="39" t="s">
        <v>341</v>
      </c>
      <c r="E34" s="46" t="s">
        <v>104</v>
      </c>
      <c r="F34" s="41" t="s">
        <v>342</v>
      </c>
      <c r="G34" s="40" t="s">
        <v>352</v>
      </c>
      <c r="H34" s="41" t="s">
        <v>351</v>
      </c>
      <c r="I34" s="41">
        <v>15982487227</v>
      </c>
      <c r="J34" s="46" t="s">
        <v>345</v>
      </c>
      <c r="K34" s="50" t="s">
        <v>346</v>
      </c>
      <c r="L34" s="51" t="s">
        <v>347</v>
      </c>
      <c r="M34" s="40" t="s">
        <v>348</v>
      </c>
    </row>
    <row r="35" spans="1:13">
      <c r="A35" s="37" t="s">
        <v>21</v>
      </c>
      <c r="B35" s="37" t="s">
        <v>116</v>
      </c>
      <c r="C35" s="38"/>
      <c r="D35" s="45" t="s">
        <v>150</v>
      </c>
      <c r="E35" s="40" t="s">
        <v>150</v>
      </c>
      <c r="F35" s="41" t="s">
        <v>353</v>
      </c>
      <c r="G35" s="40"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4" t="s">
        <v>354</v>
      </c>
      <c r="I35" s="44">
        <v>19130850820</v>
      </c>
      <c r="J35" s="46" t="s">
        <v>355</v>
      </c>
      <c r="K35" s="51" t="s">
        <v>356</v>
      </c>
      <c r="L35" s="48"/>
      <c r="M35" s="40" t="s">
        <v>357</v>
      </c>
    </row>
    <row r="36" spans="1:13">
      <c r="A36" s="37" t="s">
        <v>58</v>
      </c>
      <c r="B36" s="37" t="s">
        <v>116</v>
      </c>
      <c r="C36" s="38"/>
      <c r="D36" s="45" t="s">
        <v>150</v>
      </c>
      <c r="E36" s="40" t="s">
        <v>150</v>
      </c>
      <c r="F36" s="41" t="s">
        <v>353</v>
      </c>
      <c r="G36" s="40"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4" t="s">
        <v>358</v>
      </c>
      <c r="I36" s="44">
        <v>18208257412</v>
      </c>
      <c r="J36" s="46" t="s">
        <v>355</v>
      </c>
      <c r="K36" s="51" t="s">
        <v>356</v>
      </c>
      <c r="L36" s="48"/>
      <c r="M36" s="40" t="s">
        <v>357</v>
      </c>
    </row>
    <row r="37" s="26" customFormat="1" spans="1:13">
      <c r="A37" s="37" t="s">
        <v>46</v>
      </c>
      <c r="B37" s="37" t="s">
        <v>116</v>
      </c>
      <c r="C37" s="38"/>
      <c r="D37" s="47" t="s">
        <v>128</v>
      </c>
      <c r="E37" s="40" t="s">
        <v>132</v>
      </c>
      <c r="F37" s="41" t="s">
        <v>359</v>
      </c>
      <c r="G37" s="40" t="str">
        <f t="shared" ref="G37:G47" si="0">"("&amp;E37&amp;")"&amp;"宜宾市翠屏区宜宾汽车零部件配套产业基地(纬五路南)"</f>
        <v>(宜宾兴港三江新区长江工业园建设项目-9#厂房)宜宾市翠屏区宜宾汽车零部件配套产业基地(纬五路南)</v>
      </c>
      <c r="H37" s="41" t="s">
        <v>360</v>
      </c>
      <c r="I37" s="41">
        <v>15924731822</v>
      </c>
      <c r="J37" s="52" t="s">
        <v>355</v>
      </c>
      <c r="K37" s="53" t="s">
        <v>361</v>
      </c>
      <c r="L37" s="54"/>
      <c r="M37" s="40" t="s">
        <v>362</v>
      </c>
    </row>
    <row r="38" s="26" customFormat="1" spans="1:13">
      <c r="A38" s="37" t="s">
        <v>22</v>
      </c>
      <c r="B38" s="37" t="s">
        <v>116</v>
      </c>
      <c r="C38" s="38"/>
      <c r="D38" s="45" t="s">
        <v>128</v>
      </c>
      <c r="E38" s="40" t="s">
        <v>135</v>
      </c>
      <c r="F38" s="41" t="s">
        <v>359</v>
      </c>
      <c r="G38" s="40" t="str">
        <f t="shared" si="0"/>
        <v>(宜宾兴港三江新区长江工业园建设项目-M2-2#厂房)宜宾市翠屏区宜宾汽车零部件配套产业基地(纬五路南)</v>
      </c>
      <c r="H38" s="41" t="s">
        <v>363</v>
      </c>
      <c r="I38" s="41">
        <v>17713876279</v>
      </c>
      <c r="J38" s="52" t="s">
        <v>355</v>
      </c>
      <c r="K38" s="53" t="s">
        <v>361</v>
      </c>
      <c r="L38" s="54"/>
      <c r="M38" s="40" t="s">
        <v>362</v>
      </c>
    </row>
    <row r="39" s="26" customFormat="1" spans="1:13">
      <c r="A39" s="37" t="s">
        <v>181</v>
      </c>
      <c r="B39" s="37" t="s">
        <v>116</v>
      </c>
      <c r="C39" s="38"/>
      <c r="D39" s="45" t="s">
        <v>128</v>
      </c>
      <c r="E39" s="40" t="s">
        <v>136</v>
      </c>
      <c r="F39" s="41" t="s">
        <v>359</v>
      </c>
      <c r="G39" s="40" t="str">
        <f t="shared" si="0"/>
        <v>(宜宾兴港三江新区长江工业园建设项目-M2-00-04桩)宜宾市翠屏区宜宾汽车零部件配套产业基地(纬五路南)</v>
      </c>
      <c r="H39" s="41" t="s">
        <v>363</v>
      </c>
      <c r="I39" s="41">
        <v>17713876279</v>
      </c>
      <c r="J39" s="52" t="s">
        <v>355</v>
      </c>
      <c r="K39" s="53" t="s">
        <v>361</v>
      </c>
      <c r="L39" s="54"/>
      <c r="M39" s="40" t="s">
        <v>362</v>
      </c>
    </row>
    <row r="40" s="26" customFormat="1" spans="1:13">
      <c r="A40" s="37" t="s">
        <v>182</v>
      </c>
      <c r="B40" s="37" t="s">
        <v>116</v>
      </c>
      <c r="C40" s="38"/>
      <c r="D40" s="45" t="s">
        <v>128</v>
      </c>
      <c r="E40" s="40" t="s">
        <v>364</v>
      </c>
      <c r="F40" s="41" t="s">
        <v>359</v>
      </c>
      <c r="G40" s="40" t="str">
        <f t="shared" si="0"/>
        <v>(宜宾兴港三江新区长江工业园建设项目-M2-3#厂房)宜宾市翠屏区宜宾汽车零部件配套产业基地(纬五路南)</v>
      </c>
      <c r="H40" s="41" t="s">
        <v>363</v>
      </c>
      <c r="I40" s="41">
        <v>17713876279</v>
      </c>
      <c r="J40" s="52" t="s">
        <v>355</v>
      </c>
      <c r="K40" s="53" t="s">
        <v>361</v>
      </c>
      <c r="L40" s="54"/>
      <c r="M40" s="40" t="s">
        <v>362</v>
      </c>
    </row>
    <row r="41" s="26" customFormat="1" spans="1:13">
      <c r="A41" s="41"/>
      <c r="B41" s="41"/>
      <c r="C41" s="38"/>
      <c r="D41" s="45" t="s">
        <v>128</v>
      </c>
      <c r="E41" s="40" t="s">
        <v>153</v>
      </c>
      <c r="F41" s="41" t="s">
        <v>359</v>
      </c>
      <c r="G41" s="40" t="str">
        <f t="shared" si="0"/>
        <v>(宜宾兴港三江新区长江工业园建设项目-M2-4#厂房)宜宾市翠屏区宜宾汽车零部件配套产业基地(纬五路南)</v>
      </c>
      <c r="H41" s="41" t="s">
        <v>363</v>
      </c>
      <c r="I41" s="41">
        <v>17713876279</v>
      </c>
      <c r="J41" s="52" t="s">
        <v>355</v>
      </c>
      <c r="K41" s="53" t="s">
        <v>361</v>
      </c>
      <c r="L41" s="54"/>
      <c r="M41" s="40" t="s">
        <v>362</v>
      </c>
    </row>
    <row r="42" s="26" customFormat="1" spans="1:13">
      <c r="A42" s="37" t="s">
        <v>205</v>
      </c>
      <c r="B42" s="37" t="s">
        <v>116</v>
      </c>
      <c r="C42" s="38"/>
      <c r="D42" s="45" t="s">
        <v>128</v>
      </c>
      <c r="E42" s="40" t="s">
        <v>154</v>
      </c>
      <c r="F42" s="41" t="s">
        <v>359</v>
      </c>
      <c r="G42" s="40" t="str">
        <f t="shared" si="0"/>
        <v>(宜宾兴港三江新区长江工业园建设项目-M2-5#厂房)宜宾市翠屏区宜宾汽车零部件配套产业基地(纬五路南)</v>
      </c>
      <c r="H42" s="41" t="s">
        <v>363</v>
      </c>
      <c r="I42" s="41">
        <v>17713876279</v>
      </c>
      <c r="J42" s="52" t="s">
        <v>355</v>
      </c>
      <c r="K42" s="53" t="s">
        <v>361</v>
      </c>
      <c r="L42" s="54"/>
      <c r="M42" s="40" t="s">
        <v>362</v>
      </c>
    </row>
    <row r="43" s="26" customFormat="1" spans="1:13">
      <c r="A43" s="37" t="s">
        <v>140</v>
      </c>
      <c r="B43" s="37" t="s">
        <v>116</v>
      </c>
      <c r="C43" s="38"/>
      <c r="D43" s="45" t="s">
        <v>128</v>
      </c>
      <c r="E43" s="40" t="s">
        <v>137</v>
      </c>
      <c r="F43" s="41" t="s">
        <v>359</v>
      </c>
      <c r="G43" s="40" t="str">
        <f t="shared" si="0"/>
        <v>(宜宾兴港三江新区长江工业园建设项目-M2-6#厂房)宜宾市翠屏区宜宾汽车零部件配套产业基地(纬五路南)</v>
      </c>
      <c r="H43" s="41" t="s">
        <v>363</v>
      </c>
      <c r="I43" s="41">
        <v>17713876279</v>
      </c>
      <c r="J43" s="52" t="s">
        <v>355</v>
      </c>
      <c r="K43" s="53" t="s">
        <v>361</v>
      </c>
      <c r="L43" s="54"/>
      <c r="M43" s="40" t="s">
        <v>362</v>
      </c>
    </row>
    <row r="44" s="26" customFormat="1" spans="1:13">
      <c r="A44" s="37" t="s">
        <v>197</v>
      </c>
      <c r="B44" s="37" t="s">
        <v>116</v>
      </c>
      <c r="C44" s="38"/>
      <c r="D44" s="45" t="s">
        <v>128</v>
      </c>
      <c r="E44" s="40" t="s">
        <v>139</v>
      </c>
      <c r="F44" s="41" t="s">
        <v>359</v>
      </c>
      <c r="G44" s="40" t="str">
        <f t="shared" si="0"/>
        <v>(宜宾兴港三江新区长江工业园建设项目-M2-7#厂房)宜宾市翠屏区宜宾汽车零部件配套产业基地(纬五路南)</v>
      </c>
      <c r="H44" s="41" t="s">
        <v>363</v>
      </c>
      <c r="I44" s="41">
        <v>17713876279</v>
      </c>
      <c r="J44" s="52" t="s">
        <v>355</v>
      </c>
      <c r="K44" s="53" t="s">
        <v>361</v>
      </c>
      <c r="L44" s="54"/>
      <c r="M44" s="40" t="s">
        <v>362</v>
      </c>
    </row>
    <row r="45" s="26" customFormat="1" spans="1:13">
      <c r="A45" s="37" t="s">
        <v>198</v>
      </c>
      <c r="B45" s="37" t="s">
        <v>116</v>
      </c>
      <c r="C45" s="28"/>
      <c r="D45" s="45" t="s">
        <v>128</v>
      </c>
      <c r="E45" s="40" t="s">
        <v>131</v>
      </c>
      <c r="F45" s="41" t="s">
        <v>359</v>
      </c>
      <c r="G45" s="40" t="str">
        <f t="shared" si="0"/>
        <v>(宜宾兴港三江新区长江工业园建设项目-11#厂房)宜宾市翠屏区宜宾汽车零部件配套产业基地(纬五路南)</v>
      </c>
      <c r="H45" s="41" t="s">
        <v>360</v>
      </c>
      <c r="I45" s="41">
        <v>15924731822</v>
      </c>
      <c r="J45" s="52" t="s">
        <v>355</v>
      </c>
      <c r="K45" s="53" t="s">
        <v>361</v>
      </c>
      <c r="L45" s="54"/>
      <c r="M45" s="40" t="s">
        <v>362</v>
      </c>
    </row>
    <row r="46" s="26" customFormat="1" spans="1:13">
      <c r="A46" s="37" t="s">
        <v>199</v>
      </c>
      <c r="B46" s="37" t="s">
        <v>116</v>
      </c>
      <c r="C46" s="28"/>
      <c r="D46" s="45" t="s">
        <v>128</v>
      </c>
      <c r="E46" s="40" t="s">
        <v>365</v>
      </c>
      <c r="F46" s="41" t="s">
        <v>359</v>
      </c>
      <c r="G46" s="40" t="str">
        <f t="shared" si="0"/>
        <v>(宜宾兴港三江新区长江工业园建设项目-3#8#9#承台)宜宾市翠屏区宜宾汽车零部件配套产业基地(纬五路南)</v>
      </c>
      <c r="H46" s="41" t="s">
        <v>360</v>
      </c>
      <c r="I46" s="41">
        <v>15924731822</v>
      </c>
      <c r="J46" s="52" t="s">
        <v>355</v>
      </c>
      <c r="K46" s="53" t="s">
        <v>361</v>
      </c>
      <c r="L46" s="55"/>
      <c r="M46" s="40" t="s">
        <v>362</v>
      </c>
    </row>
    <row r="47" s="26" customFormat="1" spans="1:13">
      <c r="A47" s="37" t="s">
        <v>141</v>
      </c>
      <c r="B47" s="37" t="s">
        <v>116</v>
      </c>
      <c r="C47" s="28"/>
      <c r="D47" s="45" t="s">
        <v>128</v>
      </c>
      <c r="E47" s="40" t="s">
        <v>148</v>
      </c>
      <c r="F47" s="41" t="s">
        <v>359</v>
      </c>
      <c r="G47" s="40" t="str">
        <f t="shared" si="0"/>
        <v>(宜宾兴港三江新区长江工业园建设项目-3#8#土建)宜宾市翠屏区宜宾汽车零部件配套产业基地(纬五路南)</v>
      </c>
      <c r="H47" s="41" t="s">
        <v>360</v>
      </c>
      <c r="I47" s="41">
        <v>15924731822</v>
      </c>
      <c r="J47" s="52" t="s">
        <v>355</v>
      </c>
      <c r="K47" s="53" t="s">
        <v>361</v>
      </c>
      <c r="L47" s="55"/>
      <c r="M47" s="40" t="s">
        <v>362</v>
      </c>
    </row>
    <row r="48" s="26" customFormat="1" spans="1:13">
      <c r="A48" s="37" t="s">
        <v>142</v>
      </c>
      <c r="B48" s="37" t="s">
        <v>116</v>
      </c>
      <c r="C48" s="28"/>
      <c r="D48" s="45" t="s">
        <v>128</v>
      </c>
      <c r="E48" s="40" t="s">
        <v>161</v>
      </c>
      <c r="F48" s="41" t="s">
        <v>366</v>
      </c>
      <c r="G48" s="40"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1" t="s">
        <v>367</v>
      </c>
      <c r="I48" s="41">
        <v>13684167136</v>
      </c>
      <c r="J48" s="52" t="s">
        <v>368</v>
      </c>
      <c r="K48" s="53" t="s">
        <v>369</v>
      </c>
      <c r="L48" s="55"/>
      <c r="M48" s="40" t="s">
        <v>370</v>
      </c>
    </row>
    <row r="49" s="26" customFormat="1" spans="1:13">
      <c r="A49" s="37" t="s">
        <v>200</v>
      </c>
      <c r="B49" s="37" t="s">
        <v>116</v>
      </c>
      <c r="C49" s="28"/>
      <c r="D49" s="45" t="s">
        <v>128</v>
      </c>
      <c r="E49" s="40" t="s">
        <v>162</v>
      </c>
      <c r="F49" s="41" t="s">
        <v>366</v>
      </c>
      <c r="G49" s="40" t="str">
        <f t="shared" si="1"/>
        <v>(宜宾兴港三江新区长江工业园保障性租赁住房建设项目-2标)四川省宜宾市翠屏区永善路南段宜宾市三江新区长江工业园区</v>
      </c>
      <c r="H49" s="41" t="s">
        <v>367</v>
      </c>
      <c r="I49" s="41">
        <v>13684167136</v>
      </c>
      <c r="J49" s="52" t="s">
        <v>368</v>
      </c>
      <c r="K49" s="53" t="s">
        <v>369</v>
      </c>
      <c r="L49" s="55"/>
      <c r="M49" s="40" t="s">
        <v>370</v>
      </c>
    </row>
    <row r="50" s="26" customFormat="1" spans="1:13">
      <c r="A50" s="37" t="s">
        <v>201</v>
      </c>
      <c r="B50" s="37" t="s">
        <v>116</v>
      </c>
      <c r="C50" s="28"/>
      <c r="D50" s="45" t="s">
        <v>128</v>
      </c>
      <c r="E50" s="40" t="s">
        <v>194</v>
      </c>
      <c r="F50" s="41" t="s">
        <v>366</v>
      </c>
      <c r="G50" s="40" t="str">
        <f t="shared" si="1"/>
        <v>(宜宾兴港三江新区长江工业园保障性租赁住房建设项目-土建)四川省宜宾市翠屏区永善路南段宜宾市三江新区长江工业园区</v>
      </c>
      <c r="H50" s="41" t="s">
        <v>367</v>
      </c>
      <c r="I50" s="41">
        <v>13684167136</v>
      </c>
      <c r="J50" s="52" t="s">
        <v>368</v>
      </c>
      <c r="K50" s="53" t="s">
        <v>369</v>
      </c>
      <c r="L50" s="55"/>
      <c r="M50" s="40" t="s">
        <v>370</v>
      </c>
    </row>
    <row r="51" s="26" customFormat="1" spans="3:13">
      <c r="C51" s="28"/>
      <c r="D51" s="45" t="s">
        <v>128</v>
      </c>
      <c r="E51" s="40" t="s">
        <v>184</v>
      </c>
      <c r="F51" s="41" t="s">
        <v>366</v>
      </c>
      <c r="G51" s="40" t="str">
        <f t="shared" si="1"/>
        <v>(宜宾兴港三江新区长江工业园保障性租赁住房建设项目-边坡支护)四川省宜宾市翠屏区永善路南段宜宾市三江新区长江工业园区</v>
      </c>
      <c r="H51" s="41" t="s">
        <v>367</v>
      </c>
      <c r="I51" s="41">
        <v>13684167136</v>
      </c>
      <c r="J51" s="52" t="s">
        <v>368</v>
      </c>
      <c r="K51" s="53" t="s">
        <v>369</v>
      </c>
      <c r="L51" s="55"/>
      <c r="M51" s="40" t="s">
        <v>370</v>
      </c>
    </row>
    <row r="52" s="26" customFormat="1" spans="3:13">
      <c r="C52" s="28"/>
      <c r="D52" s="40" t="s">
        <v>371</v>
      </c>
      <c r="E52" s="40" t="s">
        <v>169</v>
      </c>
      <c r="F52" s="41" t="s">
        <v>372</v>
      </c>
      <c r="G52" s="40" t="str">
        <f>"("&amp;E52&amp;")"&amp;"龙泉驿区北川路双堰塘钓鱼东100米(北川路)"</f>
        <v>(五冶建设龙泉芙蓉花语项目-1,3地块)龙泉驿区北川路双堰塘钓鱼东100米(北川路)</v>
      </c>
      <c r="H52" s="41" t="s">
        <v>373</v>
      </c>
      <c r="I52" s="41">
        <v>15583590797</v>
      </c>
      <c r="J52" s="56" t="s">
        <v>374</v>
      </c>
      <c r="K52" s="53" t="s">
        <v>375</v>
      </c>
      <c r="L52" s="55"/>
      <c r="M52" s="40" t="s">
        <v>376</v>
      </c>
    </row>
    <row r="53" s="26" customFormat="1" spans="1:13">
      <c r="A53" s="27"/>
      <c r="B53" s="27"/>
      <c r="C53" s="28"/>
      <c r="D53" s="40" t="s">
        <v>371</v>
      </c>
      <c r="E53" s="40" t="s">
        <v>158</v>
      </c>
      <c r="F53" s="41" t="s">
        <v>372</v>
      </c>
      <c r="G53" s="40" t="str">
        <f>"("&amp;E53&amp;")"&amp;"龙泉驿区北川路双堰塘钓鱼东100米(北川路)"</f>
        <v>(五冶建设龙泉芙蓉花语项目-2地块)龙泉驿区北川路双堰塘钓鱼东100米(北川路)</v>
      </c>
      <c r="H53" s="41" t="s">
        <v>377</v>
      </c>
      <c r="I53" s="41">
        <v>15982002377</v>
      </c>
      <c r="J53" s="56" t="s">
        <v>378</v>
      </c>
      <c r="K53" s="53" t="s">
        <v>375</v>
      </c>
      <c r="L53" s="55"/>
      <c r="M53" s="40" t="s">
        <v>376</v>
      </c>
    </row>
    <row r="54" s="26" customFormat="1" spans="1:13">
      <c r="A54" s="27"/>
      <c r="B54" s="27"/>
      <c r="C54" s="28"/>
      <c r="D54" s="40" t="s">
        <v>167</v>
      </c>
      <c r="E54" s="40" t="s">
        <v>167</v>
      </c>
      <c r="F54" s="41" t="s">
        <v>379</v>
      </c>
      <c r="G54" s="40" t="str">
        <f>"("&amp;E54&amp;")"&amp;"四川省成都市双流区光荣路成都艺体中学南200米"</f>
        <v>(五冶建设扩建艺体中学二期工程)四川省成都市双流区光荣路成都艺体中学南200米</v>
      </c>
      <c r="H54" s="41" t="s">
        <v>380</v>
      </c>
      <c r="I54" s="41">
        <v>13458588232</v>
      </c>
      <c r="J54" s="56" t="s">
        <v>381</v>
      </c>
      <c r="K54" s="53" t="s">
        <v>382</v>
      </c>
      <c r="L54" s="55"/>
      <c r="M54" s="40" t="s">
        <v>376</v>
      </c>
    </row>
    <row r="55" s="26" customFormat="1" spans="1:13">
      <c r="A55" s="27"/>
      <c r="B55" s="27"/>
      <c r="C55" s="28"/>
      <c r="D55" s="40" t="s">
        <v>192</v>
      </c>
      <c r="E55" s="40" t="s">
        <v>192</v>
      </c>
      <c r="F55" s="41" t="s">
        <v>383</v>
      </c>
      <c r="G55" s="40" t="str">
        <f>"("&amp;E55&amp;")"&amp;"四川省成都市青白江区桂平大道成都中远海运陆港多式联运有限公司"</f>
        <v>(五冶建设成都国际铁路港多式联项目)四川省成都市青白江区桂平大道成都中远海运陆港多式联运有限公司</v>
      </c>
      <c r="H55" s="41" t="s">
        <v>384</v>
      </c>
      <c r="I55" s="41">
        <v>13880580196</v>
      </c>
      <c r="J55" s="56" t="s">
        <v>385</v>
      </c>
      <c r="K55" s="53" t="s">
        <v>386</v>
      </c>
      <c r="L55" s="55"/>
      <c r="M55" s="40" t="s">
        <v>376</v>
      </c>
    </row>
    <row r="56" s="26" customFormat="1" spans="1:13">
      <c r="A56" s="27"/>
      <c r="B56" s="27"/>
      <c r="C56" s="28"/>
      <c r="D56" s="40" t="s">
        <v>196</v>
      </c>
      <c r="E56" s="40" t="s">
        <v>196</v>
      </c>
      <c r="F56" s="41" t="s">
        <v>387</v>
      </c>
      <c r="G56" s="40" t="str">
        <f>"("&amp;E56&amp;")"&amp;"四川省成都市成华区大观堰2号(四川师范大学附属中学外国语学校)"</f>
        <v>(五冶建设师大附中外语校新建教学楼工程)四川省成都市成华区大观堰2号(四川师范大学附属中学外国语学校)</v>
      </c>
      <c r="H56" s="41" t="s">
        <v>388</v>
      </c>
      <c r="I56" s="41">
        <v>13980880820</v>
      </c>
      <c r="J56" s="56" t="s">
        <v>389</v>
      </c>
      <c r="K56" s="53" t="s">
        <v>390</v>
      </c>
      <c r="L56" s="55"/>
      <c r="M56" s="40" t="s">
        <v>376</v>
      </c>
    </row>
    <row r="57" s="26" customFormat="1" spans="1:13">
      <c r="A57" s="27"/>
      <c r="B57" s="27"/>
      <c r="C57" s="28"/>
      <c r="D57" s="40" t="s">
        <v>203</v>
      </c>
      <c r="E57" s="40" t="s">
        <v>203</v>
      </c>
      <c r="F57" s="41" t="s">
        <v>391</v>
      </c>
      <c r="G57" s="40"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1" t="s">
        <v>392</v>
      </c>
      <c r="I57" s="41">
        <v>15881190525</v>
      </c>
      <c r="J57" s="56" t="s">
        <v>393</v>
      </c>
      <c r="K57" s="53" t="s">
        <v>394</v>
      </c>
      <c r="L57" s="55"/>
      <c r="M57" s="40" t="s">
        <v>376</v>
      </c>
    </row>
    <row r="58" s="26" customFormat="1" spans="1:13">
      <c r="A58" s="27"/>
      <c r="B58" s="27"/>
      <c r="C58" s="28"/>
      <c r="D58" s="40" t="s">
        <v>208</v>
      </c>
      <c r="E58" s="40" t="s">
        <v>208</v>
      </c>
      <c r="F58" s="41" t="s">
        <v>387</v>
      </c>
      <c r="G58" s="40" t="str">
        <f>"("&amp;E58&amp;")"&amp;"锦江区泰昌路锦江28亩项目部"</f>
        <v>(五冶建设锦江区林家坝片区20号地块商业项目)锦江区泰昌路锦江28亩项目部</v>
      </c>
      <c r="H58" s="41" t="s">
        <v>395</v>
      </c>
      <c r="I58" s="41">
        <v>13980247952</v>
      </c>
      <c r="J58" s="56" t="s">
        <v>396</v>
      </c>
      <c r="K58" s="53" t="s">
        <v>397</v>
      </c>
      <c r="L58" s="55"/>
      <c r="M58" s="40" t="s">
        <v>376</v>
      </c>
    </row>
    <row r="59" s="26" customFormat="1" spans="1:13">
      <c r="A59" s="27"/>
      <c r="B59" s="27"/>
      <c r="C59" s="28"/>
      <c r="D59" s="40" t="s">
        <v>211</v>
      </c>
      <c r="E59" s="40" t="s">
        <v>231</v>
      </c>
      <c r="F59" s="41" t="s">
        <v>387</v>
      </c>
      <c r="G59" s="40" t="str">
        <f>"("&amp;E59&amp;")"&amp;"四川省成都市锦江区春熙路街道盐道街4号（盐道街中学初中部）"</f>
        <v>(五冶建设成都盐道街中学初中部改扩建工程-一标)四川省成都市锦江区春熙路街道盐道街4号（盐道街中学初中部）</v>
      </c>
      <c r="H59" s="41" t="s">
        <v>398</v>
      </c>
      <c r="I59" s="41">
        <v>18228465067</v>
      </c>
      <c r="J59" s="56" t="s">
        <v>399</v>
      </c>
      <c r="K59" s="53" t="s">
        <v>400</v>
      </c>
      <c r="L59" s="55"/>
      <c r="M59" s="40" t="s">
        <v>376</v>
      </c>
    </row>
    <row r="60" s="26" customFormat="1" spans="1:13">
      <c r="A60" s="27"/>
      <c r="B60" s="27"/>
      <c r="C60" s="28"/>
      <c r="D60" s="40" t="s">
        <v>211</v>
      </c>
      <c r="E60" s="40" t="s">
        <v>230</v>
      </c>
      <c r="F60" s="41" t="s">
        <v>387</v>
      </c>
      <c r="G60" s="40" t="str">
        <f>"("&amp;E60&amp;")"&amp;"四川省成都市锦江区春熙路街道盐道街4号（盐道街中学初中部）"</f>
        <v>(五冶建设成都盐道街中学初中部改扩建工程-二标)四川省成都市锦江区春熙路街道盐道街4号（盐道街中学初中部）</v>
      </c>
      <c r="H60" s="41" t="s">
        <v>398</v>
      </c>
      <c r="I60" s="41">
        <v>18228465067</v>
      </c>
      <c r="J60" s="56" t="s">
        <v>399</v>
      </c>
      <c r="K60" s="53" t="s">
        <v>400</v>
      </c>
      <c r="L60" s="55"/>
      <c r="M60" s="40" t="s">
        <v>376</v>
      </c>
    </row>
    <row r="61" s="26" customFormat="1" spans="1:13">
      <c r="A61" s="27"/>
      <c r="B61" s="27"/>
      <c r="C61" s="28"/>
      <c r="D61" s="40" t="s">
        <v>215</v>
      </c>
      <c r="E61" s="40" t="s">
        <v>215</v>
      </c>
      <c r="F61" s="41" t="s">
        <v>401</v>
      </c>
      <c r="G61" s="40" t="str">
        <f>"("&amp;E61&amp;")"&amp;"成都市龙泉驿区董朗路69号龙泉驿一医院5号门"</f>
        <v>(五冶建设龙泉驿一医院配套建设工程)成都市龙泉驿区董朗路69号龙泉驿一医院5号门</v>
      </c>
      <c r="H61" s="41" t="s">
        <v>402</v>
      </c>
      <c r="I61" s="41">
        <v>13617695006</v>
      </c>
      <c r="J61" s="56" t="s">
        <v>403</v>
      </c>
      <c r="K61" s="53" t="s">
        <v>404</v>
      </c>
      <c r="L61" s="55"/>
      <c r="M61" s="40" t="s">
        <v>376</v>
      </c>
    </row>
    <row r="62" s="26" customFormat="1" spans="1:13">
      <c r="A62" s="27"/>
      <c r="B62" s="27"/>
      <c r="C62" s="28"/>
      <c r="D62" s="40" t="s">
        <v>405</v>
      </c>
      <c r="E62" s="40" t="s">
        <v>224</v>
      </c>
      <c r="F62" s="41" t="s">
        <v>406</v>
      </c>
      <c r="G62" s="40" t="str">
        <f t="shared" ref="G62:G67" si="2">"("&amp;E62&amp;")"&amp;"成都市龙泉驿外东洪路地铁2号线惠王陵地铁C口"</f>
        <v>(五冶钢构龙泉东洪片区70亩住宅、商业及配套工程项目一标段)成都市龙泉驿外东洪路地铁2号线惠王陵地铁C口</v>
      </c>
      <c r="H62" s="41" t="s">
        <v>407</v>
      </c>
      <c r="I62" s="41">
        <v>13540231225</v>
      </c>
      <c r="J62" s="56"/>
      <c r="K62" s="53" t="s">
        <v>408</v>
      </c>
      <c r="L62" s="55"/>
      <c r="M62" s="40" t="s">
        <v>409</v>
      </c>
    </row>
    <row r="63" s="26" customFormat="1" spans="1:13">
      <c r="A63" s="27"/>
      <c r="B63" s="27"/>
      <c r="C63" s="28"/>
      <c r="D63" s="40" t="s">
        <v>405</v>
      </c>
      <c r="E63" s="40" t="s">
        <v>228</v>
      </c>
      <c r="F63" s="41" t="s">
        <v>406</v>
      </c>
      <c r="G63" s="40" t="str">
        <f t="shared" si="2"/>
        <v>(五冶钢构龙泉东洪片区70亩住宅、商业及配套工程项目二标段)成都市龙泉驿外东洪路地铁2号线惠王陵地铁C口</v>
      </c>
      <c r="H63" s="41" t="s">
        <v>410</v>
      </c>
      <c r="I63" s="41">
        <v>15014331252</v>
      </c>
      <c r="J63" s="56"/>
      <c r="K63" s="53" t="s">
        <v>411</v>
      </c>
      <c r="L63" s="55"/>
      <c r="M63" s="40" t="s">
        <v>409</v>
      </c>
    </row>
    <row r="64" s="26" customFormat="1" spans="1:13">
      <c r="A64" s="27"/>
      <c r="B64" s="27"/>
      <c r="C64" s="28"/>
      <c r="D64" s="40" t="s">
        <v>405</v>
      </c>
      <c r="E64" s="40" t="s">
        <v>240</v>
      </c>
      <c r="F64" s="41" t="s">
        <v>406</v>
      </c>
      <c r="G64" s="40" t="str">
        <f t="shared" si="2"/>
        <v>(五冶钢构龙泉东洪片区70亩住宅、商业及配套工程项目三标段)成都市龙泉驿外东洪路地铁2号线惠王陵地铁C口</v>
      </c>
      <c r="H64" s="41" t="s">
        <v>410</v>
      </c>
      <c r="I64" s="41">
        <v>15014331252</v>
      </c>
      <c r="J64" s="56"/>
      <c r="K64" s="53" t="s">
        <v>412</v>
      </c>
      <c r="L64" s="55"/>
      <c r="M64" s="40" t="s">
        <v>409</v>
      </c>
    </row>
    <row r="65" s="26" customFormat="1" spans="1:13">
      <c r="A65" s="27"/>
      <c r="B65" s="27"/>
      <c r="C65" s="28"/>
      <c r="D65" s="40" t="s">
        <v>405</v>
      </c>
      <c r="E65" s="40" t="s">
        <v>225</v>
      </c>
      <c r="F65" s="41" t="s">
        <v>406</v>
      </c>
      <c r="G65" s="40" t="str">
        <f t="shared" si="2"/>
        <v>(五冶钢构龙泉东洪片区85亩住宅、商业及配套工程项目一标段)成都市龙泉驿外东洪路地铁2号线惠王陵地铁C口</v>
      </c>
      <c r="H65" s="41" t="s">
        <v>413</v>
      </c>
      <c r="I65" s="41">
        <v>18599951655</v>
      </c>
      <c r="J65" s="56"/>
      <c r="K65" s="53" t="s">
        <v>414</v>
      </c>
      <c r="L65" s="55"/>
      <c r="M65" s="40" t="s">
        <v>409</v>
      </c>
    </row>
    <row r="66" s="26" customFormat="1" spans="1:13">
      <c r="A66" s="27"/>
      <c r="B66" s="27"/>
      <c r="C66" s="28"/>
      <c r="D66" s="40" t="s">
        <v>405</v>
      </c>
      <c r="E66" s="40" t="s">
        <v>226</v>
      </c>
      <c r="F66" s="41" t="s">
        <v>406</v>
      </c>
      <c r="G66" s="40" t="str">
        <f t="shared" si="2"/>
        <v>(五冶钢构龙泉东洪片区85亩住宅、商业及配套工程项目二标段)成都市龙泉驿外东洪路地铁2号线惠王陵地铁C口</v>
      </c>
      <c r="H66" s="41" t="s">
        <v>415</v>
      </c>
      <c r="I66" s="41">
        <v>18381013849</v>
      </c>
      <c r="J66" s="56"/>
      <c r="K66" s="53" t="s">
        <v>416</v>
      </c>
      <c r="L66" s="55"/>
      <c r="M66" s="40" t="s">
        <v>409</v>
      </c>
    </row>
    <row r="67" s="26" customFormat="1" spans="1:13">
      <c r="A67" s="27"/>
      <c r="B67" s="27"/>
      <c r="C67" s="28"/>
      <c r="D67" s="40" t="s">
        <v>405</v>
      </c>
      <c r="E67" s="40" t="s">
        <v>229</v>
      </c>
      <c r="F67" s="41" t="s">
        <v>406</v>
      </c>
      <c r="G67" s="40" t="str">
        <f t="shared" si="2"/>
        <v>(五冶钢构龙泉东洪片区85亩住宅、商业及配套工程项目三标段)成都市龙泉驿外东洪路地铁2号线惠王陵地铁C口</v>
      </c>
      <c r="H67" s="41" t="s">
        <v>417</v>
      </c>
      <c r="I67" s="41">
        <v>13889142392</v>
      </c>
      <c r="J67" s="56"/>
      <c r="K67" s="53" t="s">
        <v>418</v>
      </c>
      <c r="L67" s="55"/>
      <c r="M67" s="40" t="s">
        <v>409</v>
      </c>
    </row>
    <row r="68" s="26" customFormat="1" spans="1:13">
      <c r="A68" s="27"/>
      <c r="B68" s="27"/>
      <c r="C68" s="28"/>
      <c r="D68" s="47" t="s">
        <v>419</v>
      </c>
      <c r="E68" s="40" t="s">
        <v>188</v>
      </c>
      <c r="F68" s="41" t="s">
        <v>401</v>
      </c>
      <c r="G68" s="40" t="str">
        <f>"("&amp;E68&amp;")"&amp;"四川省达州市达川区斌郎街道四川省达州市达川区洞洞湾256米"</f>
        <v>(武汉电气化局成达万高铁强电项目-达州主城区)四川省达州市达川区斌郎街道四川省达州市达川区洞洞湾256米</v>
      </c>
      <c r="H68" s="41" t="s">
        <v>420</v>
      </c>
      <c r="I68" s="41">
        <v>18228076992</v>
      </c>
      <c r="J68" s="52" t="s">
        <v>421</v>
      </c>
      <c r="K68" s="53" t="s">
        <v>422</v>
      </c>
      <c r="L68" s="55"/>
      <c r="M68" s="40" t="s">
        <v>423</v>
      </c>
    </row>
    <row r="69" s="26" customFormat="1" spans="1:13">
      <c r="A69" s="27"/>
      <c r="B69" s="27"/>
      <c r="C69" s="28"/>
      <c r="D69" s="47" t="s">
        <v>419</v>
      </c>
      <c r="E69" s="40" t="s">
        <v>204</v>
      </c>
      <c r="F69" s="41" t="s">
        <v>401</v>
      </c>
      <c r="G69" s="40" t="str">
        <f>"("&amp;E69&amp;")"&amp;"四川省达州市达川区达州南站"</f>
        <v>(武汉电气化局成达万高铁强电项目-达州主城区-达州南站)四川省达州市达川区达州南站</v>
      </c>
      <c r="H69" s="41" t="s">
        <v>424</v>
      </c>
      <c r="I69" s="41">
        <v>18782679099</v>
      </c>
      <c r="J69" s="52" t="s">
        <v>421</v>
      </c>
      <c r="K69" s="53" t="s">
        <v>422</v>
      </c>
      <c r="L69" s="55"/>
      <c r="M69" s="40" t="s">
        <v>423</v>
      </c>
    </row>
    <row r="70" s="26" customFormat="1" spans="1:13">
      <c r="A70" s="27"/>
      <c r="B70" s="27"/>
      <c r="C70" s="28"/>
      <c r="D70" s="47" t="s">
        <v>419</v>
      </c>
      <c r="E70" s="40" t="s">
        <v>425</v>
      </c>
      <c r="F70" s="41" t="s">
        <v>401</v>
      </c>
      <c r="G70" s="40" t="str">
        <f>"("&amp;E70&amp;")"&amp;"四川省达州市达川区斌郎街道四川省达州市达川区洞洞湾256米"</f>
        <v>(武汉电气化局成达万高铁强电项目-开江县)四川省达州市达川区斌郎街道四川省达州市达川区洞洞湾256米</v>
      </c>
      <c r="H70" s="41" t="s">
        <v>420</v>
      </c>
      <c r="I70" s="41">
        <v>18228076992</v>
      </c>
      <c r="J70" s="52" t="s">
        <v>421</v>
      </c>
      <c r="K70" s="53" t="s">
        <v>422</v>
      </c>
      <c r="L70" s="55"/>
      <c r="M70" s="40" t="s">
        <v>423</v>
      </c>
    </row>
    <row r="71" s="26" customFormat="1" spans="1:13">
      <c r="A71" s="27"/>
      <c r="B71" s="27"/>
      <c r="C71" s="28"/>
      <c r="D71" s="47" t="s">
        <v>419</v>
      </c>
      <c r="E71" s="40" t="s">
        <v>176</v>
      </c>
      <c r="F71" s="41" t="s">
        <v>401</v>
      </c>
      <c r="G71" s="40" t="str">
        <f>"("&amp;E71&amp;")"&amp;"四川省达州市渠县渠北镇雷家湾渠县北站旁"</f>
        <v>(武汉电气化局成达万高铁强电项目-渠县)四川省达州市渠县渠北镇雷家湾渠县北站旁</v>
      </c>
      <c r="H71" s="41" t="s">
        <v>426</v>
      </c>
      <c r="I71" s="41">
        <v>18779627939</v>
      </c>
      <c r="J71" s="52" t="s">
        <v>421</v>
      </c>
      <c r="K71" s="53" t="s">
        <v>422</v>
      </c>
      <c r="L71" s="55"/>
      <c r="M71" s="40" t="s">
        <v>423</v>
      </c>
    </row>
    <row r="72" s="26" customFormat="1" spans="1:13">
      <c r="A72" s="27"/>
      <c r="B72" s="27"/>
      <c r="C72" s="28"/>
      <c r="D72" s="47" t="s">
        <v>419</v>
      </c>
      <c r="E72" s="40" t="s">
        <v>427</v>
      </c>
      <c r="F72" s="41" t="s">
        <v>401</v>
      </c>
      <c r="G72" s="40"/>
      <c r="H72" s="41"/>
      <c r="I72" s="41"/>
      <c r="J72" s="52" t="s">
        <v>421</v>
      </c>
      <c r="K72" s="53" t="s">
        <v>422</v>
      </c>
      <c r="L72" s="55"/>
      <c r="M72" s="40" t="s">
        <v>423</v>
      </c>
    </row>
    <row r="73" s="26" customFormat="1" spans="1:13">
      <c r="A73" s="27"/>
      <c r="B73" s="27"/>
      <c r="C73" s="28"/>
      <c r="D73" s="47" t="s">
        <v>419</v>
      </c>
      <c r="E73" s="40" t="s">
        <v>177</v>
      </c>
      <c r="F73" s="41" t="s">
        <v>401</v>
      </c>
      <c r="G73" s="40" t="str">
        <f>"("&amp;E73&amp;")"&amp;"四川省南充市营山县保真路景阳名城南50米(保真路东)"</f>
        <v>(武汉电气化局成达万高铁强电项目-南充营山)四川省南充市营山县保真路景阳名城南50米(保真路东)</v>
      </c>
      <c r="H73" s="41" t="s">
        <v>428</v>
      </c>
      <c r="I73" s="41">
        <v>18381485052</v>
      </c>
      <c r="J73" s="52" t="s">
        <v>421</v>
      </c>
      <c r="K73" s="53" t="s">
        <v>422</v>
      </c>
      <c r="L73" s="55"/>
      <c r="M73" s="40" t="s">
        <v>423</v>
      </c>
    </row>
    <row r="74" s="26" customFormat="1" spans="1:13">
      <c r="A74" s="27"/>
      <c r="B74" s="27"/>
      <c r="C74" s="28"/>
      <c r="D74" s="45" t="s">
        <v>160</v>
      </c>
      <c r="E74" s="40" t="s">
        <v>160</v>
      </c>
      <c r="F74" s="41" t="s">
        <v>401</v>
      </c>
      <c r="G74" s="40" t="str">
        <f>"("&amp;E74&amp;")"&amp;"重庆市九龙坡区华祥支路与华祥路交叉口重庆建工重庆西站TOD项目部"</f>
        <v>(中铁三局集团西渝高铁康渝段站房四标工程)重庆市九龙坡区华祥支路与华祥路交叉口重庆建工重庆西站TOD项目部</v>
      </c>
      <c r="H74" s="41" t="s">
        <v>429</v>
      </c>
      <c r="I74" s="41">
        <v>18883488177</v>
      </c>
      <c r="J74" s="52" t="s">
        <v>430</v>
      </c>
      <c r="K74" s="53" t="s">
        <v>431</v>
      </c>
      <c r="L74" s="55"/>
      <c r="M74" s="40" t="s">
        <v>432</v>
      </c>
    </row>
    <row r="75" s="26" customFormat="1" spans="1:13">
      <c r="A75" s="27"/>
      <c r="B75" s="27"/>
      <c r="C75" s="28"/>
      <c r="D75" s="40" t="s">
        <v>433</v>
      </c>
      <c r="E75" s="40" t="s">
        <v>187</v>
      </c>
      <c r="F75" s="41" t="s">
        <v>434</v>
      </c>
      <c r="G75" s="40" t="str">
        <f>"("&amp;E75&amp;")"&amp;"四川省乐山市市中区苏稽镇周山嘴"</f>
        <v>(乐山市校地共建产教融合基地建设项目一标段)四川省乐山市市中区苏稽镇周山嘴</v>
      </c>
      <c r="H75" s="41" t="s">
        <v>435</v>
      </c>
      <c r="I75" s="41">
        <v>13668153241</v>
      </c>
      <c r="J75" s="52" t="s">
        <v>436</v>
      </c>
      <c r="K75" s="53" t="s">
        <v>437</v>
      </c>
      <c r="L75" s="55"/>
      <c r="M75" s="40" t="s">
        <v>438</v>
      </c>
    </row>
    <row r="76" s="26" customFormat="1" spans="1:13">
      <c r="A76" s="27"/>
      <c r="B76" s="27"/>
      <c r="C76" s="28"/>
      <c r="D76" s="40" t="s">
        <v>433</v>
      </c>
      <c r="E76" s="40" t="s">
        <v>186</v>
      </c>
      <c r="F76" s="41" t="s">
        <v>434</v>
      </c>
      <c r="G76" s="40" t="str">
        <f>"("&amp;E76&amp;")"&amp;"四川省乐山市市中区苏稽镇"</f>
        <v>(乐山市校地共建产教融合基地建设项目二标段)四川省乐山市市中区苏稽镇</v>
      </c>
      <c r="H76" s="41" t="s">
        <v>439</v>
      </c>
      <c r="I76" s="41">
        <v>13990276572</v>
      </c>
      <c r="J76" s="52" t="s">
        <v>440</v>
      </c>
      <c r="K76" s="53" t="s">
        <v>441</v>
      </c>
      <c r="L76" s="55"/>
      <c r="M76" s="40" t="s">
        <v>442</v>
      </c>
    </row>
    <row r="77" hidden="1" spans="4:13">
      <c r="D77" s="45" t="s">
        <v>443</v>
      </c>
      <c r="E77" s="46" t="s">
        <v>444</v>
      </c>
      <c r="F77" s="41" t="s">
        <v>445</v>
      </c>
      <c r="G77" s="40" t="str">
        <f t="shared" ref="G71:G116" si="3">"("&amp;E77&amp;")"&amp;"四川省南充市顺庆区搬罾街道学府大道二段"</f>
        <v>(五冶钢构医学科学产业园建设项目房建一部-二标（3-3）)四川省南充市顺庆区搬罾街道学府大道二段</v>
      </c>
      <c r="H77" s="41" t="s">
        <v>446</v>
      </c>
      <c r="I77" s="41">
        <v>18141337338</v>
      </c>
      <c r="J77" s="46" t="s">
        <v>447</v>
      </c>
      <c r="K77" s="51" t="s">
        <v>448</v>
      </c>
      <c r="L77" s="48"/>
      <c r="M77" s="40" t="s">
        <v>449</v>
      </c>
    </row>
    <row r="78" hidden="1" spans="4:13">
      <c r="D78" s="45" t="s">
        <v>443</v>
      </c>
      <c r="E78" s="46" t="s">
        <v>450</v>
      </c>
      <c r="F78" s="41" t="s">
        <v>445</v>
      </c>
      <c r="G78" s="40" t="str">
        <f t="shared" si="3"/>
        <v>(五冶钢构医学科学产业园建设项目房建一部-三标（2-1）)四川省南充市顺庆区搬罾街道学府大道二段</v>
      </c>
      <c r="H78" s="41" t="s">
        <v>446</v>
      </c>
      <c r="I78" s="41">
        <v>18141337338</v>
      </c>
      <c r="J78" s="46" t="s">
        <v>447</v>
      </c>
      <c r="K78" s="51" t="s">
        <v>448</v>
      </c>
      <c r="L78" s="48"/>
      <c r="M78" s="40" t="s">
        <v>449</v>
      </c>
    </row>
    <row r="79" hidden="1" spans="4:13">
      <c r="D79" s="45" t="s">
        <v>443</v>
      </c>
      <c r="E79" s="46" t="s">
        <v>451</v>
      </c>
      <c r="F79" s="41" t="s">
        <v>445</v>
      </c>
      <c r="G79" s="40" t="str">
        <f t="shared" si="3"/>
        <v>(五冶钢构医学科学产业园建设项目房建一部-三标（2-2）)四川省南充市顺庆区搬罾街道学府大道二段</v>
      </c>
      <c r="H79" s="41" t="s">
        <v>446</v>
      </c>
      <c r="I79" s="41">
        <v>18141337338</v>
      </c>
      <c r="J79" s="46" t="s">
        <v>447</v>
      </c>
      <c r="K79" s="51" t="s">
        <v>448</v>
      </c>
      <c r="L79" s="48"/>
      <c r="M79" s="40" t="s">
        <v>449</v>
      </c>
    </row>
    <row r="80" hidden="1" spans="4:13">
      <c r="D80" s="45" t="s">
        <v>443</v>
      </c>
      <c r="E80" s="46" t="s">
        <v>452</v>
      </c>
      <c r="F80" s="41" t="s">
        <v>445</v>
      </c>
      <c r="G80" s="40" t="str">
        <f t="shared" si="3"/>
        <v>(五冶钢构医学科学产业园建设项目房建一部-三标（2-3）)四川省南充市顺庆区搬罾街道学府大道二段</v>
      </c>
      <c r="H80" s="41" t="s">
        <v>446</v>
      </c>
      <c r="I80" s="41">
        <v>18141337338</v>
      </c>
      <c r="J80" s="46" t="s">
        <v>447</v>
      </c>
      <c r="K80" s="51" t="s">
        <v>448</v>
      </c>
      <c r="L80" s="48"/>
      <c r="M80" s="40" t="s">
        <v>449</v>
      </c>
    </row>
    <row r="81" hidden="1" spans="4:13">
      <c r="D81" s="45" t="s">
        <v>443</v>
      </c>
      <c r="E81" s="46" t="s">
        <v>453</v>
      </c>
      <c r="F81" s="41" t="s">
        <v>445</v>
      </c>
      <c r="G81" s="40" t="str">
        <f t="shared" si="3"/>
        <v>(五冶钢构医学科学产业园建设项目房建一部-四标（3-4）)四川省南充市顺庆区搬罾街道学府大道二段</v>
      </c>
      <c r="H81" s="41" t="s">
        <v>446</v>
      </c>
      <c r="I81" s="41">
        <v>18141337338</v>
      </c>
      <c r="J81" s="46" t="s">
        <v>447</v>
      </c>
      <c r="K81" s="51" t="s">
        <v>448</v>
      </c>
      <c r="L81" s="48"/>
      <c r="M81" s="40" t="s">
        <v>449</v>
      </c>
    </row>
    <row r="82" hidden="1" spans="4:13">
      <c r="D82" s="45" t="s">
        <v>443</v>
      </c>
      <c r="E82" s="46" t="s">
        <v>454</v>
      </c>
      <c r="F82" s="41" t="s">
        <v>445</v>
      </c>
      <c r="G82" s="40" t="str">
        <f t="shared" si="3"/>
        <v>(五冶钢构医学科学产业园建设项目房建一部-四标（3-5）)四川省南充市顺庆区搬罾街道学府大道二段</v>
      </c>
      <c r="H82" s="41" t="s">
        <v>446</v>
      </c>
      <c r="I82" s="41">
        <v>18141337338</v>
      </c>
      <c r="J82" s="46" t="s">
        <v>447</v>
      </c>
      <c r="K82" s="51" t="s">
        <v>448</v>
      </c>
      <c r="L82" s="48"/>
      <c r="M82" s="40" t="s">
        <v>449</v>
      </c>
    </row>
    <row r="83" hidden="1" spans="4:13">
      <c r="D83" s="45" t="s">
        <v>443</v>
      </c>
      <c r="E83" s="46" t="s">
        <v>455</v>
      </c>
      <c r="F83" s="41" t="s">
        <v>445</v>
      </c>
      <c r="G83" s="40" t="str">
        <f t="shared" si="3"/>
        <v>(五冶钢构医学科学产业园建设项目房建一部-四标（3-6）)四川省南充市顺庆区搬罾街道学府大道二段</v>
      </c>
      <c r="H83" s="41" t="s">
        <v>446</v>
      </c>
      <c r="I83" s="41">
        <v>18141337338</v>
      </c>
      <c r="J83" s="46" t="s">
        <v>447</v>
      </c>
      <c r="K83" s="51" t="s">
        <v>448</v>
      </c>
      <c r="L83" s="48"/>
      <c r="M83" s="40" t="s">
        <v>449</v>
      </c>
    </row>
    <row r="84" hidden="1" spans="4:13">
      <c r="D84" s="45" t="s">
        <v>443</v>
      </c>
      <c r="E84" s="46" t="s">
        <v>151</v>
      </c>
      <c r="F84" s="41" t="s">
        <v>445</v>
      </c>
      <c r="G84" s="40" t="str">
        <f t="shared" si="3"/>
        <v>(五冶钢构医学科学产业园建设项目房建一部-四标（3-7）)四川省南充市顺庆区搬罾街道学府大道二段</v>
      </c>
      <c r="H84" s="41" t="s">
        <v>446</v>
      </c>
      <c r="I84" s="41">
        <v>18141337338</v>
      </c>
      <c r="J84" s="46" t="s">
        <v>447</v>
      </c>
      <c r="K84" s="51" t="s">
        <v>448</v>
      </c>
      <c r="L84" s="48"/>
      <c r="M84" s="40" t="s">
        <v>449</v>
      </c>
    </row>
    <row r="85" hidden="1" spans="4:13">
      <c r="D85" s="45" t="s">
        <v>443</v>
      </c>
      <c r="E85" s="46" t="s">
        <v>456</v>
      </c>
      <c r="F85" s="41" t="s">
        <v>445</v>
      </c>
      <c r="G85" s="40" t="str">
        <f t="shared" si="3"/>
        <v>(五冶钢构医学科学产业园建设项目房建一部-五标（校医院6-1）)四川省南充市顺庆区搬罾街道学府大道二段</v>
      </c>
      <c r="H85" s="41" t="s">
        <v>446</v>
      </c>
      <c r="I85" s="41">
        <v>18141337338</v>
      </c>
      <c r="J85" s="46" t="s">
        <v>447</v>
      </c>
      <c r="K85" s="51" t="s">
        <v>448</v>
      </c>
      <c r="L85" s="48"/>
      <c r="M85" s="40" t="s">
        <v>449</v>
      </c>
    </row>
    <row r="86" hidden="1" spans="4:13">
      <c r="D86" s="45" t="s">
        <v>443</v>
      </c>
      <c r="E86" s="46" t="s">
        <v>457</v>
      </c>
      <c r="F86" s="41" t="s">
        <v>445</v>
      </c>
      <c r="G86" s="40" t="str">
        <f t="shared" si="3"/>
        <v>(五冶钢构医学科学产业园建设项目房建一部-六标（3-1）)四川省南充市顺庆区搬罾街道学府大道二段</v>
      </c>
      <c r="H86" s="41" t="s">
        <v>446</v>
      </c>
      <c r="I86" s="41">
        <v>18141337338</v>
      </c>
      <c r="J86" s="46" t="s">
        <v>447</v>
      </c>
      <c r="K86" s="51" t="s">
        <v>448</v>
      </c>
      <c r="L86" s="48"/>
      <c r="M86" s="40" t="s">
        <v>449</v>
      </c>
    </row>
    <row r="87" hidden="1" spans="4:13">
      <c r="D87" s="45" t="s">
        <v>443</v>
      </c>
      <c r="E87" s="46" t="s">
        <v>458</v>
      </c>
      <c r="F87" s="41" t="s">
        <v>445</v>
      </c>
      <c r="G87" s="40" t="str">
        <f t="shared" si="3"/>
        <v>(五冶钢构医学科学产业园建设项目房建二部-一标（1-3）)四川省南充市顺庆区搬罾街道学府大道二段</v>
      </c>
      <c r="H87" s="41" t="s">
        <v>459</v>
      </c>
      <c r="I87" s="41">
        <v>19950525030</v>
      </c>
      <c r="J87" s="46" t="s">
        <v>447</v>
      </c>
      <c r="K87" s="51" t="s">
        <v>448</v>
      </c>
      <c r="L87" s="48"/>
      <c r="M87" s="40" t="s">
        <v>449</v>
      </c>
    </row>
    <row r="88" hidden="1" spans="4:13">
      <c r="D88" s="45" t="s">
        <v>443</v>
      </c>
      <c r="E88" s="46" t="s">
        <v>460</v>
      </c>
      <c r="F88" s="41" t="s">
        <v>445</v>
      </c>
      <c r="G88" s="40" t="str">
        <f t="shared" si="3"/>
        <v>(五冶钢构医学科学产业园建设项目房建二部-一标（1-4）)四川省南充市顺庆区搬罾街道学府大道二段</v>
      </c>
      <c r="H88" s="41" t="s">
        <v>459</v>
      </c>
      <c r="I88" s="41">
        <v>19950525030</v>
      </c>
      <c r="J88" s="46" t="s">
        <v>447</v>
      </c>
      <c r="K88" s="51" t="s">
        <v>448</v>
      </c>
      <c r="L88" s="48"/>
      <c r="M88" s="40" t="s">
        <v>449</v>
      </c>
    </row>
    <row r="89" hidden="1" spans="4:13">
      <c r="D89" s="45" t="s">
        <v>443</v>
      </c>
      <c r="E89" s="46" t="s">
        <v>461</v>
      </c>
      <c r="F89" s="41" t="s">
        <v>445</v>
      </c>
      <c r="G89" s="40" t="str">
        <f t="shared" si="3"/>
        <v>(五冶钢构医学科学产业园建设项目房建二部-一标（1-6）)四川省南充市顺庆区搬罾街道学府大道二段</v>
      </c>
      <c r="H89" s="41" t="s">
        <v>459</v>
      </c>
      <c r="I89" s="41">
        <v>19950525030</v>
      </c>
      <c r="J89" s="46" t="s">
        <v>447</v>
      </c>
      <c r="K89" s="51" t="s">
        <v>448</v>
      </c>
      <c r="L89" s="48"/>
      <c r="M89" s="40" t="s">
        <v>449</v>
      </c>
    </row>
    <row r="90" hidden="1" spans="4:13">
      <c r="D90" s="45" t="s">
        <v>443</v>
      </c>
      <c r="E90" s="46" t="s">
        <v>462</v>
      </c>
      <c r="F90" s="41" t="s">
        <v>445</v>
      </c>
      <c r="G90" s="40" t="str">
        <f t="shared" si="3"/>
        <v>(五冶钢构医学科学产业园建设项目房建二部-一标（1-7）)四川省南充市顺庆区搬罾街道学府大道二段</v>
      </c>
      <c r="H90" s="41" t="s">
        <v>459</v>
      </c>
      <c r="I90" s="41">
        <v>19950525030</v>
      </c>
      <c r="J90" s="46" t="s">
        <v>447</v>
      </c>
      <c r="K90" s="51" t="s">
        <v>448</v>
      </c>
      <c r="L90" s="48"/>
      <c r="M90" s="40" t="s">
        <v>449</v>
      </c>
    </row>
    <row r="91" hidden="1" spans="4:13">
      <c r="D91" s="45" t="s">
        <v>443</v>
      </c>
      <c r="E91" s="46" t="s">
        <v>463</v>
      </c>
      <c r="F91" s="41" t="s">
        <v>445</v>
      </c>
      <c r="G91" s="40" t="str">
        <f t="shared" si="3"/>
        <v>(五冶钢构医学科学产业园建设项目房建二部-二标（图情信息中心1-1）)四川省南充市顺庆区搬罾街道学府大道二段</v>
      </c>
      <c r="H91" s="41" t="s">
        <v>459</v>
      </c>
      <c r="I91" s="41">
        <v>19950525030</v>
      </c>
      <c r="J91" s="46" t="s">
        <v>447</v>
      </c>
      <c r="K91" s="51" t="s">
        <v>448</v>
      </c>
      <c r="L91" s="48"/>
      <c r="M91" s="40" t="s">
        <v>449</v>
      </c>
    </row>
    <row r="92" hidden="1" spans="4:13">
      <c r="D92" s="45" t="s">
        <v>443</v>
      </c>
      <c r="E92" s="46" t="s">
        <v>59</v>
      </c>
      <c r="F92" s="41" t="s">
        <v>445</v>
      </c>
      <c r="G92" s="40" t="str">
        <f t="shared" si="3"/>
        <v>(五冶钢构医学科学产业园建设项目房建二部-三标（1-2）)四川省南充市顺庆区搬罾街道学府大道二段</v>
      </c>
      <c r="H92" s="41" t="s">
        <v>459</v>
      </c>
      <c r="I92" s="41">
        <v>19950525030</v>
      </c>
      <c r="J92" s="46" t="s">
        <v>447</v>
      </c>
      <c r="K92" s="51" t="s">
        <v>448</v>
      </c>
      <c r="L92" s="48"/>
      <c r="M92" s="40" t="s">
        <v>449</v>
      </c>
    </row>
    <row r="93" hidden="1" spans="4:13">
      <c r="D93" s="45" t="s">
        <v>443</v>
      </c>
      <c r="E93" s="46" t="s">
        <v>71</v>
      </c>
      <c r="F93" s="41" t="s">
        <v>445</v>
      </c>
      <c r="G93" s="40" t="str">
        <f t="shared" si="3"/>
        <v>(五冶钢构医学科学产业园建设项目房建二部-三标（1-5）)四川省南充市顺庆区搬罾街道学府大道二段</v>
      </c>
      <c r="H93" s="41" t="s">
        <v>459</v>
      </c>
      <c r="I93" s="41">
        <v>19950525030</v>
      </c>
      <c r="J93" s="46" t="s">
        <v>447</v>
      </c>
      <c r="K93" s="51" t="s">
        <v>448</v>
      </c>
      <c r="L93" s="48"/>
      <c r="M93" s="40" t="s">
        <v>449</v>
      </c>
    </row>
    <row r="94" hidden="1" spans="4:13">
      <c r="D94" s="45" t="s">
        <v>443</v>
      </c>
      <c r="E94" s="46" t="s">
        <v>464</v>
      </c>
      <c r="F94" s="41" t="s">
        <v>445</v>
      </c>
      <c r="G94" s="40" t="str">
        <f t="shared" si="3"/>
        <v>(五冶钢构医学科学产业园建设项目房建二部-三标（5-1）)四川省南充市顺庆区搬罾街道学府大道二段</v>
      </c>
      <c r="H94" s="41" t="s">
        <v>459</v>
      </c>
      <c r="I94" s="41">
        <v>19950525030</v>
      </c>
      <c r="J94" s="46" t="s">
        <v>447</v>
      </c>
      <c r="K94" s="51" t="s">
        <v>448</v>
      </c>
      <c r="L94" s="48"/>
      <c r="M94" s="40" t="s">
        <v>449</v>
      </c>
    </row>
    <row r="95" hidden="1" spans="4:13">
      <c r="D95" s="45" t="s">
        <v>443</v>
      </c>
      <c r="E95" s="46" t="s">
        <v>465</v>
      </c>
      <c r="F95" s="41" t="s">
        <v>445</v>
      </c>
      <c r="G95" s="40" t="str">
        <f t="shared" si="3"/>
        <v>(五冶钢构医学科学产业园建设项目房建二部-三标（5-2）)四川省南充市顺庆区搬罾街道学府大道二段</v>
      </c>
      <c r="H95" s="41" t="s">
        <v>459</v>
      </c>
      <c r="I95" s="41">
        <v>19950525030</v>
      </c>
      <c r="J95" s="46" t="s">
        <v>447</v>
      </c>
      <c r="K95" s="51" t="s">
        <v>448</v>
      </c>
      <c r="L95" s="48"/>
      <c r="M95" s="40" t="s">
        <v>449</v>
      </c>
    </row>
    <row r="96" hidden="1" spans="4:13">
      <c r="D96" s="45" t="s">
        <v>443</v>
      </c>
      <c r="E96" s="46" t="s">
        <v>466</v>
      </c>
      <c r="F96" s="41" t="s">
        <v>445</v>
      </c>
      <c r="G96" s="40" t="str">
        <f t="shared" si="3"/>
        <v>(五冶钢构医学科学产业园建设项目房建二部-三标（5-3）)四川省南充市顺庆区搬罾街道学府大道二段</v>
      </c>
      <c r="H96" s="41" t="s">
        <v>459</v>
      </c>
      <c r="I96" s="41">
        <v>19950525030</v>
      </c>
      <c r="J96" s="46" t="s">
        <v>447</v>
      </c>
      <c r="K96" s="51" t="s">
        <v>448</v>
      </c>
      <c r="L96" s="48"/>
      <c r="M96" s="40" t="s">
        <v>449</v>
      </c>
    </row>
    <row r="97" hidden="1" spans="4:13">
      <c r="D97" s="45" t="s">
        <v>443</v>
      </c>
      <c r="E97" s="46" t="s">
        <v>88</v>
      </c>
      <c r="F97" s="41" t="s">
        <v>445</v>
      </c>
      <c r="G97" s="40" t="str">
        <f t="shared" si="3"/>
        <v>(五冶钢构医学科学产业园建设项目房建二部-四标（5-4）)四川省南充市顺庆区搬罾街道学府大道二段</v>
      </c>
      <c r="H97" s="41" t="s">
        <v>459</v>
      </c>
      <c r="I97" s="41">
        <v>19950525030</v>
      </c>
      <c r="J97" s="46" t="s">
        <v>447</v>
      </c>
      <c r="K97" s="51" t="s">
        <v>448</v>
      </c>
      <c r="L97" s="48"/>
      <c r="M97" s="40" t="s">
        <v>449</v>
      </c>
    </row>
    <row r="98" hidden="1" spans="4:13">
      <c r="D98" s="45" t="s">
        <v>443</v>
      </c>
      <c r="E98" s="46" t="s">
        <v>467</v>
      </c>
      <c r="F98" s="41" t="s">
        <v>445</v>
      </c>
      <c r="G98" s="40" t="str">
        <f t="shared" si="3"/>
        <v>(五冶钢构医学科学产业园建设项目房建二部-四标（5-5）)四川省南充市顺庆区搬罾街道学府大道二段</v>
      </c>
      <c r="H98" s="41" t="s">
        <v>459</v>
      </c>
      <c r="I98" s="41">
        <v>19950525030</v>
      </c>
      <c r="J98" s="46" t="s">
        <v>447</v>
      </c>
      <c r="K98" s="51" t="s">
        <v>448</v>
      </c>
      <c r="L98" s="48"/>
      <c r="M98" s="40" t="s">
        <v>449</v>
      </c>
    </row>
    <row r="99" hidden="1" spans="4:13">
      <c r="D99" s="45" t="s">
        <v>443</v>
      </c>
      <c r="E99" s="46" t="s">
        <v>113</v>
      </c>
      <c r="F99" s="41" t="s">
        <v>445</v>
      </c>
      <c r="G99" s="40" t="str">
        <f t="shared" si="3"/>
        <v>(五冶钢构医学科学产业园建设项目房建二部-排洪渠（五标）)四川省南充市顺庆区搬罾街道学府大道二段</v>
      </c>
      <c r="H99" s="41" t="s">
        <v>459</v>
      </c>
      <c r="I99" s="41">
        <v>19950525030</v>
      </c>
      <c r="J99" s="46" t="s">
        <v>447</v>
      </c>
      <c r="K99" s="51" t="s">
        <v>448</v>
      </c>
      <c r="L99" s="48"/>
      <c r="M99" s="40" t="s">
        <v>449</v>
      </c>
    </row>
    <row r="100" hidden="1" spans="4:13">
      <c r="D100" s="45" t="s">
        <v>443</v>
      </c>
      <c r="E100" s="46" t="s">
        <v>60</v>
      </c>
      <c r="F100" s="41" t="s">
        <v>445</v>
      </c>
      <c r="G100" s="40" t="str">
        <f t="shared" si="3"/>
        <v>(五冶钢构医学科学产业园建设项目房建二部-六标)四川省南充市顺庆区搬罾街道学府大道二段</v>
      </c>
      <c r="H100" s="41" t="s">
        <v>459</v>
      </c>
      <c r="I100" s="41">
        <v>19950525030</v>
      </c>
      <c r="J100" s="46" t="s">
        <v>447</v>
      </c>
      <c r="K100" s="51" t="s">
        <v>448</v>
      </c>
      <c r="L100" s="48"/>
      <c r="M100" s="40" t="s">
        <v>449</v>
      </c>
    </row>
    <row r="101" hidden="1" spans="4:13">
      <c r="D101" s="45" t="s">
        <v>443</v>
      </c>
      <c r="E101" s="46" t="s">
        <v>72</v>
      </c>
      <c r="F101" s="41" t="s">
        <v>445</v>
      </c>
      <c r="G101" s="40" t="str">
        <f t="shared" si="3"/>
        <v>(五冶钢构医学科学产业园建设项目房建二部-网羽馆（6-5）)四川省南充市顺庆区搬罾街道学府大道二段</v>
      </c>
      <c r="H101" s="41" t="s">
        <v>459</v>
      </c>
      <c r="I101" s="41">
        <v>19950525030</v>
      </c>
      <c r="J101" s="46" t="s">
        <v>447</v>
      </c>
      <c r="K101" s="51" t="s">
        <v>448</v>
      </c>
      <c r="L101" s="48"/>
      <c r="M101" s="40" t="s">
        <v>449</v>
      </c>
    </row>
    <row r="102" hidden="1" spans="4:13">
      <c r="D102" s="45" t="s">
        <v>443</v>
      </c>
      <c r="E102" s="46" t="s">
        <v>468</v>
      </c>
      <c r="F102" s="41" t="s">
        <v>445</v>
      </c>
      <c r="G102" s="40" t="str">
        <f t="shared" si="3"/>
        <v>(五冶钢构医学科学产业园建设项目房建三部-一标（4-1）)四川省南充市顺庆区搬罾街道学府大道二段</v>
      </c>
      <c r="H102" s="41" t="s">
        <v>469</v>
      </c>
      <c r="I102" s="41">
        <v>18349955455</v>
      </c>
      <c r="J102" s="46" t="s">
        <v>447</v>
      </c>
      <c r="K102" s="51" t="s">
        <v>448</v>
      </c>
      <c r="L102" s="48"/>
      <c r="M102" s="40" t="s">
        <v>449</v>
      </c>
    </row>
    <row r="103" hidden="1" spans="4:13">
      <c r="D103" s="45" t="s">
        <v>443</v>
      </c>
      <c r="E103" s="46" t="s">
        <v>470</v>
      </c>
      <c r="F103" s="41" t="s">
        <v>445</v>
      </c>
      <c r="G103" s="40" t="str">
        <f t="shared" si="3"/>
        <v>(五冶钢构医学科学产业园建设项目房建三部-一标（4-2）)四川省南充市顺庆区搬罾街道学府大道二段</v>
      </c>
      <c r="H103" s="41" t="s">
        <v>469</v>
      </c>
      <c r="I103" s="41">
        <v>18349955455</v>
      </c>
      <c r="J103" s="46" t="s">
        <v>447</v>
      </c>
      <c r="K103" s="51" t="s">
        <v>448</v>
      </c>
      <c r="L103" s="48"/>
      <c r="M103" s="40" t="s">
        <v>449</v>
      </c>
    </row>
    <row r="104" hidden="1" spans="4:13">
      <c r="D104" s="45" t="s">
        <v>443</v>
      </c>
      <c r="E104" s="46" t="s">
        <v>471</v>
      </c>
      <c r="F104" s="41" t="s">
        <v>445</v>
      </c>
      <c r="G104" s="40" t="str">
        <f t="shared" si="3"/>
        <v>(五冶钢构医学科学产业园建设项目房建三部-一标（4-3）)四川省南充市顺庆区搬罾街道学府大道二段</v>
      </c>
      <c r="H104" s="41" t="s">
        <v>469</v>
      </c>
      <c r="I104" s="41">
        <v>18349955455</v>
      </c>
      <c r="J104" s="46" t="s">
        <v>447</v>
      </c>
      <c r="K104" s="51" t="s">
        <v>448</v>
      </c>
      <c r="L104" s="48"/>
      <c r="M104" s="40" t="s">
        <v>449</v>
      </c>
    </row>
    <row r="105" hidden="1" spans="4:13">
      <c r="D105" s="45" t="s">
        <v>443</v>
      </c>
      <c r="E105" s="46" t="s">
        <v>472</v>
      </c>
      <c r="F105" s="41" t="s">
        <v>445</v>
      </c>
      <c r="G105" s="40" t="str">
        <f t="shared" si="3"/>
        <v>(五冶钢构医学科学产业园建设项目房建三部-一标（4-4）)四川省南充市顺庆区搬罾街道学府大道二段</v>
      </c>
      <c r="H105" s="41" t="s">
        <v>469</v>
      </c>
      <c r="I105" s="41">
        <v>18349955455</v>
      </c>
      <c r="J105" s="46" t="s">
        <v>447</v>
      </c>
      <c r="K105" s="51" t="s">
        <v>448</v>
      </c>
      <c r="L105" s="48"/>
      <c r="M105" s="40" t="s">
        <v>449</v>
      </c>
    </row>
    <row r="106" hidden="1" spans="4:13">
      <c r="D106" s="45" t="s">
        <v>443</v>
      </c>
      <c r="E106" s="46" t="s">
        <v>473</v>
      </c>
      <c r="F106" s="41" t="s">
        <v>445</v>
      </c>
      <c r="G106" s="40" t="str">
        <f t="shared" si="3"/>
        <v>(五冶钢构医学科学产业园建设项目房建三部-一标（4-5）)四川省南充市顺庆区搬罾街道学府大道二段</v>
      </c>
      <c r="H106" s="41" t="s">
        <v>469</v>
      </c>
      <c r="I106" s="41">
        <v>18349955455</v>
      </c>
      <c r="J106" s="46" t="s">
        <v>447</v>
      </c>
      <c r="K106" s="51" t="s">
        <v>448</v>
      </c>
      <c r="L106" s="48"/>
      <c r="M106" s="40" t="s">
        <v>449</v>
      </c>
    </row>
    <row r="107" hidden="1" spans="4:13">
      <c r="D107" s="45" t="s">
        <v>443</v>
      </c>
      <c r="E107" s="46" t="s">
        <v>474</v>
      </c>
      <c r="F107" s="41" t="s">
        <v>445</v>
      </c>
      <c r="G107" s="40" t="str">
        <f t="shared" si="3"/>
        <v>(五冶钢构医学科学产业园建设项目房建三部-一标（4-6）)四川省南充市顺庆区搬罾街道学府大道二段</v>
      </c>
      <c r="H107" s="41" t="s">
        <v>469</v>
      </c>
      <c r="I107" s="41">
        <v>18349955455</v>
      </c>
      <c r="J107" s="46" t="s">
        <v>447</v>
      </c>
      <c r="K107" s="51" t="s">
        <v>448</v>
      </c>
      <c r="L107" s="48"/>
      <c r="M107" s="40" t="s">
        <v>449</v>
      </c>
    </row>
    <row r="108" hidden="1" spans="4:13">
      <c r="D108" s="45" t="s">
        <v>443</v>
      </c>
      <c r="E108" s="46" t="s">
        <v>73</v>
      </c>
      <c r="F108" s="41" t="s">
        <v>445</v>
      </c>
      <c r="G108" s="40" t="str">
        <f t="shared" si="3"/>
        <v>(五冶钢构医学科学产业园建设项目房建三部-一标（7-1）)四川省南充市顺庆区搬罾街道学府大道二段</v>
      </c>
      <c r="H108" s="41" t="s">
        <v>469</v>
      </c>
      <c r="I108" s="41">
        <v>18349955455</v>
      </c>
      <c r="J108" s="46" t="s">
        <v>447</v>
      </c>
      <c r="K108" s="51" t="s">
        <v>448</v>
      </c>
      <c r="L108" s="48"/>
      <c r="M108" s="40" t="s">
        <v>449</v>
      </c>
    </row>
    <row r="109" hidden="1" spans="4:13">
      <c r="D109" s="45" t="s">
        <v>443</v>
      </c>
      <c r="E109" s="46" t="s">
        <v>20</v>
      </c>
      <c r="F109" s="41" t="s">
        <v>445</v>
      </c>
      <c r="G109" s="40" t="str">
        <f t="shared" si="3"/>
        <v>(五冶钢构医学科学产业园建设项目房建三部-一标（7-2）)四川省南充市顺庆区搬罾街道学府大道二段</v>
      </c>
      <c r="H109" s="41" t="s">
        <v>469</v>
      </c>
      <c r="I109" s="41">
        <v>18349955455</v>
      </c>
      <c r="J109" s="46" t="s">
        <v>447</v>
      </c>
      <c r="K109" s="51" t="s">
        <v>448</v>
      </c>
      <c r="L109" s="48"/>
      <c r="M109" s="40" t="s">
        <v>449</v>
      </c>
    </row>
    <row r="110" hidden="1" spans="4:13">
      <c r="D110" s="45" t="s">
        <v>443</v>
      </c>
      <c r="E110" s="46" t="s">
        <v>23</v>
      </c>
      <c r="F110" s="41" t="s">
        <v>445</v>
      </c>
      <c r="G110" s="40" t="str">
        <f t="shared" si="3"/>
        <v>(五冶钢构医学科学产业园建设项目房建三部-一标（7-3）)四川省南充市顺庆区搬罾街道学府大道二段</v>
      </c>
      <c r="H110" s="41" t="s">
        <v>469</v>
      </c>
      <c r="I110" s="41">
        <v>18349955455</v>
      </c>
      <c r="J110" s="46" t="s">
        <v>447</v>
      </c>
      <c r="K110" s="51" t="s">
        <v>448</v>
      </c>
      <c r="L110" s="48"/>
      <c r="M110" s="40" t="s">
        <v>449</v>
      </c>
    </row>
    <row r="111" hidden="1" spans="4:13">
      <c r="D111" s="45" t="s">
        <v>443</v>
      </c>
      <c r="E111" s="46" t="s">
        <v>24</v>
      </c>
      <c r="F111" s="41" t="s">
        <v>445</v>
      </c>
      <c r="G111" s="40" t="str">
        <f t="shared" si="3"/>
        <v>(五冶钢构医学科学产业园建设项目房建三部-一标（7-4）)四川省南充市顺庆区搬罾街道学府大道二段</v>
      </c>
      <c r="H111" s="41" t="s">
        <v>469</v>
      </c>
      <c r="I111" s="41">
        <v>18349955455</v>
      </c>
      <c r="J111" s="46" t="s">
        <v>447</v>
      </c>
      <c r="K111" s="51" t="s">
        <v>448</v>
      </c>
      <c r="L111" s="48"/>
      <c r="M111" s="40" t="s">
        <v>449</v>
      </c>
    </row>
    <row r="112" hidden="1" spans="4:13">
      <c r="D112" s="45" t="s">
        <v>443</v>
      </c>
      <c r="E112" s="40" t="s">
        <v>89</v>
      </c>
      <c r="F112" s="41" t="s">
        <v>445</v>
      </c>
      <c r="G112" s="40" t="str">
        <f t="shared" si="3"/>
        <v>(五冶钢构医学科学产业园建设项目房建三部-排洪渠)四川省南充市顺庆区搬罾街道学府大道二段</v>
      </c>
      <c r="H112" s="41" t="s">
        <v>469</v>
      </c>
      <c r="I112" s="41">
        <v>18349955455</v>
      </c>
      <c r="J112" s="46" t="s">
        <v>447</v>
      </c>
      <c r="K112" s="51" t="s">
        <v>448</v>
      </c>
      <c r="L112" s="48"/>
      <c r="M112" s="40" t="s">
        <v>449</v>
      </c>
    </row>
    <row r="113" hidden="1" spans="4:13">
      <c r="D113" s="45" t="s">
        <v>443</v>
      </c>
      <c r="E113" s="40" t="s">
        <v>127</v>
      </c>
      <c r="F113" s="41" t="s">
        <v>445</v>
      </c>
      <c r="G113" s="40" t="str">
        <f t="shared" si="3"/>
        <v>(五冶钢构医学科学产业园建设项目房建三部-管网总坪)四川省南充市顺庆区搬罾街道学府大道二段</v>
      </c>
      <c r="H113" s="41" t="s">
        <v>469</v>
      </c>
      <c r="I113" s="41">
        <v>18349955455</v>
      </c>
      <c r="J113" s="46" t="s">
        <v>447</v>
      </c>
      <c r="K113" s="51" t="s">
        <v>448</v>
      </c>
      <c r="L113" s="48"/>
      <c r="M113" s="40" t="s">
        <v>449</v>
      </c>
    </row>
    <row r="114" hidden="1" spans="4:13">
      <c r="D114" s="45" t="s">
        <v>443</v>
      </c>
      <c r="E114" s="40" t="s">
        <v>117</v>
      </c>
      <c r="F114" s="41" t="s">
        <v>445</v>
      </c>
      <c r="G114" s="40" t="str">
        <f t="shared" si="3"/>
        <v>(五冶钢构医学科学产业园建设项目房建三部-配套用房及围墙)四川省南充市顺庆区搬罾街道学府大道二段</v>
      </c>
      <c r="H114" s="41" t="s">
        <v>469</v>
      </c>
      <c r="I114" s="41">
        <v>18349955455</v>
      </c>
      <c r="J114" s="46" t="s">
        <v>447</v>
      </c>
      <c r="K114" s="51" t="s">
        <v>448</v>
      </c>
      <c r="L114" s="48"/>
      <c r="M114" s="40" t="s">
        <v>449</v>
      </c>
    </row>
    <row r="115" hidden="1" spans="4:13">
      <c r="D115" s="45" t="s">
        <v>443</v>
      </c>
      <c r="E115" s="40" t="s">
        <v>475</v>
      </c>
      <c r="F115" s="41" t="s">
        <v>445</v>
      </c>
      <c r="G115" s="40" t="str">
        <f t="shared" si="3"/>
        <v>(五冶钢构医学科学产业园建设项目房建连接线道路工程-1)四川省南充市顺庆区搬罾街道学府大道二段</v>
      </c>
      <c r="H115" s="41" t="s">
        <v>476</v>
      </c>
      <c r="I115" s="41">
        <v>13908143055</v>
      </c>
      <c r="J115" s="46" t="s">
        <v>447</v>
      </c>
      <c r="K115" s="51" t="s">
        <v>448</v>
      </c>
      <c r="L115" s="48"/>
      <c r="M115" s="40" t="s">
        <v>449</v>
      </c>
    </row>
    <row r="116" hidden="1" spans="4:13">
      <c r="D116" s="45" t="s">
        <v>443</v>
      </c>
      <c r="E116" s="40" t="s">
        <v>477</v>
      </c>
      <c r="F116" s="41" t="s">
        <v>445</v>
      </c>
      <c r="G116" s="40" t="str">
        <f t="shared" si="3"/>
        <v>(五冶钢构医学科学产业园建设项目房建连接线道路工程-2)四川省南充市顺庆区搬罾街道学府大道二段</v>
      </c>
      <c r="H116" s="41" t="s">
        <v>478</v>
      </c>
      <c r="I116" s="41">
        <v>15982411682</v>
      </c>
      <c r="J116" s="46" t="s">
        <v>447</v>
      </c>
      <c r="K116" s="51" t="s">
        <v>448</v>
      </c>
      <c r="L116" s="48"/>
      <c r="M116" s="40"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6" customFormat="1" spans="1:13">
      <c r="A138" s="27"/>
      <c r="B138" s="27"/>
      <c r="C138" s="28"/>
      <c r="D138" s="27"/>
      <c r="E138" s="27"/>
      <c r="F138" s="27"/>
      <c r="G138" s="30"/>
      <c r="H138" s="27"/>
      <c r="I138" s="27"/>
      <c r="J138" s="31"/>
      <c r="K138" s="32"/>
      <c r="L138" s="32"/>
      <c r="M138" s="32"/>
    </row>
    <row r="139" spans="4:4">
      <c r="D139" s="27"/>
    </row>
    <row r="140" spans="4:4">
      <c r="D140" s="27"/>
    </row>
    <row r="141" spans="4:4">
      <c r="D141" s="27"/>
    </row>
    <row r="142" spans="4:4">
      <c r="D142" s="27"/>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E15" sqref="E15"/>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5"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5"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4" t="s">
        <v>523</v>
      </c>
      <c r="D21" s="23"/>
    </row>
    <row r="22" s="18" customFormat="1" spans="1:4">
      <c r="A22" s="21" t="s">
        <v>196</v>
      </c>
      <c r="B22" s="21" t="s">
        <v>524</v>
      </c>
      <c r="C22" s="24"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45959</v>
      </c>
      <c r="B2" s="9" t="s">
        <v>574</v>
      </c>
      <c r="C2" s="9" t="str">
        <f>VLOOKUP(D2,辅助信息!A:B,2,FALSE)</f>
        <v>盘螺</v>
      </c>
      <c r="D2" s="9" t="s">
        <v>41</v>
      </c>
    </row>
    <row r="3" spans="1:4">
      <c r="A3" s="12">
        <f ca="1" t="shared" si="0"/>
        <v>45959</v>
      </c>
      <c r="B3" s="9" t="s">
        <v>574</v>
      </c>
      <c r="C3" s="9" t="str">
        <f>VLOOKUP(D3,辅助信息!A:B,2,FALSE)</f>
        <v>螺纹钢</v>
      </c>
      <c r="D3" s="9" t="s">
        <v>27</v>
      </c>
    </row>
    <row r="4" spans="1:4">
      <c r="A4" s="12">
        <f ca="1" t="shared" si="0"/>
        <v>45959</v>
      </c>
      <c r="B4" s="9" t="s">
        <v>574</v>
      </c>
      <c r="C4" s="9" t="str">
        <f>VLOOKUP(D4,辅助信息!A:B,2,FALSE)</f>
        <v>螺纹钢</v>
      </c>
      <c r="D4" s="9" t="s">
        <v>19</v>
      </c>
    </row>
    <row r="5" spans="1:4">
      <c r="A5" s="12">
        <f ca="1" t="shared" si="0"/>
        <v>45959</v>
      </c>
      <c r="B5" s="9" t="s">
        <v>574</v>
      </c>
      <c r="C5" s="9" t="str">
        <f>VLOOKUP(D5,辅助信息!A:B,2,FALSE)</f>
        <v>螺纹钢</v>
      </c>
      <c r="D5" s="9" t="s">
        <v>28</v>
      </c>
    </row>
    <row r="6" spans="1:4">
      <c r="A6" s="12">
        <f ca="1" t="shared" si="0"/>
        <v>45959</v>
      </c>
      <c r="B6" s="9" t="s">
        <v>574</v>
      </c>
      <c r="C6" s="9" t="str">
        <f>VLOOKUP(D6,辅助信息!A:B,2,FALSE)</f>
        <v>螺纹钢</v>
      </c>
      <c r="D6" s="9" t="s">
        <v>52</v>
      </c>
    </row>
    <row r="7" spans="1:4">
      <c r="A7" s="12">
        <f ca="1" t="shared" si="0"/>
        <v>45959</v>
      </c>
      <c r="B7" s="9" t="s">
        <v>574</v>
      </c>
      <c r="C7" s="9" t="str">
        <f>VLOOKUP(D7,辅助信息!A:B,2,FALSE)</f>
        <v>螺纹钢</v>
      </c>
      <c r="D7" s="9" t="s">
        <v>76</v>
      </c>
    </row>
    <row r="8" spans="1:4">
      <c r="A8" s="12">
        <f ca="1" t="shared" si="0"/>
        <v>45959</v>
      </c>
      <c r="B8" s="9" t="s">
        <v>574</v>
      </c>
      <c r="C8" s="9" t="str">
        <f>VLOOKUP(D8,辅助信息!A:B,2,FALSE)</f>
        <v>螺纹钢</v>
      </c>
      <c r="D8" s="9" t="s">
        <v>86</v>
      </c>
    </row>
    <row r="9" spans="1:4">
      <c r="A9" s="12">
        <f ca="1" t="shared" si="0"/>
        <v>45959</v>
      </c>
      <c r="B9" s="9" t="s">
        <v>574</v>
      </c>
      <c r="C9" s="9" t="str">
        <f>VLOOKUP(D9,辅助信息!A:B,2,FALSE)</f>
        <v>螺纹钢</v>
      </c>
      <c r="D9" s="9" t="s">
        <v>82</v>
      </c>
    </row>
    <row r="10" spans="1:4">
      <c r="A10" s="12">
        <f ca="1" t="shared" si="0"/>
        <v>45959</v>
      </c>
      <c r="B10" s="9" t="s">
        <v>574</v>
      </c>
      <c r="C10" s="9" t="str">
        <f>VLOOKUP(D10,辅助信息!A:B,2,FALSE)</f>
        <v>螺纹钢</v>
      </c>
      <c r="D10" s="9" t="s">
        <v>45</v>
      </c>
    </row>
    <row r="11" spans="1:4">
      <c r="A11" s="12">
        <f ca="1" t="shared" si="0"/>
        <v>45959</v>
      </c>
      <c r="B11" s="9" t="s">
        <v>574</v>
      </c>
      <c r="C11" s="9" t="str">
        <f>VLOOKUP(D11,辅助信息!A:B,2,FALSE)</f>
        <v>螺纹钢</v>
      </c>
      <c r="D11" s="9" t="s">
        <v>21</v>
      </c>
    </row>
    <row r="12" ht="18.95" customHeight="1" spans="1:1">
      <c r="A12" s="12">
        <f ca="1" t="shared" si="0"/>
        <v>45959</v>
      </c>
    </row>
    <row r="13" spans="1:4">
      <c r="A13" s="12">
        <f ca="1" t="shared" ref="A13:A26" si="1">TODAY()</f>
        <v>45959</v>
      </c>
      <c r="B13" s="13" t="s">
        <v>575</v>
      </c>
      <c r="C13" s="9" t="str">
        <f>VLOOKUP(D13,辅助信息!A:B,2,FALSE)</f>
        <v>螺纹钢</v>
      </c>
      <c r="D13" s="9" t="s">
        <v>133</v>
      </c>
    </row>
    <row r="14" spans="1:4">
      <c r="A14" s="12">
        <f ca="1" t="shared" si="1"/>
        <v>45959</v>
      </c>
      <c r="B14" s="13" t="s">
        <v>575</v>
      </c>
      <c r="C14" s="9" t="str">
        <f>VLOOKUP(D14,辅助信息!A:B,2,FALSE)</f>
        <v>螺纹钢</v>
      </c>
      <c r="D14" s="9" t="s">
        <v>91</v>
      </c>
    </row>
    <row r="15" spans="1:4">
      <c r="A15" s="12">
        <f ca="1" t="shared" si="1"/>
        <v>45959</v>
      </c>
      <c r="B15" s="13" t="s">
        <v>575</v>
      </c>
      <c r="C15" s="9" t="str">
        <f>VLOOKUP(D15,辅助信息!A:B,2,FALSE)</f>
        <v>螺纹钢</v>
      </c>
      <c r="D15" s="9" t="s">
        <v>77</v>
      </c>
    </row>
    <row r="16" spans="1:4">
      <c r="A16" s="12">
        <f ca="1" t="shared" si="1"/>
        <v>45959</v>
      </c>
      <c r="B16" s="13" t="s">
        <v>575</v>
      </c>
      <c r="C16" s="9" t="str">
        <f>VLOOKUP(D16,辅助信息!A:B,2,FALSE)</f>
        <v>螺纹钢</v>
      </c>
      <c r="D16" s="9" t="s">
        <v>86</v>
      </c>
    </row>
    <row r="17" spans="1:4">
      <c r="A17" s="12">
        <f ca="1" t="shared" si="1"/>
        <v>45959</v>
      </c>
      <c r="B17" s="13" t="s">
        <v>575</v>
      </c>
      <c r="C17" s="9" t="str">
        <f>VLOOKUP(D17,辅助信息!A:B,2,FALSE)</f>
        <v>螺纹钢</v>
      </c>
      <c r="D17" s="9" t="s">
        <v>66</v>
      </c>
    </row>
    <row r="18" spans="1:4">
      <c r="A18" s="12">
        <f ca="1" t="shared" si="1"/>
        <v>45959</v>
      </c>
      <c r="B18" s="13" t="s">
        <v>575</v>
      </c>
      <c r="C18" s="9" t="str">
        <f>VLOOKUP(D18,辅助信息!A:B,2,FALSE)</f>
        <v>螺纹钢</v>
      </c>
      <c r="D18" s="9" t="s">
        <v>82</v>
      </c>
    </row>
    <row r="19" spans="1:4">
      <c r="A19" s="12">
        <f ca="1" t="shared" si="1"/>
        <v>45959</v>
      </c>
      <c r="B19" s="13" t="s">
        <v>575</v>
      </c>
      <c r="C19" s="9" t="str">
        <f>VLOOKUP(D19,辅助信息!A:B,2,FALSE)</f>
        <v>螺纹钢</v>
      </c>
      <c r="D19" s="9" t="s">
        <v>45</v>
      </c>
    </row>
    <row r="20" spans="1:4">
      <c r="A20" s="12">
        <f ca="1" t="shared" si="1"/>
        <v>45959</v>
      </c>
      <c r="B20" s="13" t="s">
        <v>575</v>
      </c>
      <c r="C20" s="9" t="str">
        <f>VLOOKUP(D20,辅助信息!A:B,2,FALSE)</f>
        <v>螺纹钢</v>
      </c>
      <c r="D20" s="9" t="s">
        <v>21</v>
      </c>
    </row>
    <row r="21" spans="1:4">
      <c r="A21" s="12">
        <f ca="1" t="shared" si="1"/>
        <v>45959</v>
      </c>
      <c r="B21" s="13" t="s">
        <v>575</v>
      </c>
      <c r="C21" s="9" t="str">
        <f>VLOOKUP(D21,辅助信息!A:B,2,FALSE)</f>
        <v>螺纹钢</v>
      </c>
      <c r="D21" s="9" t="s">
        <v>58</v>
      </c>
    </row>
    <row r="22" spans="1:4">
      <c r="A22" s="12">
        <f ca="1" t="shared" si="1"/>
        <v>45959</v>
      </c>
      <c r="B22" s="13" t="s">
        <v>575</v>
      </c>
      <c r="C22" s="9" t="str">
        <f>VLOOKUP(D22,辅助信息!A:B,2,FALSE)</f>
        <v>螺纹钢</v>
      </c>
      <c r="D22" s="9" t="s">
        <v>46</v>
      </c>
    </row>
    <row r="23" spans="1:4">
      <c r="A23" s="12">
        <f ca="1" t="shared" si="1"/>
        <v>45959</v>
      </c>
      <c r="B23" s="13" t="s">
        <v>575</v>
      </c>
      <c r="C23" s="9" t="str">
        <f>VLOOKUP(D23,辅助信息!A:B,2,FALSE)</f>
        <v>螺纹钢</v>
      </c>
      <c r="D23" s="9" t="s">
        <v>22</v>
      </c>
    </row>
    <row r="24" spans="1:4">
      <c r="A24" s="12">
        <f ca="1" t="shared" si="1"/>
        <v>45959</v>
      </c>
      <c r="B24" s="13" t="s">
        <v>575</v>
      </c>
      <c r="C24" s="9" t="str">
        <f>VLOOKUP(D24,辅助信息!A:B,2,FALSE)</f>
        <v>螺纹钢</v>
      </c>
      <c r="D24" s="9" t="s">
        <v>181</v>
      </c>
    </row>
    <row r="25" spans="1:4">
      <c r="A25" s="12">
        <f ca="1" t="shared" si="1"/>
        <v>45959</v>
      </c>
      <c r="B25" s="13" t="s">
        <v>575</v>
      </c>
      <c r="C25" s="9" t="str">
        <f>VLOOKUP(D25,辅助信息!A:B,2,FALSE)</f>
        <v>螺纹钢</v>
      </c>
      <c r="D25" s="9" t="s">
        <v>182</v>
      </c>
    </row>
    <row r="26" spans="1:4">
      <c r="A26" s="12">
        <f ca="1" t="shared" si="1"/>
        <v>45959</v>
      </c>
      <c r="B26" s="9" t="s">
        <v>576</v>
      </c>
      <c r="C26" s="9" t="str">
        <f>VLOOKUP(D26,辅助信息!A:B,2,FALSE)</f>
        <v>盘螺</v>
      </c>
      <c r="D26" s="9" t="s">
        <v>49</v>
      </c>
    </row>
    <row r="27" spans="1:4">
      <c r="A27" s="12">
        <f ca="1" t="shared" ref="A27:A36" si="2">TODAY()</f>
        <v>45959</v>
      </c>
      <c r="B27" s="9" t="s">
        <v>576</v>
      </c>
      <c r="C27" s="9" t="str">
        <f>VLOOKUP(D27,辅助信息!A:B,2,FALSE)</f>
        <v>盘螺</v>
      </c>
      <c r="D27" s="9" t="s">
        <v>40</v>
      </c>
    </row>
    <row r="28" spans="1:4">
      <c r="A28" s="12">
        <f ca="1" t="shared" si="2"/>
        <v>45959</v>
      </c>
      <c r="B28" s="9" t="s">
        <v>576</v>
      </c>
      <c r="C28" s="9" t="str">
        <f>VLOOKUP(D28,辅助信息!A:B,2,FALSE)</f>
        <v>盘螺</v>
      </c>
      <c r="D28" s="9" t="s">
        <v>41</v>
      </c>
    </row>
    <row r="29" spans="1:4">
      <c r="A29" s="12">
        <f ca="1" t="shared" si="2"/>
        <v>45959</v>
      </c>
      <c r="B29" s="9" t="s">
        <v>576</v>
      </c>
      <c r="C29" s="9" t="str">
        <f>VLOOKUP(D29,辅助信息!A:B,2,FALSE)</f>
        <v>盘螺</v>
      </c>
      <c r="D29" s="9" t="s">
        <v>26</v>
      </c>
    </row>
    <row r="30" spans="1:4">
      <c r="A30" s="12">
        <f ca="1" t="shared" si="2"/>
        <v>45959</v>
      </c>
      <c r="B30" s="9" t="s">
        <v>576</v>
      </c>
      <c r="C30" s="9" t="e">
        <f>VLOOKUP(D30,辅助信息!A:B,2,FALSE)</f>
        <v>#N/A</v>
      </c>
      <c r="D30" s="9" t="s">
        <v>577</v>
      </c>
    </row>
    <row r="31" spans="1:4">
      <c r="A31" s="12">
        <f ca="1" t="shared" si="2"/>
        <v>45959</v>
      </c>
      <c r="B31" s="9" t="s">
        <v>576</v>
      </c>
      <c r="C31" s="9" t="str">
        <f>VLOOKUP(D31,辅助信息!A:B,2,FALSE)</f>
        <v>螺纹钢</v>
      </c>
      <c r="D31" s="9" t="s">
        <v>27</v>
      </c>
    </row>
    <row r="32" spans="1:4">
      <c r="A32" s="12">
        <f ca="1" t="shared" si="2"/>
        <v>45959</v>
      </c>
      <c r="B32" s="9" t="s">
        <v>576</v>
      </c>
      <c r="C32" s="9" t="str">
        <f>VLOOKUP(D32,辅助信息!A:B,2,FALSE)</f>
        <v>螺纹钢</v>
      </c>
      <c r="D32" s="9" t="s">
        <v>19</v>
      </c>
    </row>
    <row r="33" spans="1:4">
      <c r="A33" s="12">
        <f ca="1" t="shared" si="2"/>
        <v>45959</v>
      </c>
      <c r="B33" s="9" t="s">
        <v>576</v>
      </c>
      <c r="C33" s="9" t="str">
        <f>VLOOKUP(D33,辅助信息!A:B,2,FALSE)</f>
        <v>螺纹钢</v>
      </c>
      <c r="D33" s="9" t="s">
        <v>32</v>
      </c>
    </row>
    <row r="34" spans="1:4">
      <c r="A34" s="12">
        <f ca="1" t="shared" si="2"/>
        <v>45959</v>
      </c>
      <c r="B34" s="9" t="s">
        <v>576</v>
      </c>
      <c r="C34" s="9" t="str">
        <f>VLOOKUP(D34,辅助信息!A:B,2,FALSE)</f>
        <v>螺纹钢</v>
      </c>
      <c r="D34" s="9" t="s">
        <v>33</v>
      </c>
    </row>
    <row r="35" spans="1:4">
      <c r="A35" s="12">
        <f ca="1" t="shared" si="2"/>
        <v>45959</v>
      </c>
      <c r="B35" s="9" t="s">
        <v>576</v>
      </c>
      <c r="C35" s="9" t="str">
        <f>VLOOKUP(D35,辅助信息!A:B,2,FALSE)</f>
        <v>螺纹钢</v>
      </c>
      <c r="D35" s="9" t="s">
        <v>28</v>
      </c>
    </row>
    <row r="36" spans="1:4">
      <c r="A36" s="12">
        <f ca="1" t="shared" si="2"/>
        <v>45959</v>
      </c>
      <c r="B36" s="9" t="s">
        <v>576</v>
      </c>
      <c r="C36" s="9" t="str">
        <f>VLOOKUP(D36,辅助信息!A:B,2,FALSE)</f>
        <v>螺纹钢</v>
      </c>
      <c r="D36" s="9" t="s">
        <v>18</v>
      </c>
    </row>
    <row r="37" spans="1:4">
      <c r="A37" s="12">
        <f ca="1" t="shared" ref="A37:A46" si="3">TODAY()</f>
        <v>45959</v>
      </c>
      <c r="B37" s="9" t="s">
        <v>576</v>
      </c>
      <c r="C37" s="9" t="str">
        <f>VLOOKUP(D37,辅助信息!A:B,2,FALSE)</f>
        <v>螺纹钢</v>
      </c>
      <c r="D37" s="9" t="s">
        <v>65</v>
      </c>
    </row>
    <row r="38" spans="1:4">
      <c r="A38" s="12">
        <f ca="1" t="shared" si="3"/>
        <v>45959</v>
      </c>
      <c r="B38" s="9" t="s">
        <v>576</v>
      </c>
      <c r="C38" s="9" t="str">
        <f>VLOOKUP(D38,辅助信息!A:B,2,FALSE)</f>
        <v>螺纹钢</v>
      </c>
      <c r="D38" s="9" t="s">
        <v>52</v>
      </c>
    </row>
    <row r="39" spans="1:4">
      <c r="A39" s="12">
        <f ca="1" t="shared" si="3"/>
        <v>45959</v>
      </c>
      <c r="B39" s="9" t="s">
        <v>576</v>
      </c>
      <c r="C39" s="9" t="str">
        <f>VLOOKUP(D39,辅助信息!A:B,2,FALSE)</f>
        <v>螺纹钢</v>
      </c>
      <c r="D39" s="9" t="s">
        <v>111</v>
      </c>
    </row>
    <row r="40" spans="1:4">
      <c r="A40" s="12">
        <f ca="1" t="shared" si="3"/>
        <v>45959</v>
      </c>
      <c r="B40" s="9" t="s">
        <v>576</v>
      </c>
      <c r="C40" s="9" t="str">
        <f>VLOOKUP(D40,辅助信息!A:B,2,FALSE)</f>
        <v>螺纹钢</v>
      </c>
      <c r="D40" s="9" t="s">
        <v>76</v>
      </c>
    </row>
    <row r="41" spans="1:4">
      <c r="A41" s="12">
        <f ca="1" t="shared" si="3"/>
        <v>45959</v>
      </c>
      <c r="B41" s="9" t="s">
        <v>576</v>
      </c>
      <c r="C41" s="9" t="str">
        <f>VLOOKUP(D41,辅助信息!A:B,2,FALSE)</f>
        <v>螺纹钢</v>
      </c>
      <c r="D41" s="9" t="s">
        <v>90</v>
      </c>
    </row>
    <row r="42" spans="1:4">
      <c r="A42" s="12">
        <f ca="1" t="shared" si="3"/>
        <v>45959</v>
      </c>
      <c r="B42" s="9" t="s">
        <v>576</v>
      </c>
      <c r="C42" s="9" t="str">
        <f>VLOOKUP(D42,辅助信息!A:B,2,FALSE)</f>
        <v>螺纹钢</v>
      </c>
      <c r="D42" s="9" t="s">
        <v>130</v>
      </c>
    </row>
    <row r="43" spans="1:4">
      <c r="A43" s="12">
        <f ca="1" t="shared" si="3"/>
        <v>45959</v>
      </c>
      <c r="B43" s="9" t="s">
        <v>576</v>
      </c>
      <c r="C43" s="9" t="str">
        <f>VLOOKUP(D43,辅助信息!A:B,2,FALSE)</f>
        <v>螺纹钢</v>
      </c>
      <c r="D43" s="9" t="s">
        <v>133</v>
      </c>
    </row>
    <row r="44" spans="1:4">
      <c r="A44" s="12">
        <f ca="1" t="shared" si="3"/>
        <v>45959</v>
      </c>
      <c r="B44" s="9" t="s">
        <v>576</v>
      </c>
      <c r="C44" s="9" t="str">
        <f>VLOOKUP(D44,辅助信息!A:B,2,FALSE)</f>
        <v>螺纹钢</v>
      </c>
      <c r="D44" s="9" t="s">
        <v>91</v>
      </c>
    </row>
    <row r="45" spans="1:4">
      <c r="A45" s="12">
        <f ca="1" t="shared" si="3"/>
        <v>45959</v>
      </c>
      <c r="B45" s="9" t="s">
        <v>576</v>
      </c>
      <c r="C45" s="9" t="str">
        <f>VLOOKUP(D45,辅助信息!A:B,2,FALSE)</f>
        <v>螺纹钢</v>
      </c>
      <c r="D45" s="9" t="s">
        <v>77</v>
      </c>
    </row>
    <row r="46" spans="1:4">
      <c r="A46" s="12">
        <f ca="1" t="shared" si="3"/>
        <v>45959</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HPB300Φ8</v>
      </c>
      <c r="D9057" s="2" t="str">
        <f>'[1]2025年已发货'!D:D</f>
        <v>吨</v>
      </c>
      <c r="E9057" s="2">
        <f>'[1]2025年已发货'!E:E</f>
        <v>2</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高线</v>
      </c>
      <c r="C9058" s="2" t="str">
        <f>'[1]2025年已发货'!C:C</f>
        <v>HPB300Φ6</v>
      </c>
      <c r="D9058" s="2" t="str">
        <f>'[1]2025年已发货'!D:D</f>
        <v>吨</v>
      </c>
      <c r="E9058" s="2">
        <f>'[1]2025年已发货'!E:E</f>
        <v>6</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盘螺</v>
      </c>
      <c r="C9059" s="2" t="str">
        <f>'[1]2025年已发货'!C:C</f>
        <v>HRB400EФ8</v>
      </c>
      <c r="D9059" s="2" t="str">
        <f>'[1]2025年已发货'!D:D</f>
        <v>吨</v>
      </c>
      <c r="E9059" s="2">
        <f>'[1]2025年已发货'!E:E</f>
        <v>15.5</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达钢</v>
      </c>
      <c r="B9060" s="2" t="str">
        <f>'[1]2025年已发货'!B:B</f>
        <v>螺纹钢</v>
      </c>
      <c r="C9060" s="2" t="str">
        <f>'[1]2025年已发货'!C:C</f>
        <v>HRB400EФ14*12m</v>
      </c>
      <c r="D9060" s="2" t="str">
        <f>'[1]2025年已发货'!D:D</f>
        <v>吨</v>
      </c>
      <c r="E9060" s="2">
        <f>'[1]2025年已发货'!E:E</f>
        <v>6</v>
      </c>
      <c r="F9060" s="4">
        <f>'[1]2025年已发货'!F:F</f>
        <v>45958</v>
      </c>
      <c r="G9060" s="2" t="str">
        <f>'[1]2025年已发货'!G:G</f>
        <v>（北京工程局乐山机场项目）乐山市五通桥区冠英镇</v>
      </c>
      <c r="H9060" s="2" t="str">
        <f>'[1]2025年已发货'!H:H</f>
        <v>王治</v>
      </c>
      <c r="I9060" s="2">
        <f>'[1]2025年已发货'!I:I</f>
        <v>18811564698</v>
      </c>
      <c r="J9060" s="2" vm="1" t="e">
        <f>_xlfn._xlws.FILTER(辅助信息!D:D,辅助信息!G:G=G9060)</f>
        <v>#VALUE!</v>
      </c>
    </row>
    <row r="9061" spans="1:10">
      <c r="A9061" s="2" t="str">
        <f>'[1]2025年已发货'!A:A</f>
        <v>泸钢</v>
      </c>
      <c r="B9061" s="2" t="str">
        <f>'[1]2025年已发货'!B:B</f>
        <v>螺纹钢</v>
      </c>
      <c r="C9061" s="2" t="str">
        <f>'[1]2025年已发货'!C:C</f>
        <v>HRB400E Φ16 9m</v>
      </c>
      <c r="D9061" s="2" t="str">
        <f>'[1]2025年已发货'!D:D</f>
        <v>吨</v>
      </c>
      <c r="E9061" s="2">
        <f>'[1]2025年已发货'!E:E</f>
        <v>30</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v>
      </c>
      <c r="B9062" s="2" t="str">
        <f>'[1]2025年已发货'!B:B</f>
        <v>螺纹钢</v>
      </c>
      <c r="C9062" s="2" t="str">
        <f>'[1]2025年已发货'!C:C</f>
        <v>HRB400E Φ18 9m</v>
      </c>
      <c r="D9062" s="2" t="str">
        <f>'[1]2025年已发货'!D:D</f>
        <v>吨</v>
      </c>
      <c r="E9062" s="2">
        <f>'[1]2025年已发货'!E:E</f>
        <v>5</v>
      </c>
      <c r="F9062" s="4">
        <f>'[1]2025年已发货'!F:F</f>
        <v>45958</v>
      </c>
      <c r="G9062" s="2" t="str">
        <f>'[1]2025年已发货'!G:G</f>
        <v>(五冶钢构龙泉东洪片区70亩住宅、商业及配套工程项目三标段)成都市龙泉驿外东洪路地铁2号线惠王陵地铁C口</v>
      </c>
      <c r="H9062" s="2" t="str">
        <f>'[1]2025年已发货'!H:H</f>
        <v>蒋嗣伟</v>
      </c>
      <c r="I9062" s="2">
        <f>'[1]2025年已发货'!I:I</f>
        <v>15014331252</v>
      </c>
      <c r="J9062" s="2" t="str">
        <f>_xlfn._xlws.FILTER(辅助信息!D:D,辅助信息!G:G=G9062)</f>
        <v>五冶钢构龙泉东洪片区(70亩、85亩)住宅、商业及配套工程项目</v>
      </c>
    </row>
    <row r="9063" spans="1:10">
      <c r="A9063" s="2" t="str">
        <f>'[1]2025年已发货'!A:A</f>
        <v>泸钢（代）</v>
      </c>
      <c r="B9063" s="2" t="str">
        <f>'[1]2025年已发货'!B:B</f>
        <v>盘圆</v>
      </c>
      <c r="C9063" s="2" t="str">
        <f>'[1]2025年已发货'!C:C</f>
        <v>HPB300Φ12mm</v>
      </c>
      <c r="D9063" s="2" t="str">
        <f>'[1]2025年已发货'!D:D</f>
        <v>吨</v>
      </c>
      <c r="E9063" s="2">
        <f>'[1]2025年已发货'!E:E</f>
        <v>15</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泸钢（代）</v>
      </c>
      <c r="B9064" s="2" t="str">
        <f>'[1]2025年已发货'!B:B</f>
        <v>螺纹钢</v>
      </c>
      <c r="C9064" s="2" t="str">
        <f>'[1]2025年已发货'!C:C</f>
        <v>HRB500EΦ32*12m</v>
      </c>
      <c r="D9064" s="2" t="str">
        <f>'[1]2025年已发货'!D:D</f>
        <v>吨</v>
      </c>
      <c r="E9064" s="2">
        <f>'[1]2025年已发货'!E:E</f>
        <v>20</v>
      </c>
      <c r="F9064" s="4">
        <f>'[1]2025年已发货'!F:F</f>
        <v>45958</v>
      </c>
      <c r="G9064" s="2" t="str">
        <f>'[1]2025年已发货'!G:G</f>
        <v>（成峨1标）眉山市彭山区谢家街道跳墩子</v>
      </c>
      <c r="H9064" s="2" t="str">
        <f>'[1]2025年已发货'!H:H</f>
        <v>曾毅</v>
      </c>
      <c r="I9064" s="2" t="str">
        <f>'[1]2025年已发货'!I:I</f>
        <v>13982229815</v>
      </c>
      <c r="J9064" s="2" vm="1" t="e">
        <f>_xlfn._xlws.FILTER(辅助信息!D:D,辅助信息!G:G=G9064)</f>
        <v>#VALUE!</v>
      </c>
    </row>
    <row r="9065" spans="1:10">
      <c r="A9065" s="2" t="str">
        <f>'[1]2025年已发货'!A:A</f>
        <v>泸钢</v>
      </c>
      <c r="B9065" s="2" t="str">
        <f>'[1]2025年已发货'!B:B</f>
        <v>高线</v>
      </c>
      <c r="C9065" s="2" t="str">
        <f>'[1]2025年已发货'!C:C</f>
        <v>HPB300 Φ10</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Φ12×9米</v>
      </c>
      <c r="D9066" s="2" t="str">
        <f>'[1]2025年已发货'!D:D</f>
        <v>吨</v>
      </c>
      <c r="E9066" s="2">
        <f>'[1]2025年已发货'!E:E</f>
        <v>5</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Φ22×9米</v>
      </c>
      <c r="D9067" s="2" t="str">
        <f>'[1]2025年已发货'!D:D</f>
        <v>吨</v>
      </c>
      <c r="E9067" s="2">
        <f>'[1]2025年已发货'!E:E</f>
        <v>10</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Φ20×9米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Φ25×9米</v>
      </c>
      <c r="D9069" s="2" t="str">
        <f>'[1]2025年已发货'!D:D</f>
        <v>吨</v>
      </c>
      <c r="E9069" s="2">
        <f>'[1]2025年已发货'!E:E</f>
        <v>7.5</v>
      </c>
      <c r="F9069" s="4">
        <f>'[1]2025年已发货'!F:F</f>
        <v>45958</v>
      </c>
      <c r="G9069" s="2" t="str">
        <f>'[1]2025年已发货'!G:G</f>
        <v>自永高速一标二工区（连接线</v>
      </c>
      <c r="H9069" s="2" t="str">
        <f>'[1]2025年已发货'!H:H</f>
        <v>余伯宣</v>
      </c>
      <c r="I9069" s="2">
        <f>'[1]2025年已发货'!I:I</f>
        <v>13778530969</v>
      </c>
      <c r="J9069" s="2" vm="1" t="e">
        <f>_xlfn._xlws.FILTER(辅助信息!D:D,辅助信息!G:G=G9069)</f>
        <v>#VALUE!</v>
      </c>
    </row>
    <row r="9070" spans="1:10">
      <c r="A9070" s="2" t="str">
        <f>'[1]2025年已发货'!A:A</f>
        <v>泸钢</v>
      </c>
      <c r="B9070" s="2" t="str">
        <f>'[1]2025年已发货'!B:B</f>
        <v>螺纹钢</v>
      </c>
      <c r="C9070" s="2" t="str">
        <f>'[1]2025年已发货'!C:C</f>
        <v>HRB400E Φ12×9米</v>
      </c>
      <c r="D9070" s="2" t="str">
        <f>'[1]2025年已发货'!D:D</f>
        <v>吨</v>
      </c>
      <c r="E9070" s="2">
        <f>'[1]2025年已发货'!E:E</f>
        <v>17.5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高线</v>
      </c>
      <c r="C9071" s="2" t="str">
        <f>'[1]2025年已发货'!C:C</f>
        <v>HPB300  Φ12</v>
      </c>
      <c r="D9071" s="2" t="str">
        <f>'[1]2025年已发货'!D:D</f>
        <v>吨</v>
      </c>
      <c r="E9071" s="2">
        <f>'[1]2025年已发货'!E:E</f>
        <v>2.5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Φ16×9米</v>
      </c>
      <c r="D9072" s="2" t="str">
        <f>'[1]2025年已发货'!D:D</f>
        <v>吨</v>
      </c>
      <c r="E9072" s="2">
        <f>'[1]2025年已发货'!E:E</f>
        <v>5</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螺纹钢</v>
      </c>
      <c r="C9073" s="2" t="str">
        <f>'[1]2025年已发货'!C:C</f>
        <v>HRB400E Φ16×12米</v>
      </c>
      <c r="D9073" s="2" t="str">
        <f>'[1]2025年已发货'!D:D</f>
        <v>吨</v>
      </c>
      <c r="E9073" s="2">
        <f>'[1]2025年已发货'!E:E</f>
        <v>10</v>
      </c>
      <c r="F9073" s="4">
        <f>'[1]2025年已发货'!F:F</f>
        <v>45958</v>
      </c>
      <c r="G9073" s="2" t="str">
        <f>'[1]2025年已发货'!G:G</f>
        <v>（自永高速-自永3标六局交通分公司）四川省内江市隆昌市圣灯镇中心学校</v>
      </c>
      <c r="H9073" s="2" t="str">
        <f>'[1]2025年已发货'!H:H</f>
        <v>李宏权</v>
      </c>
      <c r="I9073" s="2">
        <f>'[1]2025年已发货'!I:I</f>
        <v>19212995868</v>
      </c>
      <c r="J9073" s="2" vm="1" t="e">
        <f>_xlfn._xlws.FILTER(辅助信息!D:D,辅助信息!G:G=G9073)</f>
        <v>#VALUE!</v>
      </c>
    </row>
    <row r="9074" spans="1:10">
      <c r="A9074" s="2" t="str">
        <f>'[1]2025年已发货'!A:A</f>
        <v>泸钢</v>
      </c>
      <c r="B9074" s="2" t="str">
        <f>'[1]2025年已发货'!B:B</f>
        <v>盘螺</v>
      </c>
      <c r="C9074" s="2" t="str">
        <f>'[1]2025年已发货'!C:C</f>
        <v>HRB400E Φ8</v>
      </c>
      <c r="D9074" s="2" t="str">
        <f>'[1]2025年已发货'!D:D</f>
        <v>吨</v>
      </c>
      <c r="E9074" s="2">
        <f>'[1]2025年已发货'!E:E</f>
        <v>35</v>
      </c>
      <c r="F9074" s="4">
        <f>'[1]2025年已发货'!F:F</f>
        <v>45958</v>
      </c>
      <c r="G9074" s="2" t="str">
        <f>'[1]2025年已发货'!G:G</f>
        <v>(宜宾兴港三江新区长江工业园保障性租赁住房建设项目-土建)四川省宜宾市翠屏区永善路南段宜宾市三江新区长江工业园区</v>
      </c>
      <c r="H9074" s="2" t="str">
        <f>'[1]2025年已发货'!H:H</f>
        <v>赵元虎</v>
      </c>
      <c r="I9074" s="2">
        <f>'[1]2025年已发货'!I:I</f>
        <v>13684167136</v>
      </c>
      <c r="J9074" s="2" t="str">
        <f>_xlfn._xlws.FILTER(辅助信息!D:D,辅助信息!G:G=G9074)</f>
        <v>宜宾兴港三江新区长江工业园建设项目</v>
      </c>
    </row>
    <row r="9075" spans="1:10">
      <c r="A9075" s="2" t="str">
        <f>'[1]2025年已发货'!A:A</f>
        <v>润耀</v>
      </c>
      <c r="B9075" s="2" t="str">
        <f>'[1]2025年已发货'!B:B</f>
        <v>螺纹钢</v>
      </c>
      <c r="C9075" s="2" t="str">
        <f>'[1]2025年已发货'!C:C</f>
        <v>HRB400EФ12，12m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润耀</v>
      </c>
      <c r="B9076" s="2" t="str">
        <f>'[1]2025年已发货'!B:B</f>
        <v>螺纹钢</v>
      </c>
      <c r="C9076" s="2" t="str">
        <f>'[1]2025年已发货'!C:C</f>
        <v>HRB400EФ16，12m</v>
      </c>
      <c r="D9076" s="2" t="str">
        <f>'[1]2025年已发货'!D:D</f>
        <v>吨</v>
      </c>
      <c r="E9076" s="2">
        <f>'[1]2025年已发货'!E:E</f>
        <v>35</v>
      </c>
      <c r="F9076" s="4">
        <f>'[1]2025年已发货'!F:F</f>
        <v>45959</v>
      </c>
      <c r="G9076" s="2" t="str">
        <f>'[1]2025年已发货'!G:G</f>
        <v>（中铁广州局-成渝扩容2标）四川省资阳市雁江区石岭镇易家沟2号梁场</v>
      </c>
      <c r="H9076" s="2" t="str">
        <f>'[1]2025年已发货'!H:H</f>
        <v>孙鹏飞</v>
      </c>
      <c r="I9076" s="2">
        <f>'[1]2025年已发货'!I:I</f>
        <v>18011784798</v>
      </c>
      <c r="J9076" s="2" vm="1" t="e">
        <f>_xlfn._xlws.FILTER(辅助信息!D:D,辅助信息!G:G=G9076)</f>
        <v>#VALUE!</v>
      </c>
    </row>
    <row r="9077" spans="1:10">
      <c r="A9077" s="2" t="str">
        <f>'[1]2025年已发货'!A:A</f>
        <v>德胜</v>
      </c>
      <c r="B9077" s="2" t="str">
        <f>'[1]2025年已发货'!B:B</f>
        <v>螺纹钢</v>
      </c>
      <c r="C9077" s="2" t="str">
        <f>'[1]2025年已发货'!C:C</f>
        <v>HRB400EФ28，12m</v>
      </c>
      <c r="D9077" s="2" t="str">
        <f>'[1]2025年已发货'!D:D</f>
        <v>吨</v>
      </c>
      <c r="E9077" s="2">
        <f>'[1]2025年已发货'!E:E</f>
        <v>70</v>
      </c>
      <c r="F9077" s="4">
        <f>'[1]2025年已发货'!F:F</f>
        <v>45959</v>
      </c>
      <c r="G9077" s="2" t="str">
        <f>'[1]2025年已发货'!G:G</f>
        <v>（中铁广州局-成渝扩容2标）四川省内江市资中县双龙镇朱家房子成渝扩容ZCB3-2标1#钢筋厂</v>
      </c>
      <c r="H9077" s="2" t="str">
        <f>'[1]2025年已发货'!H:H</f>
        <v>石雄</v>
      </c>
      <c r="I9077" s="2">
        <f>'[1]2025年已发货'!I:I</f>
        <v>13268388125</v>
      </c>
      <c r="J9077" s="2" vm="1" t="e">
        <f>_xlfn._xlws.FILTER(辅助信息!D:D,辅助信息!G:G=G9077)</f>
        <v>#VALUE!</v>
      </c>
    </row>
    <row r="9078" spans="1:10">
      <c r="A9078" s="2" t="str">
        <f>'[1]2025年已发货'!A:A</f>
        <v>德胜</v>
      </c>
      <c r="B9078" s="2" t="str">
        <f>'[1]2025年已发货'!B:B</f>
        <v>螺纹钢</v>
      </c>
      <c r="C9078" s="2" t="str">
        <f>'[1]2025年已发货'!C:C</f>
        <v>HRB400EФ12*9m</v>
      </c>
      <c r="D9078" s="2" t="str">
        <f>'[1]2025年已发货'!D:D</f>
        <v>吨</v>
      </c>
      <c r="E9078" s="2">
        <f>'[1]2025年已发货'!E:E</f>
        <v>30</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HRB500EФ18*9m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v>
      </c>
      <c r="B9080" s="2" t="str">
        <f>'[1]2025年已发货'!B:B</f>
        <v>螺纹钢</v>
      </c>
      <c r="C9080" s="2" t="str">
        <f>'[1]2025年已发货'!C:C</f>
        <v>HRB500EФ22*9m</v>
      </c>
      <c r="D9080" s="2" t="str">
        <f>'[1]2025年已发货'!D:D</f>
        <v>吨</v>
      </c>
      <c r="E9080" s="2">
        <f>'[1]2025年已发货'!E:E</f>
        <v>2</v>
      </c>
      <c r="F9080" s="4">
        <f>'[1]2025年已发货'!F:F</f>
        <v>45959</v>
      </c>
      <c r="G9080" s="2" t="str">
        <f>'[1]2025年已发货'!G:G</f>
        <v>（中核中原-温江北林医养综合体项目）四川省成都市温江区万春大道第三人民医院东</v>
      </c>
      <c r="H9080" s="2" t="str">
        <f>'[1]2025年已发货'!H:H</f>
        <v>蔡杰</v>
      </c>
      <c r="I9080" s="2">
        <f>'[1]2025年已发货'!I:I</f>
        <v>18875129329</v>
      </c>
      <c r="J9080" s="2" vm="1" t="e">
        <f>_xlfn._xlws.FILTER(辅助信息!D:D,辅助信息!G:G=G9080)</f>
        <v>#VALUE!</v>
      </c>
    </row>
    <row r="9081" spans="1:10">
      <c r="A9081" s="2" t="str">
        <f>'[1]2025年已发货'!A:A</f>
        <v>德胜恒嘉</v>
      </c>
      <c r="B9081" s="2" t="str">
        <f>'[1]2025年已发货'!B:B</f>
        <v>螺纹钢</v>
      </c>
      <c r="C9081" s="2" t="str">
        <f>'[1]2025年已发货'!C:C</f>
        <v>HRB400EФ22*9m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HRB500EФ22*9m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HRB500EФ25*9m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HRB500EФ28*9m</v>
      </c>
      <c r="D9084" s="2" t="str">
        <f>'[1]2025年已发货'!D:D</f>
        <v>吨</v>
      </c>
      <c r="E9084" s="2">
        <f>'[1]2025年已发货'!E:E</f>
        <v>35</v>
      </c>
      <c r="F9084" s="4">
        <f>'[1]2025年已发货'!F:F</f>
        <v>45959</v>
      </c>
      <c r="G9084" s="2" t="str">
        <f>'[1]2025年已发货'!G:G</f>
        <v>（中铁六局呼和公司康新高速TJ4-2标）四川省甘孜藏族自治州康定市新都桥镇东俄罗三村中建八局搅拌站旁</v>
      </c>
      <c r="H9084" s="2" t="str">
        <f>'[1]2025年已发货'!H:H</f>
        <v>许文刚</v>
      </c>
      <c r="I9084" s="2">
        <f>'[1]2025年已发货'!I:I</f>
        <v>15848808186</v>
      </c>
      <c r="J9084" s="2" vm="1" t="e">
        <f>_xlfn._xlws.FILTER(辅助信息!D:D,辅助信息!G:G=G9084)</f>
        <v>#VALUE!</v>
      </c>
    </row>
    <row r="9085" spans="1:10">
      <c r="A9085" s="2" t="str">
        <f>'[1]2025年已发货'!A:A</f>
        <v>德胜恒嘉</v>
      </c>
      <c r="B9085" s="2" t="str">
        <f>'[1]2025年已发货'!B:B</f>
        <v>螺纹钢</v>
      </c>
      <c r="C9085" s="2" t="str">
        <f>'[1]2025年已发货'!C:C</f>
        <v>HRB500EФ25，12m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HRB500EФ28，9m</v>
      </c>
      <c r="D9086" s="2" t="str">
        <f>'[1]2025年已发货'!D:D</f>
        <v>吨</v>
      </c>
      <c r="E9086" s="2">
        <f>'[1]2025年已发货'!E:E</f>
        <v>70</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德胜恒嘉</v>
      </c>
      <c r="B9087" s="2" t="str">
        <f>'[1]2025年已发货'!B:B</f>
        <v>螺纹钢</v>
      </c>
      <c r="C9087" s="2" t="str">
        <f>'[1]2025年已发货'!C:C</f>
        <v>HRB400EФ28，9m</v>
      </c>
      <c r="D9087" s="2" t="str">
        <f>'[1]2025年已发货'!D:D</f>
        <v>吨</v>
      </c>
      <c r="E9087" s="2">
        <f>'[1]2025年已发货'!E:E</f>
        <v>35</v>
      </c>
      <c r="F9087" s="4">
        <f>'[1]2025年已发货'!F:F</f>
        <v>45959</v>
      </c>
      <c r="G9087" s="2" t="str">
        <f>'[1]2025年已发货'!G:G</f>
        <v>（中铁十局-资乐高速4标）四川省眉山市仁寿县彰加镇促进村中铁十局资乐高速1#钢筋场</v>
      </c>
      <c r="H9087" s="2" t="str">
        <f>'[1]2025年已发货'!H:H</f>
        <v>杨飞</v>
      </c>
      <c r="I9087" s="2">
        <f>'[1]2025年已发货'!I:I</f>
        <v>15667998777</v>
      </c>
      <c r="J9087" s="2" vm="1" t="e">
        <f>_xlfn._xlws.FILTER(辅助信息!D:D,辅助信息!G:G=G9087)</f>
        <v>#VALUE!</v>
      </c>
    </row>
    <row r="9088" spans="1:10">
      <c r="A9088" s="2" t="str">
        <f>'[1]2025年已发货'!A:A</f>
        <v>润耀</v>
      </c>
      <c r="B9088" s="2" t="str">
        <f>'[1]2025年已发货'!B:B</f>
        <v>盘螺</v>
      </c>
      <c r="C9088" s="2" t="str">
        <f>'[1]2025年已发货'!C:C</f>
        <v>HRB400EΦ8</v>
      </c>
      <c r="D9088" s="2" t="str">
        <f>'[1]2025年已发货'!D:D</f>
        <v>吨</v>
      </c>
      <c r="E9088" s="2">
        <f>'[1]2025年已发货'!E:E</f>
        <v>15</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润耀</v>
      </c>
      <c r="B9089" s="2" t="str">
        <f>'[1]2025年已发货'!B:B</f>
        <v>盘螺</v>
      </c>
      <c r="C9089" s="2" t="str">
        <f>'[1]2025年已发货'!C:C</f>
        <v>HRB400EΦ10</v>
      </c>
      <c r="D9089" s="2" t="str">
        <f>'[1]2025年已发货'!D:D</f>
        <v>吨</v>
      </c>
      <c r="E9089" s="2">
        <f>'[1]2025年已发货'!E:E</f>
        <v>20</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HRB400EФ12*9m</v>
      </c>
      <c r="D9090" s="2" t="str">
        <f>'[1]2025年已发货'!D:D</f>
        <v>吨</v>
      </c>
      <c r="E9090" s="2">
        <f>'[1]2025年已发货'!E:E</f>
        <v>18</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HRB400EФ16*9m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德胜</v>
      </c>
      <c r="B9092" s="2" t="str">
        <f>'[1]2025年已发货'!B:B</f>
        <v>螺纹钢</v>
      </c>
      <c r="C9092" s="2" t="str">
        <f>'[1]2025年已发货'!C:C</f>
        <v>HRB400EФ18*9m</v>
      </c>
      <c r="D9092" s="2" t="str">
        <f>'[1]2025年已发货'!D:D</f>
        <v>吨</v>
      </c>
      <c r="E9092" s="2">
        <f>'[1]2025年已发货'!E:E</f>
        <v>9</v>
      </c>
      <c r="F9092" s="4">
        <f>'[1]2025年已发货'!F:F</f>
        <v>45959</v>
      </c>
      <c r="G9092" s="2" t="str">
        <f>'[1]2025年已发货'!G:G</f>
        <v>（中核中原-温江光明苑三期项目）四川省成都市温江区金马街道光明苑三期项目</v>
      </c>
      <c r="H9092" s="2" t="str">
        <f>'[1]2025年已发货'!H:H</f>
        <v>王生斌</v>
      </c>
      <c r="I9092" s="2">
        <f>'[1]2025年已发货'!I:I</f>
        <v>15228858118</v>
      </c>
      <c r="J9092" s="2" vm="1" t="e">
        <f>_xlfn._xlws.FILTER(辅助信息!D:D,辅助信息!G:G=G9092)</f>
        <v>#VALUE!</v>
      </c>
    </row>
    <row r="9093" spans="1:10">
      <c r="A9093" s="2" t="str">
        <f>'[1]2025年已发货'!A:A</f>
        <v>润耀</v>
      </c>
      <c r="B9093" s="2" t="str">
        <f>'[1]2025年已发货'!B:B</f>
        <v>盘螺</v>
      </c>
      <c r="C9093" s="2" t="str">
        <f>'[1]2025年已发货'!C:C</f>
        <v>HRB400E Φ12</v>
      </c>
      <c r="D9093" s="2" t="str">
        <f>'[1]2025年已发货'!D:D</f>
        <v>吨</v>
      </c>
      <c r="E9093" s="2">
        <f>'[1]2025年已发货'!E:E</f>
        <v>35</v>
      </c>
      <c r="F9093" s="4">
        <f>'[1]2025年已发货'!F:F</f>
        <v>45959</v>
      </c>
      <c r="G9093" s="2" t="str">
        <f>'[1]2025年已发货'!G:G</f>
        <v>（华西简阳西城嘉苑）四川省成都市简阳市简城街道高屋村</v>
      </c>
      <c r="H9093" s="2" t="str">
        <f>'[1]2025年已发货'!H:H</f>
        <v>张瀚镭</v>
      </c>
      <c r="I9093" s="2">
        <f>'[1]2025年已发货'!I:I</f>
        <v>15884666220</v>
      </c>
      <c r="J9093" s="2" t="str">
        <f>_xlfn._xlws.FILTER(辅助信息!D:D,辅助信息!G:G=G9093)</f>
        <v>华西简阳西城嘉苑</v>
      </c>
    </row>
    <row r="9094" spans="1:10">
      <c r="A9094" s="2" t="str">
        <f>'[1]2025年已发货'!A:A</f>
        <v>润耀</v>
      </c>
      <c r="B9094" s="2" t="str">
        <f>'[1]2025年已发货'!B:B</f>
        <v>螺纹钢</v>
      </c>
      <c r="C9094" s="2" t="str">
        <f>'[1]2025年已发货'!C:C</f>
        <v>HRB400EФ14，12m</v>
      </c>
      <c r="D9094" s="2" t="str">
        <f>'[1]2025年已发货'!D:D</f>
        <v>吨</v>
      </c>
      <c r="E9094" s="2">
        <f>'[1]2025年已发货'!E:E</f>
        <v>35</v>
      </c>
      <c r="F9094" s="4">
        <f>'[1]2025年已发货'!F:F</f>
        <v>45959</v>
      </c>
      <c r="G9094" s="2" t="str">
        <f>'[1]2025年已发货'!G:G</f>
        <v>（中铁十局-资乐高速4标）四川省眉山市仁寿县彰加镇促进村中铁十局资乐高速1#钢筋场</v>
      </c>
      <c r="H9094" s="2" t="str">
        <f>'[1]2025年已发货'!H:H</f>
        <v>杨飞</v>
      </c>
      <c r="I9094" s="2">
        <f>'[1]2025年已发货'!I:I</f>
        <v>15667998777</v>
      </c>
      <c r="J9094" s="2" vm="1" t="e">
        <f>_xlfn._xlws.FILTER(辅助信息!D:D,辅助信息!G:G=G9094)</f>
        <v>#VALUE!</v>
      </c>
    </row>
    <row r="9095" spans="1:10">
      <c r="A9095" s="2" t="str">
        <f>'[1]2025年已发货'!A:A</f>
        <v>泸钢</v>
      </c>
      <c r="B9095" s="2" t="str">
        <f>'[1]2025年已发货'!B:B</f>
        <v>盘螺</v>
      </c>
      <c r="C9095" s="2" t="str">
        <f>'[1]2025年已发货'!C:C</f>
        <v>HRB400E Φ12</v>
      </c>
      <c r="D9095" s="2" t="str">
        <f>'[1]2025年已发货'!D:D</f>
        <v>吨</v>
      </c>
      <c r="E9095" s="2">
        <f>'[1]2025年已发货'!E:E</f>
        <v>4</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Φ14 9m</v>
      </c>
      <c r="D9096" s="2" t="str">
        <f>'[1]2025年已发货'!D:D</f>
        <v>吨</v>
      </c>
      <c r="E9096" s="2">
        <f>'[1]2025年已发货'!E:E</f>
        <v>10</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Φ16 9m</v>
      </c>
      <c r="D9097" s="2" t="str">
        <f>'[1]2025年已发货'!D:D</f>
        <v>吨</v>
      </c>
      <c r="E9097" s="2">
        <f>'[1]2025年已发货'!E:E</f>
        <v>2.5</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Φ20 9m</v>
      </c>
      <c r="D9098" s="2" t="str">
        <f>'[1]2025年已发货'!D:D</f>
        <v>吨</v>
      </c>
      <c r="E9098" s="2">
        <f>'[1]2025年已发货'!E:E</f>
        <v>10</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Φ22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Φ25 9m</v>
      </c>
      <c r="D9100" s="2" t="str">
        <f>'[1]2025年已发货'!D:D</f>
        <v>吨</v>
      </c>
      <c r="E9100" s="2">
        <f>'[1]2025年已发货'!E:E</f>
        <v>5</v>
      </c>
      <c r="F9100" s="4">
        <f>'[1]2025年已发货'!F:F</f>
        <v>45959</v>
      </c>
      <c r="G9100" s="2" t="str">
        <f>'[1]2025年已发货'!G:G</f>
        <v>(五冶建设成都盐道街中学初中部改扩建工程-一标)四川省成都市锦江区春熙路街道盐道街4号（盐道街中学初中部）</v>
      </c>
      <c r="H9100" s="2" t="str">
        <f>'[1]2025年已发货'!H:H</f>
        <v>谢鑫</v>
      </c>
      <c r="I9100" s="2">
        <f>'[1]2025年已发货'!I:I</f>
        <v>18228465067</v>
      </c>
      <c r="J9100" s="2" t="str">
        <f>_xlfn._xlws.FILTER(辅助信息!D:D,辅助信息!G:G=G9100)</f>
        <v>五冶建设成都盐道街中学初中部改扩建工程</v>
      </c>
    </row>
    <row r="9101" spans="1:10">
      <c r="A9101" s="2" t="str">
        <f>'[1]2025年已发货'!A:A</f>
        <v>泸钢</v>
      </c>
      <c r="B9101" s="2" t="str">
        <f>'[1]2025年已发货'!B:B</f>
        <v>螺纹钢</v>
      </c>
      <c r="C9101" s="2" t="str">
        <f>'[1]2025年已发货'!C:C</f>
        <v>HRB400E Φ12 9m</v>
      </c>
      <c r="D9101" s="2" t="str">
        <f>'[1]2025年已发货'!D:D</f>
        <v>吨</v>
      </c>
      <c r="E9101" s="2">
        <f>'[1]2025年已发货'!E:E</f>
        <v>35</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Φ12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Φ14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Φ16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Φ18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Φ20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Φ22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螺纹钢</v>
      </c>
      <c r="C9108" s="2" t="str">
        <f>'[1]2025年已发货'!C:C</f>
        <v>HRB400E Φ25 9m</v>
      </c>
      <c r="D9108" s="2" t="str">
        <f>'[1]2025年已发货'!D:D</f>
        <v>吨</v>
      </c>
      <c r="E9108" s="2">
        <f>'[1]2025年已发货'!E:E</f>
        <v>10</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Φ6</v>
      </c>
      <c r="D9109" s="2" t="str">
        <f>'[1]2025年已发货'!D:D</f>
        <v>吨</v>
      </c>
      <c r="E9109" s="2">
        <f>'[1]2025年已发货'!E:E</f>
        <v>6</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30</v>
      </c>
      <c r="F9110" s="4">
        <f>'[1]2025年已发货'!F:F</f>
        <v>45959</v>
      </c>
      <c r="G9110" s="2" t="str">
        <f>'[1]2025年已发货'!G:G</f>
        <v>(五冶钢构龙泉东洪片区70亩住宅、商业及配套工程项目一标段)成都市龙泉驿外东洪路地铁2号线惠王陵地铁C口</v>
      </c>
      <c r="H9110" s="2" t="str">
        <f>'[1]2025年已发货'!H:H</f>
        <v>邹爱国</v>
      </c>
      <c r="I9110" s="2">
        <f>'[1]2025年已发货'!I:I</f>
        <v>13540231225</v>
      </c>
      <c r="J9110" s="2" t="str">
        <f>_xlfn._xlws.FILTER(辅助信息!D:D,辅助信息!G:G=G9110)</f>
        <v>五冶钢构龙泉东洪片区(70亩、85亩)住宅、商业及配套工程项目</v>
      </c>
    </row>
    <row r="9111" spans="1:10">
      <c r="A9111" s="2" t="str">
        <f>'[1]2025年已发货'!A:A</f>
        <v>泸钢</v>
      </c>
      <c r="B9111" s="2" t="str">
        <f>'[1]2025年已发货'!B:B</f>
        <v>盘螺</v>
      </c>
      <c r="C9111" s="2" t="str">
        <f>'[1]2025年已发货'!C:C</f>
        <v>HRB400E Φ8</v>
      </c>
      <c r="D9111" s="2" t="str">
        <f>'[1]2025年已发货'!D:D</f>
        <v>吨</v>
      </c>
      <c r="E9111" s="2">
        <f>'[1]2025年已发货'!E:E</f>
        <v>35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Φ14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Φ16 9m</v>
      </c>
      <c r="D9113" s="2" t="str">
        <f>'[1]2025年已发货'!D:D</f>
        <v>吨</v>
      </c>
      <c r="E9113" s="2">
        <f>'[1]2025年已发货'!E:E</f>
        <v>12.5</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泸钢</v>
      </c>
      <c r="B9114" s="2" t="str">
        <f>'[1]2025年已发货'!B:B</f>
        <v>螺纹钢</v>
      </c>
      <c r="C9114" s="2" t="str">
        <f>'[1]2025年已发货'!C:C</f>
        <v>HRB400E Φ18 9m</v>
      </c>
      <c r="D9114" s="2" t="str">
        <f>'[1]2025年已发货'!D:D</f>
        <v>吨</v>
      </c>
      <c r="E9114" s="2">
        <f>'[1]2025年已发货'!E:E</f>
        <v>10</v>
      </c>
      <c r="F9114" s="4">
        <f>'[1]2025年已发货'!F:F</f>
        <v>45959</v>
      </c>
      <c r="G9114" s="2" t="str">
        <f>'[1]2025年已发货'!G:G</f>
        <v>(五冶钢构龙泉东洪片区85亩住宅、商业及配套工程项目二标段)成都市龙泉驿外东洪路地铁2号线惠王陵地铁C口</v>
      </c>
      <c r="H9114" s="2" t="str">
        <f>'[1]2025年已发货'!H:H</f>
        <v>李渊</v>
      </c>
      <c r="I9114" s="2">
        <f>'[1]2025年已发货'!I:I</f>
        <v>18381013849</v>
      </c>
      <c r="J9114" s="2" t="str">
        <f>_xlfn._xlws.FILTER(辅助信息!D:D,辅助信息!G:G=G9114)</f>
        <v>五冶钢构龙泉东洪片区(70亩、85亩)住宅、商业及配套工程项目</v>
      </c>
    </row>
    <row r="9115" spans="1:10">
      <c r="A9115" s="2" t="str">
        <f>'[1]2025年已发货'!A:A</f>
        <v>德胜</v>
      </c>
      <c r="B9115" s="2" t="str">
        <f>'[1]2025年已发货'!B:B</f>
        <v>螺纹钢</v>
      </c>
      <c r="C9115" s="2" t="str">
        <f>'[1]2025年已发货'!C:C</f>
        <v>HRB500EΦ28*12m</v>
      </c>
      <c r="D9115" s="2" t="str">
        <f>'[1]2025年已发货'!D:D</f>
        <v>吨</v>
      </c>
      <c r="E9115" s="2">
        <f>'[1]2025年已发货'!E:E</f>
        <v>15</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HRB500EΦ32*12m</v>
      </c>
      <c r="D9116" s="2" t="str">
        <f>'[1]2025年已发货'!D:D</f>
        <v>吨</v>
      </c>
      <c r="E9116" s="2">
        <f>'[1]2025年已发货'!E:E</f>
        <v>20</v>
      </c>
      <c r="F9116" s="4">
        <f>'[1]2025年已发货'!F:F</f>
        <v>45959</v>
      </c>
      <c r="G9116" s="2" t="str">
        <f>'[1]2025年已发货'!G:G</f>
        <v>（成峨1标）眉山市彭山区谢家街道跳墩子</v>
      </c>
      <c r="H9116" s="2" t="str">
        <f>'[1]2025年已发货'!H:H</f>
        <v>曾毅</v>
      </c>
      <c r="I9116" s="2" t="str">
        <f>'[1]2025年已发货'!I:I</f>
        <v>13982229815</v>
      </c>
      <c r="J9116" s="2" vm="1" t="e">
        <f>_xlfn._xlws.FILTER(辅助信息!D:D,辅助信息!G:G=G9116)</f>
        <v>#VALUE!</v>
      </c>
    </row>
    <row r="9117" spans="1:10">
      <c r="A9117" s="2" t="str">
        <f>'[1]2025年已发货'!A:A</f>
        <v>德胜</v>
      </c>
      <c r="B9117" s="2" t="str">
        <f>'[1]2025年已发货'!B:B</f>
        <v>螺纹钢</v>
      </c>
      <c r="C9117" s="2" t="str">
        <f>'[1]2025年已发货'!C:C</f>
        <v>HRB400EΦ14*9m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HRB400EΦ16*9m</v>
      </c>
      <c r="D9118" s="2" t="str">
        <f>'[1]2025年已发货'!D:D</f>
        <v>吨</v>
      </c>
      <c r="E9118" s="2">
        <f>'[1]2025年已发货'!E:E</f>
        <v>17</v>
      </c>
      <c r="F9118" s="4">
        <f>'[1]2025年已发货'!F:F</f>
        <v>45959</v>
      </c>
      <c r="G9118" s="2" t="str">
        <f>'[1]2025年已发货'!G:G</f>
        <v>（成峨3标）眉山市丹棱县兴盛路（诺尔电器）成峨TJ3标</v>
      </c>
      <c r="H9118" s="2" t="str">
        <f>'[1]2025年已发货'!H:H</f>
        <v>雍朝刚</v>
      </c>
      <c r="I9118" s="2" t="str">
        <f>'[1]2025年已发货'!I:I</f>
        <v>19983344290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2025-10-29T10:56:09Z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